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3.xml" ContentType="application/vnd.ms-excel.controlproperties+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trlProps/ctrlProp6.xml" ContentType="application/vnd.ms-excel.controlproperties+xml"/>
  <Override PartName="/xl/comments4.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3885C516-9F57-4240-A9CA-FCE2AD65F7A5}" xr6:coauthVersionLast="47" xr6:coauthVersionMax="47" xr10:uidLastSave="{00000000-0000-0000-0000-000000000000}"/>
  <bookViews>
    <workbookView xWindow="-108" yWindow="-108" windowWidth="23256" windowHeight="12456" xr2:uid="{EE836986-EFD3-42B0-AD70-AC940405E30C}"/>
  </bookViews>
  <sheets>
    <sheet name="Input Sheet" sheetId="31" r:id="rId1"/>
    <sheet name="WACC" sheetId="32" r:id="rId2"/>
    <sheet name="Damodaran data" sheetId="33" r:id="rId3"/>
    <sheet name="Controlsheet" sheetId="5" r:id="rId4"/>
    <sheet name="Schedules" sheetId="11" r:id="rId5"/>
    <sheet name="3StatementModel" sheetId="12" r:id="rId6"/>
    <sheet name="CommonSizeStatement" sheetId="29" r:id="rId7"/>
    <sheet name="RatioAnalysis" sheetId="14" r:id="rId8"/>
    <sheet name="DCF&gt;" sheetId="16" r:id="rId9"/>
    <sheet name="DCFVal" sheetId="15" r:id="rId10"/>
    <sheet name="Relative Pricing&gt;" sheetId="25" r:id="rId11"/>
    <sheet name="Comps_Description" sheetId="39" r:id="rId12"/>
    <sheet name="Benchmarking" sheetId="37" r:id="rId13"/>
    <sheet name="Relative_Val" sheetId="38" r:id="rId14"/>
    <sheet name="Workings&gt;" sheetId="30" r:id="rId15"/>
    <sheet name="Assumptions Working" sheetId="20" r:id="rId16"/>
    <sheet name="Report" sheetId="40" r:id="rId17"/>
    <sheet name="Business Profiling" sheetId="41" r:id="rId18"/>
    <sheet name="Options Value" sheetId="36" r:id="rId19"/>
    <sheet name="Growth Drivers" sheetId="24" r:id="rId20"/>
    <sheet name="HistoricalData&gt;" sheetId="10" r:id="rId21"/>
    <sheet name="ConsolidatedBS" sheetId="22" r:id="rId22"/>
    <sheet name="ConsolidatedP&amp;L" sheetId="21" r:id="rId23"/>
    <sheet name="ConsolidatedCashFlow" sheetId="28" r:id="rId24"/>
  </sheets>
  <definedNames>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15" l="1"/>
  <c r="C33" i="15"/>
  <c r="U74" i="41"/>
  <c r="S74" i="41"/>
  <c r="S73" i="41"/>
  <c r="S72" i="41"/>
  <c r="S71" i="41"/>
  <c r="S70" i="41"/>
  <c r="Q70" i="41"/>
  <c r="Q71" i="41" s="1"/>
  <c r="Q72" i="41" s="1"/>
  <c r="Q73" i="41" s="1"/>
  <c r="Q74" i="41" s="1"/>
  <c r="S69" i="41"/>
  <c r="U73" i="41" s="1"/>
  <c r="Q69" i="41"/>
  <c r="AJ282" i="40"/>
  <c r="AJ283" i="40" s="1"/>
  <c r="AJ284" i="40" s="1"/>
  <c r="AJ285" i="40" s="1"/>
  <c r="AJ286" i="40" s="1"/>
  <c r="AJ287" i="40" s="1"/>
  <c r="AJ288" i="40" s="1"/>
  <c r="AJ289" i="40" s="1"/>
  <c r="AJ290" i="40" s="1"/>
  <c r="AJ291" i="40" s="1"/>
  <c r="D374" i="20"/>
  <c r="D371" i="20"/>
  <c r="D364" i="20"/>
  <c r="AQ108" i="40"/>
  <c r="AR108" i="40" s="1"/>
  <c r="AS108" i="40" s="1"/>
  <c r="AT108" i="40" s="1"/>
  <c r="AU108" i="40" s="1"/>
  <c r="AQ101" i="40"/>
  <c r="AR101" i="40" s="1"/>
  <c r="AS101" i="40" s="1"/>
  <c r="AT101" i="40" s="1"/>
  <c r="AU101" i="40" s="1"/>
  <c r="AW96" i="40"/>
  <c r="AV96" i="40"/>
  <c r="AU96" i="40"/>
  <c r="AT96" i="40"/>
  <c r="AS96" i="40"/>
  <c r="AU94" i="40"/>
  <c r="AV94" i="40" s="1"/>
  <c r="AW94" i="40" s="1"/>
  <c r="AT94" i="40"/>
  <c r="AS94" i="40"/>
  <c r="E20" i="14" l="1"/>
  <c r="F20" i="14"/>
  <c r="G20" i="14"/>
  <c r="H20" i="14"/>
  <c r="E89" i="14"/>
  <c r="F89" i="14"/>
  <c r="G89" i="14"/>
  <c r="H89" i="14"/>
  <c r="D89" i="14"/>
  <c r="E78" i="14" l="1"/>
  <c r="D78" i="14"/>
  <c r="H78" i="14"/>
  <c r="G78" i="14"/>
  <c r="F78" i="14"/>
  <c r="E56" i="14"/>
  <c r="E60" i="14" s="1"/>
  <c r="E64" i="14" s="1"/>
  <c r="D56" i="14"/>
  <c r="D60" i="14" s="1"/>
  <c r="D64" i="14" s="1"/>
  <c r="E52" i="14"/>
  <c r="D52" i="14"/>
  <c r="E48" i="14"/>
  <c r="D48" i="14"/>
  <c r="D85" i="14" s="1"/>
  <c r="F25" i="12"/>
  <c r="E45" i="14"/>
  <c r="E49" i="14" s="1"/>
  <c r="E53" i="14" s="1"/>
  <c r="E57" i="14" s="1"/>
  <c r="D45" i="14"/>
  <c r="D49" i="14" s="1"/>
  <c r="D53" i="14" s="1"/>
  <c r="D57" i="14" s="1"/>
  <c r="E44" i="14"/>
  <c r="D44" i="14"/>
  <c r="H39" i="14"/>
  <c r="E35" i="14"/>
  <c r="E61" i="14" s="1"/>
  <c r="E71" i="14" s="1"/>
  <c r="E75" i="14" s="1"/>
  <c r="F35" i="14"/>
  <c r="F39" i="14" s="1"/>
  <c r="G35" i="14"/>
  <c r="G39" i="14" s="1"/>
  <c r="H35" i="14"/>
  <c r="D35" i="14"/>
  <c r="D61" i="14" s="1"/>
  <c r="D71" i="14" s="1"/>
  <c r="D34" i="14"/>
  <c r="D36" i="14" s="1"/>
  <c r="D32" i="14"/>
  <c r="E31" i="14"/>
  <c r="F31" i="14"/>
  <c r="F38" i="14" s="1"/>
  <c r="G31" i="14"/>
  <c r="G38" i="14" s="1"/>
  <c r="H31" i="14"/>
  <c r="H38" i="14" s="1"/>
  <c r="H40" i="14" s="1"/>
  <c r="D31" i="14"/>
  <c r="D38" i="14" s="1"/>
  <c r="E30" i="14"/>
  <c r="E34" i="14" s="1"/>
  <c r="F30" i="14"/>
  <c r="F34" i="14" s="1"/>
  <c r="F84" i="14" s="1"/>
  <c r="G30" i="14"/>
  <c r="G34" i="14" s="1"/>
  <c r="H30" i="14"/>
  <c r="H34" i="14" s="1"/>
  <c r="D30" i="14"/>
  <c r="E23" i="14"/>
  <c r="E26" i="14" s="1"/>
  <c r="F23" i="14"/>
  <c r="G23" i="14"/>
  <c r="H23" i="14"/>
  <c r="I23" i="14"/>
  <c r="J23" i="14"/>
  <c r="K23" i="14"/>
  <c r="L23" i="14"/>
  <c r="M23" i="14"/>
  <c r="E24" i="14"/>
  <c r="F24" i="14"/>
  <c r="G24" i="14"/>
  <c r="H24" i="14"/>
  <c r="I24" i="14"/>
  <c r="J24" i="14"/>
  <c r="K24" i="14"/>
  <c r="L24" i="14"/>
  <c r="M24" i="14"/>
  <c r="E25" i="14"/>
  <c r="F25" i="14"/>
  <c r="G25" i="14"/>
  <c r="H25" i="14"/>
  <c r="I25" i="14"/>
  <c r="J25" i="14"/>
  <c r="K25" i="14"/>
  <c r="L25" i="14"/>
  <c r="M25" i="14"/>
  <c r="D25" i="14"/>
  <c r="D24" i="14"/>
  <c r="D26" i="14" s="1"/>
  <c r="D23" i="14"/>
  <c r="E18" i="14"/>
  <c r="E79" i="14" s="1"/>
  <c r="F18" i="14"/>
  <c r="G18" i="14"/>
  <c r="H18" i="14"/>
  <c r="D18" i="14"/>
  <c r="D79" i="14" s="1"/>
  <c r="D17" i="14"/>
  <c r="E14" i="14"/>
  <c r="F14" i="14"/>
  <c r="G14" i="14"/>
  <c r="H14" i="14"/>
  <c r="D14" i="14"/>
  <c r="D20" i="14" s="1"/>
  <c r="E13" i="14"/>
  <c r="E17" i="14" s="1"/>
  <c r="F13" i="14"/>
  <c r="F17" i="14" s="1"/>
  <c r="G13" i="14"/>
  <c r="G17" i="14" s="1"/>
  <c r="H13" i="14"/>
  <c r="H17" i="14" s="1"/>
  <c r="D13" i="14"/>
  <c r="D15" i="14" s="1"/>
  <c r="H9" i="14"/>
  <c r="I9" i="14" s="1"/>
  <c r="J9" i="14" s="1"/>
  <c r="K9" i="14" s="1"/>
  <c r="L9" i="14" s="1"/>
  <c r="M9" i="14" s="1"/>
  <c r="G9" i="14"/>
  <c r="F9" i="14"/>
  <c r="E9" i="14"/>
  <c r="D9" i="14"/>
  <c r="E32" i="14" l="1"/>
  <c r="E39" i="14"/>
  <c r="D21" i="14"/>
  <c r="D39" i="14"/>
  <c r="D40" i="14" s="1"/>
  <c r="G40" i="14"/>
  <c r="F40" i="14"/>
  <c r="E36" i="14"/>
  <c r="E84" i="14"/>
  <c r="E21" i="14"/>
  <c r="E66" i="14"/>
  <c r="D50" i="14"/>
  <c r="D70" i="14"/>
  <c r="D72" i="14" s="1"/>
  <c r="F61" i="14"/>
  <c r="E50" i="14"/>
  <c r="E70" i="14"/>
  <c r="D84" i="14"/>
  <c r="D86" i="14" s="1"/>
  <c r="E38" i="14"/>
  <c r="E65" i="14" s="1"/>
  <c r="D54" i="14"/>
  <c r="D80" i="14"/>
  <c r="E85" i="14"/>
  <c r="E46" i="14"/>
  <c r="D46" i="14"/>
  <c r="E54" i="14"/>
  <c r="E80" i="14"/>
  <c r="D88" i="14"/>
  <c r="D90" i="14" s="1"/>
  <c r="D65" i="14"/>
  <c r="D66" i="14" s="1"/>
  <c r="E88" i="14"/>
  <c r="E90" i="14" s="1"/>
  <c r="D58" i="14"/>
  <c r="E58" i="14"/>
  <c r="D62" i="14"/>
  <c r="E62" i="14"/>
  <c r="E15" i="14"/>
  <c r="E40" i="14" l="1"/>
  <c r="E72" i="14"/>
  <c r="E74" i="14"/>
  <c r="E76" i="14" s="1"/>
  <c r="E86" i="14"/>
  <c r="D455" i="20" l="1"/>
  <c r="D453" i="20"/>
  <c r="D373" i="20" l="1"/>
  <c r="D370" i="20"/>
  <c r="J370" i="20"/>
  <c r="I370" i="20"/>
  <c r="H370" i="20"/>
  <c r="G370" i="20"/>
  <c r="F370" i="20"/>
  <c r="E370" i="20"/>
  <c r="D30" i="38" l="1"/>
  <c r="D29" i="38"/>
  <c r="D28" i="38"/>
  <c r="D27" i="38"/>
  <c r="B33" i="38"/>
  <c r="B28" i="38"/>
  <c r="B29" i="38"/>
  <c r="B30" i="38"/>
  <c r="B31" i="38"/>
  <c r="B32" i="38"/>
  <c r="B27" i="38"/>
  <c r="B26" i="38"/>
  <c r="B25" i="38"/>
  <c r="D25" i="38" s="1"/>
  <c r="D26" i="38" s="1"/>
  <c r="D23" i="38"/>
  <c r="D22" i="38"/>
  <c r="D21" i="38"/>
  <c r="AD13" i="38"/>
  <c r="AE13" i="38"/>
  <c r="AF13" i="38"/>
  <c r="AG13" i="38"/>
  <c r="AH13" i="38"/>
  <c r="AI13" i="38"/>
  <c r="AJ13" i="38"/>
  <c r="AK13" i="38"/>
  <c r="AD14" i="38"/>
  <c r="AE14" i="38"/>
  <c r="AF14" i="38"/>
  <c r="AG14" i="38"/>
  <c r="AH14" i="38"/>
  <c r="AI14" i="38"/>
  <c r="AJ14" i="38"/>
  <c r="AK14" i="38"/>
  <c r="AD15" i="38"/>
  <c r="AE15" i="38"/>
  <c r="AF15" i="38"/>
  <c r="AG15" i="38"/>
  <c r="AH15" i="38"/>
  <c r="AI15" i="38"/>
  <c r="AJ15" i="38"/>
  <c r="AK15" i="38"/>
  <c r="AD16" i="38"/>
  <c r="AE16" i="38"/>
  <c r="AF16" i="38"/>
  <c r="AG16" i="38"/>
  <c r="AH16" i="38"/>
  <c r="AI16" i="38"/>
  <c r="AJ16" i="38"/>
  <c r="AK16" i="38"/>
  <c r="AD17" i="38"/>
  <c r="AE17" i="38"/>
  <c r="AF17" i="38"/>
  <c r="AG17" i="38"/>
  <c r="AH17" i="38"/>
  <c r="AI17" i="38"/>
  <c r="AJ17" i="38"/>
  <c r="AK17" i="38"/>
  <c r="AD18" i="38"/>
  <c r="AE18" i="38"/>
  <c r="AF18" i="38"/>
  <c r="AG18" i="38"/>
  <c r="AH18" i="38"/>
  <c r="AI18" i="38"/>
  <c r="AJ18" i="38"/>
  <c r="AK18" i="38"/>
  <c r="AC18" i="38"/>
  <c r="AC17" i="38"/>
  <c r="AC16" i="38"/>
  <c r="AC15" i="38"/>
  <c r="AC14" i="38"/>
  <c r="AC13" i="38"/>
  <c r="AI11" i="38"/>
  <c r="AI10" i="38"/>
  <c r="AI9" i="38"/>
  <c r="AI8" i="38"/>
  <c r="AK11" i="38"/>
  <c r="AJ11" i="38"/>
  <c r="AK10" i="38"/>
  <c r="AJ10" i="38"/>
  <c r="AK9" i="38"/>
  <c r="AJ9" i="38"/>
  <c r="AK8" i="38"/>
  <c r="AJ8" i="38"/>
  <c r="AK7" i="38"/>
  <c r="AJ7" i="38"/>
  <c r="AI7" i="38"/>
  <c r="AF11" i="38"/>
  <c r="AF10" i="38"/>
  <c r="AF9" i="38"/>
  <c r="AF8" i="38"/>
  <c r="AH11" i="38"/>
  <c r="AG11" i="38"/>
  <c r="AH10" i="38"/>
  <c r="AG10" i="38"/>
  <c r="AH9" i="38"/>
  <c r="AG9" i="38"/>
  <c r="AH8" i="38"/>
  <c r="AG8" i="38"/>
  <c r="AH7" i="38"/>
  <c r="AG7" i="38"/>
  <c r="AF7" i="38"/>
  <c r="AC11" i="38"/>
  <c r="AC10" i="38"/>
  <c r="AC9" i="38"/>
  <c r="AC8" i="38"/>
  <c r="AE11" i="38"/>
  <c r="AD11" i="38"/>
  <c r="AE10" i="38"/>
  <c r="AD10" i="38"/>
  <c r="AE9" i="38"/>
  <c r="AD9" i="38"/>
  <c r="AE8" i="38"/>
  <c r="AD8" i="38"/>
  <c r="AE7" i="38"/>
  <c r="AD7" i="38"/>
  <c r="AC7" i="38"/>
  <c r="I11" i="38"/>
  <c r="I10" i="38"/>
  <c r="I9" i="38"/>
  <c r="I8" i="38"/>
  <c r="I7" i="38"/>
  <c r="AI4" i="38"/>
  <c r="AJ4" i="38" s="1"/>
  <c r="AK4" i="38" s="1"/>
  <c r="AF4" i="38"/>
  <c r="AG4" i="38" s="1"/>
  <c r="AH4" i="38" s="1"/>
  <c r="AC4" i="38"/>
  <c r="AD4" i="38" s="1"/>
  <c r="AE4" i="38" s="1"/>
  <c r="Y4" i="38"/>
  <c r="Z4" i="38" s="1"/>
  <c r="AA4" i="38" s="1"/>
  <c r="M4" i="38"/>
  <c r="N4" i="38" s="1"/>
  <c r="O4" i="38" s="1"/>
  <c r="S4" i="38"/>
  <c r="T4" i="38" s="1"/>
  <c r="U4" i="38" s="1"/>
  <c r="M9" i="38"/>
  <c r="M10" i="38"/>
  <c r="M11" i="38"/>
  <c r="M8" i="38"/>
  <c r="W7" i="38"/>
  <c r="Z7" i="38" s="1"/>
  <c r="X7" i="38"/>
  <c r="AA7" i="38" s="1"/>
  <c r="W8" i="38"/>
  <c r="X8" i="38"/>
  <c r="W9" i="38"/>
  <c r="X9" i="38"/>
  <c r="W10" i="38"/>
  <c r="X10" i="38"/>
  <c r="W11" i="38"/>
  <c r="X11" i="38"/>
  <c r="V11" i="38"/>
  <c r="V10" i="38"/>
  <c r="V9" i="38"/>
  <c r="V8" i="38"/>
  <c r="Y8" i="38" s="1"/>
  <c r="V7" i="38"/>
  <c r="Q7" i="38"/>
  <c r="R7" i="38"/>
  <c r="Q8" i="38"/>
  <c r="R8" i="38"/>
  <c r="Q9" i="38"/>
  <c r="R9" i="38"/>
  <c r="Q10" i="38"/>
  <c r="R10" i="38"/>
  <c r="Q11" i="38"/>
  <c r="R11" i="38"/>
  <c r="P11" i="38"/>
  <c r="P10" i="38"/>
  <c r="P9" i="38"/>
  <c r="P8" i="38"/>
  <c r="P7" i="38"/>
  <c r="K7" i="38"/>
  <c r="L7" i="38"/>
  <c r="K8" i="38"/>
  <c r="N8" i="38" s="1"/>
  <c r="L8" i="38"/>
  <c r="K9" i="38"/>
  <c r="L9" i="38"/>
  <c r="O9" i="38" s="1"/>
  <c r="K10" i="38"/>
  <c r="L10" i="38"/>
  <c r="O10" i="38" s="1"/>
  <c r="K11" i="38"/>
  <c r="L11" i="38"/>
  <c r="J11" i="38"/>
  <c r="J10" i="38"/>
  <c r="J9" i="38"/>
  <c r="J8" i="38"/>
  <c r="J7" i="38"/>
  <c r="V4" i="38"/>
  <c r="W4" i="38" s="1"/>
  <c r="X4" i="38" s="1"/>
  <c r="P4" i="38"/>
  <c r="Q4" i="38" s="1"/>
  <c r="R4" i="38" s="1"/>
  <c r="K4" i="38"/>
  <c r="L4" i="38" s="1"/>
  <c r="G78" i="37"/>
  <c r="G14" i="37" s="1"/>
  <c r="F78" i="37"/>
  <c r="F14" i="37" s="1"/>
  <c r="E78" i="37"/>
  <c r="E14" i="37" s="1"/>
  <c r="D78" i="37"/>
  <c r="D14" i="37" s="1"/>
  <c r="C78" i="37"/>
  <c r="C14" i="37" s="1"/>
  <c r="G77" i="37"/>
  <c r="G8" i="37" s="1"/>
  <c r="F77" i="37"/>
  <c r="F8" i="37" s="1"/>
  <c r="E77" i="37"/>
  <c r="E8" i="37" s="1"/>
  <c r="D77" i="37"/>
  <c r="D8" i="37" s="1"/>
  <c r="C77" i="37"/>
  <c r="C8" i="37" s="1"/>
  <c r="G65" i="37"/>
  <c r="G13" i="37" s="1"/>
  <c r="F65" i="37"/>
  <c r="F13" i="37" s="1"/>
  <c r="E65" i="37"/>
  <c r="E13" i="37" s="1"/>
  <c r="D65" i="37"/>
  <c r="D13" i="37" s="1"/>
  <c r="C65" i="37"/>
  <c r="C13" i="37" s="1"/>
  <c r="G64" i="37"/>
  <c r="G7" i="37" s="1"/>
  <c r="F64" i="37"/>
  <c r="F7" i="37" s="1"/>
  <c r="E64" i="37"/>
  <c r="E7" i="37" s="1"/>
  <c r="D64" i="37"/>
  <c r="D7" i="37" s="1"/>
  <c r="C64" i="37"/>
  <c r="C7" i="37" s="1"/>
  <c r="G53" i="37"/>
  <c r="G15" i="37" s="1"/>
  <c r="F53" i="37"/>
  <c r="F15" i="37" s="1"/>
  <c r="E53" i="37"/>
  <c r="E15" i="37" s="1"/>
  <c r="D53" i="37"/>
  <c r="D15" i="37" s="1"/>
  <c r="C53" i="37"/>
  <c r="C15" i="37" s="1"/>
  <c r="G52" i="37"/>
  <c r="G9" i="37" s="1"/>
  <c r="F52" i="37"/>
  <c r="F9" i="37" s="1"/>
  <c r="E52" i="37"/>
  <c r="E9" i="37" s="1"/>
  <c r="D52" i="37"/>
  <c r="D9" i="37" s="1"/>
  <c r="C52" i="37"/>
  <c r="C9" i="37" s="1"/>
  <c r="D31" i="38" l="1"/>
  <c r="Z9" i="38"/>
  <c r="S11" i="38"/>
  <c r="T11" i="38"/>
  <c r="U10" i="38"/>
  <c r="AA11" i="38"/>
  <c r="S10" i="38"/>
  <c r="Z11" i="38"/>
  <c r="U7" i="38"/>
  <c r="T9" i="38"/>
  <c r="AA10" i="38"/>
  <c r="N9" i="38"/>
  <c r="U8" i="38"/>
  <c r="Z10" i="38"/>
  <c r="U9" i="38"/>
  <c r="Y10" i="38"/>
  <c r="T10" i="38"/>
  <c r="S7" i="38"/>
  <c r="T8" i="38"/>
  <c r="AA9" i="38"/>
  <c r="Y11" i="38"/>
  <c r="S8" i="38"/>
  <c r="O11" i="38"/>
  <c r="S9" i="38"/>
  <c r="T7" i="38"/>
  <c r="AA8" i="38"/>
  <c r="Y7" i="38"/>
  <c r="Z8" i="38"/>
  <c r="Y9" i="38"/>
  <c r="U11" i="38"/>
  <c r="N11" i="38"/>
  <c r="N10" i="38"/>
  <c r="N7" i="38"/>
  <c r="O7" i="38"/>
  <c r="O8" i="38"/>
  <c r="H9" i="37"/>
  <c r="H7" i="37"/>
  <c r="H15" i="37"/>
  <c r="H14" i="37"/>
  <c r="H13" i="37"/>
  <c r="H8" i="37"/>
  <c r="G41" i="37" l="1"/>
  <c r="G12" i="37" s="1"/>
  <c r="F41" i="37"/>
  <c r="F12" i="37" s="1"/>
  <c r="E41" i="37"/>
  <c r="E12" i="37" s="1"/>
  <c r="D41" i="37"/>
  <c r="D12" i="37" s="1"/>
  <c r="C41" i="37"/>
  <c r="C12" i="37" s="1"/>
  <c r="H12" i="37" s="1"/>
  <c r="G40" i="37"/>
  <c r="G6" i="37" s="1"/>
  <c r="F40" i="37"/>
  <c r="F6" i="37" s="1"/>
  <c r="E40" i="37"/>
  <c r="E6" i="37" s="1"/>
  <c r="D40" i="37"/>
  <c r="D6" i="37" s="1"/>
  <c r="H6" i="37" s="1"/>
  <c r="C40" i="37"/>
  <c r="C6" i="37" s="1"/>
  <c r="G29" i="37"/>
  <c r="G11" i="37" s="1"/>
  <c r="F29" i="37"/>
  <c r="F11" i="37" s="1"/>
  <c r="E29" i="37"/>
  <c r="E11" i="37" s="1"/>
  <c r="D29" i="37"/>
  <c r="D11" i="37" s="1"/>
  <c r="G28" i="37"/>
  <c r="G5" i="37" s="1"/>
  <c r="F28" i="37"/>
  <c r="F5" i="37" s="1"/>
  <c r="E28" i="37"/>
  <c r="E5" i="37" s="1"/>
  <c r="D28" i="37"/>
  <c r="D5" i="37" s="1"/>
  <c r="C29" i="37"/>
  <c r="C11" i="37" s="1"/>
  <c r="C28" i="37"/>
  <c r="C5" i="37" s="1"/>
  <c r="H11" i="37" l="1"/>
  <c r="H5" i="37"/>
  <c r="R22" i="15" l="1"/>
  <c r="Q22" i="15"/>
  <c r="P22" i="15"/>
  <c r="O22" i="15"/>
  <c r="N22" i="15"/>
  <c r="R9" i="15"/>
  <c r="Q9" i="15"/>
  <c r="P9" i="15"/>
  <c r="O9" i="15"/>
  <c r="N9" i="15"/>
  <c r="O141" i="12"/>
  <c r="R129" i="12"/>
  <c r="Q129" i="12"/>
  <c r="P129" i="12"/>
  <c r="O129" i="12"/>
  <c r="N129" i="12"/>
  <c r="R117" i="12"/>
  <c r="Q117" i="12"/>
  <c r="P117" i="12"/>
  <c r="O117" i="12"/>
  <c r="N117" i="12"/>
  <c r="R116" i="12"/>
  <c r="Q116" i="12"/>
  <c r="P116" i="12"/>
  <c r="O116" i="12"/>
  <c r="N116" i="12"/>
  <c r="R115" i="12"/>
  <c r="Q115" i="12"/>
  <c r="P115" i="12"/>
  <c r="O115" i="12"/>
  <c r="N115" i="12"/>
  <c r="R105" i="12"/>
  <c r="Q105" i="12"/>
  <c r="P105" i="12"/>
  <c r="O105" i="12"/>
  <c r="N105" i="12"/>
  <c r="R104" i="12"/>
  <c r="Q104" i="12"/>
  <c r="P104" i="12"/>
  <c r="O104" i="12"/>
  <c r="N104" i="12"/>
  <c r="R103" i="12"/>
  <c r="Q103" i="12"/>
  <c r="P103" i="12"/>
  <c r="O103" i="12"/>
  <c r="N103" i="12"/>
  <c r="R102" i="12"/>
  <c r="Q102" i="12"/>
  <c r="P102" i="12"/>
  <c r="O102" i="12"/>
  <c r="N102" i="12"/>
  <c r="R101" i="12"/>
  <c r="Q101" i="12"/>
  <c r="P101" i="12"/>
  <c r="O101" i="12"/>
  <c r="N101" i="12"/>
  <c r="R100" i="12"/>
  <c r="Q100" i="12"/>
  <c r="P100" i="12"/>
  <c r="O100" i="12"/>
  <c r="N100" i="12"/>
  <c r="R99" i="12"/>
  <c r="Q99" i="12"/>
  <c r="P99" i="12"/>
  <c r="O99" i="12"/>
  <c r="N99" i="12"/>
  <c r="N92" i="12"/>
  <c r="O92" i="12" s="1"/>
  <c r="P92" i="12" s="1"/>
  <c r="Q92" i="12" s="1"/>
  <c r="R92" i="12" s="1"/>
  <c r="N91" i="12"/>
  <c r="O91" i="12" s="1"/>
  <c r="P91" i="12" s="1"/>
  <c r="Q91" i="12" s="1"/>
  <c r="R91" i="12" s="1"/>
  <c r="N90" i="12"/>
  <c r="O90" i="12" s="1"/>
  <c r="P90" i="12" s="1"/>
  <c r="Q90" i="12" s="1"/>
  <c r="R90" i="12" s="1"/>
  <c r="N89" i="12"/>
  <c r="O89" i="12" s="1"/>
  <c r="P89" i="12" s="1"/>
  <c r="Q89" i="12" s="1"/>
  <c r="R89" i="12" s="1"/>
  <c r="O88" i="12"/>
  <c r="P88" i="12" s="1"/>
  <c r="Q88" i="12" s="1"/>
  <c r="R88" i="12" s="1"/>
  <c r="N88" i="12"/>
  <c r="N87" i="12"/>
  <c r="O87" i="12" s="1"/>
  <c r="P81" i="12"/>
  <c r="O81" i="12"/>
  <c r="N81" i="12"/>
  <c r="N141" i="12" s="1"/>
  <c r="N73" i="12"/>
  <c r="O73" i="12" s="1"/>
  <c r="P73" i="12" s="1"/>
  <c r="Q73" i="12" s="1"/>
  <c r="R73" i="12" s="1"/>
  <c r="N70" i="12"/>
  <c r="O70" i="12" s="1"/>
  <c r="P70" i="12" s="1"/>
  <c r="Q70" i="12" s="1"/>
  <c r="R70" i="12" s="1"/>
  <c r="O69" i="12"/>
  <c r="P69" i="12" s="1"/>
  <c r="Q69" i="12" s="1"/>
  <c r="R69" i="12" s="1"/>
  <c r="N69" i="12"/>
  <c r="N68" i="12"/>
  <c r="O68" i="12" s="1"/>
  <c r="R55" i="12"/>
  <c r="Q55" i="12"/>
  <c r="P55" i="12"/>
  <c r="O55" i="12"/>
  <c r="N55" i="12"/>
  <c r="R53" i="12"/>
  <c r="Q53" i="12"/>
  <c r="P53" i="12"/>
  <c r="O53" i="12"/>
  <c r="N53" i="12"/>
  <c r="N36" i="12"/>
  <c r="O36" i="12" s="1"/>
  <c r="P36" i="12" s="1"/>
  <c r="Q36" i="12" s="1"/>
  <c r="R36" i="12" s="1"/>
  <c r="N9" i="12"/>
  <c r="O9" i="12" s="1"/>
  <c r="P9" i="12" s="1"/>
  <c r="Q9" i="12" s="1"/>
  <c r="R9" i="12" s="1"/>
  <c r="R181" i="11"/>
  <c r="N165" i="11"/>
  <c r="O165" i="11" s="1"/>
  <c r="P165" i="11" s="1"/>
  <c r="Q165" i="11" s="1"/>
  <c r="R165" i="11" s="1"/>
  <c r="N124" i="11"/>
  <c r="N60" i="11"/>
  <c r="O60" i="11" s="1"/>
  <c r="N58" i="11"/>
  <c r="N61" i="11" s="1"/>
  <c r="O58" i="11" s="1"/>
  <c r="N9" i="11"/>
  <c r="O9" i="11" s="1"/>
  <c r="P9" i="11" s="1"/>
  <c r="Q9" i="11" s="1"/>
  <c r="R9" i="11" s="1"/>
  <c r="R169" i="5"/>
  <c r="R253" i="11" s="1"/>
  <c r="Q169" i="5"/>
  <c r="Q253" i="11" s="1"/>
  <c r="P169" i="5"/>
  <c r="P253" i="11" s="1"/>
  <c r="O169" i="5"/>
  <c r="O253" i="11" s="1"/>
  <c r="N169" i="5"/>
  <c r="N253" i="11" s="1"/>
  <c r="R161" i="5"/>
  <c r="R152" i="11" s="1"/>
  <c r="Q161" i="5"/>
  <c r="Q152" i="11" s="1"/>
  <c r="P161" i="5"/>
  <c r="P152" i="11" s="1"/>
  <c r="O161" i="5"/>
  <c r="O152" i="11" s="1"/>
  <c r="N161" i="5"/>
  <c r="N152" i="11" s="1"/>
  <c r="R153" i="5"/>
  <c r="R245" i="11" s="1"/>
  <c r="Q153" i="5"/>
  <c r="Q245" i="11" s="1"/>
  <c r="P153" i="5"/>
  <c r="P245" i="11" s="1"/>
  <c r="O153" i="5"/>
  <c r="O245" i="11" s="1"/>
  <c r="N153" i="5"/>
  <c r="N245" i="11" s="1"/>
  <c r="R145" i="5"/>
  <c r="Q145" i="5"/>
  <c r="Q181" i="11" s="1"/>
  <c r="P145" i="5"/>
  <c r="P181" i="11" s="1"/>
  <c r="O145" i="5"/>
  <c r="O181" i="11" s="1"/>
  <c r="N145" i="5"/>
  <c r="N181" i="11" s="1"/>
  <c r="R137" i="5"/>
  <c r="R236" i="11" s="1"/>
  <c r="Q137" i="5"/>
  <c r="Q236" i="11" s="1"/>
  <c r="P137" i="5"/>
  <c r="P236" i="11" s="1"/>
  <c r="O137" i="5"/>
  <c r="O236" i="11" s="1"/>
  <c r="N137" i="5"/>
  <c r="N236" i="11" s="1"/>
  <c r="R129" i="5"/>
  <c r="R143" i="11" s="1"/>
  <c r="Q129" i="5"/>
  <c r="Q143" i="11" s="1"/>
  <c r="P129" i="5"/>
  <c r="P143" i="11" s="1"/>
  <c r="O129" i="5"/>
  <c r="O143" i="11" s="1"/>
  <c r="N129" i="5"/>
  <c r="N143" i="11" s="1"/>
  <c r="R121" i="5"/>
  <c r="R109" i="11" s="1"/>
  <c r="Q121" i="5"/>
  <c r="Q109" i="11" s="1"/>
  <c r="P121" i="5"/>
  <c r="P109" i="11" s="1"/>
  <c r="O121" i="5"/>
  <c r="O109" i="11" s="1"/>
  <c r="N121" i="5"/>
  <c r="N109" i="11" s="1"/>
  <c r="R115" i="5"/>
  <c r="R105" i="11" s="1"/>
  <c r="Q115" i="5"/>
  <c r="Q105" i="11" s="1"/>
  <c r="P115" i="5"/>
  <c r="P105" i="11" s="1"/>
  <c r="O115" i="5"/>
  <c r="O105" i="11" s="1"/>
  <c r="N115" i="5"/>
  <c r="N105" i="11" s="1"/>
  <c r="R109" i="5"/>
  <c r="R101" i="11" s="1"/>
  <c r="Q109" i="5"/>
  <c r="Q101" i="11" s="1"/>
  <c r="P109" i="5"/>
  <c r="P101" i="11" s="1"/>
  <c r="O109" i="5"/>
  <c r="O101" i="11" s="1"/>
  <c r="N109" i="5"/>
  <c r="N101" i="11" s="1"/>
  <c r="R103" i="5"/>
  <c r="R97" i="11" s="1"/>
  <c r="Q103" i="5"/>
  <c r="Q97" i="11" s="1"/>
  <c r="P103" i="5"/>
  <c r="P97" i="11" s="1"/>
  <c r="O103" i="5"/>
  <c r="O97" i="11" s="1"/>
  <c r="N103" i="5"/>
  <c r="N97" i="11" s="1"/>
  <c r="R95" i="5"/>
  <c r="R93" i="11" s="1"/>
  <c r="Q95" i="5"/>
  <c r="Q93" i="11" s="1"/>
  <c r="P95" i="5"/>
  <c r="P93" i="11" s="1"/>
  <c r="O95" i="5"/>
  <c r="O93" i="11" s="1"/>
  <c r="N95" i="5"/>
  <c r="N93" i="11" s="1"/>
  <c r="R89" i="5"/>
  <c r="R84" i="11" s="1"/>
  <c r="Q89" i="5"/>
  <c r="Q84" i="11" s="1"/>
  <c r="P89" i="5"/>
  <c r="P84" i="11" s="1"/>
  <c r="O89" i="5"/>
  <c r="O84" i="11" s="1"/>
  <c r="N89" i="5"/>
  <c r="N84" i="11" s="1"/>
  <c r="R81" i="5"/>
  <c r="R75" i="11" s="1"/>
  <c r="Q81" i="5"/>
  <c r="Q75" i="11" s="1"/>
  <c r="P81" i="5"/>
  <c r="P75" i="11" s="1"/>
  <c r="O81" i="5"/>
  <c r="O75" i="11" s="1"/>
  <c r="N81" i="5"/>
  <c r="N75" i="11" s="1"/>
  <c r="R75" i="5"/>
  <c r="R71" i="11" s="1"/>
  <c r="Q75" i="5"/>
  <c r="Q71" i="11" s="1"/>
  <c r="P75" i="5"/>
  <c r="P71" i="11" s="1"/>
  <c r="O75" i="5"/>
  <c r="O71" i="11" s="1"/>
  <c r="N75" i="5"/>
  <c r="N71" i="11" s="1"/>
  <c r="R65" i="5"/>
  <c r="Q65" i="5"/>
  <c r="P65" i="5"/>
  <c r="O65" i="5"/>
  <c r="N65" i="5"/>
  <c r="R63" i="5"/>
  <c r="R49" i="11" s="1"/>
  <c r="Q63" i="5"/>
  <c r="Q49" i="11" s="1"/>
  <c r="P63" i="5"/>
  <c r="P49" i="11" s="1"/>
  <c r="O63" i="5"/>
  <c r="O49" i="11" s="1"/>
  <c r="N63" i="5"/>
  <c r="N49" i="11" s="1"/>
  <c r="R57" i="5"/>
  <c r="R44" i="11" s="1"/>
  <c r="Q57" i="5"/>
  <c r="Q44" i="11" s="1"/>
  <c r="P57" i="5"/>
  <c r="P44" i="11" s="1"/>
  <c r="O57" i="5"/>
  <c r="O44" i="11" s="1"/>
  <c r="N57" i="5"/>
  <c r="N44" i="11" s="1"/>
  <c r="R51" i="5"/>
  <c r="R39" i="11" s="1"/>
  <c r="Q51" i="5"/>
  <c r="Q39" i="11" s="1"/>
  <c r="P51" i="5"/>
  <c r="P39" i="11" s="1"/>
  <c r="O51" i="5"/>
  <c r="O39" i="11" s="1"/>
  <c r="N51" i="5"/>
  <c r="N39" i="11" s="1"/>
  <c r="R45" i="5"/>
  <c r="R34" i="11" s="1"/>
  <c r="Q45" i="5"/>
  <c r="Q34" i="11" s="1"/>
  <c r="P45" i="5"/>
  <c r="P34" i="11" s="1"/>
  <c r="O45" i="5"/>
  <c r="O34" i="11" s="1"/>
  <c r="N45" i="5"/>
  <c r="N34" i="11" s="1"/>
  <c r="R39" i="5"/>
  <c r="R29" i="11" s="1"/>
  <c r="Q39" i="5"/>
  <c r="Q29" i="11" s="1"/>
  <c r="P39" i="5"/>
  <c r="P29" i="11" s="1"/>
  <c r="O39" i="5"/>
  <c r="O29" i="11" s="1"/>
  <c r="N39" i="5"/>
  <c r="N29" i="11" s="1"/>
  <c r="R28" i="5"/>
  <c r="R30" i="5" s="1"/>
  <c r="R22" i="11" s="1"/>
  <c r="Q28" i="5"/>
  <c r="Q30" i="5" s="1"/>
  <c r="Q22" i="11" s="1"/>
  <c r="P28" i="5"/>
  <c r="P30" i="5" s="1"/>
  <c r="P22" i="11" s="1"/>
  <c r="O28" i="5"/>
  <c r="O30" i="5" s="1"/>
  <c r="O22" i="11" s="1"/>
  <c r="N28" i="5"/>
  <c r="N30" i="5" s="1"/>
  <c r="N22" i="11" s="1"/>
  <c r="R19" i="5"/>
  <c r="R15" i="11" s="1"/>
  <c r="Q19" i="5"/>
  <c r="Q15" i="11" s="1"/>
  <c r="P19" i="5"/>
  <c r="P15" i="11" s="1"/>
  <c r="O19" i="5"/>
  <c r="O15" i="11" s="1"/>
  <c r="N19" i="5"/>
  <c r="N15" i="11" s="1"/>
  <c r="N9" i="5"/>
  <c r="O9" i="5" s="1"/>
  <c r="P9" i="5" s="1"/>
  <c r="Q9" i="5" s="1"/>
  <c r="R9" i="5" s="1"/>
  <c r="S54" i="36"/>
  <c r="R54" i="36"/>
  <c r="Q54" i="36"/>
  <c r="L54" i="36"/>
  <c r="B65" i="15"/>
  <c r="B64" i="15"/>
  <c r="C61" i="15"/>
  <c r="B62" i="15"/>
  <c r="B61" i="15"/>
  <c r="G18" i="36"/>
  <c r="D18" i="36"/>
  <c r="G17" i="36"/>
  <c r="G15" i="36"/>
  <c r="D15" i="36"/>
  <c r="D17" i="36" s="1"/>
  <c r="G14" i="36"/>
  <c r="D14" i="36"/>
  <c r="F251" i="20"/>
  <c r="P87" i="12" l="1"/>
  <c r="P68" i="12"/>
  <c r="Q81" i="12"/>
  <c r="P141" i="12"/>
  <c r="P60" i="11"/>
  <c r="O61" i="11"/>
  <c r="N62" i="11"/>
  <c r="O124" i="11"/>
  <c r="Z32" i="32"/>
  <c r="F9" i="32"/>
  <c r="E9" i="32"/>
  <c r="D9" i="32"/>
  <c r="C15" i="31"/>
  <c r="E8" i="32"/>
  <c r="F8" i="32" s="1"/>
  <c r="I96" i="32"/>
  <c r="G96" i="32" s="1"/>
  <c r="I97" i="32"/>
  <c r="G97" i="32" s="1"/>
  <c r="I98" i="32"/>
  <c r="G98" i="32" s="1"/>
  <c r="I99" i="32"/>
  <c r="G99" i="32"/>
  <c r="I95" i="32"/>
  <c r="G95" i="32" s="1"/>
  <c r="J102" i="32"/>
  <c r="H102" i="32"/>
  <c r="J101" i="32"/>
  <c r="H101" i="32"/>
  <c r="M99" i="32"/>
  <c r="M98" i="32"/>
  <c r="M97" i="32"/>
  <c r="M96" i="32"/>
  <c r="M95" i="32"/>
  <c r="J82" i="32"/>
  <c r="I82" i="32"/>
  <c r="H82" i="32"/>
  <c r="J81" i="32"/>
  <c r="I81" i="32"/>
  <c r="H81" i="32"/>
  <c r="M79" i="32"/>
  <c r="G79" i="32"/>
  <c r="M78" i="32"/>
  <c r="G78" i="32"/>
  <c r="M77" i="32"/>
  <c r="G77" i="32"/>
  <c r="M76" i="32"/>
  <c r="G76" i="32"/>
  <c r="M75" i="32"/>
  <c r="G75" i="32"/>
  <c r="G55" i="32"/>
  <c r="G56" i="32"/>
  <c r="G57" i="32"/>
  <c r="G58" i="32"/>
  <c r="G54" i="32"/>
  <c r="J61" i="32"/>
  <c r="I61" i="32"/>
  <c r="H61" i="32"/>
  <c r="I60" i="32"/>
  <c r="J60" i="32"/>
  <c r="H60" i="32"/>
  <c r="M58" i="32"/>
  <c r="M57" i="32"/>
  <c r="M56" i="32"/>
  <c r="M55" i="32"/>
  <c r="M54" i="32"/>
  <c r="Q68" i="12" l="1"/>
  <c r="Q87" i="12"/>
  <c r="Q141" i="12"/>
  <c r="R81" i="12"/>
  <c r="Q60" i="11"/>
  <c r="P58" i="11"/>
  <c r="P61" i="11" s="1"/>
  <c r="O62" i="11"/>
  <c r="P124" i="11"/>
  <c r="I101" i="32"/>
  <c r="I102" i="32"/>
  <c r="F10" i="32"/>
  <c r="J105" i="32" a="1"/>
  <c r="J105" i="32" s="1"/>
  <c r="G61" i="32"/>
  <c r="H84" i="32" a="1"/>
  <c r="H84" i="32" s="1"/>
  <c r="E10" i="32"/>
  <c r="D8" i="32"/>
  <c r="G102" i="32"/>
  <c r="I63" i="32" a="1"/>
  <c r="I63" i="32" s="1"/>
  <c r="H104" i="32" a="1"/>
  <c r="H104" i="32" s="1"/>
  <c r="I84" i="32" a="1"/>
  <c r="I84" i="32" s="1"/>
  <c r="I104" i="32" a="1"/>
  <c r="I104" i="32" s="1"/>
  <c r="G64" i="32" a="1"/>
  <c r="G64" i="32" s="1"/>
  <c r="I64" i="32" a="1"/>
  <c r="I64" i="32" s="1"/>
  <c r="J84" i="32" a="1"/>
  <c r="J84" i="32" s="1"/>
  <c r="J104" i="32" a="1"/>
  <c r="J104" i="32" s="1"/>
  <c r="J63" i="32" a="1"/>
  <c r="J63" i="32" s="1"/>
  <c r="G60" i="32"/>
  <c r="H85" i="32" a="1"/>
  <c r="H85" i="32" s="1"/>
  <c r="H105" i="32" a="1"/>
  <c r="H105" i="32" s="1"/>
  <c r="H63" i="32" a="1"/>
  <c r="H63" i="32" s="1"/>
  <c r="I85" i="32" a="1"/>
  <c r="I85" i="32" s="1"/>
  <c r="I105" i="32" a="1"/>
  <c r="I105" i="32" s="1"/>
  <c r="J64" i="32" a="1"/>
  <c r="J64" i="32" s="1"/>
  <c r="H64" i="32" a="1"/>
  <c r="H64" i="32" s="1"/>
  <c r="G63" i="32" a="1"/>
  <c r="G63" i="32" s="1"/>
  <c r="J85" i="32" a="1"/>
  <c r="J85" i="32" s="1"/>
  <c r="G101" i="32"/>
  <c r="G105" i="32" a="1"/>
  <c r="G105" i="32" s="1"/>
  <c r="G104" i="32" a="1"/>
  <c r="G104" i="32" s="1"/>
  <c r="G84" i="32" a="1"/>
  <c r="G84" i="32" s="1"/>
  <c r="G81" i="32"/>
  <c r="G85" i="32" a="1"/>
  <c r="G85" i="32" s="1"/>
  <c r="G82" i="32"/>
  <c r="R141" i="12" l="1"/>
  <c r="R87" i="12"/>
  <c r="R68" i="12"/>
  <c r="Q124" i="11"/>
  <c r="P62" i="11"/>
  <c r="Q58" i="11"/>
  <c r="Q61" i="11" s="1"/>
  <c r="R60" i="11"/>
  <c r="H11" i="32"/>
  <c r="D10" i="32"/>
  <c r="R58" i="11" l="1"/>
  <c r="R61" i="11" s="1"/>
  <c r="Q62" i="11"/>
  <c r="R124" i="11"/>
  <c r="R62" i="11" l="1"/>
  <c r="D18" i="32" l="1"/>
  <c r="E18" i="32" s="1"/>
  <c r="F18" i="32" s="1"/>
  <c r="D17" i="32"/>
  <c r="E17" i="32" s="1"/>
  <c r="D14" i="32"/>
  <c r="E14" i="32" s="1"/>
  <c r="F14" i="32" s="1"/>
  <c r="E13" i="32"/>
  <c r="F13" i="32" s="1"/>
  <c r="B2" i="32"/>
  <c r="B50" i="32" s="1"/>
  <c r="B71" i="32" s="1"/>
  <c r="C16" i="31"/>
  <c r="D21" i="32" s="1"/>
  <c r="E21" i="32" s="1"/>
  <c r="F21" i="32" s="1"/>
  <c r="C11" i="31"/>
  <c r="D7" i="32" s="1"/>
  <c r="E7" i="32" s="1"/>
  <c r="C10" i="31"/>
  <c r="B10" i="31"/>
  <c r="F7" i="32" l="1"/>
  <c r="H16" i="32"/>
  <c r="E19" i="32"/>
  <c r="F17" i="32"/>
  <c r="F19" i="32" s="1"/>
  <c r="D19" i="32"/>
  <c r="D6" i="32"/>
  <c r="E6" i="32" l="1"/>
  <c r="D11" i="32"/>
  <c r="D15" i="32" s="1"/>
  <c r="D22" i="32" s="1"/>
  <c r="E8" i="36" l="1"/>
  <c r="G16" i="36" s="1"/>
  <c r="G19" i="36" s="1"/>
  <c r="D23" i="32"/>
  <c r="F6" i="32"/>
  <c r="F11" i="32" s="1"/>
  <c r="E11" i="32"/>
  <c r="H6" i="32" s="1"/>
  <c r="E15" i="32" l="1"/>
  <c r="E22" i="32" s="1"/>
  <c r="E23" i="32"/>
  <c r="C26" i="15" s="1"/>
  <c r="F15" i="32"/>
  <c r="F22" i="32" s="1"/>
  <c r="F23" i="32"/>
  <c r="J884" i="20"/>
  <c r="I884" i="20"/>
  <c r="H884" i="20"/>
  <c r="G884" i="20"/>
  <c r="F884" i="20"/>
  <c r="E884" i="20"/>
  <c r="D884" i="20"/>
  <c r="M880" i="20"/>
  <c r="N880" i="20" s="1"/>
  <c r="O880" i="20" s="1"/>
  <c r="L880" i="20"/>
  <c r="D882" i="20"/>
  <c r="G882" i="20"/>
  <c r="F882" i="20"/>
  <c r="E882" i="20"/>
  <c r="D176" i="11"/>
  <c r="D117" i="12" s="1"/>
  <c r="D165" i="11"/>
  <c r="D116" i="12" s="1"/>
  <c r="D159" i="11"/>
  <c r="M117" i="12"/>
  <c r="L117" i="12"/>
  <c r="K117" i="12"/>
  <c r="J117" i="12"/>
  <c r="I117" i="12"/>
  <c r="H117" i="12"/>
  <c r="G117" i="12"/>
  <c r="F117" i="12"/>
  <c r="E117" i="12"/>
  <c r="M116" i="12"/>
  <c r="L116" i="12"/>
  <c r="K116" i="12"/>
  <c r="J116" i="12"/>
  <c r="I116" i="12"/>
  <c r="H116" i="12"/>
  <c r="G116" i="12"/>
  <c r="F116" i="12"/>
  <c r="E116" i="12"/>
  <c r="M115" i="12"/>
  <c r="L115" i="12"/>
  <c r="K115" i="12"/>
  <c r="J115" i="12"/>
  <c r="I115" i="12"/>
  <c r="H115" i="12"/>
  <c r="G115" i="12"/>
  <c r="F115" i="12"/>
  <c r="E115" i="12"/>
  <c r="D115" i="12"/>
  <c r="B2" i="15"/>
  <c r="B2" i="14"/>
  <c r="B2" i="29"/>
  <c r="B2" i="12"/>
  <c r="B2" i="11"/>
  <c r="B2" i="5"/>
  <c r="J877" i="20"/>
  <c r="I877" i="20"/>
  <c r="H877" i="20"/>
  <c r="G877" i="20"/>
  <c r="F877" i="20"/>
  <c r="E877" i="20"/>
  <c r="D877" i="20"/>
  <c r="E875" i="20"/>
  <c r="F875" i="20"/>
  <c r="G875" i="20"/>
  <c r="H875" i="20"/>
  <c r="I875" i="20"/>
  <c r="J875" i="20"/>
  <c r="D875" i="20"/>
  <c r="J873" i="20"/>
  <c r="I873" i="20"/>
  <c r="H873" i="20"/>
  <c r="G873" i="20"/>
  <c r="F873" i="20"/>
  <c r="E873" i="20"/>
  <c r="D873" i="20"/>
  <c r="J871" i="20"/>
  <c r="I871" i="20"/>
  <c r="H871" i="20"/>
  <c r="G871" i="20"/>
  <c r="F871" i="20"/>
  <c r="E871" i="20"/>
  <c r="D871" i="20"/>
  <c r="J870" i="20"/>
  <c r="I870" i="20"/>
  <c r="H870" i="20"/>
  <c r="G870" i="20"/>
  <c r="F870" i="20"/>
  <c r="E870" i="20"/>
  <c r="D870" i="20"/>
  <c r="E869" i="20"/>
  <c r="F869" i="20" s="1"/>
  <c r="G869" i="20" s="1"/>
  <c r="H869" i="20" s="1"/>
  <c r="I869" i="20" s="1"/>
  <c r="J869" i="20" s="1"/>
  <c r="H882" i="20" l="1"/>
  <c r="I882" i="20" l="1"/>
  <c r="J882" i="20" l="1"/>
  <c r="B93" i="29" l="1"/>
  <c r="B92" i="29"/>
  <c r="B91" i="29"/>
  <c r="B90" i="29"/>
  <c r="B89" i="29"/>
  <c r="B88" i="29"/>
  <c r="B87" i="29"/>
  <c r="B86" i="29"/>
  <c r="B85" i="29"/>
  <c r="B84" i="29"/>
  <c r="B83" i="29"/>
  <c r="B82" i="29"/>
  <c r="B80" i="29"/>
  <c r="B79" i="29"/>
  <c r="B78" i="29"/>
  <c r="B77" i="29"/>
  <c r="B76" i="29"/>
  <c r="B75" i="29"/>
  <c r="B74" i="29"/>
  <c r="B73" i="29"/>
  <c r="B72" i="29"/>
  <c r="B70" i="29"/>
  <c r="B69" i="29"/>
  <c r="B68" i="29"/>
  <c r="B60" i="29"/>
  <c r="B59" i="29"/>
  <c r="B58" i="29"/>
  <c r="B57" i="29"/>
  <c r="B56" i="29"/>
  <c r="B55" i="29"/>
  <c r="B54" i="29"/>
  <c r="B53" i="29"/>
  <c r="B52" i="29"/>
  <c r="B51" i="29"/>
  <c r="D9" i="29"/>
  <c r="H147" i="12"/>
  <c r="G147" i="12"/>
  <c r="F147" i="12"/>
  <c r="E147" i="12"/>
  <c r="D147" i="12"/>
  <c r="D121" i="12"/>
  <c r="E121" i="12"/>
  <c r="F121" i="12"/>
  <c r="G121" i="12"/>
  <c r="H121" i="12"/>
  <c r="D125" i="12"/>
  <c r="D21" i="15" s="1"/>
  <c r="E125" i="12"/>
  <c r="E21" i="15" s="1"/>
  <c r="F125" i="12"/>
  <c r="F21" i="15" s="1"/>
  <c r="G125" i="12"/>
  <c r="G21" i="15" s="1"/>
  <c r="H125" i="12"/>
  <c r="H21" i="15" s="1"/>
  <c r="D126" i="12"/>
  <c r="E126" i="12"/>
  <c r="F126" i="12"/>
  <c r="G126" i="12"/>
  <c r="H126" i="12"/>
  <c r="D129" i="12"/>
  <c r="D22" i="15" s="1"/>
  <c r="E129" i="12"/>
  <c r="E22" i="15" s="1"/>
  <c r="F129" i="12"/>
  <c r="F22" i="15" s="1"/>
  <c r="G129" i="12"/>
  <c r="G22" i="15" s="1"/>
  <c r="H129" i="12"/>
  <c r="H22" i="15" s="1"/>
  <c r="D130" i="12"/>
  <c r="E130" i="12"/>
  <c r="F130" i="12"/>
  <c r="G130" i="12"/>
  <c r="H130" i="12"/>
  <c r="D131" i="12"/>
  <c r="E131" i="12"/>
  <c r="F131" i="12"/>
  <c r="G131" i="12"/>
  <c r="H131" i="12"/>
  <c r="D132" i="12"/>
  <c r="E132" i="12"/>
  <c r="F132" i="12"/>
  <c r="G132" i="12"/>
  <c r="H132" i="12"/>
  <c r="D133" i="12"/>
  <c r="E133" i="12"/>
  <c r="F133" i="12"/>
  <c r="G133" i="12"/>
  <c r="H133" i="12"/>
  <c r="D136" i="12"/>
  <c r="E136" i="12"/>
  <c r="F136" i="12"/>
  <c r="G136" i="12"/>
  <c r="H136" i="12"/>
  <c r="D138" i="12"/>
  <c r="E138" i="12"/>
  <c r="F138" i="12"/>
  <c r="G138" i="12"/>
  <c r="H138" i="12"/>
  <c r="D139" i="12"/>
  <c r="E139" i="12"/>
  <c r="F139" i="12"/>
  <c r="G139" i="12"/>
  <c r="H139" i="12"/>
  <c r="D140" i="12"/>
  <c r="E140" i="12"/>
  <c r="F140" i="12"/>
  <c r="G140" i="12"/>
  <c r="H140" i="12"/>
  <c r="D141" i="12"/>
  <c r="E141" i="12"/>
  <c r="F141" i="12"/>
  <c r="G141" i="12"/>
  <c r="H141" i="12"/>
  <c r="D142" i="12"/>
  <c r="E142" i="12"/>
  <c r="F142" i="12"/>
  <c r="G142" i="12"/>
  <c r="H142" i="12"/>
  <c r="D146" i="12"/>
  <c r="I55" i="12"/>
  <c r="M161" i="5"/>
  <c r="M152" i="11" s="1"/>
  <c r="L161" i="5"/>
  <c r="L152" i="11" s="1"/>
  <c r="K161" i="5"/>
  <c r="K152" i="11" s="1"/>
  <c r="J161" i="5"/>
  <c r="J152" i="11" s="1"/>
  <c r="I161" i="5"/>
  <c r="I152" i="11" s="1"/>
  <c r="J864" i="20"/>
  <c r="I864" i="20"/>
  <c r="H864" i="20"/>
  <c r="G864" i="20"/>
  <c r="F864" i="20"/>
  <c r="E864" i="20"/>
  <c r="D864" i="20"/>
  <c r="E860" i="20"/>
  <c r="F860" i="20" s="1"/>
  <c r="G860" i="20" s="1"/>
  <c r="H860" i="20" s="1"/>
  <c r="I860" i="20" s="1"/>
  <c r="J860" i="20" s="1"/>
  <c r="M129" i="5"/>
  <c r="M143" i="11" s="1"/>
  <c r="L129" i="5"/>
  <c r="L143" i="11" s="1"/>
  <c r="K129" i="5"/>
  <c r="K143" i="11" s="1"/>
  <c r="J129" i="5"/>
  <c r="J143" i="11" s="1"/>
  <c r="I129" i="5"/>
  <c r="I143" i="11" s="1"/>
  <c r="M855" i="20"/>
  <c r="L855" i="20"/>
  <c r="J855" i="20"/>
  <c r="I855" i="20"/>
  <c r="H855" i="20"/>
  <c r="G855" i="20"/>
  <c r="F855" i="20"/>
  <c r="E855" i="20"/>
  <c r="D855" i="20"/>
  <c r="J853" i="20"/>
  <c r="I853" i="20"/>
  <c r="H853" i="20"/>
  <c r="G853" i="20"/>
  <c r="F853" i="20"/>
  <c r="E853" i="20"/>
  <c r="J852" i="20"/>
  <c r="I852" i="20"/>
  <c r="H852" i="20"/>
  <c r="G852" i="20"/>
  <c r="F852" i="20"/>
  <c r="E852" i="20"/>
  <c r="D853" i="20"/>
  <c r="D852" i="20"/>
  <c r="E851" i="20"/>
  <c r="F851" i="20" s="1"/>
  <c r="G851" i="20" s="1"/>
  <c r="H851" i="20" s="1"/>
  <c r="I851" i="20" s="1"/>
  <c r="J851" i="20" s="1"/>
  <c r="M153" i="5"/>
  <c r="M245" i="11" s="1"/>
  <c r="L153" i="5"/>
  <c r="L245" i="11" s="1"/>
  <c r="K153" i="5"/>
  <c r="K245" i="11" s="1"/>
  <c r="J153" i="5"/>
  <c r="J245" i="11" s="1"/>
  <c r="I153" i="5"/>
  <c r="I245" i="11" s="1"/>
  <c r="E134" i="12" l="1"/>
  <c r="D143" i="12"/>
  <c r="H143" i="12"/>
  <c r="E143" i="12"/>
  <c r="D134" i="12"/>
  <c r="G134" i="12"/>
  <c r="G143" i="12"/>
  <c r="F143" i="12"/>
  <c r="H134" i="12"/>
  <c r="F134" i="12"/>
  <c r="D846" i="20" a="1"/>
  <c r="D846" i="20" s="1"/>
  <c r="J839" i="20"/>
  <c r="I839" i="20"/>
  <c r="H839" i="20"/>
  <c r="G839" i="20"/>
  <c r="F839" i="20"/>
  <c r="E839" i="20"/>
  <c r="D839" i="20"/>
  <c r="J838" i="20"/>
  <c r="I838" i="20"/>
  <c r="H838" i="20"/>
  <c r="G838" i="20"/>
  <c r="F838" i="20"/>
  <c r="E838" i="20"/>
  <c r="D838" i="20"/>
  <c r="E836" i="20"/>
  <c r="F836" i="20" s="1"/>
  <c r="G836" i="20" s="1"/>
  <c r="H836" i="20" s="1"/>
  <c r="I836" i="20" s="1"/>
  <c r="J836" i="20" s="1"/>
  <c r="M145" i="5"/>
  <c r="M181" i="11" s="1"/>
  <c r="L145" i="5"/>
  <c r="L181" i="11" s="1"/>
  <c r="K145" i="5"/>
  <c r="K181" i="11" s="1"/>
  <c r="J145" i="5"/>
  <c r="J181" i="11" s="1"/>
  <c r="I145" i="5"/>
  <c r="I181" i="11" s="1"/>
  <c r="M137" i="5"/>
  <c r="M236" i="11" s="1"/>
  <c r="I137" i="5"/>
  <c r="I236" i="11" s="1"/>
  <c r="L809" i="20" l="1"/>
  <c r="M809" i="20"/>
  <c r="M814" i="20"/>
  <c r="L814" i="20"/>
  <c r="M813" i="20"/>
  <c r="L813" i="20"/>
  <c r="L808" i="20"/>
  <c r="M804" i="20"/>
  <c r="L804" i="20"/>
  <c r="L802" i="20"/>
  <c r="M808" i="20"/>
  <c r="M806" i="20"/>
  <c r="L806" i="20"/>
  <c r="G819" i="20"/>
  <c r="F819" i="20"/>
  <c r="E819" i="20"/>
  <c r="D819" i="20"/>
  <c r="E817" i="20"/>
  <c r="F817" i="20"/>
  <c r="G817" i="20"/>
  <c r="D818" i="20"/>
  <c r="D817" i="20"/>
  <c r="D816" i="20"/>
  <c r="E809" i="20"/>
  <c r="H808" i="20"/>
  <c r="G808" i="20"/>
  <c r="F808" i="20"/>
  <c r="E808" i="20"/>
  <c r="D808" i="20"/>
  <c r="J814" i="20"/>
  <c r="I814" i="20"/>
  <c r="H814" i="20"/>
  <c r="G814" i="20"/>
  <c r="F814" i="20"/>
  <c r="E814" i="20"/>
  <c r="J813" i="20"/>
  <c r="I813" i="20"/>
  <c r="H813" i="20"/>
  <c r="G813" i="20"/>
  <c r="F813" i="20"/>
  <c r="E813" i="20"/>
  <c r="D814" i="20"/>
  <c r="D813" i="20"/>
  <c r="E805" i="20"/>
  <c r="E806" i="20" s="1"/>
  <c r="F805" i="20"/>
  <c r="F806" i="20" s="1"/>
  <c r="G805" i="20"/>
  <c r="H805" i="20"/>
  <c r="H817" i="20" s="1"/>
  <c r="I805" i="20"/>
  <c r="I817" i="20" s="1"/>
  <c r="J805" i="20"/>
  <c r="J809" i="20" s="1"/>
  <c r="J806" i="20"/>
  <c r="I806" i="20"/>
  <c r="D805" i="20"/>
  <c r="D809" i="20" s="1"/>
  <c r="J804" i="20"/>
  <c r="I804" i="20"/>
  <c r="H804" i="20"/>
  <c r="G804" i="20"/>
  <c r="F804" i="20"/>
  <c r="E804" i="20"/>
  <c r="J802" i="20"/>
  <c r="I802" i="20"/>
  <c r="H802" i="20"/>
  <c r="G802" i="20"/>
  <c r="F802" i="20"/>
  <c r="M802" i="20" s="1"/>
  <c r="E802" i="20"/>
  <c r="E800" i="20"/>
  <c r="F800" i="20" s="1"/>
  <c r="G800" i="20" s="1"/>
  <c r="H800" i="20" s="1"/>
  <c r="I800" i="20" s="1"/>
  <c r="J800" i="20" s="1"/>
  <c r="J779" i="20"/>
  <c r="I779" i="20"/>
  <c r="G779" i="20"/>
  <c r="H779" i="20"/>
  <c r="F779" i="20"/>
  <c r="E779" i="20"/>
  <c r="D779" i="20"/>
  <c r="L779" i="20" s="1"/>
  <c r="E775" i="20"/>
  <c r="F775" i="20" s="1"/>
  <c r="G775" i="20" s="1"/>
  <c r="H775" i="20" s="1"/>
  <c r="I775" i="20" s="1"/>
  <c r="J775" i="20" s="1"/>
  <c r="L733" i="20"/>
  <c r="E756" i="20"/>
  <c r="D756" i="20"/>
  <c r="J739" i="20"/>
  <c r="I739" i="20"/>
  <c r="H739" i="20"/>
  <c r="G739" i="20"/>
  <c r="F739" i="20"/>
  <c r="E739" i="20"/>
  <c r="D739" i="20"/>
  <c r="M739" i="20" s="1"/>
  <c r="J738" i="20"/>
  <c r="M738" i="20" s="1"/>
  <c r="I738" i="20"/>
  <c r="H738" i="20"/>
  <c r="G738" i="20"/>
  <c r="F738" i="20"/>
  <c r="E738" i="20"/>
  <c r="D738" i="20"/>
  <c r="J727" i="20"/>
  <c r="I727" i="20"/>
  <c r="H727" i="20"/>
  <c r="G727" i="20"/>
  <c r="F727" i="20"/>
  <c r="E727" i="20"/>
  <c r="J729" i="20"/>
  <c r="J731" i="20" s="1"/>
  <c r="J733" i="20" s="1"/>
  <c r="J744" i="20" s="1"/>
  <c r="J750" i="20" s="1"/>
  <c r="I729" i="20"/>
  <c r="I731" i="20" s="1"/>
  <c r="I733" i="20" s="1"/>
  <c r="I744" i="20" s="1"/>
  <c r="H729" i="20"/>
  <c r="H731" i="20" s="1"/>
  <c r="H733" i="20" s="1"/>
  <c r="H744" i="20" s="1"/>
  <c r="G729" i="20"/>
  <c r="G731" i="20" s="1"/>
  <c r="G733" i="20" s="1"/>
  <c r="G744" i="20" s="1"/>
  <c r="F729" i="20"/>
  <c r="F731" i="20" s="1"/>
  <c r="F733" i="20" s="1"/>
  <c r="F744" i="20" s="1"/>
  <c r="E729" i="20"/>
  <c r="E731" i="20" s="1"/>
  <c r="E733" i="20" s="1"/>
  <c r="E744" i="20" s="1"/>
  <c r="D729" i="20"/>
  <c r="D731" i="20" s="1"/>
  <c r="D733" i="20" s="1"/>
  <c r="D744" i="20" s="1"/>
  <c r="H174" i="11"/>
  <c r="G174" i="11"/>
  <c r="F174" i="11"/>
  <c r="E174" i="11"/>
  <c r="D174" i="11"/>
  <c r="H175" i="11"/>
  <c r="G175" i="11"/>
  <c r="F175" i="11"/>
  <c r="E175" i="11"/>
  <c r="D175" i="11"/>
  <c r="I66" i="22"/>
  <c r="H66" i="22"/>
  <c r="G66" i="22"/>
  <c r="F66" i="22"/>
  <c r="E66" i="22"/>
  <c r="D66" i="22"/>
  <c r="C66" i="22"/>
  <c r="F176" i="11" l="1"/>
  <c r="E176" i="11"/>
  <c r="H176" i="11"/>
  <c r="G176" i="11"/>
  <c r="L738" i="20"/>
  <c r="L739" i="20"/>
  <c r="J816" i="20"/>
  <c r="I808" i="20"/>
  <c r="I816" i="20"/>
  <c r="M733" i="20"/>
  <c r="H806" i="20"/>
  <c r="J808" i="20"/>
  <c r="H816" i="20"/>
  <c r="H819" i="20"/>
  <c r="M819" i="20" s="1"/>
  <c r="G816" i="20"/>
  <c r="I819" i="20"/>
  <c r="L819" i="20" s="1"/>
  <c r="F809" i="20"/>
  <c r="F816" i="20"/>
  <c r="J819" i="20"/>
  <c r="K779" i="20"/>
  <c r="G809" i="20"/>
  <c r="E818" i="20"/>
  <c r="E816" i="20"/>
  <c r="M816" i="20" s="1"/>
  <c r="H809" i="20"/>
  <c r="J817" i="20"/>
  <c r="L817" i="20" s="1"/>
  <c r="L731" i="20"/>
  <c r="I809" i="20"/>
  <c r="M731" i="20"/>
  <c r="G806" i="20"/>
  <c r="I750" i="20"/>
  <c r="I749" i="20"/>
  <c r="D750" i="20"/>
  <c r="D749" i="20"/>
  <c r="E749" i="20"/>
  <c r="E750" i="20"/>
  <c r="F749" i="20"/>
  <c r="F750" i="20"/>
  <c r="G749" i="20"/>
  <c r="G750" i="20"/>
  <c r="H750" i="20"/>
  <c r="H749" i="20"/>
  <c r="J749" i="20"/>
  <c r="L816" i="20" l="1"/>
  <c r="M817" i="20"/>
  <c r="D32" i="28" l="1"/>
  <c r="C32" i="28"/>
  <c r="D24" i="28"/>
  <c r="C24" i="28"/>
  <c r="D20" i="28"/>
  <c r="C20" i="28"/>
  <c r="D18" i="28"/>
  <c r="C18" i="28"/>
  <c r="D16" i="28"/>
  <c r="C16" i="28"/>
  <c r="F32" i="28"/>
  <c r="F41" i="28" s="1"/>
  <c r="G32" i="28"/>
  <c r="G41" i="28" s="1"/>
  <c r="H32" i="28"/>
  <c r="H41" i="28" s="1"/>
  <c r="I32" i="28"/>
  <c r="I41" i="28" s="1"/>
  <c r="E32" i="28"/>
  <c r="E41" i="28" s="1"/>
  <c r="E45" i="28" s="1"/>
  <c r="F24" i="28"/>
  <c r="G24" i="28"/>
  <c r="H24" i="28"/>
  <c r="I24" i="28"/>
  <c r="E24" i="28"/>
  <c r="E20" i="28"/>
  <c r="E16" i="28"/>
  <c r="E18" i="28" s="1"/>
  <c r="I18" i="28"/>
  <c r="I20" i="28" s="1"/>
  <c r="H18" i="28"/>
  <c r="H20" i="28" s="1"/>
  <c r="H31" i="28"/>
  <c r="G31" i="28"/>
  <c r="F31" i="28"/>
  <c r="H34" i="22"/>
  <c r="F34" i="22"/>
  <c r="E34" i="22"/>
  <c r="D27" i="22"/>
  <c r="D34" i="22" s="1"/>
  <c r="E27" i="22"/>
  <c r="F27" i="22"/>
  <c r="G27" i="22"/>
  <c r="G34" i="22" s="1"/>
  <c r="H27" i="22"/>
  <c r="I27" i="22"/>
  <c r="I34" i="22" s="1"/>
  <c r="C27" i="22"/>
  <c r="C34" i="22" s="1"/>
  <c r="H16" i="28"/>
  <c r="G16" i="28"/>
  <c r="G18" i="28" s="1"/>
  <c r="G20" i="28" s="1"/>
  <c r="F16" i="28"/>
  <c r="F18" i="28" s="1"/>
  <c r="I16" i="28"/>
  <c r="S123" i="12"/>
  <c r="E96" i="12"/>
  <c r="F96" i="12"/>
  <c r="G96" i="12"/>
  <c r="H96" i="12"/>
  <c r="E98" i="12"/>
  <c r="F98" i="12"/>
  <c r="G98" i="12"/>
  <c r="H98" i="12"/>
  <c r="E99" i="12"/>
  <c r="F99" i="12"/>
  <c r="G99" i="12"/>
  <c r="H99" i="12"/>
  <c r="E100" i="12"/>
  <c r="F100" i="12"/>
  <c r="G100" i="12"/>
  <c r="H100" i="12"/>
  <c r="E101" i="12"/>
  <c r="F101" i="12"/>
  <c r="G101" i="12"/>
  <c r="H101" i="12"/>
  <c r="E102" i="12"/>
  <c r="F102" i="12"/>
  <c r="G102" i="12"/>
  <c r="H102" i="12"/>
  <c r="E103" i="12"/>
  <c r="F103" i="12"/>
  <c r="G103" i="12"/>
  <c r="H103" i="12"/>
  <c r="E104" i="12"/>
  <c r="F104" i="12"/>
  <c r="G104" i="12"/>
  <c r="H104" i="12"/>
  <c r="E105" i="12"/>
  <c r="F105" i="12"/>
  <c r="G105" i="12"/>
  <c r="H105" i="12"/>
  <c r="D99" i="12"/>
  <c r="D100" i="12"/>
  <c r="D101" i="12"/>
  <c r="D102" i="12"/>
  <c r="D103" i="12"/>
  <c r="D104" i="12"/>
  <c r="D105" i="12"/>
  <c r="D98" i="12"/>
  <c r="D96" i="12"/>
  <c r="B96" i="12"/>
  <c r="B97" i="12"/>
  <c r="B98" i="12"/>
  <c r="B99" i="12"/>
  <c r="B100" i="12"/>
  <c r="B101" i="12"/>
  <c r="B102" i="12"/>
  <c r="B103" i="12"/>
  <c r="B104" i="12"/>
  <c r="B105" i="12"/>
  <c r="B106" i="12"/>
  <c r="B95" i="12"/>
  <c r="E86" i="12"/>
  <c r="F86" i="12"/>
  <c r="G86" i="12"/>
  <c r="H86" i="12"/>
  <c r="E87" i="12"/>
  <c r="F87" i="12"/>
  <c r="G87" i="12"/>
  <c r="H87" i="12"/>
  <c r="E88" i="12"/>
  <c r="F88" i="12"/>
  <c r="G88" i="12"/>
  <c r="H88" i="12"/>
  <c r="E89" i="12"/>
  <c r="F89" i="12"/>
  <c r="G89" i="12"/>
  <c r="H89" i="12"/>
  <c r="E90" i="12"/>
  <c r="F90" i="12"/>
  <c r="G90" i="12"/>
  <c r="H90" i="12"/>
  <c r="E91" i="12"/>
  <c r="F91" i="12"/>
  <c r="G91" i="12"/>
  <c r="H91" i="12"/>
  <c r="E92" i="12"/>
  <c r="F92" i="12"/>
  <c r="G92" i="12"/>
  <c r="H92" i="12"/>
  <c r="D87" i="12"/>
  <c r="D88" i="12"/>
  <c r="D89" i="12"/>
  <c r="D90" i="12"/>
  <c r="D91" i="12"/>
  <c r="D92" i="12"/>
  <c r="D86" i="12"/>
  <c r="B86" i="12"/>
  <c r="B87" i="12"/>
  <c r="B88" i="12"/>
  <c r="B89" i="12"/>
  <c r="B90" i="12"/>
  <c r="B91" i="12"/>
  <c r="B92" i="12"/>
  <c r="B93" i="12"/>
  <c r="B85" i="12"/>
  <c r="E81" i="12"/>
  <c r="F81" i="12"/>
  <c r="G81" i="12"/>
  <c r="H81" i="12"/>
  <c r="E82" i="12"/>
  <c r="F82" i="12"/>
  <c r="G82" i="12"/>
  <c r="H82" i="12"/>
  <c r="D82" i="12"/>
  <c r="D81" i="12"/>
  <c r="B82" i="12"/>
  <c r="B83" i="12"/>
  <c r="B81" i="12"/>
  <c r="D192" i="11" l="1"/>
  <c r="G196" i="11"/>
  <c r="G188" i="11"/>
  <c r="F188" i="11"/>
  <c r="I147" i="11"/>
  <c r="I92" i="12"/>
  <c r="J92" i="12" s="1"/>
  <c r="I89" i="12"/>
  <c r="J89" i="12" s="1"/>
  <c r="H234" i="11"/>
  <c r="D184" i="11"/>
  <c r="E196" i="11"/>
  <c r="E188" i="11"/>
  <c r="D83" i="12"/>
  <c r="F196" i="11"/>
  <c r="G234" i="11"/>
  <c r="H200" i="11"/>
  <c r="I200" i="11" s="1"/>
  <c r="J200" i="11" s="1"/>
  <c r="I90" i="12"/>
  <c r="J90" i="12" s="1"/>
  <c r="D200" i="11"/>
  <c r="H188" i="11"/>
  <c r="I188" i="11" s="1"/>
  <c r="J188" i="11" s="1"/>
  <c r="D188" i="11"/>
  <c r="H208" i="11"/>
  <c r="I208" i="11" s="1"/>
  <c r="J208" i="11" s="1"/>
  <c r="F234" i="11"/>
  <c r="I81" i="12"/>
  <c r="I88" i="12"/>
  <c r="J88" i="12" s="1"/>
  <c r="E208" i="11"/>
  <c r="E200" i="11"/>
  <c r="E184" i="11"/>
  <c r="D234" i="11"/>
  <c r="D179" i="11"/>
  <c r="D238" i="11" s="1"/>
  <c r="H204" i="11"/>
  <c r="I204" i="11" s="1"/>
  <c r="J204" i="11" s="1"/>
  <c r="H179" i="11"/>
  <c r="H238" i="11" s="1"/>
  <c r="D208" i="11"/>
  <c r="G204" i="11"/>
  <c r="G192" i="11"/>
  <c r="G179" i="11"/>
  <c r="G238" i="11" s="1"/>
  <c r="I87" i="12"/>
  <c r="J87" i="12" s="1"/>
  <c r="D196" i="11"/>
  <c r="E204" i="11"/>
  <c r="E192" i="11"/>
  <c r="E179" i="11"/>
  <c r="E238" i="11" s="1"/>
  <c r="H196" i="11"/>
  <c r="I196" i="11" s="1"/>
  <c r="I223" i="11" s="1"/>
  <c r="H184" i="11"/>
  <c r="I184" i="11" s="1"/>
  <c r="I220" i="11" s="1"/>
  <c r="G208" i="11"/>
  <c r="G200" i="11"/>
  <c r="G184" i="11"/>
  <c r="E234" i="11"/>
  <c r="F208" i="11"/>
  <c r="F200" i="11"/>
  <c r="F184" i="11"/>
  <c r="I91" i="12"/>
  <c r="J91" i="12" s="1"/>
  <c r="H192" i="11"/>
  <c r="I192" i="11" s="1"/>
  <c r="I222" i="11" s="1"/>
  <c r="D204" i="11"/>
  <c r="F204" i="11"/>
  <c r="F192" i="11"/>
  <c r="F179" i="11"/>
  <c r="F238" i="11" s="1"/>
  <c r="D106" i="12"/>
  <c r="H106" i="12"/>
  <c r="G106" i="12"/>
  <c r="F106" i="12"/>
  <c r="E106" i="12"/>
  <c r="E93" i="12"/>
  <c r="H83" i="12"/>
  <c r="H93" i="12"/>
  <c r="G93" i="12"/>
  <c r="D93" i="12"/>
  <c r="F93" i="12"/>
  <c r="E83" i="12"/>
  <c r="G83" i="12"/>
  <c r="F83" i="12"/>
  <c r="E65" i="12"/>
  <c r="F65" i="12"/>
  <c r="G65" i="12"/>
  <c r="H65" i="12"/>
  <c r="E66" i="12"/>
  <c r="F66" i="12"/>
  <c r="G66" i="12"/>
  <c r="H66" i="12"/>
  <c r="E68" i="12"/>
  <c r="F68" i="12"/>
  <c r="G68" i="12"/>
  <c r="H68" i="12"/>
  <c r="E69" i="12"/>
  <c r="F69" i="12"/>
  <c r="G69" i="12"/>
  <c r="H69" i="12"/>
  <c r="E70" i="12"/>
  <c r="F70" i="12"/>
  <c r="G70" i="12"/>
  <c r="H70" i="12"/>
  <c r="E71" i="12"/>
  <c r="F71" i="12"/>
  <c r="G71" i="12"/>
  <c r="H71" i="12"/>
  <c r="E73" i="12"/>
  <c r="F73" i="12"/>
  <c r="G73" i="12"/>
  <c r="H73" i="12"/>
  <c r="D69" i="12"/>
  <c r="D70" i="12"/>
  <c r="D71" i="12"/>
  <c r="D73" i="12"/>
  <c r="D68" i="12"/>
  <c r="D66" i="12"/>
  <c r="D65" i="12"/>
  <c r="B65" i="12"/>
  <c r="B66" i="12"/>
  <c r="B67" i="12"/>
  <c r="B68" i="12"/>
  <c r="B69" i="12"/>
  <c r="B70" i="12"/>
  <c r="B71" i="12"/>
  <c r="B72" i="12"/>
  <c r="B73" i="12"/>
  <c r="B64" i="12"/>
  <c r="E53" i="12"/>
  <c r="F53" i="12"/>
  <c r="G53" i="12"/>
  <c r="H53" i="12"/>
  <c r="E54" i="12"/>
  <c r="F54" i="12"/>
  <c r="G54" i="12"/>
  <c r="H54" i="12"/>
  <c r="E55" i="12"/>
  <c r="F55" i="12"/>
  <c r="G55" i="12"/>
  <c r="H55" i="12"/>
  <c r="E56" i="12"/>
  <c r="F56" i="12"/>
  <c r="G56" i="12"/>
  <c r="H56" i="12"/>
  <c r="E57" i="12"/>
  <c r="F57" i="12"/>
  <c r="G57" i="12"/>
  <c r="H57" i="12"/>
  <c r="E58" i="12"/>
  <c r="E59" i="12"/>
  <c r="F59" i="12"/>
  <c r="G59" i="12"/>
  <c r="H59" i="12"/>
  <c r="E60" i="12"/>
  <c r="F60" i="12"/>
  <c r="G60" i="12"/>
  <c r="H60" i="12"/>
  <c r="E61" i="12"/>
  <c r="F61" i="12"/>
  <c r="G61" i="12"/>
  <c r="H61" i="12"/>
  <c r="D61" i="12"/>
  <c r="D60" i="12"/>
  <c r="D59" i="12"/>
  <c r="I13" i="22"/>
  <c r="H58" i="12" s="1"/>
  <c r="H13" i="22"/>
  <c r="G58" i="12" s="1"/>
  <c r="G13" i="22"/>
  <c r="F58" i="12" s="1"/>
  <c r="F13" i="22"/>
  <c r="E13" i="22"/>
  <c r="D58" i="12" s="1"/>
  <c r="D13" i="22"/>
  <c r="C13" i="22"/>
  <c r="D57" i="12"/>
  <c r="D56" i="12"/>
  <c r="D55" i="12"/>
  <c r="D54" i="12"/>
  <c r="D53" i="12"/>
  <c r="E39" i="12"/>
  <c r="F39" i="12"/>
  <c r="F16" i="15" s="1"/>
  <c r="G39" i="12"/>
  <c r="G16" i="15" s="1"/>
  <c r="H39" i="12"/>
  <c r="H16" i="15" s="1"/>
  <c r="D39" i="12"/>
  <c r="H36" i="12"/>
  <c r="G36" i="12"/>
  <c r="F36" i="12"/>
  <c r="E36" i="12"/>
  <c r="D36" i="12"/>
  <c r="E35" i="12"/>
  <c r="F35" i="12"/>
  <c r="G35" i="12"/>
  <c r="H35" i="12"/>
  <c r="D35" i="12"/>
  <c r="M169" i="5"/>
  <c r="M253" i="11" s="1"/>
  <c r="L169" i="5"/>
  <c r="L253" i="11" s="1"/>
  <c r="K169" i="5"/>
  <c r="K253" i="11" s="1"/>
  <c r="J169" i="5"/>
  <c r="J253" i="11" s="1"/>
  <c r="I169" i="5"/>
  <c r="I253" i="11" s="1"/>
  <c r="E34" i="12"/>
  <c r="F34" i="12"/>
  <c r="G34" i="12"/>
  <c r="H34" i="12"/>
  <c r="D34" i="12"/>
  <c r="E29" i="12"/>
  <c r="E14" i="15" s="1"/>
  <c r="E18" i="15" s="1"/>
  <c r="F29" i="12"/>
  <c r="F14" i="15" s="1"/>
  <c r="F18" i="15" s="1"/>
  <c r="G29" i="12"/>
  <c r="G14" i="15" s="1"/>
  <c r="G18" i="15" s="1"/>
  <c r="H29" i="12"/>
  <c r="H14" i="15" s="1"/>
  <c r="H18" i="15" s="1"/>
  <c r="D29" i="12"/>
  <c r="D14" i="15" s="1"/>
  <c r="D18" i="15" s="1"/>
  <c r="H89" i="11"/>
  <c r="H80" i="11"/>
  <c r="H67" i="11"/>
  <c r="H60" i="11"/>
  <c r="E705" i="20"/>
  <c r="F705" i="20"/>
  <c r="G705" i="20"/>
  <c r="H705" i="20"/>
  <c r="I705" i="20"/>
  <c r="J705" i="20"/>
  <c r="D705" i="20"/>
  <c r="I129" i="12"/>
  <c r="I22" i="15" s="1"/>
  <c r="I58" i="11"/>
  <c r="J129" i="12"/>
  <c r="J22" i="15" s="1"/>
  <c r="E16" i="15" l="1"/>
  <c r="C44" i="15"/>
  <c r="C62" i="15" s="1"/>
  <c r="I99" i="12"/>
  <c r="E239" i="11"/>
  <c r="E241" i="11" s="1"/>
  <c r="D16" i="15"/>
  <c r="J184" i="11"/>
  <c r="J99" i="12" s="1"/>
  <c r="J81" i="12"/>
  <c r="J141" i="12" s="1"/>
  <c r="I141" i="12"/>
  <c r="I221" i="11"/>
  <c r="I103" i="12"/>
  <c r="J196" i="11"/>
  <c r="K196" i="11" s="1"/>
  <c r="F239" i="11"/>
  <c r="F241" i="11" s="1"/>
  <c r="I100" i="12"/>
  <c r="D239" i="11"/>
  <c r="D241" i="11" s="1"/>
  <c r="I226" i="11"/>
  <c r="I105" i="12"/>
  <c r="I104" i="12"/>
  <c r="G239" i="11"/>
  <c r="G241" i="11" s="1"/>
  <c r="I225" i="11"/>
  <c r="H239" i="11"/>
  <c r="H241" i="11" s="1"/>
  <c r="I101" i="12"/>
  <c r="J192" i="11"/>
  <c r="J222" i="11" s="1"/>
  <c r="I137" i="12"/>
  <c r="G123" i="12"/>
  <c r="I70" i="12"/>
  <c r="J70" i="12" s="1"/>
  <c r="I224" i="11"/>
  <c r="F123" i="12"/>
  <c r="I102" i="12"/>
  <c r="E122" i="12"/>
  <c r="D123" i="12"/>
  <c r="H123" i="12"/>
  <c r="I73" i="12"/>
  <c r="J73" i="12" s="1"/>
  <c r="I69" i="12"/>
  <c r="J69" i="12" s="1"/>
  <c r="D122" i="12"/>
  <c r="H122" i="12"/>
  <c r="E123" i="12"/>
  <c r="I36" i="12"/>
  <c r="G122" i="12"/>
  <c r="H140" i="11"/>
  <c r="F122" i="12"/>
  <c r="I68" i="12"/>
  <c r="J68" i="12" s="1"/>
  <c r="K89" i="12"/>
  <c r="L89" i="12" s="1"/>
  <c r="M89" i="12" s="1"/>
  <c r="K87" i="12"/>
  <c r="L87" i="12" s="1"/>
  <c r="M87" i="12" s="1"/>
  <c r="K90" i="12"/>
  <c r="L90" i="12" s="1"/>
  <c r="M90" i="12" s="1"/>
  <c r="K92" i="12"/>
  <c r="L92" i="12" s="1"/>
  <c r="M92" i="12" s="1"/>
  <c r="K88" i="12"/>
  <c r="L88" i="12" s="1"/>
  <c r="M88" i="12" s="1"/>
  <c r="K91" i="12"/>
  <c r="L91" i="12" s="1"/>
  <c r="M91" i="12" s="1"/>
  <c r="E240" i="11"/>
  <c r="K204" i="11"/>
  <c r="J104" i="12"/>
  <c r="J225" i="11"/>
  <c r="K208" i="11"/>
  <c r="J105" i="12"/>
  <c r="J226" i="11"/>
  <c r="K188" i="11"/>
  <c r="J100" i="12"/>
  <c r="J221" i="11"/>
  <c r="H137" i="11"/>
  <c r="H108" i="12"/>
  <c r="K200" i="11"/>
  <c r="J102" i="12"/>
  <c r="J224" i="11"/>
  <c r="H138" i="11"/>
  <c r="H124" i="11"/>
  <c r="F42" i="28"/>
  <c r="F45" i="28" s="1"/>
  <c r="F20" i="28"/>
  <c r="F108" i="12"/>
  <c r="F80" i="29" s="1"/>
  <c r="G108" i="12"/>
  <c r="E108" i="12"/>
  <c r="E80" i="29" s="1"/>
  <c r="D108" i="12"/>
  <c r="D80" i="29" s="1"/>
  <c r="F655" i="20"/>
  <c r="I60" i="11"/>
  <c r="K184" i="11" l="1"/>
  <c r="L184" i="11" s="1"/>
  <c r="G80" i="29"/>
  <c r="H80" i="29"/>
  <c r="D124" i="12"/>
  <c r="D127" i="12" s="1"/>
  <c r="D145" i="12" s="1"/>
  <c r="D148" i="12" s="1"/>
  <c r="E146" i="12" s="1"/>
  <c r="J220" i="11"/>
  <c r="E124" i="12"/>
  <c r="E127" i="12" s="1"/>
  <c r="E145" i="12" s="1"/>
  <c r="J223" i="11"/>
  <c r="J103" i="12"/>
  <c r="F240" i="11"/>
  <c r="K81" i="12"/>
  <c r="F124" i="12"/>
  <c r="F127" i="12" s="1"/>
  <c r="F145" i="12" s="1"/>
  <c r="G124" i="12"/>
  <c r="G127" i="12" s="1"/>
  <c r="G145" i="12" s="1"/>
  <c r="H240" i="11"/>
  <c r="G240" i="11"/>
  <c r="D240" i="11"/>
  <c r="K192" i="11"/>
  <c r="K101" i="12" s="1"/>
  <c r="J101" i="12"/>
  <c r="H124" i="12"/>
  <c r="H127" i="12" s="1"/>
  <c r="H145" i="12" s="1"/>
  <c r="D110" i="12"/>
  <c r="E110" i="12"/>
  <c r="E95" i="29" s="1"/>
  <c r="J36" i="12"/>
  <c r="G110" i="12"/>
  <c r="F110" i="12"/>
  <c r="F95" i="29" s="1"/>
  <c r="H110" i="12"/>
  <c r="H95" i="29" s="1"/>
  <c r="K68" i="12"/>
  <c r="L68" i="12" s="1"/>
  <c r="M68" i="12" s="1"/>
  <c r="K69" i="12"/>
  <c r="L69" i="12" s="1"/>
  <c r="M69" i="12" s="1"/>
  <c r="K73" i="12"/>
  <c r="L73" i="12" s="1"/>
  <c r="M73" i="12" s="1"/>
  <c r="K70" i="12"/>
  <c r="L70" i="12" s="1"/>
  <c r="M70" i="12" s="1"/>
  <c r="G42" i="28"/>
  <c r="G45" i="28" s="1"/>
  <c r="K99" i="12"/>
  <c r="K220" i="11"/>
  <c r="L188" i="11"/>
  <c r="K100" i="12"/>
  <c r="K221" i="11"/>
  <c r="L208" i="11"/>
  <c r="K105" i="12"/>
  <c r="K226" i="11"/>
  <c r="L200" i="11"/>
  <c r="K102" i="12"/>
  <c r="K224" i="11"/>
  <c r="L196" i="11"/>
  <c r="K103" i="12"/>
  <c r="K223" i="11"/>
  <c r="L204" i="11"/>
  <c r="K104" i="12"/>
  <c r="K225" i="11"/>
  <c r="J60" i="11"/>
  <c r="I61" i="11"/>
  <c r="G655" i="20"/>
  <c r="K129" i="12"/>
  <c r="K22" i="15" s="1"/>
  <c r="E148" i="12" l="1"/>
  <c r="F146" i="12" s="1"/>
  <c r="F148" i="12" s="1"/>
  <c r="D72" i="12"/>
  <c r="D74" i="12" s="1"/>
  <c r="D114" i="12" s="1"/>
  <c r="D84" i="29"/>
  <c r="D97" i="29"/>
  <c r="D78" i="29"/>
  <c r="D73" i="29"/>
  <c r="D92" i="29"/>
  <c r="D87" i="29"/>
  <c r="D89" i="29"/>
  <c r="D77" i="29"/>
  <c r="D75" i="29"/>
  <c r="D90" i="29"/>
  <c r="D76" i="29"/>
  <c r="D88" i="29"/>
  <c r="D69" i="29"/>
  <c r="D91" i="29"/>
  <c r="D74" i="29"/>
  <c r="D86" i="29"/>
  <c r="D68" i="29"/>
  <c r="D79" i="29"/>
  <c r="D85" i="29"/>
  <c r="D83" i="29"/>
  <c r="D93" i="29"/>
  <c r="D70" i="29"/>
  <c r="D95" i="29"/>
  <c r="G97" i="29"/>
  <c r="G84" i="29"/>
  <c r="G89" i="29"/>
  <c r="G83" i="29"/>
  <c r="G86" i="29"/>
  <c r="G92" i="29"/>
  <c r="G74" i="29"/>
  <c r="G69" i="29"/>
  <c r="G91" i="29"/>
  <c r="G78" i="29"/>
  <c r="G90" i="29"/>
  <c r="G73" i="29"/>
  <c r="G77" i="29"/>
  <c r="G88" i="29"/>
  <c r="G79" i="29"/>
  <c r="G76" i="29"/>
  <c r="G87" i="29"/>
  <c r="G85" i="29"/>
  <c r="G75" i="29"/>
  <c r="G68" i="29"/>
  <c r="G93" i="29"/>
  <c r="G70" i="29"/>
  <c r="E97" i="29"/>
  <c r="E84" i="29"/>
  <c r="E77" i="29"/>
  <c r="E88" i="29"/>
  <c r="E91" i="29"/>
  <c r="E90" i="29"/>
  <c r="E78" i="29"/>
  <c r="E76" i="29"/>
  <c r="E87" i="29"/>
  <c r="E75" i="29"/>
  <c r="E69" i="29"/>
  <c r="E86" i="29"/>
  <c r="E74" i="29"/>
  <c r="E92" i="29"/>
  <c r="E89" i="29"/>
  <c r="E73" i="29"/>
  <c r="E68" i="29"/>
  <c r="E79" i="29"/>
  <c r="E85" i="29"/>
  <c r="E83" i="29"/>
  <c r="E70" i="29"/>
  <c r="E93" i="29"/>
  <c r="H97" i="29"/>
  <c r="H84" i="29"/>
  <c r="H74" i="29"/>
  <c r="H88" i="29"/>
  <c r="H76" i="29"/>
  <c r="H85" i="29"/>
  <c r="H69" i="29"/>
  <c r="H78" i="29"/>
  <c r="H90" i="29"/>
  <c r="H86" i="29"/>
  <c r="H87" i="29"/>
  <c r="H92" i="29"/>
  <c r="H83" i="29"/>
  <c r="H73" i="29"/>
  <c r="H79" i="29"/>
  <c r="H77" i="29"/>
  <c r="H75" i="29"/>
  <c r="H89" i="29"/>
  <c r="H68" i="29"/>
  <c r="H91" i="29"/>
  <c r="H93" i="29"/>
  <c r="H70" i="29"/>
  <c r="F97" i="29"/>
  <c r="F84" i="29"/>
  <c r="F86" i="29"/>
  <c r="F83" i="29"/>
  <c r="F75" i="29"/>
  <c r="F89" i="29"/>
  <c r="F92" i="29"/>
  <c r="F68" i="29"/>
  <c r="F69" i="29"/>
  <c r="F77" i="29"/>
  <c r="F78" i="29"/>
  <c r="F73" i="29"/>
  <c r="F90" i="29"/>
  <c r="F91" i="29"/>
  <c r="F85" i="29"/>
  <c r="F87" i="29"/>
  <c r="F76" i="29"/>
  <c r="F74" i="29"/>
  <c r="F88" i="29"/>
  <c r="F79" i="29"/>
  <c r="F93" i="29"/>
  <c r="F70" i="29"/>
  <c r="G95" i="29"/>
  <c r="L81" i="12"/>
  <c r="K141" i="12"/>
  <c r="L192" i="11"/>
  <c r="K222" i="11"/>
  <c r="K36" i="12"/>
  <c r="E72" i="12"/>
  <c r="M200" i="11"/>
  <c r="N200" i="11" s="1"/>
  <c r="L102" i="12"/>
  <c r="L224" i="11"/>
  <c r="M208" i="11"/>
  <c r="N208" i="11" s="1"/>
  <c r="L226" i="11"/>
  <c r="L105" i="12"/>
  <c r="M196" i="11"/>
  <c r="N196" i="11" s="1"/>
  <c r="L103" i="12"/>
  <c r="L223" i="11"/>
  <c r="L101" i="12"/>
  <c r="L222" i="11"/>
  <c r="M192" i="11"/>
  <c r="N192" i="11" s="1"/>
  <c r="M204" i="11"/>
  <c r="N204" i="11" s="1"/>
  <c r="L104" i="12"/>
  <c r="L225" i="11"/>
  <c r="M188" i="11"/>
  <c r="N188" i="11" s="1"/>
  <c r="L100" i="12"/>
  <c r="L221" i="11"/>
  <c r="M184" i="11"/>
  <c r="N184" i="11" s="1"/>
  <c r="L99" i="12"/>
  <c r="L220" i="11"/>
  <c r="I53" i="12"/>
  <c r="K60" i="11"/>
  <c r="J58" i="11"/>
  <c r="J61" i="11" s="1"/>
  <c r="H655" i="20"/>
  <c r="M129" i="12" s="1"/>
  <c r="M22" i="15" s="1"/>
  <c r="L129" i="12"/>
  <c r="L22" i="15" s="1"/>
  <c r="O192" i="11" l="1"/>
  <c r="N222" i="11"/>
  <c r="N220" i="11"/>
  <c r="O184" i="11"/>
  <c r="O188" i="11"/>
  <c r="N221" i="11"/>
  <c r="N223" i="11"/>
  <c r="O196" i="11"/>
  <c r="N226" i="11"/>
  <c r="O208" i="11"/>
  <c r="N225" i="11"/>
  <c r="O204" i="11"/>
  <c r="O200" i="11"/>
  <c r="N224" i="11"/>
  <c r="M81" i="12"/>
  <c r="M141" i="12" s="1"/>
  <c r="L141" i="12"/>
  <c r="E74" i="12"/>
  <c r="L36" i="12"/>
  <c r="G146" i="12"/>
  <c r="G148" i="12" s="1"/>
  <c r="F72" i="12"/>
  <c r="H42" i="28"/>
  <c r="H45" i="28" s="1"/>
  <c r="M221" i="11"/>
  <c r="M100" i="12"/>
  <c r="M225" i="11"/>
  <c r="M104" i="12"/>
  <c r="M223" i="11"/>
  <c r="M103" i="12"/>
  <c r="M222" i="11"/>
  <c r="M101" i="12"/>
  <c r="M220" i="11"/>
  <c r="M99" i="12"/>
  <c r="M105" i="12"/>
  <c r="M226" i="11"/>
  <c r="M224" i="11"/>
  <c r="M102" i="12"/>
  <c r="L60" i="11"/>
  <c r="M60" i="11" s="1"/>
  <c r="J62" i="11"/>
  <c r="J53" i="12"/>
  <c r="K58" i="11"/>
  <c r="K61" i="11" s="1"/>
  <c r="L58" i="11" s="1"/>
  <c r="O223" i="11" l="1"/>
  <c r="P196" i="11"/>
  <c r="P192" i="11"/>
  <c r="O222" i="11"/>
  <c r="P208" i="11"/>
  <c r="O226" i="11"/>
  <c r="O220" i="11"/>
  <c r="P184" i="11"/>
  <c r="O225" i="11"/>
  <c r="P204" i="11"/>
  <c r="E114" i="12"/>
  <c r="O221" i="11"/>
  <c r="P188" i="11"/>
  <c r="P200" i="11"/>
  <c r="O224" i="11"/>
  <c r="F74" i="12"/>
  <c r="M36" i="12"/>
  <c r="H146" i="12"/>
  <c r="H148" i="12" s="1"/>
  <c r="H72" i="12" s="1"/>
  <c r="G72" i="12"/>
  <c r="K62" i="11"/>
  <c r="L61" i="11"/>
  <c r="M58" i="11" s="1"/>
  <c r="M61" i="11" s="1"/>
  <c r="K53" i="12"/>
  <c r="I42" i="28"/>
  <c r="F114" i="12" l="1"/>
  <c r="Q208" i="11"/>
  <c r="P226" i="11"/>
  <c r="C42" i="15"/>
  <c r="Q192" i="11"/>
  <c r="P222" i="11"/>
  <c r="P225" i="11"/>
  <c r="Q204" i="11"/>
  <c r="P220" i="11"/>
  <c r="Q184" i="11"/>
  <c r="Q200" i="11"/>
  <c r="P224" i="11"/>
  <c r="P221" i="11"/>
  <c r="Q188" i="11"/>
  <c r="Q196" i="11"/>
  <c r="P223" i="11"/>
  <c r="H74" i="12"/>
  <c r="G74" i="12"/>
  <c r="I45" i="28"/>
  <c r="L53" i="12"/>
  <c r="L62" i="11"/>
  <c r="M53" i="12"/>
  <c r="M62" i="11"/>
  <c r="H114" i="12" l="1"/>
  <c r="R192" i="11"/>
  <c r="R222" i="11" s="1"/>
  <c r="Q222" i="11"/>
  <c r="Q223" i="11"/>
  <c r="R196" i="11"/>
  <c r="R223" i="11" s="1"/>
  <c r="Q221" i="11"/>
  <c r="R188" i="11"/>
  <c r="R221" i="11" s="1"/>
  <c r="R204" i="11"/>
  <c r="R225" i="11" s="1"/>
  <c r="Q225" i="11"/>
  <c r="G114" i="12"/>
  <c r="Q226" i="11"/>
  <c r="R208" i="11"/>
  <c r="R226" i="11" s="1"/>
  <c r="R200" i="11"/>
  <c r="R224" i="11" s="1"/>
  <c r="Q224" i="11"/>
  <c r="R184" i="11"/>
  <c r="R220" i="11" s="1"/>
  <c r="Q220" i="11"/>
  <c r="I146" i="12"/>
  <c r="F259" i="20"/>
  <c r="E216" i="20"/>
  <c r="J710" i="20"/>
  <c r="J713" i="20" s="1"/>
  <c r="I710" i="20"/>
  <c r="H710" i="20"/>
  <c r="H713" i="20" s="1"/>
  <c r="G710" i="20"/>
  <c r="G713" i="20" s="1"/>
  <c r="F710" i="20"/>
  <c r="F713" i="20" s="1"/>
  <c r="E710" i="20"/>
  <c r="E718" i="20" s="1"/>
  <c r="D710" i="20"/>
  <c r="D718" i="20" s="1"/>
  <c r="E87" i="11"/>
  <c r="F87" i="11"/>
  <c r="G87" i="11"/>
  <c r="H87" i="11"/>
  <c r="D87" i="11"/>
  <c r="E78" i="11"/>
  <c r="F78" i="11"/>
  <c r="G78" i="11"/>
  <c r="H78" i="11"/>
  <c r="D78" i="11"/>
  <c r="E651" i="20"/>
  <c r="F651" i="20"/>
  <c r="G651" i="20"/>
  <c r="H651" i="20"/>
  <c r="I651" i="20"/>
  <c r="J651" i="20"/>
  <c r="K651" i="20" s="1"/>
  <c r="L651" i="20" s="1"/>
  <c r="M95" i="5"/>
  <c r="M93" i="11" s="1"/>
  <c r="L95" i="5"/>
  <c r="L93" i="11" s="1"/>
  <c r="K95" i="5"/>
  <c r="K93" i="11" s="1"/>
  <c r="J95" i="5"/>
  <c r="J93" i="11" s="1"/>
  <c r="I95" i="5"/>
  <c r="I93" i="11" s="1"/>
  <c r="B95" i="5"/>
  <c r="J706" i="20"/>
  <c r="J708" i="20" s="1"/>
  <c r="I706" i="20"/>
  <c r="I708" i="20" s="1"/>
  <c r="H706" i="20"/>
  <c r="H708" i="20" s="1"/>
  <c r="G706" i="20"/>
  <c r="G708" i="20" s="1"/>
  <c r="F706" i="20"/>
  <c r="F708" i="20" s="1"/>
  <c r="E706" i="20"/>
  <c r="E708" i="20" s="1"/>
  <c r="D706" i="20"/>
  <c r="D708" i="20" s="1"/>
  <c r="E693" i="20"/>
  <c r="D693" i="20"/>
  <c r="E679" i="20"/>
  <c r="F679" i="20"/>
  <c r="G679" i="20"/>
  <c r="H679" i="20"/>
  <c r="I679" i="20"/>
  <c r="J679" i="20"/>
  <c r="D679" i="20"/>
  <c r="E96" i="11"/>
  <c r="F96" i="11"/>
  <c r="G96" i="11"/>
  <c r="H96" i="11"/>
  <c r="D96" i="11"/>
  <c r="E108" i="11"/>
  <c r="F108" i="11"/>
  <c r="G108" i="11"/>
  <c r="H108" i="11"/>
  <c r="D108" i="11"/>
  <c r="E104" i="11"/>
  <c r="F104" i="11"/>
  <c r="G104" i="11"/>
  <c r="H104" i="11"/>
  <c r="D104" i="11"/>
  <c r="E100" i="11"/>
  <c r="F100" i="11"/>
  <c r="G100" i="11"/>
  <c r="H100" i="11"/>
  <c r="D100" i="11"/>
  <c r="E671" i="20"/>
  <c r="F671" i="20"/>
  <c r="G671" i="20"/>
  <c r="H671" i="20"/>
  <c r="I671" i="20"/>
  <c r="J671" i="20"/>
  <c r="D671" i="20"/>
  <c r="M121" i="5"/>
  <c r="M109" i="11" s="1"/>
  <c r="L121" i="5"/>
  <c r="L109" i="11" s="1"/>
  <c r="K121" i="5"/>
  <c r="K109" i="11" s="1"/>
  <c r="J121" i="5"/>
  <c r="J109" i="11" s="1"/>
  <c r="I121" i="5"/>
  <c r="I109" i="11" s="1"/>
  <c r="B121" i="5"/>
  <c r="M115" i="5"/>
  <c r="M105" i="11" s="1"/>
  <c r="L115" i="5"/>
  <c r="L105" i="11" s="1"/>
  <c r="K115" i="5"/>
  <c r="K105" i="11" s="1"/>
  <c r="J115" i="5"/>
  <c r="J105" i="11" s="1"/>
  <c r="I115" i="5"/>
  <c r="I105" i="11" s="1"/>
  <c r="B115" i="5"/>
  <c r="M109" i="5"/>
  <c r="M101" i="11" s="1"/>
  <c r="L109" i="5"/>
  <c r="L101" i="11" s="1"/>
  <c r="K109" i="5"/>
  <c r="K101" i="11" s="1"/>
  <c r="J109" i="5"/>
  <c r="J101" i="11" s="1"/>
  <c r="I109" i="5"/>
  <c r="I101" i="11" s="1"/>
  <c r="B109" i="5"/>
  <c r="M103" i="5"/>
  <c r="M97" i="11" s="1"/>
  <c r="L103" i="5"/>
  <c r="L97" i="11" s="1"/>
  <c r="K103" i="5"/>
  <c r="K97" i="11" s="1"/>
  <c r="J103" i="5"/>
  <c r="J97" i="11" s="1"/>
  <c r="I103" i="5"/>
  <c r="I97" i="11" s="1"/>
  <c r="B103" i="5"/>
  <c r="E74" i="11"/>
  <c r="F74" i="11"/>
  <c r="G74" i="11"/>
  <c r="H74" i="11"/>
  <c r="D74" i="11"/>
  <c r="E65" i="11"/>
  <c r="F65" i="11"/>
  <c r="G65" i="11"/>
  <c r="H65" i="11"/>
  <c r="H71" i="11" s="1"/>
  <c r="D65" i="11"/>
  <c r="M81" i="5"/>
  <c r="M75" i="11" s="1"/>
  <c r="L81" i="5"/>
  <c r="L75" i="11" s="1"/>
  <c r="K81" i="5"/>
  <c r="K75" i="11" s="1"/>
  <c r="J81" i="5"/>
  <c r="J75" i="11" s="1"/>
  <c r="I81" i="5"/>
  <c r="I75" i="11" s="1"/>
  <c r="B81" i="5"/>
  <c r="M89" i="5"/>
  <c r="M84" i="11" s="1"/>
  <c r="L89" i="5"/>
  <c r="L84" i="11" s="1"/>
  <c r="K89" i="5"/>
  <c r="K84" i="11" s="1"/>
  <c r="J89" i="5"/>
  <c r="J84" i="11" s="1"/>
  <c r="I89" i="5"/>
  <c r="I84" i="11" s="1"/>
  <c r="B89" i="5"/>
  <c r="M75" i="5"/>
  <c r="M71" i="11" s="1"/>
  <c r="L75" i="5"/>
  <c r="L71" i="11" s="1"/>
  <c r="K75" i="5"/>
  <c r="K71" i="11" s="1"/>
  <c r="J75" i="5"/>
  <c r="J71" i="11" s="1"/>
  <c r="I75" i="5"/>
  <c r="I71" i="11" s="1"/>
  <c r="B75" i="5"/>
  <c r="D651" i="20"/>
  <c r="I88" i="11" l="1"/>
  <c r="I89" i="11" s="1"/>
  <c r="H93" i="11"/>
  <c r="F93" i="11"/>
  <c r="E93" i="11"/>
  <c r="G93" i="11"/>
  <c r="I79" i="11"/>
  <c r="I80" i="11" s="1"/>
  <c r="F71" i="11"/>
  <c r="E71" i="11"/>
  <c r="G71" i="11"/>
  <c r="I66" i="11"/>
  <c r="I67" i="11" s="1"/>
  <c r="E109" i="11"/>
  <c r="H109" i="11"/>
  <c r="G109" i="11"/>
  <c r="I100" i="11"/>
  <c r="J100" i="11" s="1"/>
  <c r="K100" i="11" s="1"/>
  <c r="L100" i="11" s="1"/>
  <c r="M100" i="11" s="1"/>
  <c r="N100" i="11" s="1"/>
  <c r="I716" i="20"/>
  <c r="D714" i="20"/>
  <c r="E714" i="20"/>
  <c r="D716" i="20"/>
  <c r="E716" i="20"/>
  <c r="F716" i="20"/>
  <c r="F718" i="20"/>
  <c r="G716" i="20"/>
  <c r="G718" i="20"/>
  <c r="H716" i="20"/>
  <c r="H718" i="20"/>
  <c r="D712" i="20"/>
  <c r="I718" i="20"/>
  <c r="I712" i="20"/>
  <c r="J718" i="20"/>
  <c r="G712" i="20"/>
  <c r="G714" i="20"/>
  <c r="H714" i="20"/>
  <c r="D713" i="20"/>
  <c r="I714" i="20"/>
  <c r="J716" i="20"/>
  <c r="I713" i="20"/>
  <c r="J712" i="20"/>
  <c r="H712" i="20"/>
  <c r="F714" i="20"/>
  <c r="F712" i="20"/>
  <c r="E712" i="20"/>
  <c r="E713" i="20"/>
  <c r="J714" i="20"/>
  <c r="F97" i="11"/>
  <c r="G105" i="11"/>
  <c r="I87" i="11"/>
  <c r="J88" i="11" s="1"/>
  <c r="F105" i="11"/>
  <c r="G97" i="11"/>
  <c r="D682" i="20"/>
  <c r="K652" i="20"/>
  <c r="E105" i="11"/>
  <c r="H105" i="11"/>
  <c r="D681" i="20"/>
  <c r="G84" i="11"/>
  <c r="F109" i="11"/>
  <c r="E97" i="11"/>
  <c r="I108" i="11"/>
  <c r="I96" i="11"/>
  <c r="I58" i="12" s="1"/>
  <c r="I130" i="12" s="1"/>
  <c r="I134" i="12" s="1"/>
  <c r="H97" i="11"/>
  <c r="I104" i="11"/>
  <c r="H84" i="11"/>
  <c r="F84" i="11"/>
  <c r="I78" i="11"/>
  <c r="J79" i="11" s="1"/>
  <c r="I65" i="11"/>
  <c r="O100" i="11" l="1"/>
  <c r="N59" i="12"/>
  <c r="I116" i="11"/>
  <c r="I29" i="12" s="1"/>
  <c r="I14" i="15" s="1"/>
  <c r="I18" i="15" s="1"/>
  <c r="I90" i="11"/>
  <c r="J89" i="11"/>
  <c r="J80" i="11"/>
  <c r="I81" i="11"/>
  <c r="J66" i="11"/>
  <c r="J67" i="11" s="1"/>
  <c r="I68" i="11"/>
  <c r="L716" i="20"/>
  <c r="M716" i="20"/>
  <c r="M718" i="20"/>
  <c r="L712" i="20"/>
  <c r="M712" i="20"/>
  <c r="L718" i="20"/>
  <c r="M713" i="20"/>
  <c r="L713" i="20"/>
  <c r="D62" i="12"/>
  <c r="L652" i="20"/>
  <c r="G62" i="12"/>
  <c r="J96" i="11"/>
  <c r="J58" i="12" s="1"/>
  <c r="J130" i="12" s="1"/>
  <c r="J134" i="12" s="1"/>
  <c r="E84" i="11"/>
  <c r="E62" i="12"/>
  <c r="F62" i="12"/>
  <c r="J104" i="11"/>
  <c r="I60" i="12"/>
  <c r="J108" i="11"/>
  <c r="I61" i="12"/>
  <c r="H62" i="12"/>
  <c r="P100" i="11" l="1"/>
  <c r="O59" i="12"/>
  <c r="F76" i="12"/>
  <c r="E76" i="12"/>
  <c r="E49" i="29" s="1"/>
  <c r="G76" i="12"/>
  <c r="G49" i="29" s="1"/>
  <c r="D76" i="12"/>
  <c r="D49" i="29"/>
  <c r="H76" i="12"/>
  <c r="H49" i="29" s="1"/>
  <c r="D112" i="12"/>
  <c r="I122" i="12"/>
  <c r="I137" i="11"/>
  <c r="J116" i="11"/>
  <c r="J29" i="12" s="1"/>
  <c r="J14" i="15" s="1"/>
  <c r="J18" i="15" s="1"/>
  <c r="I54" i="12"/>
  <c r="I117" i="11"/>
  <c r="I120" i="11" s="1"/>
  <c r="J78" i="11"/>
  <c r="K79" i="11" s="1"/>
  <c r="K80" i="11" s="1"/>
  <c r="I56" i="12"/>
  <c r="I57" i="12"/>
  <c r="J87" i="11"/>
  <c r="K88" i="11" s="1"/>
  <c r="J65" i="11"/>
  <c r="K66" i="11" s="1"/>
  <c r="K67" i="11" s="1"/>
  <c r="K96" i="11"/>
  <c r="L96" i="11" s="1"/>
  <c r="K104" i="11"/>
  <c r="J60" i="12"/>
  <c r="K108" i="11"/>
  <c r="J61" i="12"/>
  <c r="Q100" i="11" l="1"/>
  <c r="P59" i="12"/>
  <c r="F63" i="29"/>
  <c r="F54" i="29"/>
  <c r="F56" i="29"/>
  <c r="F60" i="29"/>
  <c r="F41" i="29"/>
  <c r="F53" i="29"/>
  <c r="F52" i="29"/>
  <c r="F58" i="29"/>
  <c r="F45" i="29"/>
  <c r="F55" i="29"/>
  <c r="F42" i="29"/>
  <c r="F40" i="29"/>
  <c r="F48" i="29"/>
  <c r="F47" i="29"/>
  <c r="F43" i="29"/>
  <c r="F57" i="29"/>
  <c r="F46" i="29"/>
  <c r="F44" i="29"/>
  <c r="F59" i="29"/>
  <c r="F61" i="29"/>
  <c r="F49" i="29"/>
  <c r="H63" i="29"/>
  <c r="H54" i="29"/>
  <c r="H48" i="29"/>
  <c r="H52" i="29"/>
  <c r="H60" i="29"/>
  <c r="H56" i="29"/>
  <c r="H45" i="29"/>
  <c r="H41" i="29"/>
  <c r="H47" i="29"/>
  <c r="H53" i="29"/>
  <c r="H43" i="29"/>
  <c r="H55" i="29"/>
  <c r="H57" i="29"/>
  <c r="H58" i="29"/>
  <c r="H40" i="29"/>
  <c r="H44" i="29"/>
  <c r="H46" i="29"/>
  <c r="H42" i="29"/>
  <c r="H59" i="29"/>
  <c r="H61" i="29"/>
  <c r="G63" i="29"/>
  <c r="G54" i="29"/>
  <c r="G57" i="29"/>
  <c r="G45" i="29"/>
  <c r="G47" i="29"/>
  <c r="G40" i="29"/>
  <c r="G56" i="29"/>
  <c r="G53" i="29"/>
  <c r="G60" i="29"/>
  <c r="G44" i="29"/>
  <c r="G41" i="29"/>
  <c r="G43" i="29"/>
  <c r="G46" i="29"/>
  <c r="G52" i="29"/>
  <c r="G48" i="29"/>
  <c r="G55" i="29"/>
  <c r="G42" i="29"/>
  <c r="G58" i="29"/>
  <c r="G59" i="29"/>
  <c r="G61" i="29"/>
  <c r="E63" i="29"/>
  <c r="E54" i="29"/>
  <c r="E43" i="29"/>
  <c r="E41" i="29"/>
  <c r="E40" i="29"/>
  <c r="E44" i="29"/>
  <c r="E53" i="29"/>
  <c r="E60" i="29"/>
  <c r="E48" i="29"/>
  <c r="E56" i="29"/>
  <c r="E47" i="29"/>
  <c r="E58" i="29"/>
  <c r="E55" i="29"/>
  <c r="E42" i="29"/>
  <c r="E45" i="29"/>
  <c r="E52" i="29"/>
  <c r="E46" i="29"/>
  <c r="E57" i="29"/>
  <c r="E59" i="29"/>
  <c r="E61" i="29"/>
  <c r="F112" i="12"/>
  <c r="D63" i="29"/>
  <c r="D54" i="29"/>
  <c r="D47" i="29"/>
  <c r="D52" i="29"/>
  <c r="D56" i="29"/>
  <c r="D60" i="29"/>
  <c r="D44" i="29"/>
  <c r="D45" i="29"/>
  <c r="D46" i="29"/>
  <c r="D41" i="29"/>
  <c r="D42" i="29"/>
  <c r="D53" i="29"/>
  <c r="D58" i="29"/>
  <c r="D48" i="29"/>
  <c r="D57" i="29"/>
  <c r="D40" i="29"/>
  <c r="D43" i="29"/>
  <c r="D55" i="29"/>
  <c r="D59" i="29"/>
  <c r="D61" i="29"/>
  <c r="H112" i="12"/>
  <c r="G112" i="12"/>
  <c r="E112" i="12"/>
  <c r="J81" i="11"/>
  <c r="J56" i="12" s="1"/>
  <c r="J122" i="12"/>
  <c r="J137" i="11"/>
  <c r="J126" i="11"/>
  <c r="K126" i="11" s="1"/>
  <c r="L126" i="11" s="1"/>
  <c r="M126" i="11" s="1"/>
  <c r="N126" i="11" s="1"/>
  <c r="O126" i="11" s="1"/>
  <c r="P126" i="11" s="1"/>
  <c r="Q126" i="11" s="1"/>
  <c r="R126" i="11" s="1"/>
  <c r="J68" i="11"/>
  <c r="J69" i="11" s="1"/>
  <c r="J55" i="12"/>
  <c r="K58" i="12"/>
  <c r="K130" i="12" s="1"/>
  <c r="K134" i="12" s="1"/>
  <c r="L108" i="11"/>
  <c r="K61" i="12"/>
  <c r="L104" i="11"/>
  <c r="K60" i="12"/>
  <c r="M96" i="11"/>
  <c r="L58" i="12"/>
  <c r="R100" i="11" l="1"/>
  <c r="R59" i="12" s="1"/>
  <c r="Q59" i="12"/>
  <c r="M58" i="12"/>
  <c r="N96" i="11"/>
  <c r="L130" i="12"/>
  <c r="L134" i="12" s="1"/>
  <c r="M130" i="12"/>
  <c r="M134" i="12" s="1"/>
  <c r="J82" i="11"/>
  <c r="K78" i="11"/>
  <c r="L79" i="11" s="1"/>
  <c r="L80" i="11" s="1"/>
  <c r="K65" i="11"/>
  <c r="L66" i="11" s="1"/>
  <c r="L67" i="11" s="1"/>
  <c r="J54" i="12"/>
  <c r="K55" i="12"/>
  <c r="M108" i="11"/>
  <c r="L61" i="12"/>
  <c r="M104" i="11"/>
  <c r="L60" i="12"/>
  <c r="O96" i="11" l="1"/>
  <c r="N58" i="12"/>
  <c r="N130" i="12" s="1"/>
  <c r="N134" i="12" s="1"/>
  <c r="M60" i="12"/>
  <c r="N104" i="11"/>
  <c r="M61" i="12"/>
  <c r="N108" i="11"/>
  <c r="K81" i="11"/>
  <c r="K82" i="11" s="1"/>
  <c r="K68" i="11"/>
  <c r="L55" i="12"/>
  <c r="M55" i="12"/>
  <c r="N60" i="12" l="1"/>
  <c r="O104" i="11"/>
  <c r="O108" i="11"/>
  <c r="N61" i="12"/>
  <c r="O58" i="12"/>
  <c r="O130" i="12" s="1"/>
  <c r="O134" i="12" s="1"/>
  <c r="P96" i="11"/>
  <c r="L78" i="11"/>
  <c r="M79" i="11" s="1"/>
  <c r="M80" i="11" s="1"/>
  <c r="K56" i="12"/>
  <c r="K69" i="11"/>
  <c r="L65" i="11"/>
  <c r="K54" i="12"/>
  <c r="Q96" i="11" l="1"/>
  <c r="P58" i="12"/>
  <c r="P130" i="12" s="1"/>
  <c r="P134" i="12" s="1"/>
  <c r="P108" i="11"/>
  <c r="O61" i="12"/>
  <c r="P104" i="11"/>
  <c r="O60" i="12"/>
  <c r="L81" i="11"/>
  <c r="L56" i="12" s="1"/>
  <c r="L68" i="11"/>
  <c r="M66" i="11"/>
  <c r="M67" i="11" s="1"/>
  <c r="J594" i="20"/>
  <c r="I594" i="20"/>
  <c r="H594" i="20"/>
  <c r="G594" i="20"/>
  <c r="F594" i="20"/>
  <c r="E594" i="20"/>
  <c r="D594" i="20"/>
  <c r="J589" i="20"/>
  <c r="I589" i="20"/>
  <c r="H589" i="20"/>
  <c r="G589" i="20"/>
  <c r="F589" i="20"/>
  <c r="E589" i="20"/>
  <c r="J620" i="20"/>
  <c r="I620" i="20"/>
  <c r="H620" i="20"/>
  <c r="G620" i="20"/>
  <c r="F620" i="20"/>
  <c r="E620" i="20"/>
  <c r="F619" i="20"/>
  <c r="G619" i="20"/>
  <c r="H619" i="20"/>
  <c r="I619" i="20"/>
  <c r="J619" i="20"/>
  <c r="E619" i="20"/>
  <c r="E605" i="20"/>
  <c r="F605" i="20" s="1"/>
  <c r="G605" i="20" s="1"/>
  <c r="H605" i="20" s="1"/>
  <c r="I605" i="20" s="1"/>
  <c r="J605" i="20" s="1"/>
  <c r="J603" i="20"/>
  <c r="J612" i="20" s="1"/>
  <c r="I603" i="20"/>
  <c r="I611" i="20" s="1"/>
  <c r="H603" i="20"/>
  <c r="H611" i="20" s="1"/>
  <c r="G603" i="20"/>
  <c r="G611" i="20" s="1"/>
  <c r="F603" i="20"/>
  <c r="F611" i="20" s="1"/>
  <c r="E603" i="20"/>
  <c r="E611" i="20" s="1"/>
  <c r="D603" i="20"/>
  <c r="D611" i="20" s="1"/>
  <c r="E596" i="20"/>
  <c r="F596" i="20" s="1"/>
  <c r="G596" i="20" s="1"/>
  <c r="H596" i="20" s="1"/>
  <c r="I596" i="20" s="1"/>
  <c r="J596" i="20" s="1"/>
  <c r="J591" i="20"/>
  <c r="I591" i="20"/>
  <c r="H591" i="20"/>
  <c r="G591" i="20"/>
  <c r="F591" i="20"/>
  <c r="J590" i="20"/>
  <c r="I590" i="20"/>
  <c r="H590" i="20"/>
  <c r="G590" i="20"/>
  <c r="G593" i="20" s="1"/>
  <c r="F590" i="20"/>
  <c r="E591" i="20"/>
  <c r="E590" i="20"/>
  <c r="J579" i="20"/>
  <c r="J583" i="20" s="1"/>
  <c r="I579" i="20"/>
  <c r="I587" i="20" s="1"/>
  <c r="H579" i="20"/>
  <c r="H587" i="20" s="1"/>
  <c r="G579" i="20"/>
  <c r="G583" i="20" s="1"/>
  <c r="F579" i="20"/>
  <c r="F583" i="20" s="1"/>
  <c r="E579" i="20"/>
  <c r="E583" i="20" s="1"/>
  <c r="D579" i="20"/>
  <c r="D583" i="20" s="1"/>
  <c r="E576" i="20"/>
  <c r="F576" i="20" s="1"/>
  <c r="G576" i="20" s="1"/>
  <c r="H576" i="20" s="1"/>
  <c r="I576" i="20" s="1"/>
  <c r="J576" i="20" s="1"/>
  <c r="Q104" i="11" l="1"/>
  <c r="P60" i="12"/>
  <c r="Q108" i="11"/>
  <c r="P61" i="12"/>
  <c r="R96" i="11"/>
  <c r="R58" i="12" s="1"/>
  <c r="Q58" i="12"/>
  <c r="Q130" i="12" s="1"/>
  <c r="Q134" i="12" s="1"/>
  <c r="M78" i="11"/>
  <c r="L82" i="11"/>
  <c r="L54" i="12"/>
  <c r="L69" i="11"/>
  <c r="M65" i="11"/>
  <c r="L594" i="20"/>
  <c r="L589" i="20"/>
  <c r="M594" i="20"/>
  <c r="J609" i="20"/>
  <c r="H608" i="20"/>
  <c r="J608" i="20"/>
  <c r="I608" i="20"/>
  <c r="M589" i="20"/>
  <c r="I610" i="20"/>
  <c r="F593" i="20"/>
  <c r="J606" i="20"/>
  <c r="H610" i="20"/>
  <c r="J610" i="20"/>
  <c r="J611" i="20"/>
  <c r="D606" i="20"/>
  <c r="F612" i="20"/>
  <c r="I593" i="20"/>
  <c r="I606" i="20"/>
  <c r="J593" i="20"/>
  <c r="E593" i="20"/>
  <c r="J607" i="20"/>
  <c r="G612" i="20"/>
  <c r="E606" i="20"/>
  <c r="H612" i="20"/>
  <c r="F606" i="20"/>
  <c r="I612" i="20"/>
  <c r="G606" i="20"/>
  <c r="E610" i="20"/>
  <c r="H606" i="20"/>
  <c r="F610" i="20"/>
  <c r="D612" i="20"/>
  <c r="G610" i="20"/>
  <c r="E608" i="20"/>
  <c r="F608" i="20"/>
  <c r="H593" i="20"/>
  <c r="G608" i="20"/>
  <c r="E612" i="20"/>
  <c r="D607" i="20"/>
  <c r="D610" i="20"/>
  <c r="E607" i="20"/>
  <c r="E609" i="20"/>
  <c r="F607" i="20"/>
  <c r="F609" i="20"/>
  <c r="D608" i="20"/>
  <c r="G607" i="20"/>
  <c r="G609" i="20"/>
  <c r="D609" i="20"/>
  <c r="H607" i="20"/>
  <c r="H609" i="20"/>
  <c r="I607" i="20"/>
  <c r="I609" i="20"/>
  <c r="E587" i="20"/>
  <c r="F587" i="20"/>
  <c r="G587" i="20"/>
  <c r="J587" i="20"/>
  <c r="D587" i="20"/>
  <c r="I583" i="20"/>
  <c r="H583" i="20"/>
  <c r="R130" i="12" l="1"/>
  <c r="R134" i="12" s="1"/>
  <c r="R108" i="11"/>
  <c r="R61" i="12" s="1"/>
  <c r="Q61" i="12"/>
  <c r="M68" i="11"/>
  <c r="M69" i="11" s="1"/>
  <c r="N66" i="11"/>
  <c r="N67" i="11" s="1"/>
  <c r="M81" i="11"/>
  <c r="N79" i="11"/>
  <c r="N80" i="11" s="1"/>
  <c r="R104" i="11"/>
  <c r="R60" i="12" s="1"/>
  <c r="Q60" i="12"/>
  <c r="M82" i="11"/>
  <c r="L587" i="20"/>
  <c r="L593" i="20"/>
  <c r="M593" i="20"/>
  <c r="L583" i="20"/>
  <c r="M583" i="20"/>
  <c r="M587" i="20"/>
  <c r="M54" i="12" l="1"/>
  <c r="N65" i="11"/>
  <c r="M56" i="12"/>
  <c r="N78" i="11"/>
  <c r="O79" i="11" l="1"/>
  <c r="O80" i="11" s="1"/>
  <c r="N81" i="11"/>
  <c r="O66" i="11"/>
  <c r="O67" i="11" s="1"/>
  <c r="N68" i="11"/>
  <c r="E170" i="11"/>
  <c r="F170" i="11"/>
  <c r="G170" i="11"/>
  <c r="H170" i="11"/>
  <c r="D170" i="11"/>
  <c r="E565" i="20"/>
  <c r="F565" i="20" s="1"/>
  <c r="G565" i="20" s="1"/>
  <c r="H565" i="20" s="1"/>
  <c r="I565" i="20" s="1"/>
  <c r="J565" i="20" s="1"/>
  <c r="E158" i="11"/>
  <c r="F158" i="11"/>
  <c r="G158" i="11"/>
  <c r="H158" i="11"/>
  <c r="D158" i="11"/>
  <c r="F505" i="20"/>
  <c r="G505" i="20"/>
  <c r="H505" i="20"/>
  <c r="I505" i="20"/>
  <c r="J505" i="20"/>
  <c r="E505" i="20"/>
  <c r="V502" i="20"/>
  <c r="U502" i="20"/>
  <c r="T502" i="20"/>
  <c r="S502" i="20"/>
  <c r="R502" i="20"/>
  <c r="Q502" i="20"/>
  <c r="J502" i="20"/>
  <c r="I502" i="20"/>
  <c r="H502" i="20"/>
  <c r="G502" i="20"/>
  <c r="F502" i="20"/>
  <c r="E502" i="20"/>
  <c r="E474" i="20"/>
  <c r="D474" i="20"/>
  <c r="F453" i="20"/>
  <c r="F455" i="20" s="1"/>
  <c r="F460" i="20" s="1"/>
  <c r="F466" i="20" s="1"/>
  <c r="G453" i="20"/>
  <c r="G455" i="20" s="1"/>
  <c r="G460" i="20" s="1"/>
  <c r="H453" i="20"/>
  <c r="H455" i="20" s="1"/>
  <c r="H460" i="20" s="1"/>
  <c r="I453" i="20"/>
  <c r="I455" i="20" s="1"/>
  <c r="I460" i="20" s="1"/>
  <c r="J453" i="20"/>
  <c r="J455" i="20" s="1"/>
  <c r="J460" i="20" s="1"/>
  <c r="J466" i="20" s="1"/>
  <c r="E453" i="20"/>
  <c r="J449" i="20"/>
  <c r="J451" i="20" s="1"/>
  <c r="I449" i="20"/>
  <c r="I451" i="20" s="1"/>
  <c r="H449" i="20"/>
  <c r="H451" i="20" s="1"/>
  <c r="G449" i="20"/>
  <c r="G451" i="20" s="1"/>
  <c r="F449" i="20"/>
  <c r="F451" i="20" s="1"/>
  <c r="E449" i="20"/>
  <c r="E451" i="20" s="1"/>
  <c r="J444" i="20"/>
  <c r="I444" i="20"/>
  <c r="H444" i="20"/>
  <c r="G444" i="20"/>
  <c r="F444" i="20"/>
  <c r="E444" i="20"/>
  <c r="E442" i="20"/>
  <c r="F442" i="20" s="1"/>
  <c r="G442" i="20" s="1"/>
  <c r="H442" i="20" s="1"/>
  <c r="I442" i="20" s="1"/>
  <c r="J442" i="20" s="1"/>
  <c r="G447" i="20"/>
  <c r="F447" i="20"/>
  <c r="E447" i="20"/>
  <c r="J447" i="20"/>
  <c r="I447" i="20"/>
  <c r="H447" i="20"/>
  <c r="H164" i="11"/>
  <c r="G164" i="11"/>
  <c r="F164" i="11"/>
  <c r="E164" i="11"/>
  <c r="D164" i="11"/>
  <c r="N56" i="12" l="1"/>
  <c r="O78" i="11"/>
  <c r="N82" i="11"/>
  <c r="S56" i="12"/>
  <c r="N54" i="12"/>
  <c r="O65" i="11"/>
  <c r="N69" i="11"/>
  <c r="L447" i="20"/>
  <c r="M453" i="20"/>
  <c r="L444" i="20"/>
  <c r="M447" i="20"/>
  <c r="M444" i="20"/>
  <c r="M451" i="20"/>
  <c r="L451" i="20"/>
  <c r="G466" i="20"/>
  <c r="G465" i="20"/>
  <c r="H466" i="20"/>
  <c r="H465" i="20"/>
  <c r="I466" i="20"/>
  <c r="I465" i="20"/>
  <c r="F465" i="20"/>
  <c r="L453" i="20"/>
  <c r="E455" i="20"/>
  <c r="J465" i="20"/>
  <c r="P66" i="11" l="1"/>
  <c r="P67" i="11" s="1"/>
  <c r="O68" i="11"/>
  <c r="P79" i="11"/>
  <c r="P80" i="11" s="1"/>
  <c r="O81" i="11"/>
  <c r="M455" i="20"/>
  <c r="E460" i="20"/>
  <c r="L455" i="20"/>
  <c r="J368" i="20"/>
  <c r="I368" i="20"/>
  <c r="H368" i="20"/>
  <c r="G368" i="20"/>
  <c r="F368" i="20"/>
  <c r="E368" i="20"/>
  <c r="D368" i="20"/>
  <c r="F359" i="20"/>
  <c r="G359" i="20"/>
  <c r="H359" i="20"/>
  <c r="I359" i="20"/>
  <c r="J359" i="20"/>
  <c r="E359" i="20"/>
  <c r="E335" i="20"/>
  <c r="F335" i="20"/>
  <c r="G335" i="20"/>
  <c r="H335" i="20"/>
  <c r="I335" i="20"/>
  <c r="J335" i="20"/>
  <c r="E336" i="20"/>
  <c r="F336" i="20"/>
  <c r="G336" i="20"/>
  <c r="H336" i="20"/>
  <c r="I336" i="20"/>
  <c r="J336" i="20"/>
  <c r="E337" i="20"/>
  <c r="F337" i="20"/>
  <c r="G337" i="20"/>
  <c r="H337" i="20"/>
  <c r="I337" i="20"/>
  <c r="J337" i="20"/>
  <c r="E338" i="20"/>
  <c r="E567" i="20" s="1"/>
  <c r="E569" i="20" s="1"/>
  <c r="F338" i="20"/>
  <c r="F567" i="20" s="1"/>
  <c r="F569" i="20" s="1"/>
  <c r="G338" i="20"/>
  <c r="G567" i="20" s="1"/>
  <c r="G569" i="20" s="1"/>
  <c r="H338" i="20"/>
  <c r="H567" i="20" s="1"/>
  <c r="H569" i="20" s="1"/>
  <c r="I338" i="20"/>
  <c r="I567" i="20" s="1"/>
  <c r="I569" i="20" s="1"/>
  <c r="J338" i="20"/>
  <c r="J567" i="20" s="1"/>
  <c r="J569" i="20" s="1"/>
  <c r="E339" i="20"/>
  <c r="F339" i="20"/>
  <c r="G339" i="20"/>
  <c r="H339" i="20"/>
  <c r="I339" i="20"/>
  <c r="J339" i="20"/>
  <c r="E340" i="20"/>
  <c r="F340" i="20"/>
  <c r="G340" i="20"/>
  <c r="H340" i="20"/>
  <c r="I340" i="20"/>
  <c r="J340" i="20"/>
  <c r="E332" i="20"/>
  <c r="E361" i="20" s="1"/>
  <c r="F332" i="20"/>
  <c r="F361" i="20" s="1"/>
  <c r="G332" i="20"/>
  <c r="G361" i="20" s="1"/>
  <c r="H332" i="20"/>
  <c r="H361" i="20" s="1"/>
  <c r="I332" i="20"/>
  <c r="J332" i="20"/>
  <c r="E333" i="20"/>
  <c r="F333" i="20"/>
  <c r="G333" i="20"/>
  <c r="H333" i="20"/>
  <c r="I333" i="20"/>
  <c r="J333" i="20"/>
  <c r="D340" i="20"/>
  <c r="D339" i="20"/>
  <c r="D338" i="20"/>
  <c r="D567" i="20" s="1"/>
  <c r="D569" i="20" s="1"/>
  <c r="D337" i="20"/>
  <c r="D336" i="20"/>
  <c r="D335" i="20"/>
  <c r="D333" i="20"/>
  <c r="D332" i="20"/>
  <c r="D361" i="20" s="1"/>
  <c r="E315" i="20"/>
  <c r="D315" i="20"/>
  <c r="E48" i="11"/>
  <c r="E24" i="12" s="1"/>
  <c r="F48" i="11"/>
  <c r="F24" i="12" s="1"/>
  <c r="G48" i="11"/>
  <c r="G24" i="12" s="1"/>
  <c r="H48" i="11"/>
  <c r="H24" i="12" s="1"/>
  <c r="E43" i="11"/>
  <c r="E23" i="12" s="1"/>
  <c r="F43" i="11"/>
  <c r="F23" i="12" s="1"/>
  <c r="G43" i="11"/>
  <c r="G23" i="12" s="1"/>
  <c r="H43" i="11"/>
  <c r="H23" i="12" s="1"/>
  <c r="E38" i="11"/>
  <c r="E22" i="12" s="1"/>
  <c r="F38" i="11"/>
  <c r="F22" i="12" s="1"/>
  <c r="G38" i="11"/>
  <c r="G22" i="12" s="1"/>
  <c r="H38" i="11"/>
  <c r="H22" i="12" s="1"/>
  <c r="E33" i="11"/>
  <c r="E21" i="12" s="1"/>
  <c r="F33" i="11"/>
  <c r="F21" i="12" s="1"/>
  <c r="G33" i="11"/>
  <c r="G21" i="12" s="1"/>
  <c r="H33" i="11"/>
  <c r="H21" i="12" s="1"/>
  <c r="D48" i="11"/>
  <c r="D24" i="12" s="1"/>
  <c r="D43" i="11"/>
  <c r="D23" i="12" s="1"/>
  <c r="D38" i="11"/>
  <c r="D22" i="12" s="1"/>
  <c r="D33" i="11"/>
  <c r="D21" i="12" s="1"/>
  <c r="E28" i="11"/>
  <c r="E20" i="12" s="1"/>
  <c r="F28" i="11"/>
  <c r="F20" i="12" s="1"/>
  <c r="G28" i="11"/>
  <c r="G20" i="12" s="1"/>
  <c r="H28" i="11"/>
  <c r="H20" i="12" s="1"/>
  <c r="D28" i="11"/>
  <c r="D20" i="12" s="1"/>
  <c r="M65" i="5"/>
  <c r="L65" i="5"/>
  <c r="K65" i="5"/>
  <c r="J65" i="5"/>
  <c r="I65" i="5"/>
  <c r="B59" i="5"/>
  <c r="M63" i="5"/>
  <c r="M49" i="11" s="1"/>
  <c r="L63" i="5"/>
  <c r="L49" i="11" s="1"/>
  <c r="K63" i="5"/>
  <c r="K49" i="11" s="1"/>
  <c r="J63" i="5"/>
  <c r="J49" i="11" s="1"/>
  <c r="I63" i="5"/>
  <c r="I49" i="11" s="1"/>
  <c r="B63" i="5"/>
  <c r="B53" i="5"/>
  <c r="M57" i="5"/>
  <c r="M44" i="11" s="1"/>
  <c r="L57" i="5"/>
  <c r="L44" i="11" s="1"/>
  <c r="K57" i="5"/>
  <c r="K44" i="11" s="1"/>
  <c r="J57" i="5"/>
  <c r="J44" i="11" s="1"/>
  <c r="I57" i="5"/>
  <c r="I44" i="11" s="1"/>
  <c r="B57" i="5"/>
  <c r="B47" i="5"/>
  <c r="M51" i="5"/>
  <c r="M39" i="11" s="1"/>
  <c r="L51" i="5"/>
  <c r="L39" i="11" s="1"/>
  <c r="K51" i="5"/>
  <c r="K39" i="11" s="1"/>
  <c r="J51" i="5"/>
  <c r="J39" i="11" s="1"/>
  <c r="I51" i="5"/>
  <c r="I39" i="11" s="1"/>
  <c r="B51" i="5"/>
  <c r="B41" i="5"/>
  <c r="M45" i="5"/>
  <c r="M34" i="11" s="1"/>
  <c r="L45" i="5"/>
  <c r="L34" i="11" s="1"/>
  <c r="K45" i="5"/>
  <c r="K34" i="11" s="1"/>
  <c r="J45" i="5"/>
  <c r="J34" i="11" s="1"/>
  <c r="I45" i="5"/>
  <c r="I34" i="11" s="1"/>
  <c r="B45" i="5"/>
  <c r="M39" i="5"/>
  <c r="M29" i="11" s="1"/>
  <c r="J39" i="5"/>
  <c r="J29" i="11" s="1"/>
  <c r="I39" i="5"/>
  <c r="I29" i="11" s="1"/>
  <c r="B39" i="5"/>
  <c r="K39" i="5"/>
  <c r="K29" i="11" s="1"/>
  <c r="M259" i="20"/>
  <c r="L259" i="20"/>
  <c r="M256" i="20"/>
  <c r="L256" i="20"/>
  <c r="M253" i="20"/>
  <c r="L253" i="20"/>
  <c r="M250" i="20"/>
  <c r="L250" i="20"/>
  <c r="M247" i="20"/>
  <c r="L247" i="20"/>
  <c r="J260" i="20"/>
  <c r="H49" i="11" s="1"/>
  <c r="I260" i="20"/>
  <c r="G61" i="5" s="1"/>
  <c r="G62" i="5" s="1"/>
  <c r="H260" i="20"/>
  <c r="F61" i="5" s="1"/>
  <c r="F62" i="5" s="1"/>
  <c r="G260" i="20"/>
  <c r="E49" i="11" s="1"/>
  <c r="F260" i="20"/>
  <c r="D61" i="5" s="1"/>
  <c r="D62" i="5" s="1"/>
  <c r="E260" i="20"/>
  <c r="D260" i="20"/>
  <c r="E254" i="20"/>
  <c r="F254" i="20"/>
  <c r="D39" i="11" s="1"/>
  <c r="G254" i="20"/>
  <c r="E39" i="11" s="1"/>
  <c r="H254" i="20"/>
  <c r="F49" i="5" s="1"/>
  <c r="F50" i="5" s="1"/>
  <c r="I254" i="20"/>
  <c r="G49" i="5" s="1"/>
  <c r="G50" i="5" s="1"/>
  <c r="J254" i="20"/>
  <c r="H49" i="5" s="1"/>
  <c r="H50" i="5" s="1"/>
  <c r="D254" i="20"/>
  <c r="J257" i="20"/>
  <c r="H44" i="11" s="1"/>
  <c r="I257" i="20"/>
  <c r="G44" i="11" s="1"/>
  <c r="H257" i="20"/>
  <c r="F44" i="11" s="1"/>
  <c r="G257" i="20"/>
  <c r="F257" i="20"/>
  <c r="D44" i="11" s="1"/>
  <c r="E257" i="20"/>
  <c r="D257" i="20"/>
  <c r="E251" i="20"/>
  <c r="G251" i="20"/>
  <c r="E34" i="11" s="1"/>
  <c r="H251" i="20"/>
  <c r="F34" i="11" s="1"/>
  <c r="I251" i="20"/>
  <c r="G34" i="11" s="1"/>
  <c r="J251" i="20"/>
  <c r="H34" i="11" s="1"/>
  <c r="D251" i="20"/>
  <c r="J248" i="20"/>
  <c r="H37" i="5" s="1"/>
  <c r="H38" i="5" s="1"/>
  <c r="I248" i="20"/>
  <c r="G37" i="5" s="1"/>
  <c r="G38" i="5" s="1"/>
  <c r="H248" i="20"/>
  <c r="F37" i="5" s="1"/>
  <c r="F38" i="5" s="1"/>
  <c r="G248" i="20"/>
  <c r="E37" i="5" s="1"/>
  <c r="E38" i="5" s="1"/>
  <c r="F248" i="20"/>
  <c r="D37" i="5" s="1"/>
  <c r="D38" i="5" s="1"/>
  <c r="E248" i="20"/>
  <c r="D248" i="20"/>
  <c r="E244" i="20"/>
  <c r="F244" i="20" s="1"/>
  <c r="G244" i="20" s="1"/>
  <c r="H244" i="20" s="1"/>
  <c r="I244" i="20" s="1"/>
  <c r="J244" i="20" s="1"/>
  <c r="E220" i="20"/>
  <c r="F220" i="20" s="1"/>
  <c r="G220" i="20" s="1"/>
  <c r="H220" i="20" s="1"/>
  <c r="I220" i="20" s="1"/>
  <c r="J220" i="20" s="1"/>
  <c r="J216" i="20"/>
  <c r="J234" i="20" s="1"/>
  <c r="I216" i="20"/>
  <c r="I241" i="20" s="1"/>
  <c r="H216" i="20"/>
  <c r="H236" i="20" s="1"/>
  <c r="G216" i="20"/>
  <c r="G231" i="20" s="1"/>
  <c r="F216" i="20"/>
  <c r="F238" i="20" s="1"/>
  <c r="E233" i="20"/>
  <c r="D216" i="20"/>
  <c r="D240" i="20" s="1"/>
  <c r="E192" i="20"/>
  <c r="F192" i="20" s="1"/>
  <c r="G192" i="20" s="1"/>
  <c r="H192" i="20" s="1"/>
  <c r="I192" i="20" s="1"/>
  <c r="J192" i="20" s="1"/>
  <c r="E187" i="20"/>
  <c r="F187" i="20"/>
  <c r="G187" i="20"/>
  <c r="H187" i="20"/>
  <c r="I187" i="20"/>
  <c r="J187" i="20"/>
  <c r="D187" i="20"/>
  <c r="E185" i="20"/>
  <c r="F185" i="20"/>
  <c r="G185" i="20"/>
  <c r="H185" i="20"/>
  <c r="I185" i="20"/>
  <c r="J185" i="20"/>
  <c r="D185" i="20"/>
  <c r="E184" i="20"/>
  <c r="F184" i="20"/>
  <c r="G184" i="20"/>
  <c r="H184" i="20"/>
  <c r="I184" i="20"/>
  <c r="J184" i="20"/>
  <c r="D184" i="20"/>
  <c r="B184" i="20"/>
  <c r="E183" i="20"/>
  <c r="F183" i="20"/>
  <c r="G183" i="20"/>
  <c r="H183" i="20"/>
  <c r="I183" i="20"/>
  <c r="J183" i="20"/>
  <c r="D183" i="20"/>
  <c r="B183" i="20"/>
  <c r="S15" i="12"/>
  <c r="I24" i="21"/>
  <c r="H24" i="21"/>
  <c r="G24" i="21"/>
  <c r="F24" i="21"/>
  <c r="E24" i="21"/>
  <c r="D24" i="21"/>
  <c r="C24" i="21"/>
  <c r="I23" i="21"/>
  <c r="H23" i="21"/>
  <c r="G23" i="21"/>
  <c r="F23" i="21"/>
  <c r="E23" i="21"/>
  <c r="D23" i="21"/>
  <c r="C23" i="21"/>
  <c r="D22" i="21"/>
  <c r="E22" i="21"/>
  <c r="F22" i="21"/>
  <c r="G22" i="21"/>
  <c r="H22" i="21"/>
  <c r="I22" i="21"/>
  <c r="C22" i="21"/>
  <c r="H20" i="11"/>
  <c r="G20" i="11"/>
  <c r="F20" i="11"/>
  <c r="E20" i="11"/>
  <c r="D20" i="11"/>
  <c r="E25" i="5"/>
  <c r="E26" i="5" s="1"/>
  <c r="E27" i="5" s="1"/>
  <c r="F25" i="5"/>
  <c r="F26" i="5" s="1"/>
  <c r="F27" i="5" s="1"/>
  <c r="G25" i="5"/>
  <c r="G26" i="5" s="1"/>
  <c r="G27" i="5" s="1"/>
  <c r="H25" i="5"/>
  <c r="H26" i="5" s="1"/>
  <c r="H27" i="5" s="1"/>
  <c r="D25" i="5"/>
  <c r="D26" i="5" s="1"/>
  <c r="D27" i="5" s="1"/>
  <c r="M28" i="5"/>
  <c r="M30" i="5" s="1"/>
  <c r="M22" i="11" s="1"/>
  <c r="I28" i="5"/>
  <c r="I30" i="5" s="1"/>
  <c r="I22" i="11" s="1"/>
  <c r="B28" i="5"/>
  <c r="O56" i="12" l="1"/>
  <c r="P78" i="11"/>
  <c r="O82" i="11"/>
  <c r="O54" i="12"/>
  <c r="P65" i="11"/>
  <c r="O69" i="11"/>
  <c r="F14" i="12"/>
  <c r="H14" i="12"/>
  <c r="D14" i="12"/>
  <c r="E14" i="12"/>
  <c r="G14" i="12"/>
  <c r="H135" i="11"/>
  <c r="H136" i="11"/>
  <c r="M359" i="20"/>
  <c r="L359" i="20"/>
  <c r="E465" i="20"/>
  <c r="E466" i="20"/>
  <c r="F341" i="20"/>
  <c r="F350" i="20" s="1"/>
  <c r="H364" i="20"/>
  <c r="H366" i="20" s="1"/>
  <c r="E364" i="20"/>
  <c r="E366" i="20" s="1"/>
  <c r="E341" i="20"/>
  <c r="E351" i="20" s="1"/>
  <c r="J341" i="20"/>
  <c r="J350" i="20" s="1"/>
  <c r="I341" i="20"/>
  <c r="I350" i="20" s="1"/>
  <c r="G364" i="20"/>
  <c r="G366" i="20" s="1"/>
  <c r="D341" i="20"/>
  <c r="D350" i="20" s="1"/>
  <c r="H341" i="20"/>
  <c r="H351" i="20" s="1"/>
  <c r="G341" i="20"/>
  <c r="G348" i="20" s="1"/>
  <c r="F364" i="20"/>
  <c r="F366" i="20" s="1"/>
  <c r="E362" i="20"/>
  <c r="I361" i="20"/>
  <c r="I364" i="20" s="1"/>
  <c r="I366" i="20" s="1"/>
  <c r="J361" i="20"/>
  <c r="F362" i="20"/>
  <c r="G362" i="20"/>
  <c r="H362" i="20"/>
  <c r="D29" i="11"/>
  <c r="E29" i="11"/>
  <c r="M254" i="20"/>
  <c r="F29" i="11"/>
  <c r="E44" i="11"/>
  <c r="H29" i="11"/>
  <c r="M248" i="20"/>
  <c r="F262" i="20"/>
  <c r="E43" i="5"/>
  <c r="E44" i="5" s="1"/>
  <c r="F43" i="5"/>
  <c r="F44" i="5" s="1"/>
  <c r="L254" i="20"/>
  <c r="E49" i="5"/>
  <c r="E50" i="5" s="1"/>
  <c r="M257" i="20"/>
  <c r="D49" i="5"/>
  <c r="D50" i="5" s="1"/>
  <c r="H39" i="11"/>
  <c r="F39" i="11"/>
  <c r="D262" i="20"/>
  <c r="D49" i="11"/>
  <c r="G43" i="5"/>
  <c r="G44" i="5" s="1"/>
  <c r="G29" i="11"/>
  <c r="G39" i="11"/>
  <c r="G55" i="5"/>
  <c r="G56" i="5" s="1"/>
  <c r="L248" i="20"/>
  <c r="L257" i="20"/>
  <c r="H61" i="5"/>
  <c r="H62" i="5" s="1"/>
  <c r="D34" i="11"/>
  <c r="G49" i="11"/>
  <c r="E61" i="5"/>
  <c r="E62" i="5" s="1"/>
  <c r="F49" i="11"/>
  <c r="H262" i="20"/>
  <c r="H43" i="5"/>
  <c r="H44" i="5" s="1"/>
  <c r="H55" i="5"/>
  <c r="H56" i="5" s="1"/>
  <c r="D55" i="5"/>
  <c r="D56" i="5" s="1"/>
  <c r="I262" i="20"/>
  <c r="E262" i="20"/>
  <c r="L251" i="20"/>
  <c r="L260" i="20"/>
  <c r="G262" i="20"/>
  <c r="J262" i="20"/>
  <c r="M251" i="20"/>
  <c r="M260" i="20"/>
  <c r="D43" i="5"/>
  <c r="D44" i="5" s="1"/>
  <c r="F55" i="5"/>
  <c r="F56" i="5" s="1"/>
  <c r="E51" i="11"/>
  <c r="F51" i="11"/>
  <c r="G51" i="11"/>
  <c r="D51" i="11"/>
  <c r="H51" i="11"/>
  <c r="E55" i="5"/>
  <c r="E56" i="5" s="1"/>
  <c r="L39" i="5"/>
  <c r="L29" i="11" s="1"/>
  <c r="G188" i="20"/>
  <c r="D221" i="20"/>
  <c r="H188" i="20"/>
  <c r="F188" i="20"/>
  <c r="D222" i="20"/>
  <c r="D230" i="20"/>
  <c r="F218" i="20"/>
  <c r="E218" i="20"/>
  <c r="D218" i="20"/>
  <c r="I218" i="20"/>
  <c r="J218" i="20"/>
  <c r="H218" i="20"/>
  <c r="J229" i="20"/>
  <c r="F233" i="20"/>
  <c r="G218" i="20"/>
  <c r="D232" i="20"/>
  <c r="D234" i="20"/>
  <c r="D235" i="20"/>
  <c r="D236" i="20"/>
  <c r="L187" i="20"/>
  <c r="D237" i="20"/>
  <c r="I188" i="20"/>
  <c r="F237" i="20"/>
  <c r="E188" i="20"/>
  <c r="H224" i="20"/>
  <c r="I224" i="20"/>
  <c r="J224" i="20"/>
  <c r="D239" i="20"/>
  <c r="D227" i="20"/>
  <c r="D241" i="20"/>
  <c r="D229" i="20"/>
  <c r="D242" i="20"/>
  <c r="E229" i="20"/>
  <c r="E239" i="20"/>
  <c r="F234" i="20"/>
  <c r="E235" i="20"/>
  <c r="F221" i="20"/>
  <c r="H231" i="20"/>
  <c r="I231" i="20"/>
  <c r="E241" i="20"/>
  <c r="J188" i="20"/>
  <c r="E222" i="20"/>
  <c r="F227" i="20"/>
  <c r="J236" i="20"/>
  <c r="E223" i="20"/>
  <c r="F223" i="20"/>
  <c r="E234" i="20"/>
  <c r="F239" i="20"/>
  <c r="E230" i="20"/>
  <c r="E240" i="20"/>
  <c r="E221" i="20"/>
  <c r="F230" i="20"/>
  <c r="F240" i="20"/>
  <c r="F235" i="20"/>
  <c r="E227" i="20"/>
  <c r="J231" i="20"/>
  <c r="I236" i="20"/>
  <c r="J241" i="20"/>
  <c r="L184" i="20"/>
  <c r="J222" i="20"/>
  <c r="E228" i="20"/>
  <c r="E232" i="20"/>
  <c r="E242" i="20"/>
  <c r="D223" i="20"/>
  <c r="F228" i="20"/>
  <c r="F232" i="20"/>
  <c r="E237" i="20"/>
  <c r="F242" i="20"/>
  <c r="G233" i="20"/>
  <c r="G240" i="20"/>
  <c r="I228" i="20"/>
  <c r="J233" i="20"/>
  <c r="G242" i="20"/>
  <c r="M187" i="20"/>
  <c r="G221" i="20"/>
  <c r="H230" i="20"/>
  <c r="G237" i="20"/>
  <c r="J235" i="20"/>
  <c r="I242" i="20"/>
  <c r="F222" i="20"/>
  <c r="D224" i="20"/>
  <c r="J221" i="20"/>
  <c r="H227" i="20"/>
  <c r="F229" i="20"/>
  <c r="D231" i="20"/>
  <c r="I232" i="20"/>
  <c r="G234" i="20"/>
  <c r="E236" i="20"/>
  <c r="J237" i="20"/>
  <c r="H239" i="20"/>
  <c r="F241" i="20"/>
  <c r="J226" i="20"/>
  <c r="H228" i="20"/>
  <c r="G235" i="20"/>
  <c r="J238" i="20"/>
  <c r="H240" i="20"/>
  <c r="J240" i="20"/>
  <c r="I223" i="20"/>
  <c r="J223" i="20"/>
  <c r="G227" i="20"/>
  <c r="J230" i="20"/>
  <c r="G239" i="20"/>
  <c r="G222" i="20"/>
  <c r="E224" i="20"/>
  <c r="D226" i="20"/>
  <c r="I227" i="20"/>
  <c r="G229" i="20"/>
  <c r="E231" i="20"/>
  <c r="J232" i="20"/>
  <c r="H234" i="20"/>
  <c r="F236" i="20"/>
  <c r="D238" i="20"/>
  <c r="I239" i="20"/>
  <c r="G241" i="20"/>
  <c r="G226" i="20"/>
  <c r="G238" i="20"/>
  <c r="H238" i="20"/>
  <c r="I226" i="20"/>
  <c r="H233" i="20"/>
  <c r="I238" i="20"/>
  <c r="I233" i="20"/>
  <c r="G223" i="20"/>
  <c r="G230" i="20"/>
  <c r="H235" i="20"/>
  <c r="I240" i="20"/>
  <c r="H223" i="20"/>
  <c r="J228" i="20"/>
  <c r="I235" i="20"/>
  <c r="H221" i="20"/>
  <c r="I230" i="20"/>
  <c r="H237" i="20"/>
  <c r="H222" i="20"/>
  <c r="F224" i="20"/>
  <c r="E226" i="20"/>
  <c r="J227" i="20"/>
  <c r="H229" i="20"/>
  <c r="F231" i="20"/>
  <c r="D233" i="20"/>
  <c r="I234" i="20"/>
  <c r="G236" i="20"/>
  <c r="E238" i="20"/>
  <c r="J239" i="20"/>
  <c r="H241" i="20"/>
  <c r="H226" i="20"/>
  <c r="G228" i="20"/>
  <c r="H242" i="20"/>
  <c r="G232" i="20"/>
  <c r="I221" i="20"/>
  <c r="H232" i="20"/>
  <c r="I237" i="20"/>
  <c r="J242" i="20"/>
  <c r="I222" i="20"/>
  <c r="G224" i="20"/>
  <c r="F226" i="20"/>
  <c r="D228" i="20"/>
  <c r="I229" i="20"/>
  <c r="M184" i="20"/>
  <c r="P68" i="11" l="1"/>
  <c r="Q66" i="11"/>
  <c r="Q67" i="11" s="1"/>
  <c r="Q79" i="11"/>
  <c r="Q80" i="11" s="1"/>
  <c r="P81" i="11"/>
  <c r="H371" i="20"/>
  <c r="H374" i="20" s="1"/>
  <c r="H378" i="20" s="1"/>
  <c r="F345" i="20"/>
  <c r="F351" i="20"/>
  <c r="I348" i="20"/>
  <c r="H373" i="20"/>
  <c r="H383" i="20"/>
  <c r="H384" i="20"/>
  <c r="I351" i="20"/>
  <c r="E350" i="20"/>
  <c r="J348" i="20"/>
  <c r="J351" i="20"/>
  <c r="G350" i="20"/>
  <c r="D352" i="20"/>
  <c r="G351" i="20"/>
  <c r="E371" i="20"/>
  <c r="I373" i="20"/>
  <c r="I371" i="20"/>
  <c r="I374" i="20" s="1"/>
  <c r="I378" i="20" s="1"/>
  <c r="F373" i="20"/>
  <c r="F371" i="20"/>
  <c r="F374" i="20" s="1"/>
  <c r="F378" i="20" s="1"/>
  <c r="E349" i="20"/>
  <c r="H350" i="20"/>
  <c r="G373" i="20"/>
  <c r="G371" i="20"/>
  <c r="G374" i="20" s="1"/>
  <c r="G378" i="20" s="1"/>
  <c r="D351" i="20"/>
  <c r="J362" i="20"/>
  <c r="J364" i="20"/>
  <c r="J366" i="20" s="1"/>
  <c r="M366" i="20" s="1"/>
  <c r="I362" i="20"/>
  <c r="E348" i="20"/>
  <c r="F352" i="20"/>
  <c r="F349" i="20"/>
  <c r="E352" i="20"/>
  <c r="D349" i="20"/>
  <c r="D348" i="20"/>
  <c r="D345" i="20"/>
  <c r="H348" i="20"/>
  <c r="G349" i="20"/>
  <c r="H349" i="20"/>
  <c r="F348" i="20"/>
  <c r="E345" i="20"/>
  <c r="J352" i="20"/>
  <c r="J345" i="20"/>
  <c r="I345" i="20"/>
  <c r="I352" i="20"/>
  <c r="I349" i="20"/>
  <c r="H345" i="20"/>
  <c r="H352" i="20"/>
  <c r="J349" i="20"/>
  <c r="G345" i="20"/>
  <c r="G352" i="20"/>
  <c r="D65" i="5"/>
  <c r="M262" i="20"/>
  <c r="F65" i="5"/>
  <c r="L262" i="20"/>
  <c r="E65" i="5"/>
  <c r="G65" i="5"/>
  <c r="H65" i="5"/>
  <c r="L218" i="20"/>
  <c r="M218" i="20"/>
  <c r="M235" i="20"/>
  <c r="M229" i="20"/>
  <c r="L241" i="20"/>
  <c r="M240" i="20"/>
  <c r="M232" i="20"/>
  <c r="M230" i="20"/>
  <c r="M223" i="20"/>
  <c r="L237" i="20"/>
  <c r="M236" i="20"/>
  <c r="L223" i="20"/>
  <c r="L221" i="20"/>
  <c r="L232" i="20"/>
  <c r="L240" i="20"/>
  <c r="M222" i="20"/>
  <c r="L229" i="20"/>
  <c r="L235" i="20"/>
  <c r="L234" i="20"/>
  <c r="M234" i="20"/>
  <c r="M226" i="20"/>
  <c r="L226" i="20"/>
  <c r="M231" i="20"/>
  <c r="L231" i="20"/>
  <c r="L236" i="20"/>
  <c r="L230" i="20"/>
  <c r="M237" i="20"/>
  <c r="L222" i="20"/>
  <c r="L233" i="20"/>
  <c r="M233" i="20"/>
  <c r="M239" i="20"/>
  <c r="L239" i="20"/>
  <c r="M224" i="20"/>
  <c r="L224" i="20"/>
  <c r="M241" i="20"/>
  <c r="M221" i="20"/>
  <c r="M228" i="20"/>
  <c r="L228" i="20"/>
  <c r="M238" i="20"/>
  <c r="L238" i="20"/>
  <c r="M227" i="20"/>
  <c r="L227" i="20"/>
  <c r="I21" i="21"/>
  <c r="H21" i="21"/>
  <c r="G21" i="21"/>
  <c r="F21" i="21"/>
  <c r="E21" i="21"/>
  <c r="D21" i="21"/>
  <c r="C21" i="21"/>
  <c r="E159" i="20"/>
  <c r="D159" i="20"/>
  <c r="E46" i="20"/>
  <c r="F46" i="20"/>
  <c r="D46" i="20"/>
  <c r="C46" i="20"/>
  <c r="B46" i="20"/>
  <c r="P56" i="12" l="1"/>
  <c r="Q78" i="11"/>
  <c r="P82" i="11"/>
  <c r="P54" i="12"/>
  <c r="Q65" i="11"/>
  <c r="P69" i="11"/>
  <c r="L366" i="20"/>
  <c r="M362" i="20"/>
  <c r="F383" i="20"/>
  <c r="F384" i="20"/>
  <c r="I383" i="20"/>
  <c r="I384" i="20"/>
  <c r="G383" i="20"/>
  <c r="G384" i="20"/>
  <c r="L362" i="20"/>
  <c r="E374" i="20"/>
  <c r="E373" i="20"/>
  <c r="J373" i="20"/>
  <c r="J371" i="20"/>
  <c r="J374" i="20" s="1"/>
  <c r="J378" i="20" s="1"/>
  <c r="D9" i="12"/>
  <c r="D9" i="15" s="1"/>
  <c r="D9" i="11"/>
  <c r="E9" i="5"/>
  <c r="B19" i="5"/>
  <c r="AA23" i="20"/>
  <c r="AA22" i="20"/>
  <c r="AA21" i="20"/>
  <c r="R66" i="11" l="1"/>
  <c r="R67" i="11" s="1"/>
  <c r="Q68" i="11"/>
  <c r="R79" i="11"/>
  <c r="R80" i="11" s="1"/>
  <c r="Q81" i="11"/>
  <c r="F9" i="5"/>
  <c r="F9" i="11" s="1"/>
  <c r="E9" i="29"/>
  <c r="L371" i="20"/>
  <c r="M371" i="20"/>
  <c r="L370" i="20"/>
  <c r="M370" i="20"/>
  <c r="J383" i="20"/>
  <c r="J384" i="20"/>
  <c r="L373" i="20"/>
  <c r="M373" i="20"/>
  <c r="L374" i="20"/>
  <c r="M374" i="20"/>
  <c r="E378" i="20"/>
  <c r="E9" i="12"/>
  <c r="E9" i="15" s="1"/>
  <c r="E9" i="11"/>
  <c r="M19" i="5"/>
  <c r="M15" i="11" s="1"/>
  <c r="I19" i="5"/>
  <c r="I15" i="11" s="1"/>
  <c r="Q56" i="12" l="1"/>
  <c r="Q82" i="11"/>
  <c r="R78" i="11"/>
  <c r="R81" i="11" s="1"/>
  <c r="Q54" i="12"/>
  <c r="R65" i="11"/>
  <c r="R68" i="11" s="1"/>
  <c r="Q69" i="11"/>
  <c r="G9" i="5"/>
  <c r="F9" i="29"/>
  <c r="F9" i="12"/>
  <c r="F9" i="15" s="1"/>
  <c r="E384" i="20"/>
  <c r="E383" i="20"/>
  <c r="J28" i="5"/>
  <c r="J30" i="5" s="1"/>
  <c r="J22" i="11" s="1"/>
  <c r="C8" i="21"/>
  <c r="D8" i="20" s="1"/>
  <c r="B7" i="20"/>
  <c r="D6" i="20"/>
  <c r="E6" i="20"/>
  <c r="F6" i="20"/>
  <c r="B6" i="20"/>
  <c r="R54" i="12" l="1"/>
  <c r="R69" i="11"/>
  <c r="R82" i="11"/>
  <c r="R56" i="12"/>
  <c r="H9" i="5"/>
  <c r="G9" i="29"/>
  <c r="G9" i="12"/>
  <c r="G9" i="15" s="1"/>
  <c r="G9" i="11"/>
  <c r="K28" i="5"/>
  <c r="K30" i="5" s="1"/>
  <c r="K22" i="11" s="1"/>
  <c r="H68" i="22"/>
  <c r="G68" i="22"/>
  <c r="E68" i="22"/>
  <c r="D56" i="22"/>
  <c r="C56" i="22"/>
  <c r="C68" i="22" s="1"/>
  <c r="I53" i="22"/>
  <c r="H53" i="22"/>
  <c r="G53" i="22"/>
  <c r="F53" i="22"/>
  <c r="E53" i="22"/>
  <c r="D53" i="22"/>
  <c r="C53" i="22"/>
  <c r="I42" i="22"/>
  <c r="H42" i="22"/>
  <c r="G42" i="22"/>
  <c r="F42" i="22"/>
  <c r="E42" i="22"/>
  <c r="D42" i="22"/>
  <c r="C42" i="22"/>
  <c r="I5" i="22"/>
  <c r="I22" i="22" s="1"/>
  <c r="H5" i="22"/>
  <c r="H22" i="22" s="1"/>
  <c r="G5" i="22"/>
  <c r="G22" i="22" s="1"/>
  <c r="F5" i="22"/>
  <c r="F22" i="22" s="1"/>
  <c r="E5" i="22"/>
  <c r="E22" i="22" s="1"/>
  <c r="D5" i="22"/>
  <c r="D22" i="22" s="1"/>
  <c r="C5" i="22"/>
  <c r="C22" i="22" s="1"/>
  <c r="F2" i="22"/>
  <c r="G2" i="22" s="1"/>
  <c r="H2" i="22" s="1"/>
  <c r="I2" i="22" s="1"/>
  <c r="D44" i="21"/>
  <c r="D46" i="21" s="1"/>
  <c r="C44" i="21"/>
  <c r="C46" i="21" s="1"/>
  <c r="I31" i="21"/>
  <c r="H31" i="21"/>
  <c r="G31" i="21"/>
  <c r="F31" i="21"/>
  <c r="E31" i="21"/>
  <c r="D31" i="21"/>
  <c r="C31" i="21"/>
  <c r="I16" i="21"/>
  <c r="H16" i="21"/>
  <c r="G16" i="21"/>
  <c r="F16" i="21"/>
  <c r="E16" i="21"/>
  <c r="E18" i="21" s="1"/>
  <c r="E19" i="21" s="1"/>
  <c r="F47" i="20" s="1"/>
  <c r="D16" i="21"/>
  <c r="D18" i="21" s="1"/>
  <c r="D19" i="21" s="1"/>
  <c r="E47" i="20" s="1"/>
  <c r="C16" i="21"/>
  <c r="C18" i="21" s="1"/>
  <c r="C19" i="21" s="1"/>
  <c r="D47" i="20" s="1"/>
  <c r="I6" i="21"/>
  <c r="H6" i="21"/>
  <c r="G6" i="21"/>
  <c r="F6" i="21"/>
  <c r="E6" i="21"/>
  <c r="D6" i="21"/>
  <c r="C6" i="21"/>
  <c r="F2" i="21"/>
  <c r="G46" i="20" s="1"/>
  <c r="I9" i="5" l="1"/>
  <c r="J9" i="5" s="1"/>
  <c r="K9" i="5" s="1"/>
  <c r="L9" i="5" s="1"/>
  <c r="M9" i="5" s="1"/>
  <c r="H9" i="29"/>
  <c r="I9" i="29" s="1"/>
  <c r="J9" i="29" s="1"/>
  <c r="K9" i="29" s="1"/>
  <c r="L9" i="29" s="1"/>
  <c r="M9" i="29" s="1"/>
  <c r="H9" i="12"/>
  <c r="H9" i="11"/>
  <c r="I9" i="11" s="1"/>
  <c r="J9" i="11" s="1"/>
  <c r="K9" i="11" s="1"/>
  <c r="L9" i="11" s="1"/>
  <c r="M9" i="11" s="1"/>
  <c r="F68" i="22"/>
  <c r="F69" i="22" s="1"/>
  <c r="D36" i="22"/>
  <c r="D68" i="22"/>
  <c r="E69" i="22"/>
  <c r="I68" i="22"/>
  <c r="C36" i="22"/>
  <c r="E36" i="22"/>
  <c r="F818" i="20" s="1"/>
  <c r="I36" i="22"/>
  <c r="J818" i="20" s="1"/>
  <c r="H69" i="22"/>
  <c r="C69" i="22"/>
  <c r="D69" i="22"/>
  <c r="G69" i="22"/>
  <c r="G36" i="22"/>
  <c r="H818" i="20" s="1"/>
  <c r="F36" i="22"/>
  <c r="G818" i="20" s="1"/>
  <c r="G18" i="21"/>
  <c r="G19" i="21" s="1"/>
  <c r="H47" i="20" s="1"/>
  <c r="D7" i="20"/>
  <c r="D720" i="20" s="1"/>
  <c r="H18" i="21"/>
  <c r="H19" i="21" s="1"/>
  <c r="I47" i="20" s="1"/>
  <c r="E7" i="20"/>
  <c r="E720" i="20" s="1"/>
  <c r="I18" i="21"/>
  <c r="I19" i="21" s="1"/>
  <c r="J47" i="20" s="1"/>
  <c r="F18" i="21"/>
  <c r="F19" i="21" s="1"/>
  <c r="G47" i="20" s="1"/>
  <c r="F26" i="21"/>
  <c r="F33" i="21" s="1"/>
  <c r="F36" i="21" s="1"/>
  <c r="F41" i="21" s="1"/>
  <c r="F44" i="21" s="1"/>
  <c r="F46" i="21" s="1"/>
  <c r="G2" i="21"/>
  <c r="H46" i="20" s="1"/>
  <c r="G6" i="20"/>
  <c r="D13" i="11"/>
  <c r="D22" i="11" s="1"/>
  <c r="F7" i="20"/>
  <c r="F720" i="20" s="1"/>
  <c r="G26" i="21"/>
  <c r="G33" i="21" s="1"/>
  <c r="G36" i="21" s="1"/>
  <c r="G41" i="21" s="1"/>
  <c r="G44" i="21" s="1"/>
  <c r="G46" i="21" s="1"/>
  <c r="F13" i="11"/>
  <c r="H7" i="20"/>
  <c r="H720" i="20" s="1"/>
  <c r="I8" i="21"/>
  <c r="H13" i="11"/>
  <c r="H22" i="11" s="1"/>
  <c r="J7" i="20"/>
  <c r="D8" i="21"/>
  <c r="E8" i="20" s="1"/>
  <c r="E8" i="21"/>
  <c r="E13" i="11"/>
  <c r="E22" i="11" s="1"/>
  <c r="G7" i="20"/>
  <c r="G720" i="20" s="1"/>
  <c r="H26" i="21"/>
  <c r="H33" i="21" s="1"/>
  <c r="H36" i="21" s="1"/>
  <c r="H41" i="21" s="1"/>
  <c r="H44" i="21" s="1"/>
  <c r="H46" i="21" s="1"/>
  <c r="G13" i="11"/>
  <c r="G22" i="11" s="1"/>
  <c r="I7" i="20"/>
  <c r="I720" i="20" s="1"/>
  <c r="C26" i="21"/>
  <c r="C33" i="21" s="1"/>
  <c r="C36" i="21" s="1"/>
  <c r="D26" i="21"/>
  <c r="D33" i="21" s="1"/>
  <c r="D36" i="21" s="1"/>
  <c r="E26" i="21"/>
  <c r="E33" i="21" s="1"/>
  <c r="E36" i="21" s="1"/>
  <c r="E41" i="21" s="1"/>
  <c r="E44" i="21" s="1"/>
  <c r="E46" i="21" s="1"/>
  <c r="F8" i="21"/>
  <c r="H36" i="22"/>
  <c r="I818" i="20" s="1"/>
  <c r="I69" i="22"/>
  <c r="G8" i="21"/>
  <c r="H8" i="21"/>
  <c r="I26" i="21"/>
  <c r="I33" i="21" s="1"/>
  <c r="I36" i="21" s="1"/>
  <c r="I41" i="21" s="1"/>
  <c r="I44" i="21" s="1"/>
  <c r="I46" i="21" s="1"/>
  <c r="I9" i="12" l="1"/>
  <c r="H9" i="15"/>
  <c r="F15" i="11"/>
  <c r="F22" i="11"/>
  <c r="I13" i="11"/>
  <c r="H15" i="11"/>
  <c r="G15" i="11"/>
  <c r="E15" i="11"/>
  <c r="J135" i="5"/>
  <c r="K135" i="5" s="1"/>
  <c r="L135" i="5" s="1"/>
  <c r="J136" i="5"/>
  <c r="K136" i="5" s="1"/>
  <c r="L136" i="5" s="1"/>
  <c r="J134" i="5"/>
  <c r="J17" i="5"/>
  <c r="K17" i="5" s="1"/>
  <c r="L17" i="5" s="1"/>
  <c r="J16" i="5"/>
  <c r="J27" i="5"/>
  <c r="K27" i="5" s="1"/>
  <c r="L27" i="5" s="1"/>
  <c r="J26" i="5"/>
  <c r="K26" i="5" s="1"/>
  <c r="L26" i="5" s="1"/>
  <c r="L28" i="5" s="1"/>
  <c r="L30" i="5" s="1"/>
  <c r="L22" i="11" s="1"/>
  <c r="J18" i="5"/>
  <c r="K18" i="5" s="1"/>
  <c r="L18" i="5" s="1"/>
  <c r="M818" i="20"/>
  <c r="L818" i="20"/>
  <c r="C71" i="22"/>
  <c r="E71" i="22"/>
  <c r="I71" i="22"/>
  <c r="D71" i="22"/>
  <c r="L10" i="20"/>
  <c r="J720" i="20"/>
  <c r="M720" i="20" s="1"/>
  <c r="F169" i="11"/>
  <c r="F171" i="11" s="1"/>
  <c r="G101" i="11"/>
  <c r="G169" i="11"/>
  <c r="G171" i="11" s="1"/>
  <c r="H101" i="11"/>
  <c r="D169" i="11"/>
  <c r="D171" i="11" s="1"/>
  <c r="E101" i="11"/>
  <c r="E169" i="11"/>
  <c r="E171" i="11" s="1"/>
  <c r="F101" i="11"/>
  <c r="H71" i="22"/>
  <c r="H157" i="11"/>
  <c r="H169" i="11"/>
  <c r="H171" i="11" s="1"/>
  <c r="F71" i="22"/>
  <c r="G71" i="22"/>
  <c r="E163" i="11"/>
  <c r="E157" i="11"/>
  <c r="G163" i="11"/>
  <c r="G157" i="11"/>
  <c r="D163" i="11"/>
  <c r="D166" i="11" s="1"/>
  <c r="D157" i="11"/>
  <c r="D160" i="11" s="1"/>
  <c r="F163" i="11"/>
  <c r="F157" i="11"/>
  <c r="H52" i="11"/>
  <c r="H163" i="11"/>
  <c r="D13" i="12"/>
  <c r="D52" i="11"/>
  <c r="G13" i="12"/>
  <c r="G52" i="11"/>
  <c r="E13" i="12"/>
  <c r="E52" i="11"/>
  <c r="F13" i="12"/>
  <c r="F42" i="12" s="1"/>
  <c r="F52" i="11"/>
  <c r="M47" i="20"/>
  <c r="L47" i="20"/>
  <c r="E16" i="5"/>
  <c r="E17" i="5" s="1"/>
  <c r="E18" i="5" s="1"/>
  <c r="G8" i="20"/>
  <c r="H16" i="5"/>
  <c r="H17" i="5" s="1"/>
  <c r="H18" i="5" s="1"/>
  <c r="J8" i="20"/>
  <c r="G16" i="5"/>
  <c r="G17" i="5" s="1"/>
  <c r="G18" i="5" s="1"/>
  <c r="I8" i="20"/>
  <c r="H13" i="12"/>
  <c r="F16" i="5"/>
  <c r="F17" i="5" s="1"/>
  <c r="F18" i="5" s="1"/>
  <c r="H8" i="20"/>
  <c r="L7" i="20"/>
  <c r="M7" i="20"/>
  <c r="D16" i="5"/>
  <c r="D17" i="5" s="1"/>
  <c r="D18" i="5" s="1"/>
  <c r="F8" i="20"/>
  <c r="H2" i="21"/>
  <c r="I46" i="20" s="1"/>
  <c r="H6" i="20"/>
  <c r="S62" i="12"/>
  <c r="H130" i="11"/>
  <c r="B124" i="11"/>
  <c r="E42" i="12" l="1"/>
  <c r="J9" i="12"/>
  <c r="I9" i="15"/>
  <c r="I119" i="11"/>
  <c r="K134" i="5"/>
  <c r="J137" i="5"/>
  <c r="J236" i="11" s="1"/>
  <c r="K16" i="5"/>
  <c r="J19" i="5"/>
  <c r="H13" i="29"/>
  <c r="H30" i="29"/>
  <c r="H28" i="29"/>
  <c r="H33" i="29"/>
  <c r="H25" i="29"/>
  <c r="H29" i="29"/>
  <c r="H22" i="29"/>
  <c r="H21" i="29"/>
  <c r="H19" i="29"/>
  <c r="H14" i="29"/>
  <c r="H20" i="29"/>
  <c r="H18" i="29"/>
  <c r="E180" i="11"/>
  <c r="E181" i="11" s="1"/>
  <c r="E13" i="29"/>
  <c r="E30" i="29"/>
  <c r="E29" i="29"/>
  <c r="E33" i="29"/>
  <c r="E28" i="29"/>
  <c r="E25" i="29"/>
  <c r="E20" i="29"/>
  <c r="E22" i="29"/>
  <c r="E18" i="29"/>
  <c r="E21" i="29"/>
  <c r="E19" i="29"/>
  <c r="E14" i="29"/>
  <c r="G180" i="11"/>
  <c r="G181" i="11" s="1"/>
  <c r="G13" i="29"/>
  <c r="G25" i="29"/>
  <c r="G30" i="29"/>
  <c r="G29" i="29"/>
  <c r="G28" i="29"/>
  <c r="G33" i="29"/>
  <c r="G19" i="29"/>
  <c r="G14" i="29"/>
  <c r="G21" i="29"/>
  <c r="G18" i="29"/>
  <c r="G22" i="29"/>
  <c r="G20" i="29"/>
  <c r="D180" i="11"/>
  <c r="D181" i="11" s="1"/>
  <c r="D13" i="29"/>
  <c r="D30" i="29"/>
  <c r="D28" i="29"/>
  <c r="D25" i="29"/>
  <c r="D33" i="29"/>
  <c r="D29" i="29"/>
  <c r="D22" i="29"/>
  <c r="D14" i="29"/>
  <c r="D19" i="29"/>
  <c r="D20" i="29"/>
  <c r="D18" i="29"/>
  <c r="D21" i="29"/>
  <c r="F180" i="11"/>
  <c r="F181" i="11" s="1"/>
  <c r="F13" i="29"/>
  <c r="F33" i="29"/>
  <c r="F25" i="29"/>
  <c r="F29" i="29"/>
  <c r="F30" i="29"/>
  <c r="F28" i="29"/>
  <c r="F22" i="29"/>
  <c r="F18" i="29"/>
  <c r="F19" i="29"/>
  <c r="F20" i="29"/>
  <c r="F14" i="29"/>
  <c r="F21" i="29"/>
  <c r="H180" i="11"/>
  <c r="H181" i="11" s="1"/>
  <c r="H134" i="11"/>
  <c r="E15" i="12"/>
  <c r="E43" i="12" s="1"/>
  <c r="E235" i="11"/>
  <c r="E236" i="11" s="1"/>
  <c r="H15" i="12"/>
  <c r="H235" i="11"/>
  <c r="H236" i="11" s="1"/>
  <c r="G15" i="12"/>
  <c r="G235" i="11"/>
  <c r="G236" i="11" s="1"/>
  <c r="F15" i="12"/>
  <c r="F235" i="11"/>
  <c r="F236" i="11" s="1"/>
  <c r="D15" i="12"/>
  <c r="D43" i="12" s="1"/>
  <c r="D235" i="11"/>
  <c r="D236" i="11" s="1"/>
  <c r="L720" i="20"/>
  <c r="I169" i="11"/>
  <c r="I59" i="12"/>
  <c r="F159" i="11"/>
  <c r="F160" i="11"/>
  <c r="G159" i="11"/>
  <c r="G160" i="11"/>
  <c r="E159" i="11"/>
  <c r="E160" i="11"/>
  <c r="H159" i="11"/>
  <c r="H160" i="11"/>
  <c r="G165" i="11"/>
  <c r="G166" i="11"/>
  <c r="H165" i="11"/>
  <c r="H166" i="11"/>
  <c r="F165" i="11"/>
  <c r="F166" i="11"/>
  <c r="I163" i="11"/>
  <c r="I157" i="11"/>
  <c r="E165" i="11"/>
  <c r="E166" i="11"/>
  <c r="I20" i="11"/>
  <c r="I14" i="12" s="1"/>
  <c r="I78" i="14" s="1"/>
  <c r="I28" i="11"/>
  <c r="I20" i="12" s="1"/>
  <c r="I38" i="11"/>
  <c r="I22" i="12" s="1"/>
  <c r="I33" i="11"/>
  <c r="I21" i="12" s="1"/>
  <c r="I43" i="11"/>
  <c r="I23" i="12" s="1"/>
  <c r="I48" i="11"/>
  <c r="I24" i="12" s="1"/>
  <c r="I2" i="21"/>
  <c r="I6" i="20"/>
  <c r="I13" i="12"/>
  <c r="F15" i="14"/>
  <c r="F45" i="14"/>
  <c r="F70" i="14" s="1"/>
  <c r="F74" i="14" s="1"/>
  <c r="F79" i="14"/>
  <c r="I124" i="11"/>
  <c r="B125" i="11"/>
  <c r="B126" i="11" s="1"/>
  <c r="B127" i="11" s="1"/>
  <c r="B128" i="11" s="1"/>
  <c r="B129" i="11" s="1"/>
  <c r="K9" i="12" l="1"/>
  <c r="J9" i="15"/>
  <c r="J15" i="11"/>
  <c r="J13" i="11" s="1"/>
  <c r="J20" i="11" s="1"/>
  <c r="J14" i="12" s="1"/>
  <c r="J78" i="14" s="1"/>
  <c r="L16" i="5"/>
  <c r="L19" i="5" s="1"/>
  <c r="L15" i="11" s="1"/>
  <c r="K19" i="5"/>
  <c r="K15" i="11" s="1"/>
  <c r="K137" i="5"/>
  <c r="K236" i="11" s="1"/>
  <c r="L134" i="5"/>
  <c r="L137" i="5" s="1"/>
  <c r="L236" i="11" s="1"/>
  <c r="I19" i="29"/>
  <c r="I18" i="29"/>
  <c r="I21" i="29"/>
  <c r="I20" i="29"/>
  <c r="E25" i="12"/>
  <c r="E15" i="29"/>
  <c r="G17" i="12"/>
  <c r="G15" i="29"/>
  <c r="H25" i="12"/>
  <c r="H15" i="29"/>
  <c r="K871" i="20"/>
  <c r="K882" i="20" s="1"/>
  <c r="I13" i="29"/>
  <c r="I30" i="29"/>
  <c r="I25" i="29"/>
  <c r="I22" i="29"/>
  <c r="I14" i="29"/>
  <c r="D25" i="12"/>
  <c r="D15" i="29"/>
  <c r="F17" i="12"/>
  <c r="F15" i="29"/>
  <c r="I62" i="12"/>
  <c r="G25" i="12"/>
  <c r="F13" i="15"/>
  <c r="F15" i="15" s="1"/>
  <c r="F17" i="15" s="1"/>
  <c r="F19" i="15" s="1"/>
  <c r="F23" i="15" s="1"/>
  <c r="I134" i="11"/>
  <c r="I252" i="11"/>
  <c r="I254" i="11" s="1"/>
  <c r="I35" i="12" s="1"/>
  <c r="I29" i="29" s="1"/>
  <c r="I136" i="11"/>
  <c r="I174" i="11"/>
  <c r="I135" i="11"/>
  <c r="E17" i="12"/>
  <c r="I235" i="11"/>
  <c r="I234" i="11" s="1"/>
  <c r="I180" i="11"/>
  <c r="I179" i="11" s="1"/>
  <c r="I219" i="11" s="1"/>
  <c r="H17" i="12"/>
  <c r="D17" i="12"/>
  <c r="J124" i="11"/>
  <c r="K124" i="11" s="1"/>
  <c r="L124" i="11" s="1"/>
  <c r="I125" i="11"/>
  <c r="J125" i="11" s="1"/>
  <c r="K125" i="11" s="1"/>
  <c r="L125" i="11" s="1"/>
  <c r="M125" i="11" s="1"/>
  <c r="N125" i="11" s="1"/>
  <c r="O125" i="11" s="1"/>
  <c r="P125" i="11" s="1"/>
  <c r="Q125" i="11" s="1"/>
  <c r="R125" i="11" s="1"/>
  <c r="J59" i="12"/>
  <c r="I15" i="12"/>
  <c r="I15" i="29" s="1"/>
  <c r="I51" i="11"/>
  <c r="I52" i="11" s="1"/>
  <c r="J6" i="20"/>
  <c r="J46" i="20"/>
  <c r="F26" i="14"/>
  <c r="F80" i="14"/>
  <c r="I25" i="15"/>
  <c r="F21" i="14"/>
  <c r="G42" i="12"/>
  <c r="G45" i="14"/>
  <c r="G79" i="14"/>
  <c r="F49" i="14"/>
  <c r="F53" i="14" s="1"/>
  <c r="F44" i="14"/>
  <c r="F46" i="14" s="1"/>
  <c r="F43" i="12"/>
  <c r="J157" i="11" l="1"/>
  <c r="J163" i="11"/>
  <c r="J169" i="11"/>
  <c r="J13" i="12"/>
  <c r="J180" i="11" s="1"/>
  <c r="J179" i="11" s="1"/>
  <c r="J219" i="11" s="1"/>
  <c r="J33" i="11"/>
  <c r="J21" i="12" s="1"/>
  <c r="J28" i="11"/>
  <c r="J20" i="12" s="1"/>
  <c r="J43" i="11"/>
  <c r="J23" i="12" s="1"/>
  <c r="J48" i="11"/>
  <c r="J24" i="12" s="1"/>
  <c r="J38" i="11"/>
  <c r="J22" i="12" s="1"/>
  <c r="G30" i="12"/>
  <c r="G26" i="29" s="1"/>
  <c r="G13" i="15"/>
  <c r="G15" i="15" s="1"/>
  <c r="G17" i="15" s="1"/>
  <c r="G19" i="15" s="1"/>
  <c r="G23" i="15" s="1"/>
  <c r="H23" i="29"/>
  <c r="H13" i="15"/>
  <c r="H15" i="15" s="1"/>
  <c r="H17" i="15" s="1"/>
  <c r="H19" i="15" s="1"/>
  <c r="H23" i="15" s="1"/>
  <c r="D23" i="29"/>
  <c r="D13" i="15"/>
  <c r="D15" i="15" s="1"/>
  <c r="D17" i="15" s="1"/>
  <c r="D19" i="15" s="1"/>
  <c r="D23" i="15" s="1"/>
  <c r="D44" i="12"/>
  <c r="E23" i="29"/>
  <c r="E13" i="15"/>
  <c r="E15" i="15" s="1"/>
  <c r="E17" i="15" s="1"/>
  <c r="E19" i="15" s="1"/>
  <c r="E23" i="15" s="1"/>
  <c r="E44" i="12"/>
  <c r="L9" i="12"/>
  <c r="K9" i="15"/>
  <c r="K13" i="11"/>
  <c r="L13" i="11" s="1"/>
  <c r="M13" i="11" s="1"/>
  <c r="N13" i="11" s="1"/>
  <c r="J119" i="11"/>
  <c r="E30" i="12"/>
  <c r="E27" i="12"/>
  <c r="H30" i="12"/>
  <c r="H27" i="12"/>
  <c r="D30" i="12"/>
  <c r="D27" i="12"/>
  <c r="F27" i="12"/>
  <c r="F23" i="29"/>
  <c r="G27" i="12"/>
  <c r="G23" i="29"/>
  <c r="F30" i="12"/>
  <c r="J174" i="11"/>
  <c r="J135" i="11"/>
  <c r="I98" i="12"/>
  <c r="I238" i="11"/>
  <c r="I239" i="11" s="1"/>
  <c r="I86" i="12"/>
  <c r="E32" i="12"/>
  <c r="E37" i="12"/>
  <c r="E46" i="12" s="1"/>
  <c r="G32" i="12"/>
  <c r="G37" i="12"/>
  <c r="G46" i="12" s="1"/>
  <c r="H32" i="12"/>
  <c r="K59" i="12"/>
  <c r="I25" i="12"/>
  <c r="I17" i="12"/>
  <c r="K33" i="11"/>
  <c r="K21" i="12" s="1"/>
  <c r="J25" i="15"/>
  <c r="I27" i="15"/>
  <c r="G80" i="14"/>
  <c r="C59" i="15"/>
  <c r="F32" i="14"/>
  <c r="C60" i="15"/>
  <c r="G84" i="14"/>
  <c r="G43" i="12"/>
  <c r="G44" i="14"/>
  <c r="G46" i="14" s="1"/>
  <c r="G70" i="14"/>
  <c r="G49" i="14"/>
  <c r="G53" i="14" s="1"/>
  <c r="G57" i="14" s="1"/>
  <c r="F48" i="14"/>
  <c r="H42" i="12"/>
  <c r="H45" i="14"/>
  <c r="H79" i="14"/>
  <c r="G26" i="14"/>
  <c r="F57" i="14"/>
  <c r="F44" i="12"/>
  <c r="I170" i="11"/>
  <c r="I71" i="12" s="1"/>
  <c r="I158" i="11"/>
  <c r="I66" i="12" s="1"/>
  <c r="M124" i="11"/>
  <c r="L871" i="20" l="1"/>
  <c r="L882" i="20" s="1"/>
  <c r="J25" i="29"/>
  <c r="I30" i="14"/>
  <c r="I34" i="14" s="1"/>
  <c r="J13" i="29"/>
  <c r="J21" i="29"/>
  <c r="J252" i="11"/>
  <c r="J254" i="11" s="1"/>
  <c r="J35" i="12" s="1"/>
  <c r="J29" i="29" s="1"/>
  <c r="J134" i="11"/>
  <c r="J235" i="11"/>
  <c r="J234" i="11" s="1"/>
  <c r="J86" i="12" s="1"/>
  <c r="J14" i="29"/>
  <c r="J30" i="29"/>
  <c r="J15" i="12"/>
  <c r="J15" i="29" s="1"/>
  <c r="J20" i="29"/>
  <c r="J22" i="29"/>
  <c r="J19" i="29"/>
  <c r="J51" i="11"/>
  <c r="J52" i="11" s="1"/>
  <c r="N48" i="11"/>
  <c r="N24" i="12" s="1"/>
  <c r="N28" i="11"/>
  <c r="N163" i="11"/>
  <c r="N164" i="11" s="1"/>
  <c r="N13" i="12"/>
  <c r="N38" i="11"/>
  <c r="N22" i="12" s="1"/>
  <c r="O13" i="11"/>
  <c r="N33" i="11"/>
  <c r="N21" i="12" s="1"/>
  <c r="N157" i="11"/>
  <c r="N158" i="11" s="1"/>
  <c r="N43" i="11"/>
  <c r="N23" i="12" s="1"/>
  <c r="N20" i="11"/>
  <c r="N14" i="12" s="1"/>
  <c r="N169" i="11"/>
  <c r="N170" i="11" s="1"/>
  <c r="K20" i="11"/>
  <c r="K14" i="12" s="1"/>
  <c r="K78" i="14" s="1"/>
  <c r="K13" i="12"/>
  <c r="K180" i="11" s="1"/>
  <c r="K179" i="11" s="1"/>
  <c r="K219" i="11" s="1"/>
  <c r="K169" i="11"/>
  <c r="K170" i="11" s="1"/>
  <c r="K71" i="12" s="1"/>
  <c r="K48" i="11"/>
  <c r="K24" i="12" s="1"/>
  <c r="K22" i="29" s="1"/>
  <c r="K38" i="11"/>
  <c r="K22" i="12" s="1"/>
  <c r="K157" i="11"/>
  <c r="K158" i="11" s="1"/>
  <c r="K66" i="12" s="1"/>
  <c r="K28" i="11"/>
  <c r="K20" i="12" s="1"/>
  <c r="K163" i="11"/>
  <c r="K43" i="11"/>
  <c r="K23" i="12" s="1"/>
  <c r="D26" i="29"/>
  <c r="D45" i="12"/>
  <c r="E26" i="29"/>
  <c r="E45" i="12"/>
  <c r="M9" i="12"/>
  <c r="M9" i="15" s="1"/>
  <c r="L9" i="15"/>
  <c r="I23" i="29"/>
  <c r="I13" i="15"/>
  <c r="I15" i="15" s="1"/>
  <c r="H26" i="29"/>
  <c r="C21" i="31"/>
  <c r="C22" i="31" s="1"/>
  <c r="D32" i="12"/>
  <c r="H37" i="12"/>
  <c r="H46" i="12" s="1"/>
  <c r="D37" i="12"/>
  <c r="G40" i="12"/>
  <c r="G34" i="29" s="1"/>
  <c r="G31" i="29"/>
  <c r="F32" i="12"/>
  <c r="F26" i="29"/>
  <c r="E40" i="12"/>
  <c r="E31" i="29"/>
  <c r="J136" i="11"/>
  <c r="J18" i="29"/>
  <c r="I93" i="12"/>
  <c r="I138" i="12"/>
  <c r="F37" i="12"/>
  <c r="F46" i="12" s="1"/>
  <c r="I136" i="12"/>
  <c r="I240" i="11"/>
  <c r="I246" i="11"/>
  <c r="I247" i="11" s="1"/>
  <c r="I34" i="12" s="1"/>
  <c r="I241" i="11"/>
  <c r="J98" i="12"/>
  <c r="J238" i="11"/>
  <c r="I27" i="12"/>
  <c r="I30" i="12"/>
  <c r="I26" i="29" s="1"/>
  <c r="L169" i="11"/>
  <c r="L59" i="12"/>
  <c r="I160" i="11"/>
  <c r="L163" i="11"/>
  <c r="L157" i="11"/>
  <c r="L20" i="11"/>
  <c r="L14" i="12" s="1"/>
  <c r="L78" i="14" s="1"/>
  <c r="L48" i="11"/>
  <c r="L24" i="12" s="1"/>
  <c r="L43" i="11"/>
  <c r="L23" i="12" s="1"/>
  <c r="L28" i="11"/>
  <c r="L20" i="12" s="1"/>
  <c r="L33" i="11"/>
  <c r="L21" i="12" s="1"/>
  <c r="L38" i="11"/>
  <c r="L22" i="12" s="1"/>
  <c r="L13" i="12"/>
  <c r="H80" i="14"/>
  <c r="K25" i="15"/>
  <c r="J27" i="15"/>
  <c r="H26" i="14"/>
  <c r="G15" i="14"/>
  <c r="G21" i="14"/>
  <c r="G32" i="14"/>
  <c r="F65" i="14"/>
  <c r="F85" i="14"/>
  <c r="F86" i="14" s="1"/>
  <c r="F50" i="14"/>
  <c r="G74" i="14"/>
  <c r="F71" i="14"/>
  <c r="F75" i="14" s="1"/>
  <c r="F76" i="14" s="1"/>
  <c r="F36" i="14"/>
  <c r="H49" i="14"/>
  <c r="H53" i="14" s="1"/>
  <c r="H57" i="14" s="1"/>
  <c r="H70" i="14"/>
  <c r="G48" i="14"/>
  <c r="F52" i="14"/>
  <c r="H44" i="14"/>
  <c r="H46" i="14" s="1"/>
  <c r="I45" i="14"/>
  <c r="I215" i="11"/>
  <c r="I214" i="11"/>
  <c r="J165" i="11"/>
  <c r="K165" i="11" s="1"/>
  <c r="L165" i="11" s="1"/>
  <c r="M165" i="11" s="1"/>
  <c r="G44" i="12"/>
  <c r="F45" i="12"/>
  <c r="H43" i="12"/>
  <c r="J170" i="11"/>
  <c r="J71" i="12" s="1"/>
  <c r="J158" i="11"/>
  <c r="J66" i="12" s="1"/>
  <c r="I42" i="12"/>
  <c r="K21" i="29" l="1"/>
  <c r="J30" i="14"/>
  <c r="J34" i="14" s="1"/>
  <c r="K18" i="29"/>
  <c r="K20" i="29"/>
  <c r="I28" i="29"/>
  <c r="I89" i="14"/>
  <c r="J239" i="11"/>
  <c r="J240" i="11" s="1"/>
  <c r="J17" i="12"/>
  <c r="J25" i="12"/>
  <c r="J23" i="29" s="1"/>
  <c r="K14" i="29"/>
  <c r="K51" i="11"/>
  <c r="K52" i="11" s="1"/>
  <c r="M871" i="20"/>
  <c r="M882" i="20" s="1"/>
  <c r="K134" i="11"/>
  <c r="K13" i="29"/>
  <c r="N160" i="11"/>
  <c r="N66" i="12"/>
  <c r="K15" i="12"/>
  <c r="K15" i="29" s="1"/>
  <c r="K252" i="11"/>
  <c r="K254" i="11" s="1"/>
  <c r="K35" i="12" s="1"/>
  <c r="K29" i="29" s="1"/>
  <c r="K174" i="11"/>
  <c r="K19" i="29"/>
  <c r="N180" i="11"/>
  <c r="N179" i="11" s="1"/>
  <c r="N235" i="11"/>
  <c r="N234" i="11" s="1"/>
  <c r="N252" i="11"/>
  <c r="N254" i="11" s="1"/>
  <c r="N35" i="12" s="1"/>
  <c r="N134" i="11"/>
  <c r="N15" i="12"/>
  <c r="N71" i="12"/>
  <c r="N135" i="11"/>
  <c r="N174" i="11"/>
  <c r="N175" i="11" s="1"/>
  <c r="N96" i="12" s="1"/>
  <c r="K135" i="11"/>
  <c r="K235" i="11"/>
  <c r="K234" i="11" s="1"/>
  <c r="K86" i="12" s="1"/>
  <c r="N65" i="12"/>
  <c r="N166" i="11"/>
  <c r="K30" i="29"/>
  <c r="K136" i="11"/>
  <c r="O13" i="12"/>
  <c r="O169" i="11"/>
  <c r="O170" i="11" s="1"/>
  <c r="O163" i="11"/>
  <c r="O164" i="11" s="1"/>
  <c r="O43" i="11"/>
  <c r="O23" i="12" s="1"/>
  <c r="O38" i="11"/>
  <c r="O22" i="12" s="1"/>
  <c r="O157" i="11"/>
  <c r="O158" i="11" s="1"/>
  <c r="O48" i="11"/>
  <c r="O24" i="12" s="1"/>
  <c r="O28" i="11"/>
  <c r="O33" i="11"/>
  <c r="O21" i="12" s="1"/>
  <c r="P13" i="11"/>
  <c r="O20" i="11"/>
  <c r="O14" i="12" s="1"/>
  <c r="N20" i="12"/>
  <c r="N136" i="11" s="1"/>
  <c r="N51" i="11"/>
  <c r="N52" i="11" s="1"/>
  <c r="H31" i="29"/>
  <c r="H40" i="12"/>
  <c r="H34" i="29" s="1"/>
  <c r="E34" i="29"/>
  <c r="E47" i="12"/>
  <c r="D31" i="29"/>
  <c r="D46" i="12"/>
  <c r="D40" i="12"/>
  <c r="L20" i="29"/>
  <c r="N871" i="20"/>
  <c r="N882" i="20" s="1"/>
  <c r="L13" i="29"/>
  <c r="L30" i="29"/>
  <c r="L19" i="29"/>
  <c r="F40" i="12"/>
  <c r="F34" i="29" s="1"/>
  <c r="F31" i="29"/>
  <c r="L18" i="29"/>
  <c r="L21" i="29"/>
  <c r="L22" i="29"/>
  <c r="L14" i="29"/>
  <c r="J93" i="12"/>
  <c r="J138" i="12"/>
  <c r="L136" i="11"/>
  <c r="I32" i="12"/>
  <c r="I37" i="12"/>
  <c r="I31" i="29" s="1"/>
  <c r="L174" i="11"/>
  <c r="L135" i="11"/>
  <c r="I123" i="12"/>
  <c r="I138" i="11"/>
  <c r="I139" i="11" s="1"/>
  <c r="J136" i="12"/>
  <c r="L252" i="11"/>
  <c r="L254" i="11" s="1"/>
  <c r="L35" i="12" s="1"/>
  <c r="L29" i="29" s="1"/>
  <c r="L134" i="11"/>
  <c r="K98" i="12"/>
  <c r="K138" i="12" s="1"/>
  <c r="K238" i="11"/>
  <c r="L235" i="11"/>
  <c r="L234" i="11" s="1"/>
  <c r="L180" i="11"/>
  <c r="L179" i="11" s="1"/>
  <c r="L219" i="11" s="1"/>
  <c r="M169" i="11"/>
  <c r="M59" i="12"/>
  <c r="J160" i="11"/>
  <c r="K160" i="11"/>
  <c r="M163" i="11"/>
  <c r="M157" i="11"/>
  <c r="L15" i="12"/>
  <c r="L15" i="29" s="1"/>
  <c r="L51" i="11"/>
  <c r="L52" i="11" s="1"/>
  <c r="M48" i="11"/>
  <c r="M24" i="12" s="1"/>
  <c r="M33" i="11"/>
  <c r="M21" i="12" s="1"/>
  <c r="M28" i="11"/>
  <c r="M20" i="12" s="1"/>
  <c r="M43" i="11"/>
  <c r="M23" i="12" s="1"/>
  <c r="M38" i="11"/>
  <c r="M22" i="12" s="1"/>
  <c r="M13" i="12"/>
  <c r="N42" i="12" s="1"/>
  <c r="M20" i="11"/>
  <c r="M14" i="12" s="1"/>
  <c r="M78" i="14" s="1"/>
  <c r="H32" i="14"/>
  <c r="L25" i="15"/>
  <c r="K27" i="15"/>
  <c r="G45" i="12"/>
  <c r="F88" i="14"/>
  <c r="F90" i="14" s="1"/>
  <c r="F54" i="14"/>
  <c r="G65" i="14"/>
  <c r="H84" i="14"/>
  <c r="H65" i="14"/>
  <c r="G85" i="14"/>
  <c r="G86" i="14" s="1"/>
  <c r="G50" i="14"/>
  <c r="G52" i="14"/>
  <c r="H36" i="14"/>
  <c r="F72" i="14"/>
  <c r="H74" i="14"/>
  <c r="H48" i="14"/>
  <c r="H21" i="14"/>
  <c r="H15" i="14"/>
  <c r="G61" i="14"/>
  <c r="G71" i="14" s="1"/>
  <c r="G72" i="14" s="1"/>
  <c r="G36" i="14"/>
  <c r="K45" i="14"/>
  <c r="J45" i="14"/>
  <c r="I49" i="14"/>
  <c r="I53" i="14" s="1"/>
  <c r="I57" i="14" s="1"/>
  <c r="I70" i="14"/>
  <c r="I74" i="14" s="1"/>
  <c r="I130" i="11"/>
  <c r="K215" i="11"/>
  <c r="J214" i="11"/>
  <c r="J215" i="11"/>
  <c r="K214" i="11"/>
  <c r="H44" i="12"/>
  <c r="K42" i="12"/>
  <c r="I164" i="11"/>
  <c r="I175" i="11"/>
  <c r="I96" i="12" s="1"/>
  <c r="J42" i="12"/>
  <c r="J246" i="11" l="1"/>
  <c r="J247" i="11" s="1"/>
  <c r="J34" i="12" s="1"/>
  <c r="J28" i="29" s="1"/>
  <c r="J241" i="11"/>
  <c r="J30" i="12"/>
  <c r="J26" i="29" s="1"/>
  <c r="J27" i="12"/>
  <c r="J13" i="15"/>
  <c r="J15" i="15" s="1"/>
  <c r="K30" i="14"/>
  <c r="K34" i="14" s="1"/>
  <c r="K17" i="12"/>
  <c r="K25" i="12"/>
  <c r="K27" i="12" s="1"/>
  <c r="N86" i="12"/>
  <c r="N98" i="12"/>
  <c r="N106" i="12" s="1"/>
  <c r="N238" i="11"/>
  <c r="N239" i="11" s="1"/>
  <c r="O66" i="12"/>
  <c r="O214" i="11"/>
  <c r="O160" i="11"/>
  <c r="O65" i="12"/>
  <c r="O166" i="11"/>
  <c r="O213" i="11"/>
  <c r="K239" i="11"/>
  <c r="K246" i="11" s="1"/>
  <c r="K247" i="11" s="1"/>
  <c r="K34" i="12" s="1"/>
  <c r="O235" i="11"/>
  <c r="O134" i="11"/>
  <c r="O180" i="11"/>
  <c r="O252" i="11"/>
  <c r="O42" i="12"/>
  <c r="O15" i="12"/>
  <c r="N43" i="12"/>
  <c r="N17" i="12"/>
  <c r="N25" i="12"/>
  <c r="O20" i="12"/>
  <c r="O136" i="11" s="1"/>
  <c r="O51" i="11"/>
  <c r="O52" i="11" s="1"/>
  <c r="O215" i="11"/>
  <c r="O71" i="12"/>
  <c r="O174" i="11"/>
  <c r="O135" i="11"/>
  <c r="P13" i="12"/>
  <c r="P169" i="11"/>
  <c r="P170" i="11" s="1"/>
  <c r="P28" i="11"/>
  <c r="P48" i="11"/>
  <c r="P24" i="12" s="1"/>
  <c r="P157" i="11"/>
  <c r="P158" i="11" s="1"/>
  <c r="P20" i="11"/>
  <c r="P14" i="12" s="1"/>
  <c r="P38" i="11"/>
  <c r="P22" i="12" s="1"/>
  <c r="Q13" i="11"/>
  <c r="P33" i="11"/>
  <c r="P21" i="12" s="1"/>
  <c r="P43" i="11"/>
  <c r="P23" i="12" s="1"/>
  <c r="P163" i="11"/>
  <c r="P164" i="11" s="1"/>
  <c r="K23" i="29"/>
  <c r="K13" i="15"/>
  <c r="D34" i="29"/>
  <c r="D47" i="12"/>
  <c r="M22" i="29"/>
  <c r="M19" i="29"/>
  <c r="M14" i="29"/>
  <c r="O871" i="20"/>
  <c r="O882" i="20" s="1"/>
  <c r="M13" i="29"/>
  <c r="M30" i="29"/>
  <c r="M20" i="29"/>
  <c r="M21" i="29"/>
  <c r="M18" i="29"/>
  <c r="K93" i="12"/>
  <c r="I106" i="12"/>
  <c r="I14" i="14" s="1"/>
  <c r="I20" i="14" s="1"/>
  <c r="M174" i="11"/>
  <c r="M135" i="11"/>
  <c r="M134" i="11"/>
  <c r="M252" i="11"/>
  <c r="M254" i="11" s="1"/>
  <c r="M35" i="12" s="1"/>
  <c r="M29" i="29" s="1"/>
  <c r="M136" i="11"/>
  <c r="I121" i="12"/>
  <c r="K136" i="12"/>
  <c r="M235" i="11"/>
  <c r="M234" i="11" s="1"/>
  <c r="M180" i="11"/>
  <c r="M179" i="11" s="1"/>
  <c r="L98" i="12"/>
  <c r="L138" i="12" s="1"/>
  <c r="L238" i="11"/>
  <c r="L239" i="11" s="1"/>
  <c r="L240" i="11" s="1"/>
  <c r="L86" i="12"/>
  <c r="I166" i="11"/>
  <c r="I65" i="12"/>
  <c r="I18" i="14" s="1"/>
  <c r="L25" i="12"/>
  <c r="L17" i="12"/>
  <c r="M51" i="11"/>
  <c r="M52" i="11" s="1"/>
  <c r="M15" i="12"/>
  <c r="M15" i="29" s="1"/>
  <c r="M25" i="15"/>
  <c r="L27" i="15"/>
  <c r="G88" i="14"/>
  <c r="G90" i="14" s="1"/>
  <c r="G54" i="14"/>
  <c r="H85" i="14"/>
  <c r="H86" i="14" s="1"/>
  <c r="H50" i="14"/>
  <c r="G75" i="14"/>
  <c r="G76" i="14" s="1"/>
  <c r="G47" i="12"/>
  <c r="G56" i="14"/>
  <c r="H61" i="14"/>
  <c r="H71" i="14" s="1"/>
  <c r="F47" i="12"/>
  <c r="F56" i="14"/>
  <c r="H52" i="14"/>
  <c r="I43" i="12"/>
  <c r="J49" i="14"/>
  <c r="J53" i="14" s="1"/>
  <c r="J57" i="14" s="1"/>
  <c r="J70" i="14"/>
  <c r="J74" i="14" s="1"/>
  <c r="K70" i="14"/>
  <c r="K49" i="14"/>
  <c r="K53" i="14" s="1"/>
  <c r="K57" i="14" s="1"/>
  <c r="J130" i="11"/>
  <c r="I218" i="11"/>
  <c r="I213" i="11"/>
  <c r="I216" i="11" s="1"/>
  <c r="H139" i="11"/>
  <c r="H141" i="11" s="1"/>
  <c r="H45" i="12"/>
  <c r="J164" i="11"/>
  <c r="J175" i="11"/>
  <c r="J96" i="12" s="1"/>
  <c r="L158" i="11"/>
  <c r="L66" i="12" s="1"/>
  <c r="L170" i="11"/>
  <c r="L71" i="12" s="1"/>
  <c r="J123" i="12" l="1"/>
  <c r="J89" i="14"/>
  <c r="J138" i="11"/>
  <c r="J139" i="11" s="1"/>
  <c r="J37" i="12"/>
  <c r="J31" i="29" s="1"/>
  <c r="J32" i="12"/>
  <c r="L30" i="14"/>
  <c r="L34" i="14" s="1"/>
  <c r="K28" i="29"/>
  <c r="K89" i="14"/>
  <c r="N30" i="14"/>
  <c r="K240" i="11"/>
  <c r="K123" i="12"/>
  <c r="K138" i="11"/>
  <c r="K241" i="11"/>
  <c r="O216" i="11"/>
  <c r="N241" i="11"/>
  <c r="N240" i="11"/>
  <c r="P66" i="12"/>
  <c r="P214" i="11"/>
  <c r="P160" i="11"/>
  <c r="Q13" i="12"/>
  <c r="Q157" i="11"/>
  <c r="Q158" i="11" s="1"/>
  <c r="Q28" i="11"/>
  <c r="Q38" i="11"/>
  <c r="Q22" i="12" s="1"/>
  <c r="Q43" i="11"/>
  <c r="Q23" i="12" s="1"/>
  <c r="R13" i="11"/>
  <c r="Q163" i="11"/>
  <c r="Q164" i="11" s="1"/>
  <c r="Q48" i="11"/>
  <c r="Q24" i="12" s="1"/>
  <c r="Q20" i="11"/>
  <c r="Q14" i="12" s="1"/>
  <c r="Q169" i="11"/>
  <c r="Q170" i="11" s="1"/>
  <c r="Q33" i="11"/>
  <c r="Q21" i="12" s="1"/>
  <c r="P15" i="12"/>
  <c r="P135" i="11"/>
  <c r="P174" i="11"/>
  <c r="O25" i="12"/>
  <c r="O43" i="12"/>
  <c r="O17" i="12"/>
  <c r="N13" i="15"/>
  <c r="N44" i="12"/>
  <c r="N27" i="12"/>
  <c r="P20" i="12"/>
  <c r="P136" i="11" s="1"/>
  <c r="P51" i="11"/>
  <c r="P52" i="11" s="1"/>
  <c r="P215" i="11"/>
  <c r="P71" i="12"/>
  <c r="P252" i="11"/>
  <c r="P42" i="12"/>
  <c r="P180" i="11"/>
  <c r="P235" i="11"/>
  <c r="P134" i="11"/>
  <c r="P65" i="12"/>
  <c r="P166" i="11"/>
  <c r="P213" i="11"/>
  <c r="N93" i="12"/>
  <c r="N108" i="12" s="1"/>
  <c r="M27" i="15"/>
  <c r="N25" i="15"/>
  <c r="M219" i="11"/>
  <c r="N219" i="11"/>
  <c r="L23" i="29"/>
  <c r="L13" i="15"/>
  <c r="L93" i="12"/>
  <c r="J106" i="12"/>
  <c r="J14" i="14" s="1"/>
  <c r="J20" i="14" s="1"/>
  <c r="I108" i="12"/>
  <c r="I80" i="29" s="1"/>
  <c r="I229" i="11"/>
  <c r="I125" i="12" s="1"/>
  <c r="I21" i="15" s="1"/>
  <c r="I227" i="11"/>
  <c r="I230" i="11" s="1"/>
  <c r="J121" i="12"/>
  <c r="L241" i="11"/>
  <c r="L246" i="11"/>
  <c r="L247" i="11" s="1"/>
  <c r="L34" i="12" s="1"/>
  <c r="L136" i="12"/>
  <c r="M98" i="12"/>
  <c r="M138" i="12" s="1"/>
  <c r="M238" i="11"/>
  <c r="M239" i="11" s="1"/>
  <c r="M86" i="12"/>
  <c r="J166" i="11"/>
  <c r="J65" i="12"/>
  <c r="J18" i="14" s="1"/>
  <c r="L27" i="12"/>
  <c r="L160" i="11"/>
  <c r="M25" i="12"/>
  <c r="M17" i="12"/>
  <c r="K74" i="14"/>
  <c r="G60" i="14"/>
  <c r="G58" i="14"/>
  <c r="H88" i="14"/>
  <c r="H90" i="14" s="1"/>
  <c r="H54" i="14"/>
  <c r="F60" i="14"/>
  <c r="F58" i="14"/>
  <c r="H75" i="14"/>
  <c r="H76" i="14" s="1"/>
  <c r="H72" i="14"/>
  <c r="I79" i="14"/>
  <c r="I80" i="14" s="1"/>
  <c r="L45" i="14"/>
  <c r="I44" i="14"/>
  <c r="I46" i="14" s="1"/>
  <c r="J213" i="11"/>
  <c r="J216" i="11" s="1"/>
  <c r="J218" i="11"/>
  <c r="J227" i="11" s="1"/>
  <c r="L215" i="11"/>
  <c r="L214" i="11"/>
  <c r="L42" i="12"/>
  <c r="K164" i="11"/>
  <c r="K175" i="11"/>
  <c r="K96" i="12" s="1"/>
  <c r="K106" i="12" s="1"/>
  <c r="M158" i="11"/>
  <c r="M170" i="11"/>
  <c r="L28" i="29" l="1"/>
  <c r="L89" i="14"/>
  <c r="K108" i="12"/>
  <c r="K80" i="29" s="1"/>
  <c r="K14" i="14"/>
  <c r="K20" i="14" s="1"/>
  <c r="N136" i="12"/>
  <c r="M30" i="14"/>
  <c r="M34" i="14" s="1"/>
  <c r="N138" i="12"/>
  <c r="P216" i="11"/>
  <c r="O27" i="12"/>
  <c r="O13" i="15"/>
  <c r="O44" i="12"/>
  <c r="M66" i="12"/>
  <c r="N214" i="11"/>
  <c r="Q66" i="12"/>
  <c r="Q214" i="11"/>
  <c r="Q160" i="11"/>
  <c r="Q71" i="12"/>
  <c r="Q215" i="11"/>
  <c r="Q15" i="12"/>
  <c r="Q174" i="11"/>
  <c r="Q175" i="11" s="1"/>
  <c r="Q96" i="12" s="1"/>
  <c r="Q135" i="11"/>
  <c r="Q65" i="12"/>
  <c r="Q166" i="11"/>
  <c r="Q213" i="11"/>
  <c r="R13" i="12"/>
  <c r="R48" i="11"/>
  <c r="R24" i="12" s="1"/>
  <c r="R157" i="11"/>
  <c r="R158" i="11" s="1"/>
  <c r="R38" i="11"/>
  <c r="R22" i="12" s="1"/>
  <c r="R43" i="11"/>
  <c r="R23" i="12" s="1"/>
  <c r="R169" i="11"/>
  <c r="R170" i="11" s="1"/>
  <c r="R33" i="11"/>
  <c r="R21" i="12" s="1"/>
  <c r="R163" i="11"/>
  <c r="R164" i="11" s="1"/>
  <c r="R20" i="11"/>
  <c r="R14" i="12" s="1"/>
  <c r="R28" i="11"/>
  <c r="M71" i="12"/>
  <c r="N215" i="11"/>
  <c r="Q42" i="12"/>
  <c r="Q134" i="11"/>
  <c r="Q235" i="11"/>
  <c r="Q234" i="11" s="1"/>
  <c r="Q252" i="11"/>
  <c r="Q254" i="11" s="1"/>
  <c r="Q35" i="12" s="1"/>
  <c r="Q180" i="11"/>
  <c r="Q179" i="11" s="1"/>
  <c r="P43" i="12"/>
  <c r="P17" i="12"/>
  <c r="P25" i="12"/>
  <c r="Q20" i="12"/>
  <c r="Q136" i="11" s="1"/>
  <c r="Q51" i="11"/>
  <c r="Q52" i="11" s="1"/>
  <c r="N27" i="15"/>
  <c r="O25" i="15"/>
  <c r="M23" i="29"/>
  <c r="M13" i="15"/>
  <c r="M240" i="11"/>
  <c r="N246" i="11"/>
  <c r="N247" i="11" s="1"/>
  <c r="N34" i="12" s="1"/>
  <c r="M93" i="12"/>
  <c r="J108" i="12"/>
  <c r="J80" i="29" s="1"/>
  <c r="J230" i="11"/>
  <c r="M136" i="12"/>
  <c r="L123" i="12"/>
  <c r="L138" i="11"/>
  <c r="M246" i="11"/>
  <c r="M247" i="11" s="1"/>
  <c r="M34" i="12" s="1"/>
  <c r="M241" i="11"/>
  <c r="J229" i="11"/>
  <c r="J125" i="12" s="1"/>
  <c r="J21" i="15" s="1"/>
  <c r="K166" i="11"/>
  <c r="K65" i="12"/>
  <c r="K18" i="14" s="1"/>
  <c r="M27" i="12"/>
  <c r="M160" i="11"/>
  <c r="F64" i="14"/>
  <c r="F66" i="14" s="1"/>
  <c r="F62" i="14"/>
  <c r="H47" i="12"/>
  <c r="H56" i="14"/>
  <c r="G64" i="14"/>
  <c r="G66" i="14" s="1"/>
  <c r="G62" i="14"/>
  <c r="M45" i="14"/>
  <c r="J79" i="14"/>
  <c r="J80" i="14" s="1"/>
  <c r="L70" i="14"/>
  <c r="L74" i="14" s="1"/>
  <c r="L49" i="14"/>
  <c r="L53" i="14" s="1"/>
  <c r="L57" i="14" s="1"/>
  <c r="K43" i="12"/>
  <c r="I26" i="14"/>
  <c r="J44" i="14"/>
  <c r="J46" i="14" s="1"/>
  <c r="M215" i="11"/>
  <c r="M214" i="11"/>
  <c r="K218" i="11"/>
  <c r="K227" i="11" s="1"/>
  <c r="K213" i="11"/>
  <c r="K216" i="11" s="1"/>
  <c r="J43" i="12"/>
  <c r="M42" i="12"/>
  <c r="T13" i="12"/>
  <c r="U13" i="12"/>
  <c r="L164" i="11"/>
  <c r="L175" i="11"/>
  <c r="L96" i="12" s="1"/>
  <c r="L106" i="12" s="1"/>
  <c r="M28" i="29" l="1"/>
  <c r="M89" i="14"/>
  <c r="L108" i="12"/>
  <c r="L80" i="29" s="1"/>
  <c r="L14" i="14"/>
  <c r="L20" i="14" s="1"/>
  <c r="Q98" i="12"/>
  <c r="Q106" i="12" s="1"/>
  <c r="Q238" i="11"/>
  <c r="Q239" i="11" s="1"/>
  <c r="R134" i="11"/>
  <c r="R235" i="11"/>
  <c r="R234" i="11" s="1"/>
  <c r="R180" i="11"/>
  <c r="R179" i="11" s="1"/>
  <c r="R42" i="12"/>
  <c r="R252" i="11"/>
  <c r="R254" i="11" s="1"/>
  <c r="R35" i="12" s="1"/>
  <c r="R66" i="12"/>
  <c r="R160" i="11"/>
  <c r="R214" i="11"/>
  <c r="Q216" i="11"/>
  <c r="Q86" i="12"/>
  <c r="Q93" i="12" s="1"/>
  <c r="R20" i="12"/>
  <c r="R136" i="11" s="1"/>
  <c r="R51" i="11"/>
  <c r="R52" i="11" s="1"/>
  <c r="R71" i="12"/>
  <c r="R215" i="11"/>
  <c r="R15" i="12"/>
  <c r="R174" i="11"/>
  <c r="R175" i="11" s="1"/>
  <c r="R135" i="11"/>
  <c r="P13" i="15"/>
  <c r="P27" i="12"/>
  <c r="P44" i="12"/>
  <c r="R65" i="12"/>
  <c r="R166" i="11"/>
  <c r="R213" i="11"/>
  <c r="Q17" i="12"/>
  <c r="Q43" i="12"/>
  <c r="Q25" i="12"/>
  <c r="P25" i="15"/>
  <c r="O27" i="15"/>
  <c r="N138" i="11"/>
  <c r="N123" i="12"/>
  <c r="N140" i="12" s="1"/>
  <c r="P179" i="11"/>
  <c r="P98" i="12" s="1"/>
  <c r="P234" i="11"/>
  <c r="P86" i="12" s="1"/>
  <c r="P254" i="11"/>
  <c r="P35" i="12" s="1"/>
  <c r="O179" i="11"/>
  <c r="O98" i="12" s="1"/>
  <c r="O138" i="12" s="1"/>
  <c r="O234" i="11"/>
  <c r="O86" i="12" s="1"/>
  <c r="O254" i="11"/>
  <c r="O35" i="12" s="1"/>
  <c r="K230" i="11"/>
  <c r="M123" i="12"/>
  <c r="M138" i="11"/>
  <c r="K229" i="11"/>
  <c r="K125" i="12" s="1"/>
  <c r="K21" i="15" s="1"/>
  <c r="L166" i="11"/>
  <c r="L65" i="12"/>
  <c r="L18" i="14" s="1"/>
  <c r="H60" i="14"/>
  <c r="H58" i="14"/>
  <c r="J26" i="14"/>
  <c r="T24" i="12"/>
  <c r="T20" i="12"/>
  <c r="T22" i="12"/>
  <c r="M70" i="14"/>
  <c r="M74" i="14" s="1"/>
  <c r="M49" i="14"/>
  <c r="M53" i="14" s="1"/>
  <c r="M57" i="14" s="1"/>
  <c r="T21" i="12"/>
  <c r="K79" i="14"/>
  <c r="K80" i="14" s="1"/>
  <c r="K44" i="14"/>
  <c r="K46" i="14" s="1"/>
  <c r="U24" i="12"/>
  <c r="U20" i="12"/>
  <c r="U21" i="12"/>
  <c r="U22" i="12"/>
  <c r="L213" i="11"/>
  <c r="L216" i="11" s="1"/>
  <c r="L218" i="11"/>
  <c r="L227" i="11" s="1"/>
  <c r="M164" i="11"/>
  <c r="M175" i="11"/>
  <c r="Q108" i="12" l="1"/>
  <c r="M213" i="11"/>
  <c r="N213" i="11"/>
  <c r="N216" i="11" s="1"/>
  <c r="R98" i="12"/>
  <c r="R138" i="12" s="1"/>
  <c r="R219" i="11"/>
  <c r="R238" i="11"/>
  <c r="Q13" i="15"/>
  <c r="Q44" i="12"/>
  <c r="Q27" i="12"/>
  <c r="R218" i="11"/>
  <c r="R96" i="12"/>
  <c r="R106" i="12" s="1"/>
  <c r="R216" i="11"/>
  <c r="R229" i="11" s="1"/>
  <c r="R125" i="12" s="1"/>
  <c r="R21" i="15" s="1"/>
  <c r="R86" i="12"/>
  <c r="R25" i="12"/>
  <c r="R43" i="12"/>
  <c r="R17" i="12"/>
  <c r="Q240" i="11"/>
  <c r="Q241" i="11"/>
  <c r="P27" i="15"/>
  <c r="Q25" i="15"/>
  <c r="O136" i="12"/>
  <c r="O93" i="12"/>
  <c r="P136" i="12"/>
  <c r="Q136" i="12"/>
  <c r="P93" i="12"/>
  <c r="P138" i="12"/>
  <c r="Q138" i="12"/>
  <c r="O238" i="11"/>
  <c r="O239" i="11" s="1"/>
  <c r="O219" i="11"/>
  <c r="M96" i="12"/>
  <c r="M106" i="12" s="1"/>
  <c r="N218" i="11"/>
  <c r="Q219" i="11"/>
  <c r="P219" i="11"/>
  <c r="P238" i="11"/>
  <c r="P239" i="11" s="1"/>
  <c r="L230" i="11"/>
  <c r="L229" i="11"/>
  <c r="L125" i="12" s="1"/>
  <c r="L21" i="15" s="1"/>
  <c r="M166" i="11"/>
  <c r="M65" i="12"/>
  <c r="M18" i="14" s="1"/>
  <c r="H64" i="14"/>
  <c r="H66" i="14" s="1"/>
  <c r="H62" i="14"/>
  <c r="I44" i="12"/>
  <c r="K44" i="12"/>
  <c r="K26" i="14"/>
  <c r="L26" i="14"/>
  <c r="L79" i="14"/>
  <c r="L80" i="14" s="1"/>
  <c r="L44" i="14"/>
  <c r="L46" i="14" s="1"/>
  <c r="J48" i="14"/>
  <c r="I48" i="14"/>
  <c r="L43" i="12"/>
  <c r="K48" i="14"/>
  <c r="I140" i="11"/>
  <c r="I39" i="12" s="1"/>
  <c r="I16" i="15" s="1"/>
  <c r="I17" i="15" s="1"/>
  <c r="I19" i="15" s="1"/>
  <c r="I23" i="15" s="1"/>
  <c r="J140" i="11"/>
  <c r="J39" i="12" s="1"/>
  <c r="J16" i="15" s="1"/>
  <c r="J17" i="15" s="1"/>
  <c r="J19" i="15" s="1"/>
  <c r="J23" i="15" s="1"/>
  <c r="M218" i="11"/>
  <c r="M227" i="11" s="1"/>
  <c r="M216" i="11"/>
  <c r="T14" i="12"/>
  <c r="U14" i="12"/>
  <c r="J44" i="12"/>
  <c r="M108" i="12" l="1"/>
  <c r="M80" i="29" s="1"/>
  <c r="M14" i="14"/>
  <c r="M20" i="14" s="1"/>
  <c r="R227" i="11"/>
  <c r="R136" i="12"/>
  <c r="R93" i="12"/>
  <c r="R108" i="12" s="1"/>
  <c r="R230" i="11"/>
  <c r="R239" i="11"/>
  <c r="R241" i="11" s="1"/>
  <c r="R13" i="15"/>
  <c r="C52" i="15" s="1"/>
  <c r="R27" i="12"/>
  <c r="R44" i="12"/>
  <c r="R25" i="15"/>
  <c r="R27" i="15" s="1"/>
  <c r="Q27" i="15"/>
  <c r="Q246" i="11"/>
  <c r="Q247" i="11" s="1"/>
  <c r="Q34" i="12" s="1"/>
  <c r="P240" i="11"/>
  <c r="P246" i="11"/>
  <c r="P247" i="11" s="1"/>
  <c r="P34" i="12" s="1"/>
  <c r="O246" i="11"/>
  <c r="O247" i="11" s="1"/>
  <c r="O34" i="12" s="1"/>
  <c r="O240" i="11"/>
  <c r="N229" i="11"/>
  <c r="N125" i="12" s="1"/>
  <c r="N21" i="15" s="1"/>
  <c r="N227" i="11"/>
  <c r="N230" i="11" s="1"/>
  <c r="P175" i="11"/>
  <c r="P96" i="12" s="1"/>
  <c r="P106" i="12" s="1"/>
  <c r="P108" i="12" s="1"/>
  <c r="O241" i="11"/>
  <c r="O175" i="11"/>
  <c r="P241" i="11"/>
  <c r="J33" i="29"/>
  <c r="J46" i="12"/>
  <c r="I33" i="29"/>
  <c r="I46" i="12"/>
  <c r="M230" i="11"/>
  <c r="J126" i="12"/>
  <c r="J127" i="12" s="1"/>
  <c r="J40" i="12"/>
  <c r="I126" i="12"/>
  <c r="I127" i="12" s="1"/>
  <c r="I40" i="12"/>
  <c r="M229" i="11"/>
  <c r="M125" i="12" s="1"/>
  <c r="M21" i="15" s="1"/>
  <c r="M79" i="14"/>
  <c r="M80" i="14" s="1"/>
  <c r="L48" i="14"/>
  <c r="M44" i="14"/>
  <c r="M46" i="14" s="1"/>
  <c r="I52" i="14"/>
  <c r="I45" i="12"/>
  <c r="J85" i="14"/>
  <c r="J50" i="14"/>
  <c r="L44" i="12"/>
  <c r="I85" i="14"/>
  <c r="I50" i="14"/>
  <c r="T23" i="12"/>
  <c r="K85" i="14"/>
  <c r="K50" i="14"/>
  <c r="J52" i="14"/>
  <c r="U23" i="12"/>
  <c r="J141" i="11"/>
  <c r="I141" i="11"/>
  <c r="J45" i="12"/>
  <c r="T15" i="12"/>
  <c r="M43" i="12"/>
  <c r="U15" i="12"/>
  <c r="R246" i="11" l="1"/>
  <c r="R247" i="11" s="1"/>
  <c r="R34" i="12" s="1"/>
  <c r="R240" i="11"/>
  <c r="O138" i="11"/>
  <c r="O123" i="12"/>
  <c r="O140" i="12" s="1"/>
  <c r="Q138" i="11"/>
  <c r="Q123" i="12"/>
  <c r="Q140" i="12" s="1"/>
  <c r="P138" i="11"/>
  <c r="P123" i="12"/>
  <c r="P140" i="12" s="1"/>
  <c r="O218" i="11"/>
  <c r="O229" i="11" s="1"/>
  <c r="O125" i="12" s="1"/>
  <c r="O21" i="15" s="1"/>
  <c r="O96" i="12"/>
  <c r="O106" i="12" s="1"/>
  <c r="O108" i="12" s="1"/>
  <c r="P218" i="11"/>
  <c r="Q218" i="11"/>
  <c r="I148" i="11"/>
  <c r="I149" i="11" s="1"/>
  <c r="I139" i="12" s="1"/>
  <c r="I34" i="29"/>
  <c r="J148" i="11"/>
  <c r="J149" i="11" s="1"/>
  <c r="J139" i="12" s="1"/>
  <c r="J34" i="29"/>
  <c r="J29" i="15"/>
  <c r="I29" i="15"/>
  <c r="C53" i="15"/>
  <c r="C54" i="15" s="1"/>
  <c r="J88" i="14"/>
  <c r="J54" i="14"/>
  <c r="M26" i="14"/>
  <c r="I88" i="14"/>
  <c r="I54" i="14"/>
  <c r="M48" i="14"/>
  <c r="L85" i="14"/>
  <c r="L50" i="14"/>
  <c r="T25" i="12"/>
  <c r="M44" i="12"/>
  <c r="U25" i="12"/>
  <c r="R138" i="11" l="1"/>
  <c r="R123" i="12"/>
  <c r="R140" i="12" s="1"/>
  <c r="O227" i="11"/>
  <c r="O230" i="11" s="1"/>
  <c r="Q227" i="11"/>
  <c r="Q230" i="11" s="1"/>
  <c r="Q229" i="11"/>
  <c r="Q125" i="12" s="1"/>
  <c r="Q21" i="15" s="1"/>
  <c r="P229" i="11"/>
  <c r="P125" i="12" s="1"/>
  <c r="P21" i="15" s="1"/>
  <c r="P227" i="11"/>
  <c r="P230" i="11" s="1"/>
  <c r="I150" i="11"/>
  <c r="I82" i="12" s="1"/>
  <c r="M85" i="14"/>
  <c r="M50" i="14"/>
  <c r="I83" i="12" l="1"/>
  <c r="I31" i="14" s="1"/>
  <c r="I38" i="14" s="1"/>
  <c r="J147" i="11"/>
  <c r="J150" i="11" s="1"/>
  <c r="J82" i="12" s="1"/>
  <c r="I65" i="14" l="1"/>
  <c r="J83" i="12"/>
  <c r="J31" i="14" s="1"/>
  <c r="J38" i="14" s="1"/>
  <c r="I110" i="12"/>
  <c r="K147" i="11"/>
  <c r="J65" i="14" l="1"/>
  <c r="I73" i="29"/>
  <c r="I77" i="29"/>
  <c r="I83" i="29"/>
  <c r="I87" i="29"/>
  <c r="I91" i="29"/>
  <c r="I97" i="29"/>
  <c r="I79" i="29"/>
  <c r="I74" i="29"/>
  <c r="I88" i="29"/>
  <c r="I85" i="29"/>
  <c r="I84" i="29"/>
  <c r="I76" i="29"/>
  <c r="I86" i="29"/>
  <c r="I90" i="29"/>
  <c r="I95" i="29"/>
  <c r="I75" i="29"/>
  <c r="I89" i="29"/>
  <c r="I93" i="29"/>
  <c r="I68" i="29"/>
  <c r="I78" i="29"/>
  <c r="I92" i="29"/>
  <c r="I69" i="29"/>
  <c r="I70" i="29"/>
  <c r="J110" i="12"/>
  <c r="J70" i="29" s="1"/>
  <c r="J75" i="29" l="1"/>
  <c r="J73" i="29"/>
  <c r="J77" i="29"/>
  <c r="J83" i="29"/>
  <c r="J87" i="29"/>
  <c r="J91" i="29"/>
  <c r="J97" i="29"/>
  <c r="J76" i="29"/>
  <c r="J90" i="29"/>
  <c r="J79" i="29"/>
  <c r="J68" i="29"/>
  <c r="J92" i="29"/>
  <c r="J78" i="29"/>
  <c r="J86" i="29"/>
  <c r="J95" i="29"/>
  <c r="J85" i="29"/>
  <c r="J89" i="29"/>
  <c r="J93" i="29"/>
  <c r="J74" i="29"/>
  <c r="J84" i="29"/>
  <c r="J88" i="29"/>
  <c r="J69" i="29"/>
  <c r="I56" i="14"/>
  <c r="I47" i="12"/>
  <c r="J47" i="12" l="1"/>
  <c r="J56" i="14"/>
  <c r="J58" i="14" s="1"/>
  <c r="I60" i="14"/>
  <c r="I58" i="14"/>
  <c r="J60" i="14" l="1"/>
  <c r="J64" i="14" s="1"/>
  <c r="J66" i="14" s="1"/>
  <c r="I64" i="14"/>
  <c r="I66" i="14" s="1"/>
  <c r="I32" i="14" l="1"/>
  <c r="I90" i="14"/>
  <c r="I140" i="12"/>
  <c r="I143" i="12" l="1"/>
  <c r="I145" i="12" s="1"/>
  <c r="I148" i="12" s="1"/>
  <c r="J32" i="14"/>
  <c r="I84" i="14"/>
  <c r="I86" i="14" s="1"/>
  <c r="J140" i="12"/>
  <c r="J90" i="14"/>
  <c r="J143" i="12" l="1"/>
  <c r="J145" i="12" s="1"/>
  <c r="J84" i="14"/>
  <c r="J86" i="14" s="1"/>
  <c r="K140" i="12"/>
  <c r="J146" i="12" l="1"/>
  <c r="J148" i="12" s="1"/>
  <c r="I72" i="12"/>
  <c r="L140" i="12"/>
  <c r="K84" i="14"/>
  <c r="K86" i="14" s="1"/>
  <c r="I74" i="12" l="1"/>
  <c r="K870" i="20"/>
  <c r="K884" i="20" s="1"/>
  <c r="K146" i="12"/>
  <c r="J72" i="12"/>
  <c r="L84" i="14"/>
  <c r="L86" i="14" s="1"/>
  <c r="M140" i="12"/>
  <c r="I114" i="12" l="1"/>
  <c r="I13" i="14"/>
  <c r="I76" i="12"/>
  <c r="I35" i="14" s="1"/>
  <c r="I39" i="14" s="1"/>
  <c r="I40" i="14" s="1"/>
  <c r="J74" i="12"/>
  <c r="J13" i="14" s="1"/>
  <c r="J17" i="14" s="1"/>
  <c r="L870" i="20"/>
  <c r="L884" i="20" s="1"/>
  <c r="K873" i="20"/>
  <c r="M84" i="14"/>
  <c r="M86" i="14" s="1"/>
  <c r="I17" i="14" l="1"/>
  <c r="I21" i="14" s="1"/>
  <c r="I15" i="14"/>
  <c r="J114" i="12"/>
  <c r="I53" i="29"/>
  <c r="I48" i="29"/>
  <c r="I47" i="29"/>
  <c r="I56" i="29"/>
  <c r="I44" i="29"/>
  <c r="I43" i="29"/>
  <c r="I57" i="29"/>
  <c r="I61" i="29"/>
  <c r="I59" i="29"/>
  <c r="I40" i="29"/>
  <c r="I63" i="29"/>
  <c r="I46" i="29"/>
  <c r="I41" i="29"/>
  <c r="I54" i="29"/>
  <c r="I45" i="29"/>
  <c r="I52" i="29"/>
  <c r="I60" i="29"/>
  <c r="I55" i="29"/>
  <c r="I58" i="29"/>
  <c r="I42" i="29"/>
  <c r="I49" i="29"/>
  <c r="K875" i="20"/>
  <c r="K877" i="20" s="1"/>
  <c r="I112" i="12"/>
  <c r="L873" i="20"/>
  <c r="K89" i="11"/>
  <c r="K116" i="11" s="1"/>
  <c r="J90" i="11"/>
  <c r="I36" i="14" l="1"/>
  <c r="I61" i="14"/>
  <c r="I62" i="14" s="1"/>
  <c r="J91" i="11"/>
  <c r="J57" i="12"/>
  <c r="K87" i="11"/>
  <c r="L88" i="11" s="1"/>
  <c r="J117" i="11"/>
  <c r="J120" i="11" s="1"/>
  <c r="K127" i="11"/>
  <c r="K29" i="12"/>
  <c r="K14" i="15" s="1"/>
  <c r="K119" i="11"/>
  <c r="K90" i="11"/>
  <c r="L89" i="11"/>
  <c r="L116" i="11" s="1"/>
  <c r="K18" i="15" l="1"/>
  <c r="K15" i="15"/>
  <c r="K137" i="11"/>
  <c r="K139" i="11" s="1"/>
  <c r="K140" i="11" s="1"/>
  <c r="K39" i="12" s="1"/>
  <c r="K16" i="15" s="1"/>
  <c r="K25" i="29"/>
  <c r="I71" i="14"/>
  <c r="I75" i="14" s="1"/>
  <c r="I76" i="14" s="1"/>
  <c r="J62" i="12"/>
  <c r="J76" i="12" s="1"/>
  <c r="J35" i="14" s="1"/>
  <c r="J39" i="14" s="1"/>
  <c r="J40" i="14" s="1"/>
  <c r="K122" i="12"/>
  <c r="K30" i="12"/>
  <c r="L128" i="11"/>
  <c r="M128" i="11" s="1"/>
  <c r="N128" i="11" s="1"/>
  <c r="O128" i="11" s="1"/>
  <c r="P128" i="11" s="1"/>
  <c r="Q128" i="11" s="1"/>
  <c r="R128" i="11" s="1"/>
  <c r="L29" i="12"/>
  <c r="L14" i="15" s="1"/>
  <c r="L119" i="11"/>
  <c r="K57" i="12"/>
  <c r="K62" i="12" s="1"/>
  <c r="K117" i="11"/>
  <c r="K120" i="11" s="1"/>
  <c r="L127" i="11"/>
  <c r="K130" i="11"/>
  <c r="K91" i="11"/>
  <c r="L87" i="11"/>
  <c r="M88" i="11" s="1"/>
  <c r="M89" i="11" s="1"/>
  <c r="M116" i="11" l="1"/>
  <c r="M119" i="11" s="1"/>
  <c r="K17" i="15"/>
  <c r="K19" i="15" s="1"/>
  <c r="K23" i="15" s="1"/>
  <c r="L18" i="15"/>
  <c r="L15" i="15"/>
  <c r="J60" i="29"/>
  <c r="J41" i="29"/>
  <c r="J42" i="29"/>
  <c r="J45" i="29"/>
  <c r="J48" i="29"/>
  <c r="J53" i="29"/>
  <c r="J56" i="29"/>
  <c r="J63" i="29"/>
  <c r="J44" i="29"/>
  <c r="J52" i="29"/>
  <c r="J40" i="29"/>
  <c r="J55" i="29"/>
  <c r="J43" i="29"/>
  <c r="J47" i="29"/>
  <c r="J58" i="29"/>
  <c r="J54" i="29"/>
  <c r="J57" i="29"/>
  <c r="J46" i="29"/>
  <c r="J49" i="29"/>
  <c r="J59" i="29"/>
  <c r="J61" i="29"/>
  <c r="K33" i="29"/>
  <c r="I72" i="14"/>
  <c r="J21" i="14"/>
  <c r="L137" i="11"/>
  <c r="L139" i="11" s="1"/>
  <c r="L140" i="11" s="1"/>
  <c r="L39" i="12" s="1"/>
  <c r="L16" i="15" s="1"/>
  <c r="L25" i="29"/>
  <c r="K37" i="12"/>
  <c r="K31" i="29" s="1"/>
  <c r="K26" i="29"/>
  <c r="L875" i="20"/>
  <c r="L877" i="20" s="1"/>
  <c r="J112" i="12"/>
  <c r="K141" i="11"/>
  <c r="K126" i="12"/>
  <c r="L90" i="11"/>
  <c r="L91" i="11" s="1"/>
  <c r="M127" i="11"/>
  <c r="N127" i="11" s="1"/>
  <c r="O127" i="11" s="1"/>
  <c r="P127" i="11" s="1"/>
  <c r="Q127" i="11" s="1"/>
  <c r="R127" i="11" s="1"/>
  <c r="L130" i="11"/>
  <c r="L122" i="12"/>
  <c r="L30" i="12"/>
  <c r="K32" i="12"/>
  <c r="K52" i="14"/>
  <c r="K45" i="12"/>
  <c r="M129" i="11" l="1"/>
  <c r="M29" i="12"/>
  <c r="M14" i="15" s="1"/>
  <c r="M18" i="15"/>
  <c r="M15" i="15"/>
  <c r="L17" i="15"/>
  <c r="L19" i="15" s="1"/>
  <c r="L23" i="15" s="1"/>
  <c r="K29" i="15"/>
  <c r="L33" i="29"/>
  <c r="K46" i="12"/>
  <c r="L141" i="11"/>
  <c r="J15" i="14"/>
  <c r="K121" i="12"/>
  <c r="K127" i="12" s="1"/>
  <c r="K40" i="12"/>
  <c r="K34" i="29" s="1"/>
  <c r="L37" i="12"/>
  <c r="L31" i="29" s="1"/>
  <c r="L26" i="29"/>
  <c r="M137" i="11"/>
  <c r="M139" i="11" s="1"/>
  <c r="M140" i="11" s="1"/>
  <c r="M39" i="12" s="1"/>
  <c r="M16" i="15" s="1"/>
  <c r="M25" i="29"/>
  <c r="L126" i="12"/>
  <c r="L117" i="11"/>
  <c r="L120" i="11" s="1"/>
  <c r="L57" i="12"/>
  <c r="L62" i="12" s="1"/>
  <c r="M87" i="11"/>
  <c r="K54" i="14"/>
  <c r="K88" i="14"/>
  <c r="K90" i="14" s="1"/>
  <c r="M122" i="12"/>
  <c r="M30" i="12"/>
  <c r="T29" i="12"/>
  <c r="U29" i="12"/>
  <c r="L32" i="12"/>
  <c r="L45" i="12"/>
  <c r="L52" i="14"/>
  <c r="M130" i="11"/>
  <c r="J61" i="14"/>
  <c r="J36" i="14"/>
  <c r="M90" i="11" l="1"/>
  <c r="M117" i="11" s="1"/>
  <c r="M120" i="11" s="1"/>
  <c r="N88" i="11"/>
  <c r="N89" i="11" s="1"/>
  <c r="M17" i="15"/>
  <c r="M19" i="15" s="1"/>
  <c r="M23" i="15" s="1"/>
  <c r="L29" i="15"/>
  <c r="L40" i="12"/>
  <c r="L34" i="29" s="1"/>
  <c r="M33" i="29"/>
  <c r="L46" i="12"/>
  <c r="L121" i="12"/>
  <c r="L127" i="12" s="1"/>
  <c r="K148" i="11"/>
  <c r="K149" i="11" s="1"/>
  <c r="K139" i="12" s="1"/>
  <c r="K143" i="12" s="1"/>
  <c r="K145" i="12" s="1"/>
  <c r="K148" i="12" s="1"/>
  <c r="K47" i="12"/>
  <c r="K56" i="14"/>
  <c r="K60" i="14" s="1"/>
  <c r="K64" i="14" s="1"/>
  <c r="M37" i="12"/>
  <c r="M31" i="29" s="1"/>
  <c r="M26" i="29"/>
  <c r="M141" i="11"/>
  <c r="M126" i="12"/>
  <c r="T39" i="12"/>
  <c r="U39" i="12"/>
  <c r="L54" i="14"/>
  <c r="L88" i="14"/>
  <c r="L90" i="14" s="1"/>
  <c r="M32" i="12"/>
  <c r="M45" i="12"/>
  <c r="T30" i="12"/>
  <c r="U30" i="12"/>
  <c r="M52" i="14"/>
  <c r="J71" i="14"/>
  <c r="J62" i="14"/>
  <c r="M91" i="11" l="1"/>
  <c r="N116" i="11"/>
  <c r="M57" i="12"/>
  <c r="M62" i="12" s="1"/>
  <c r="N87" i="11"/>
  <c r="L47" i="12"/>
  <c r="L148" i="11"/>
  <c r="L149" i="11" s="1"/>
  <c r="L139" i="12" s="1"/>
  <c r="L143" i="12" s="1"/>
  <c r="L145" i="12" s="1"/>
  <c r="M29" i="15"/>
  <c r="L56" i="14"/>
  <c r="L58" i="14" s="1"/>
  <c r="M46" i="12"/>
  <c r="K58" i="14"/>
  <c r="M121" i="12"/>
  <c r="M127" i="12" s="1"/>
  <c r="K150" i="11"/>
  <c r="K82" i="12" s="1"/>
  <c r="M40" i="12"/>
  <c r="M34" i="29" s="1"/>
  <c r="L146" i="12"/>
  <c r="K72" i="12"/>
  <c r="M88" i="14"/>
  <c r="M90" i="14" s="1"/>
  <c r="M54" i="14"/>
  <c r="J72" i="14"/>
  <c r="J75" i="14"/>
  <c r="J76" i="14" s="1"/>
  <c r="O88" i="11" l="1"/>
  <c r="O89" i="11" s="1"/>
  <c r="O116" i="11" s="1"/>
  <c r="N90" i="11"/>
  <c r="N29" i="12"/>
  <c r="N119" i="11"/>
  <c r="N129" i="11"/>
  <c r="N130" i="11" s="1"/>
  <c r="L60" i="14"/>
  <c r="L64" i="14" s="1"/>
  <c r="L147" i="11"/>
  <c r="L150" i="11" s="1"/>
  <c r="L82" i="12" s="1"/>
  <c r="T40" i="12"/>
  <c r="M56" i="14"/>
  <c r="M58" i="14" s="1"/>
  <c r="M148" i="11"/>
  <c r="M149" i="11" s="1"/>
  <c r="M139" i="12" s="1"/>
  <c r="M143" i="12" s="1"/>
  <c r="M145" i="12" s="1"/>
  <c r="M47" i="12"/>
  <c r="U40" i="12"/>
  <c r="K74" i="12"/>
  <c r="K13" i="14" s="1"/>
  <c r="M870" i="20"/>
  <c r="M884" i="20" s="1"/>
  <c r="K83" i="12"/>
  <c r="K31" i="14" s="1"/>
  <c r="L148" i="12"/>
  <c r="M146" i="12" s="1"/>
  <c r="K38" i="14" l="1"/>
  <c r="K32" i="14"/>
  <c r="K17" i="14"/>
  <c r="K21" i="14" s="1"/>
  <c r="K15" i="14"/>
  <c r="N122" i="12"/>
  <c r="N137" i="11"/>
  <c r="N139" i="11" s="1"/>
  <c r="N14" i="15"/>
  <c r="N30" i="12"/>
  <c r="N57" i="12"/>
  <c r="N62" i="12" s="1"/>
  <c r="O87" i="11"/>
  <c r="N91" i="11"/>
  <c r="N117" i="11"/>
  <c r="N120" i="11" s="1"/>
  <c r="O29" i="12"/>
  <c r="O129" i="11"/>
  <c r="O130" i="11" s="1"/>
  <c r="O119" i="11"/>
  <c r="K114" i="12"/>
  <c r="M147" i="11"/>
  <c r="M150" i="11" s="1"/>
  <c r="N147" i="11" s="1"/>
  <c r="M60" i="14"/>
  <c r="M64" i="14" s="1"/>
  <c r="L72" i="12"/>
  <c r="M873" i="20"/>
  <c r="K76" i="12"/>
  <c r="K35" i="14" s="1"/>
  <c r="K39" i="14" s="1"/>
  <c r="L83" i="12"/>
  <c r="L31" i="14" s="1"/>
  <c r="K110" i="12"/>
  <c r="M148" i="12"/>
  <c r="K40" i="14" l="1"/>
  <c r="K65" i="14"/>
  <c r="K66" i="14" s="1"/>
  <c r="L38" i="14"/>
  <c r="L32" i="14"/>
  <c r="P88" i="11"/>
  <c r="P89" i="11" s="1"/>
  <c r="P116" i="11" s="1"/>
  <c r="O90" i="11"/>
  <c r="O14" i="15"/>
  <c r="O122" i="12"/>
  <c r="O137" i="11"/>
  <c r="O139" i="11" s="1"/>
  <c r="O30" i="12"/>
  <c r="N32" i="12"/>
  <c r="N45" i="12"/>
  <c r="N37" i="12"/>
  <c r="N18" i="15"/>
  <c r="N15" i="15"/>
  <c r="N140" i="11"/>
  <c r="N39" i="12" s="1"/>
  <c r="M72" i="12"/>
  <c r="O870" i="20" s="1"/>
  <c r="O884" i="20" s="1"/>
  <c r="N146" i="12"/>
  <c r="M82" i="12"/>
  <c r="M83" i="12" s="1"/>
  <c r="M31" i="14" s="1"/>
  <c r="L74" i="12"/>
  <c r="K68" i="29"/>
  <c r="K74" i="29"/>
  <c r="K78" i="29"/>
  <c r="K84" i="29"/>
  <c r="K88" i="29"/>
  <c r="K92" i="29"/>
  <c r="K86" i="29"/>
  <c r="K85" i="29"/>
  <c r="K76" i="29"/>
  <c r="K90" i="29"/>
  <c r="K75" i="29"/>
  <c r="K73" i="29"/>
  <c r="K77" i="29"/>
  <c r="K83" i="29"/>
  <c r="K87" i="29"/>
  <c r="K91" i="29"/>
  <c r="K97" i="29"/>
  <c r="K93" i="29"/>
  <c r="K95" i="29"/>
  <c r="K79" i="29"/>
  <c r="K89" i="29"/>
  <c r="K69" i="29"/>
  <c r="K54" i="29"/>
  <c r="K41" i="29"/>
  <c r="K60" i="29"/>
  <c r="K44" i="29"/>
  <c r="K52" i="29"/>
  <c r="K58" i="29"/>
  <c r="K46" i="29"/>
  <c r="K42" i="29"/>
  <c r="K45" i="29"/>
  <c r="K48" i="29"/>
  <c r="K53" i="29"/>
  <c r="K56" i="29"/>
  <c r="K63" i="29"/>
  <c r="K43" i="29"/>
  <c r="K47" i="29"/>
  <c r="K55" i="29"/>
  <c r="K40" i="29"/>
  <c r="K49" i="29"/>
  <c r="K57" i="29"/>
  <c r="K59" i="29"/>
  <c r="K70" i="29"/>
  <c r="K61" i="29"/>
  <c r="N870" i="20"/>
  <c r="M875" i="20"/>
  <c r="M877" i="20" s="1"/>
  <c r="K112" i="12"/>
  <c r="L110" i="12"/>
  <c r="L65" i="14" l="1"/>
  <c r="L66" i="14" s="1"/>
  <c r="M38" i="14"/>
  <c r="M32" i="14"/>
  <c r="L76" i="12"/>
  <c r="L45" i="29" s="1"/>
  <c r="L13" i="14"/>
  <c r="N141" i="11"/>
  <c r="O140" i="11"/>
  <c r="O39" i="12" s="1"/>
  <c r="O18" i="15"/>
  <c r="O15" i="15"/>
  <c r="O57" i="12"/>
  <c r="O62" i="12" s="1"/>
  <c r="O91" i="11"/>
  <c r="P87" i="11"/>
  <c r="O117" i="11"/>
  <c r="O120" i="11" s="1"/>
  <c r="N121" i="12"/>
  <c r="N40" i="12"/>
  <c r="U82" i="12"/>
  <c r="T82" i="12"/>
  <c r="O45" i="12"/>
  <c r="O32" i="12"/>
  <c r="O37" i="12"/>
  <c r="N126" i="12"/>
  <c r="N46" i="12"/>
  <c r="N16" i="15"/>
  <c r="N17" i="15" s="1"/>
  <c r="N19" i="15" s="1"/>
  <c r="N23" i="15" s="1"/>
  <c r="N29" i="15" s="1"/>
  <c r="P29" i="12"/>
  <c r="P119" i="11"/>
  <c r="P129" i="11"/>
  <c r="P130" i="11" s="1"/>
  <c r="M74" i="12"/>
  <c r="N873" i="20"/>
  <c r="N884" i="20"/>
  <c r="L68" i="29"/>
  <c r="L74" i="29"/>
  <c r="L78" i="29"/>
  <c r="L84" i="29"/>
  <c r="L88" i="29"/>
  <c r="L92" i="29"/>
  <c r="L90" i="29"/>
  <c r="L95" i="29"/>
  <c r="L75" i="29"/>
  <c r="L89" i="29"/>
  <c r="L76" i="29"/>
  <c r="L73" i="29"/>
  <c r="L77" i="29"/>
  <c r="L83" i="29"/>
  <c r="L87" i="29"/>
  <c r="L91" i="29"/>
  <c r="L97" i="29"/>
  <c r="L86" i="29"/>
  <c r="L85" i="29"/>
  <c r="L93" i="29"/>
  <c r="L79" i="29"/>
  <c r="L69" i="29"/>
  <c r="L114" i="12"/>
  <c r="L61" i="29"/>
  <c r="L43" i="29"/>
  <c r="L46" i="29"/>
  <c r="L49" i="29"/>
  <c r="L54" i="29"/>
  <c r="L57" i="29"/>
  <c r="L42" i="29"/>
  <c r="M110" i="12"/>
  <c r="M70" i="29" s="1"/>
  <c r="L70" i="29"/>
  <c r="K36" i="14"/>
  <c r="K61" i="14"/>
  <c r="O873" i="20"/>
  <c r="L112" i="12"/>
  <c r="L40" i="29" l="1"/>
  <c r="N875" i="20"/>
  <c r="N877" i="20" s="1"/>
  <c r="L52" i="29"/>
  <c r="L44" i="29"/>
  <c r="L63" i="29"/>
  <c r="L56" i="29"/>
  <c r="L53" i="29"/>
  <c r="L48" i="29"/>
  <c r="L59" i="29"/>
  <c r="L35" i="14"/>
  <c r="L39" i="14" s="1"/>
  <c r="L40" i="14" s="1"/>
  <c r="M65" i="14"/>
  <c r="M66" i="14" s="1"/>
  <c r="L17" i="14"/>
  <c r="L21" i="14" s="1"/>
  <c r="L15" i="14"/>
  <c r="M114" i="12"/>
  <c r="M13" i="14"/>
  <c r="L58" i="29"/>
  <c r="L47" i="29"/>
  <c r="N127" i="12"/>
  <c r="L41" i="29"/>
  <c r="L55" i="29"/>
  <c r="L60" i="29"/>
  <c r="O141" i="11"/>
  <c r="N148" i="11"/>
  <c r="N47" i="12"/>
  <c r="O121" i="12"/>
  <c r="O40" i="12"/>
  <c r="P14" i="15"/>
  <c r="P137" i="11"/>
  <c r="P139" i="11" s="1"/>
  <c r="P122" i="12"/>
  <c r="P30" i="12"/>
  <c r="P90" i="11"/>
  <c r="Q88" i="11"/>
  <c r="Q89" i="11" s="1"/>
  <c r="Q116" i="11" s="1"/>
  <c r="O46" i="12"/>
  <c r="O16" i="15"/>
  <c r="O17" i="15" s="1"/>
  <c r="O19" i="15" s="1"/>
  <c r="O23" i="15" s="1"/>
  <c r="O29" i="15" s="1"/>
  <c r="O126" i="12"/>
  <c r="M76" i="12"/>
  <c r="M79" i="29"/>
  <c r="M89" i="29"/>
  <c r="M87" i="29"/>
  <c r="M95" i="29"/>
  <c r="M93" i="29"/>
  <c r="M68" i="29"/>
  <c r="M74" i="29"/>
  <c r="M78" i="29"/>
  <c r="M84" i="29"/>
  <c r="M88" i="29"/>
  <c r="M92" i="29"/>
  <c r="M83" i="29"/>
  <c r="M97" i="29"/>
  <c r="M90" i="29"/>
  <c r="M75" i="29"/>
  <c r="M85" i="29"/>
  <c r="M77" i="29"/>
  <c r="M86" i="29"/>
  <c r="M73" i="29"/>
  <c r="M91" i="29"/>
  <c r="M76" i="29"/>
  <c r="M69" i="29"/>
  <c r="K62" i="14"/>
  <c r="K71" i="14"/>
  <c r="L36" i="14" l="1"/>
  <c r="L61" i="14"/>
  <c r="M17" i="14"/>
  <c r="M21" i="14" s="1"/>
  <c r="M15" i="14"/>
  <c r="M61" i="29"/>
  <c r="M35" i="14"/>
  <c r="M39" i="14" s="1"/>
  <c r="M40" i="14" s="1"/>
  <c r="O127" i="12"/>
  <c r="P18" i="15"/>
  <c r="P15" i="15"/>
  <c r="O47" i="12"/>
  <c r="O148" i="11"/>
  <c r="O149" i="11" s="1"/>
  <c r="O139" i="12" s="1"/>
  <c r="O143" i="12" s="1"/>
  <c r="P45" i="12"/>
  <c r="P32" i="12"/>
  <c r="P37" i="12"/>
  <c r="P140" i="11"/>
  <c r="P39" i="12" s="1"/>
  <c r="Q29" i="12"/>
  <c r="Q119" i="11"/>
  <c r="Q129" i="11"/>
  <c r="Q130" i="11" s="1"/>
  <c r="P57" i="12"/>
  <c r="P62" i="12" s="1"/>
  <c r="P91" i="11"/>
  <c r="Q87" i="11"/>
  <c r="P117" i="11"/>
  <c r="P120" i="11" s="1"/>
  <c r="N149" i="11"/>
  <c r="N139" i="12" s="1"/>
  <c r="N143" i="12" s="1"/>
  <c r="N145" i="12" s="1"/>
  <c r="N148" i="12" s="1"/>
  <c r="M57" i="29"/>
  <c r="M44" i="29"/>
  <c r="M45" i="29"/>
  <c r="M52" i="29"/>
  <c r="M49" i="29"/>
  <c r="M58" i="29"/>
  <c r="M56" i="29"/>
  <c r="M43" i="29"/>
  <c r="M40" i="29"/>
  <c r="M42" i="29"/>
  <c r="M59" i="29"/>
  <c r="M63" i="29"/>
  <c r="M54" i="29"/>
  <c r="M48" i="29"/>
  <c r="M46" i="29"/>
  <c r="M41" i="29"/>
  <c r="M47" i="29"/>
  <c r="M112" i="12"/>
  <c r="M53" i="29"/>
  <c r="O875" i="20"/>
  <c r="O877" i="20" s="1"/>
  <c r="M55" i="29"/>
  <c r="M60" i="29"/>
  <c r="L71" i="14"/>
  <c r="L62" i="14"/>
  <c r="K75" i="14"/>
  <c r="K76" i="14" s="1"/>
  <c r="K72" i="14"/>
  <c r="O145" i="12" l="1"/>
  <c r="N150" i="11"/>
  <c r="N82" i="12" s="1"/>
  <c r="N83" i="12" s="1"/>
  <c r="N110" i="12" s="1"/>
  <c r="P141" i="11"/>
  <c r="P16" i="15"/>
  <c r="P17" i="15" s="1"/>
  <c r="P19" i="15" s="1"/>
  <c r="P23" i="15" s="1"/>
  <c r="P29" i="15" s="1"/>
  <c r="P126" i="12"/>
  <c r="P46" i="12"/>
  <c r="Q90" i="11"/>
  <c r="R88" i="11"/>
  <c r="R89" i="11" s="1"/>
  <c r="R116" i="11" s="1"/>
  <c r="P121" i="12"/>
  <c r="P40" i="12"/>
  <c r="Q137" i="11"/>
  <c r="Q139" i="11" s="1"/>
  <c r="Q122" i="12"/>
  <c r="Q14" i="15"/>
  <c r="Q30" i="12"/>
  <c r="N72" i="12"/>
  <c r="N74" i="12" s="1"/>
  <c r="O146" i="12"/>
  <c r="O148" i="12" s="1"/>
  <c r="M61" i="14"/>
  <c r="M62" i="14" s="1"/>
  <c r="M36" i="14"/>
  <c r="L72" i="14"/>
  <c r="L75" i="14"/>
  <c r="L76" i="14" s="1"/>
  <c r="O147" i="11" l="1"/>
  <c r="O150" i="11" s="1"/>
  <c r="M71" i="14"/>
  <c r="M72" i="14" s="1"/>
  <c r="Q18" i="15"/>
  <c r="Q15" i="15"/>
  <c r="Q140" i="11"/>
  <c r="Q39" i="12" s="1"/>
  <c r="P148" i="11"/>
  <c r="P149" i="11" s="1"/>
  <c r="P139" i="12" s="1"/>
  <c r="P143" i="12" s="1"/>
  <c r="P47" i="12"/>
  <c r="Q57" i="12"/>
  <c r="Q62" i="12" s="1"/>
  <c r="Q91" i="11"/>
  <c r="R87" i="11"/>
  <c r="R90" i="11" s="1"/>
  <c r="Q117" i="11"/>
  <c r="Q120" i="11" s="1"/>
  <c r="N76" i="12"/>
  <c r="N112" i="12" s="1"/>
  <c r="N114" i="12"/>
  <c r="P127" i="12"/>
  <c r="R29" i="12"/>
  <c r="R119" i="11"/>
  <c r="R129" i="11"/>
  <c r="R130" i="11" s="1"/>
  <c r="O82" i="12"/>
  <c r="O83" i="12" s="1"/>
  <c r="O110" i="12" s="1"/>
  <c r="P147" i="11"/>
  <c r="P146" i="12"/>
  <c r="O72" i="12"/>
  <c r="O74" i="12" s="1"/>
  <c r="Q32" i="12"/>
  <c r="Q45" i="12"/>
  <c r="Q37" i="12"/>
  <c r="P150" i="11" l="1"/>
  <c r="M75" i="14"/>
  <c r="M76" i="14" s="1"/>
  <c r="P145" i="12"/>
  <c r="P148" i="12" s="1"/>
  <c r="Q141" i="11"/>
  <c r="O76" i="12"/>
  <c r="O112" i="12" s="1"/>
  <c r="O114" i="12"/>
  <c r="P82" i="12"/>
  <c r="P83" i="12" s="1"/>
  <c r="P110" i="12" s="1"/>
  <c r="Q147" i="11"/>
  <c r="Q121" i="12"/>
  <c r="Q40" i="12"/>
  <c r="Q16" i="15"/>
  <c r="Q17" i="15" s="1"/>
  <c r="Q19" i="15" s="1"/>
  <c r="Q23" i="15" s="1"/>
  <c r="Q29" i="15" s="1"/>
  <c r="Q126" i="12"/>
  <c r="Q46" i="12"/>
  <c r="R137" i="11"/>
  <c r="R139" i="11" s="1"/>
  <c r="R14" i="15"/>
  <c r="R122" i="12"/>
  <c r="R30" i="12"/>
  <c r="R91" i="11"/>
  <c r="R57" i="12"/>
  <c r="R62" i="12" s="1"/>
  <c r="R117" i="11"/>
  <c r="R120" i="11" s="1"/>
  <c r="P72" i="12" l="1"/>
  <c r="P74" i="12" s="1"/>
  <c r="P114" i="12" s="1"/>
  <c r="Q146" i="12"/>
  <c r="Q127" i="12"/>
  <c r="Q148" i="11"/>
  <c r="Q149" i="11" s="1"/>
  <c r="Q139" i="12" s="1"/>
  <c r="Q143" i="12" s="1"/>
  <c r="Q145" i="12" s="1"/>
  <c r="Q148" i="12" s="1"/>
  <c r="Q47" i="12"/>
  <c r="R32" i="12"/>
  <c r="R45" i="12"/>
  <c r="R37" i="12"/>
  <c r="R121" i="12" s="1"/>
  <c r="R18" i="15"/>
  <c r="R15" i="15"/>
  <c r="R140" i="11"/>
  <c r="R39" i="12" s="1"/>
  <c r="P76" i="12" l="1"/>
  <c r="P112" i="12" s="1"/>
  <c r="Q150" i="11"/>
  <c r="R141" i="11"/>
  <c r="R146" i="12"/>
  <c r="Q72" i="12"/>
  <c r="Q74" i="12" s="1"/>
  <c r="R147" i="11"/>
  <c r="Q82" i="12"/>
  <c r="Q83" i="12" s="1"/>
  <c r="Q110" i="12" s="1"/>
  <c r="R40" i="12"/>
  <c r="R16" i="15"/>
  <c r="R17" i="15" s="1"/>
  <c r="R19" i="15" s="1"/>
  <c r="R23" i="15" s="1"/>
  <c r="C34" i="15" s="1"/>
  <c r="R46" i="12"/>
  <c r="R126" i="12"/>
  <c r="R127" i="12" s="1"/>
  <c r="C35" i="15" l="1"/>
  <c r="C36" i="15" s="1"/>
  <c r="R29" i="15"/>
  <c r="R148" i="11"/>
  <c r="R149" i="11" s="1"/>
  <c r="R139" i="12" s="1"/>
  <c r="R143" i="12" s="1"/>
  <c r="R145" i="12" s="1"/>
  <c r="R148" i="12" s="1"/>
  <c r="R72" i="12" s="1"/>
  <c r="R74" i="12" s="1"/>
  <c r="R47" i="12"/>
  <c r="Q114" i="12"/>
  <c r="Q76" i="12"/>
  <c r="Q112" i="12" s="1"/>
  <c r="C37" i="15" l="1"/>
  <c r="C55" i="15" s="1"/>
  <c r="C56" i="15" s="1"/>
  <c r="C57" i="15" s="1"/>
  <c r="R150" i="11"/>
  <c r="R82" i="12" s="1"/>
  <c r="R83" i="12" s="1"/>
  <c r="R110" i="12" s="1"/>
  <c r="R114" i="12"/>
  <c r="R76" i="12"/>
  <c r="C38" i="15" l="1"/>
  <c r="C39" i="15" s="1"/>
  <c r="C63" i="15"/>
  <c r="C58" i="15"/>
  <c r="R112" i="12"/>
  <c r="C40" i="15" l="1"/>
  <c r="C45" i="15"/>
  <c r="C46" i="15" l="1"/>
  <c r="C47" i="15"/>
  <c r="C64" i="15"/>
  <c r="C65" i="15"/>
  <c r="D71" i="15"/>
  <c r="D82" i="15"/>
  <c r="D16" i="36"/>
  <c r="C21" i="36"/>
  <c r="C22" i="36"/>
  <c r="C24" i="36"/>
  <c r="C25" i="36"/>
  <c r="D27" i="36"/>
  <c r="E28" i="36"/>
  <c r="D32" i="38"/>
  <c r="D33"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9" authorId="0" shapeId="0" xr:uid="{EA2E0B3B-ECB5-4396-A6E2-A7F5394FA9F0}">
      <text>
        <r>
          <rPr>
            <b/>
            <sz val="9"/>
            <color indexed="81"/>
            <rFont val="Tahoma"/>
            <family val="2"/>
          </rPr>
          <t>HP:</t>
        </r>
        <r>
          <rPr>
            <sz val="9"/>
            <color indexed="81"/>
            <rFont val="Tahoma"/>
            <family val="2"/>
          </rPr>
          <t xml:space="preserve">
Taken from Trading Economics</t>
        </r>
      </text>
    </comment>
    <comment ref="C12" authorId="0" shapeId="0" xr:uid="{98A97656-7E3D-4141-AEC9-0487BB15F598}">
      <text>
        <r>
          <rPr>
            <b/>
            <sz val="9"/>
            <color indexed="81"/>
            <rFont val="Tahoma"/>
            <family val="2"/>
          </rPr>
          <t>HP:</t>
        </r>
        <r>
          <rPr>
            <sz val="9"/>
            <color indexed="81"/>
            <rFont val="Tahoma"/>
            <family val="2"/>
          </rPr>
          <t xml:space="preserve">
Taken from Dr Damodaran's website
1st November,2025</t>
        </r>
      </text>
    </comment>
    <comment ref="C17" authorId="0" shapeId="0" xr:uid="{AEA10988-78B4-4C39-B79B-78EB1342851E}">
      <text>
        <r>
          <rPr>
            <b/>
            <sz val="9"/>
            <color indexed="81"/>
            <rFont val="Tahoma"/>
            <family val="2"/>
          </rPr>
          <t>HP:</t>
        </r>
        <r>
          <rPr>
            <sz val="9"/>
            <color indexed="81"/>
            <rFont val="Tahoma"/>
            <family val="2"/>
          </rPr>
          <t xml:space="preserve">
Taken from PWC tax summaries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I18" authorId="0" shapeId="0" xr:uid="{4B9F9FA3-48ED-44DB-9596-0878543532A6}">
      <text>
        <r>
          <rPr>
            <b/>
            <sz val="9"/>
            <color indexed="81"/>
            <rFont val="Tahoma"/>
            <family val="2"/>
          </rPr>
          <t>HP:</t>
        </r>
        <r>
          <rPr>
            <sz val="9"/>
            <color indexed="81"/>
            <rFont val="Tahoma"/>
            <family val="2"/>
          </rPr>
          <t xml:space="preserve">
industry growth rate</t>
        </r>
      </text>
    </comment>
    <comment ref="I27" authorId="0" shapeId="0" xr:uid="{92140A3D-4750-4014-B6BC-C03303360807}">
      <text>
        <r>
          <rPr>
            <b/>
            <sz val="9"/>
            <color indexed="81"/>
            <rFont val="Tahoma"/>
            <family val="2"/>
          </rPr>
          <t>HP:</t>
        </r>
        <r>
          <rPr>
            <sz val="9"/>
            <color indexed="81"/>
            <rFont val="Tahoma"/>
            <family val="2"/>
          </rPr>
          <t xml:space="preserve">
industry growth rate</t>
        </r>
      </text>
    </comment>
    <comment ref="I150" authorId="0" shapeId="0" xr:uid="{19751CC7-6E35-4550-B9DD-CA97BE4BCB64}">
      <text>
        <r>
          <rPr>
            <b/>
            <sz val="9"/>
            <color indexed="81"/>
            <rFont val="Tahoma"/>
            <family val="2"/>
          </rPr>
          <t>HP:</t>
        </r>
        <r>
          <rPr>
            <sz val="9"/>
            <color indexed="81"/>
            <rFont val="Tahoma"/>
            <family val="2"/>
          </rPr>
          <t xml:space="preserve">
Kd taken here which is used in calculation of WACC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114" authorId="0" shapeId="0" xr:uid="{95AF76A8-FCEA-4A76-A4F8-DB7FCA531159}">
      <text>
        <r>
          <rPr>
            <b/>
            <sz val="9"/>
            <color indexed="81"/>
            <rFont val="Tahoma"/>
            <family val="2"/>
          </rPr>
          <t>HP:</t>
        </r>
        <r>
          <rPr>
            <sz val="9"/>
            <color indexed="81"/>
            <rFont val="Tahoma"/>
            <family val="2"/>
          </rPr>
          <t xml:space="preserve">
Taken 10 instead of 5 kyuki 5 lene se PPE ka growth negative mein jaa rha tha aur fir baaki avg life ppe ki 5-15 years ke beech show ho rhi thi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51" authorId="0" shapeId="0" xr:uid="{15888BA9-4006-47F4-8AB5-97D40F6CE765}">
      <text>
        <r>
          <rPr>
            <b/>
            <sz val="9"/>
            <color indexed="81"/>
            <rFont val="Tahoma"/>
            <family val="2"/>
          </rPr>
          <t>HP:</t>
        </r>
        <r>
          <rPr>
            <sz val="9"/>
            <color indexed="81"/>
            <rFont val="Tahoma"/>
            <family val="2"/>
          </rPr>
          <t xml:space="preserve">
Taken from screener of bajaj auto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<sst xmlns="http://schemas.openxmlformats.org/spreadsheetml/2006/main" count="2261" uniqueCount="1146">
  <si>
    <t>Less: Cost of Goods Sold</t>
  </si>
  <si>
    <t>Gross Profit</t>
  </si>
  <si>
    <t>Depreciation</t>
  </si>
  <si>
    <t>Less: Taxes</t>
  </si>
  <si>
    <t>Net Income</t>
  </si>
  <si>
    <t>Assets</t>
  </si>
  <si>
    <t>Inventory</t>
  </si>
  <si>
    <t>Debtors</t>
  </si>
  <si>
    <t>Prepaid Expenses</t>
  </si>
  <si>
    <t>Other Current Assets</t>
  </si>
  <si>
    <t>Total Current Assets</t>
  </si>
  <si>
    <t>Total Assets</t>
  </si>
  <si>
    <t>Creditors</t>
  </si>
  <si>
    <t>Other Current Liabilities</t>
  </si>
  <si>
    <t>Control Sheet</t>
  </si>
  <si>
    <t>In INR Crores unless stated otherwise</t>
  </si>
  <si>
    <t>Actual</t>
  </si>
  <si>
    <t>Explicit Forecast Period</t>
  </si>
  <si>
    <t>#</t>
  </si>
  <si>
    <t>Mangement Case</t>
  </si>
  <si>
    <t>Best Case</t>
  </si>
  <si>
    <t>Down Case</t>
  </si>
  <si>
    <t>Current Case:</t>
  </si>
  <si>
    <t>Total Sales</t>
  </si>
  <si>
    <t>COGS Schedule</t>
  </si>
  <si>
    <t>SG&amp;A (Excluding Depreciation &amp; Interest Expenses) Schedule</t>
  </si>
  <si>
    <t>Total SG&amp;A (Excluding Depreciation &amp; Interest Expenses)</t>
  </si>
  <si>
    <t>Total SG&amp;A % Sales</t>
  </si>
  <si>
    <t>Current Case - Mangement Case</t>
  </si>
  <si>
    <t>Intangible Non Current Asset</t>
  </si>
  <si>
    <t>Marginal Tax Rate</t>
  </si>
  <si>
    <t>Dividend Payout %</t>
  </si>
  <si>
    <t>Non Current Asset Schedule</t>
  </si>
  <si>
    <t>Depreciation Schedule</t>
  </si>
  <si>
    <t>Add : Depreciation</t>
  </si>
  <si>
    <t>Depreciation Waterfall Schedule</t>
  </si>
  <si>
    <t>Total Depreciation</t>
  </si>
  <si>
    <t>Tax Expense Schedule</t>
  </si>
  <si>
    <t>Revenue</t>
  </si>
  <si>
    <t>Less : Cost of Goods Sold</t>
  </si>
  <si>
    <t>Less : SG&amp;A Expense</t>
  </si>
  <si>
    <t>Less : Depreciation &amp; Amortization</t>
  </si>
  <si>
    <t>Less : Interest Expense</t>
  </si>
  <si>
    <t>Earnings Before Tax</t>
  </si>
  <si>
    <t>Less : Tax Expenses</t>
  </si>
  <si>
    <t>Add : Net Income</t>
  </si>
  <si>
    <t>Add : Dividend Paid</t>
  </si>
  <si>
    <t>Dividend Payout Rate %</t>
  </si>
  <si>
    <t>Working Capital Schedule</t>
  </si>
  <si>
    <t>COGS</t>
  </si>
  <si>
    <t>Debtor Days</t>
  </si>
  <si>
    <t>Inventory Days</t>
  </si>
  <si>
    <t>Creditor Days</t>
  </si>
  <si>
    <t>Loan Schedule</t>
  </si>
  <si>
    <t>Interest Schedule</t>
  </si>
  <si>
    <t>Schedule Sheet</t>
  </si>
  <si>
    <t>3 Statement Model</t>
  </si>
  <si>
    <t>Less: SG&amp;A Expenses (Excluding Depreciation &amp; Interest)</t>
  </si>
  <si>
    <t>Earnings Before Interest &amp; Taxes</t>
  </si>
  <si>
    <t>Earnings Before Interest,Taxes,Depreciation &amp; Amortization</t>
  </si>
  <si>
    <t xml:space="preserve">              CAGR</t>
  </si>
  <si>
    <t>5 Years</t>
  </si>
  <si>
    <t>3 Years</t>
  </si>
  <si>
    <t>Sales Growth %</t>
  </si>
  <si>
    <t>Gross Profit Margins %</t>
  </si>
  <si>
    <t>EBITDA Margins %</t>
  </si>
  <si>
    <t>EBIT Margins %</t>
  </si>
  <si>
    <t>Actual Tax Rate %</t>
  </si>
  <si>
    <t>Net Income Margin %</t>
  </si>
  <si>
    <t>Income Statement</t>
  </si>
  <si>
    <t>Balance Sheet</t>
  </si>
  <si>
    <t>Check</t>
  </si>
  <si>
    <t>Net Working Capital</t>
  </si>
  <si>
    <t>Change in Working Capital</t>
  </si>
  <si>
    <t>Change in Inventory</t>
  </si>
  <si>
    <t>Change in Other Current Assets</t>
  </si>
  <si>
    <t>Change in Total Current Assets (Excluding Cash)</t>
  </si>
  <si>
    <t>Change in Total Current Liabilities</t>
  </si>
  <si>
    <t>Cash Flow Statement</t>
  </si>
  <si>
    <t>Add : Interest Expenses</t>
  </si>
  <si>
    <t>Cash Flow from Operations</t>
  </si>
  <si>
    <t>Cash Flow from Investing  Activities</t>
  </si>
  <si>
    <t>Cash Flow from Financing  Activities</t>
  </si>
  <si>
    <t>Net Change in Cash</t>
  </si>
  <si>
    <t>Opening Cash Balance</t>
  </si>
  <si>
    <t>Closing Cash Balance</t>
  </si>
  <si>
    <t>Ratio Analysis</t>
  </si>
  <si>
    <t>Liquidity Ratios</t>
  </si>
  <si>
    <t>Current Assets</t>
  </si>
  <si>
    <t>Current Liabilities</t>
  </si>
  <si>
    <t>Current Ratio</t>
  </si>
  <si>
    <t>Quick Ratio (Acid Test)</t>
  </si>
  <si>
    <t>Cash Conversion Cycle</t>
  </si>
  <si>
    <t>Leverage Ratios / Solvency Ratios</t>
  </si>
  <si>
    <t>Total Debt</t>
  </si>
  <si>
    <t>Total Equity</t>
  </si>
  <si>
    <t>Debt to Equity Ratio</t>
  </si>
  <si>
    <t>Debt to Assets Ratio</t>
  </si>
  <si>
    <t>Equity Ratio</t>
  </si>
  <si>
    <t>Profitability / Margins Ratios</t>
  </si>
  <si>
    <t>Gross Margins</t>
  </si>
  <si>
    <t>EBITDA</t>
  </si>
  <si>
    <t>EBIT</t>
  </si>
  <si>
    <t>EBITDA Margins</t>
  </si>
  <si>
    <t>EBIT Margins</t>
  </si>
  <si>
    <t>Net Profit</t>
  </si>
  <si>
    <t>Net Profit Margins</t>
  </si>
  <si>
    <t>Return on Assets</t>
  </si>
  <si>
    <t>Return on Equity</t>
  </si>
  <si>
    <t>Efficiency Ratios</t>
  </si>
  <si>
    <t>Total Asset</t>
  </si>
  <si>
    <t>Asset Turnover Ratio</t>
  </si>
  <si>
    <t>Change in Revenue</t>
  </si>
  <si>
    <t>Change in Total Asset</t>
  </si>
  <si>
    <t>Reinvestment Ratio</t>
  </si>
  <si>
    <t>Inventory Turnover Ratio</t>
  </si>
  <si>
    <t>Coverage Ratios</t>
  </si>
  <si>
    <t>Debt to EBITDA Coverage Ratio</t>
  </si>
  <si>
    <t>Interest</t>
  </si>
  <si>
    <t xml:space="preserve">EBIT </t>
  </si>
  <si>
    <t>Interest Expense</t>
  </si>
  <si>
    <t>Interest Coverage Ratio</t>
  </si>
  <si>
    <t>Free Cash Flow to Firm</t>
  </si>
  <si>
    <t>Less : Depreciation</t>
  </si>
  <si>
    <t>Less : Tax</t>
  </si>
  <si>
    <t>EBIT (1-t)</t>
  </si>
  <si>
    <t>Less : Reinvestments</t>
  </si>
  <si>
    <t>Discount Period (years)</t>
  </si>
  <si>
    <t>Discount Rate (WACC)</t>
  </si>
  <si>
    <t>Present Value Factor</t>
  </si>
  <si>
    <t>Mid Year Convention</t>
  </si>
  <si>
    <t>Yes</t>
  </si>
  <si>
    <t>No</t>
  </si>
  <si>
    <t>Present Value of Free Cash Flow to Firm</t>
  </si>
  <si>
    <t>Weighted Average Cost of Capital</t>
  </si>
  <si>
    <t>Risk Free Rate</t>
  </si>
  <si>
    <t>Cost of Debt</t>
  </si>
  <si>
    <t>DCF Calculation - Perpetuity Growth</t>
  </si>
  <si>
    <t>Perpetual Growth Rate</t>
  </si>
  <si>
    <t>Terminal Year FCFF X (1+PGR)</t>
  </si>
  <si>
    <t>Terminal Value</t>
  </si>
  <si>
    <t>Present Value of Terminal Value</t>
  </si>
  <si>
    <t>Present Value of FCFFs</t>
  </si>
  <si>
    <t>Enterprise Value</t>
  </si>
  <si>
    <t>Implied Exit Multiple</t>
  </si>
  <si>
    <t>Implied EV/EBITDA</t>
  </si>
  <si>
    <t>Less : Debt</t>
  </si>
  <si>
    <t>Add : Cash</t>
  </si>
  <si>
    <t>Equity Value</t>
  </si>
  <si>
    <t>DCF Calculation - Exit Multiple</t>
  </si>
  <si>
    <t>Exit Multiple</t>
  </si>
  <si>
    <t>Terminal Year EBITDA</t>
  </si>
  <si>
    <t>Mid Year ?</t>
  </si>
  <si>
    <t>WACC</t>
  </si>
  <si>
    <t>Particulars</t>
  </si>
  <si>
    <t>Income</t>
  </si>
  <si>
    <t>Revenue from contract with customers</t>
  </si>
  <si>
    <t>Other operating income</t>
  </si>
  <si>
    <t>Revenue from operations</t>
  </si>
  <si>
    <t>Revenue Growth YoY%</t>
  </si>
  <si>
    <t>Expenses :</t>
  </si>
  <si>
    <t>Cost of Goods Sold</t>
  </si>
  <si>
    <t>Cost of material consumed</t>
  </si>
  <si>
    <t>Purchases of traded goods</t>
  </si>
  <si>
    <t>Change in inventories of finished goods, work-in-progress and traded goods</t>
  </si>
  <si>
    <t>Total Cost of Goods Sold</t>
  </si>
  <si>
    <t>SG&amp;A Expenses (Excluding Depreciation &amp; Interest)</t>
  </si>
  <si>
    <t>Employee benefits expense</t>
  </si>
  <si>
    <t>Other expenses</t>
  </si>
  <si>
    <t>Total SG&amp;A Expenses</t>
  </si>
  <si>
    <t xml:space="preserve">Less : Depreciation and amortization </t>
  </si>
  <si>
    <t>Less : Finance Cost</t>
  </si>
  <si>
    <t>Add : Other Income</t>
  </si>
  <si>
    <t>Profit Before share of profit of joint venture and tax</t>
  </si>
  <si>
    <t>Share of profit of joint venture (VE Commercial Vehicles Limited)</t>
  </si>
  <si>
    <t>Profit Before Tax (PBT)</t>
  </si>
  <si>
    <t>Profit After Tax (PAT)</t>
  </si>
  <si>
    <t>Earnings per equity share (in ₹)</t>
  </si>
  <si>
    <t>(a) Basic</t>
  </si>
  <si>
    <t>(b) Diluted</t>
  </si>
  <si>
    <t>ASSETS</t>
  </si>
  <si>
    <t>Non-current assets :</t>
  </si>
  <si>
    <t>Fixed Assets</t>
  </si>
  <si>
    <t>Property, plant and equipment</t>
  </si>
  <si>
    <t>Capital work-in-progress</t>
  </si>
  <si>
    <t>Investment property</t>
  </si>
  <si>
    <t>Intangible assets</t>
  </si>
  <si>
    <t>Right of use assets</t>
  </si>
  <si>
    <t>Intangible assets under development</t>
  </si>
  <si>
    <t>Financial Assets :</t>
  </si>
  <si>
    <t>Investments in joint ventures</t>
  </si>
  <si>
    <t>Other investments</t>
  </si>
  <si>
    <t xml:space="preserve">Other financial assets </t>
  </si>
  <si>
    <t>Other non-current assets :</t>
  </si>
  <si>
    <t>Deferred tax assets (net)</t>
  </si>
  <si>
    <t>Non-current tax assets (net)</t>
  </si>
  <si>
    <t>Other non-current assets</t>
  </si>
  <si>
    <t>Total non-current assets</t>
  </si>
  <si>
    <t>Current assets :</t>
  </si>
  <si>
    <t>Inventories</t>
  </si>
  <si>
    <t>Trade receivables</t>
  </si>
  <si>
    <t>Investments (Current)</t>
  </si>
  <si>
    <t>Loans / Bill discounting</t>
  </si>
  <si>
    <t>Other financial assets (Current)</t>
  </si>
  <si>
    <t>Other current assets</t>
  </si>
  <si>
    <t>Cash and cash equivalents</t>
  </si>
  <si>
    <t>Bank balances other than C&amp;CE</t>
  </si>
  <si>
    <t>Total current assets</t>
  </si>
  <si>
    <t>EQUITY AND LIABILITIES</t>
  </si>
  <si>
    <t>Equity</t>
  </si>
  <si>
    <t>Equity share capital</t>
  </si>
  <si>
    <t>Other equity</t>
  </si>
  <si>
    <t>Total equity</t>
  </si>
  <si>
    <t>Non-current liabilities:</t>
  </si>
  <si>
    <t>Borrowings</t>
  </si>
  <si>
    <t>Lease liability</t>
  </si>
  <si>
    <t>Other financial liabilities</t>
  </si>
  <si>
    <t>Provisions</t>
  </si>
  <si>
    <t>Deferred tax liabilities (net)</t>
  </si>
  <si>
    <t>Government grant</t>
  </si>
  <si>
    <t>Other non-current liabilities</t>
  </si>
  <si>
    <t>Total non-current liabilities</t>
  </si>
  <si>
    <t>Current liabilities :</t>
  </si>
  <si>
    <t xml:space="preserve">Trade payables </t>
  </si>
  <si>
    <t>Other current liabilities</t>
  </si>
  <si>
    <t>Contract liability</t>
  </si>
  <si>
    <t>Current tax liabilities (net)</t>
  </si>
  <si>
    <t>Total current liabilities</t>
  </si>
  <si>
    <t>Total liabilities</t>
  </si>
  <si>
    <t>Total equity and liabilities</t>
  </si>
  <si>
    <t>Operating profit before changes in working capital</t>
  </si>
  <si>
    <t>Cash generated from operating activities (before direct taxes)</t>
  </si>
  <si>
    <t>Dividend paid</t>
  </si>
  <si>
    <t>Revenue Growth</t>
  </si>
  <si>
    <t>Company Historical Growth</t>
  </si>
  <si>
    <t>Sales Growth</t>
  </si>
  <si>
    <t>CAGR</t>
  </si>
  <si>
    <t>Idhar growth drivers dhundhke daal do</t>
  </si>
  <si>
    <t>We can find this from Annual report or from normal google search</t>
  </si>
  <si>
    <t>Har growth driver ko data and charts dikha kar support kro (get data from macrotrends website or normal google search)</t>
  </si>
  <si>
    <t>Revenue is expected to grow by 16.1% in FY26</t>
  </si>
  <si>
    <t>Q2FY26</t>
  </si>
  <si>
    <t>Crore Rs</t>
  </si>
  <si>
    <t>Q3FY26</t>
  </si>
  <si>
    <t>FY26</t>
  </si>
  <si>
    <t>FY27</t>
  </si>
  <si>
    <t>Avg Estimate</t>
  </si>
  <si>
    <t>High Estimate</t>
  </si>
  <si>
    <t>Low Estimate</t>
  </si>
  <si>
    <t>No. of Analysts</t>
  </si>
  <si>
    <t>Revenue Schedule</t>
  </si>
  <si>
    <t>Revenue - yoy% growth</t>
  </si>
  <si>
    <t xml:space="preserve">       Actual </t>
  </si>
  <si>
    <t>COGS % Sales</t>
  </si>
  <si>
    <t>Gross Margin</t>
  </si>
  <si>
    <t>Cost of Material % Sales</t>
  </si>
  <si>
    <t>Stock in Trade % Sales</t>
  </si>
  <si>
    <t>Change in Inventory % Sales</t>
  </si>
  <si>
    <t>Company Historical Margin</t>
  </si>
  <si>
    <t>Median</t>
  </si>
  <si>
    <t>Average</t>
  </si>
  <si>
    <t>Sector Data - Damodaran</t>
  </si>
  <si>
    <t>Just India</t>
  </si>
  <si>
    <t>All Emerging Markets</t>
  </si>
  <si>
    <t>Global</t>
  </si>
  <si>
    <t>Auto &amp; Truck</t>
  </si>
  <si>
    <t>Mangement Guidance</t>
  </si>
  <si>
    <t>Steel Market in India</t>
  </si>
  <si>
    <t>Source</t>
  </si>
  <si>
    <t>https://www.maximizemarketresearch.com/market-report/global-automotive-steel-market/22955/</t>
  </si>
  <si>
    <t>Street Estimates</t>
  </si>
  <si>
    <t>Prabhudas Liladher</t>
  </si>
  <si>
    <t>Gross Margin (%)</t>
  </si>
  <si>
    <t>BOB CAPITAL RESEARCH REPORT</t>
  </si>
  <si>
    <t>https://www.barodaetrade.com/Reports/EicherMotors-Q3FY25ResultReview11Feb25-Research.pdf</t>
  </si>
  <si>
    <t>ICICI Securities</t>
  </si>
  <si>
    <t>Median GM</t>
  </si>
  <si>
    <t>Base Case</t>
  </si>
  <si>
    <t>Cost of Material % COGS</t>
  </si>
  <si>
    <t>Gross Margin%</t>
  </si>
  <si>
    <t>SG&amp;A Expenses</t>
  </si>
  <si>
    <t>Growth YoY %</t>
  </si>
  <si>
    <t>Historical SG&amp;A Analysis</t>
  </si>
  <si>
    <t>Profit and Loss</t>
  </si>
  <si>
    <t>Employee Benefits Expense</t>
  </si>
  <si>
    <t>Consumption of Stores and machinery spares (including loose tools and packing material)</t>
  </si>
  <si>
    <t>Power and fuel</t>
  </si>
  <si>
    <t>Insurance</t>
  </si>
  <si>
    <t>Repairs and maintenance:</t>
  </si>
  <si>
    <t>Buildings</t>
  </si>
  <si>
    <t>Plant and equipment</t>
  </si>
  <si>
    <t>Others</t>
  </si>
  <si>
    <t>Rates and taxes</t>
  </si>
  <si>
    <t>Advertisement</t>
  </si>
  <si>
    <t>Freight and handling charges</t>
  </si>
  <si>
    <t>Provision for warranty and onerous contract</t>
  </si>
  <si>
    <t>Expense related to short term leases</t>
  </si>
  <si>
    <t>Legal and professional charges</t>
  </si>
  <si>
    <t>Travelling expenses</t>
  </si>
  <si>
    <t>Development expenses (Revenue R&amp;D expensed)</t>
  </si>
  <si>
    <t>Corporate social responsibility expenditure (CSR)</t>
  </si>
  <si>
    <t>Loss on sale of property, plant &amp; equipment and intangible assets</t>
  </si>
  <si>
    <t>Provision for doubtful debts and advances (including write off)</t>
  </si>
  <si>
    <t>Miscellaneous expenses</t>
  </si>
  <si>
    <t>SG&amp;A % Revenue</t>
  </si>
  <si>
    <t>Employee Benefits Expense % Revenue</t>
  </si>
  <si>
    <t>Consumption of Stores and machinery spares</t>
  </si>
  <si>
    <t>Consumption of Stores and machinery spares % Revenue</t>
  </si>
  <si>
    <t>Freight and handling charges % Revenue</t>
  </si>
  <si>
    <t>Other SG&amp;A Expenses</t>
  </si>
  <si>
    <t>Other SG&amp;A Expenses % Revenue</t>
  </si>
  <si>
    <t>Total SG&amp;A % Revenue</t>
  </si>
  <si>
    <t>Employee Benefit Expense % Revenue</t>
  </si>
  <si>
    <t>Total SG&amp;A Expenses % Revenue</t>
  </si>
  <si>
    <t>Employee Benefit Expense</t>
  </si>
  <si>
    <t>Selling and distribution expenses</t>
  </si>
  <si>
    <t>Selling and distribution expenses % Revenue</t>
  </si>
  <si>
    <t>Management Guidance</t>
  </si>
  <si>
    <t>Management exclusively does not give any guidance on EBITDA margins or any sort of margins. It focus on absolute growth like absolute EBITDA growth and Revenue growth. It does not believe in margins/percentages.</t>
  </si>
  <si>
    <t>Q1FY26 Concall</t>
  </si>
  <si>
    <t>EBITDA Margin (%)</t>
  </si>
  <si>
    <t>BOB CAPS</t>
  </si>
  <si>
    <t>Axis Securities</t>
  </si>
  <si>
    <t>Geojit</t>
  </si>
  <si>
    <t>Current Assets % Total Assets</t>
  </si>
  <si>
    <t>Other Current Assets :</t>
  </si>
  <si>
    <t>Inventory Growth YoY%</t>
  </si>
  <si>
    <t>Average Inventory</t>
  </si>
  <si>
    <t>Inventory Turnover Ratio (COGS)</t>
  </si>
  <si>
    <t>Inventory Turnover Ratio (Revenue)</t>
  </si>
  <si>
    <t>Inventory Days(COGS)</t>
  </si>
  <si>
    <t>Inventory Days(Revenue)</t>
  </si>
  <si>
    <t xml:space="preserve">Revenue </t>
  </si>
  <si>
    <t>Peer Inventory Days Analysis</t>
  </si>
  <si>
    <t>Eicher Motors</t>
  </si>
  <si>
    <t>Average Inventory % Revenue</t>
  </si>
  <si>
    <t>Geojit (Inventory/COGS)</t>
  </si>
  <si>
    <t>Eicher Motors (Inventory/Revenue)</t>
  </si>
  <si>
    <t>Bajaj Auto  (Inventory/Revenue)</t>
  </si>
  <si>
    <t>TVS Motors  (Inventory/Revenue)</t>
  </si>
  <si>
    <t>Hero Motorcorp  (Inventory/Revenue)</t>
  </si>
  <si>
    <t>BOB  (Inventory/Revenue)</t>
  </si>
  <si>
    <t>ICICI Securities  (Inventory/Revenue)</t>
  </si>
  <si>
    <t>Motilal Oswal  (Inventory/Revenue)</t>
  </si>
  <si>
    <t xml:space="preserve">Source </t>
  </si>
  <si>
    <t>Q2FY25 CONCALL</t>
  </si>
  <si>
    <t>Inventory % Revenue</t>
  </si>
  <si>
    <t>Revenue Growth YoY %</t>
  </si>
  <si>
    <t>Trade Receivable</t>
  </si>
  <si>
    <t>Trade Receivable Growth YoY %</t>
  </si>
  <si>
    <t>Average Trade Receivable</t>
  </si>
  <si>
    <t>Average Trade Receivable % Revenue</t>
  </si>
  <si>
    <t>Receivable Turnover Ratio (Revenue)</t>
  </si>
  <si>
    <t>Receivable Days</t>
  </si>
  <si>
    <t>Peer Receivable Days Analysis</t>
  </si>
  <si>
    <t xml:space="preserve">Bajaj Auto </t>
  </si>
  <si>
    <t xml:space="preserve">TVS Motors  </t>
  </si>
  <si>
    <t xml:space="preserve">Hero Motorcorp </t>
  </si>
  <si>
    <t xml:space="preserve">BOB  </t>
  </si>
  <si>
    <t xml:space="preserve">ICICI Securities  </t>
  </si>
  <si>
    <t xml:space="preserve">Geojit </t>
  </si>
  <si>
    <t xml:space="preserve">Motilal Oswal  </t>
  </si>
  <si>
    <t>Receivables Ageing Analysis</t>
  </si>
  <si>
    <t>Growth YoY%</t>
  </si>
  <si>
    <t>Trade Receivables</t>
  </si>
  <si>
    <t>Trade Receivable Days</t>
  </si>
  <si>
    <t>Trade Receivables % Revenue</t>
  </si>
  <si>
    <t>Other current assets % Revenue</t>
  </si>
  <si>
    <t>We assume Other current assets to remain flat at 2.2% of revenue.</t>
  </si>
  <si>
    <t>Other Current Assets % Revenue</t>
  </si>
  <si>
    <t>Bajaj Auto</t>
  </si>
  <si>
    <t>TVS Motor Co.</t>
  </si>
  <si>
    <t>Hero Motocorp</t>
  </si>
  <si>
    <t>M &amp; M</t>
  </si>
  <si>
    <t>Gross Block</t>
  </si>
  <si>
    <t>Less : Accumulated Dep &amp; Amortization</t>
  </si>
  <si>
    <t>Net Fixed Assets</t>
  </si>
  <si>
    <t>Net Fixed Asset % Total Assets</t>
  </si>
  <si>
    <t>Total Revenue</t>
  </si>
  <si>
    <t>Net Fixed Asset % Total Revenue</t>
  </si>
  <si>
    <t>Change in Gross Block</t>
  </si>
  <si>
    <t>Change in Revenue/Chage in Gross Block</t>
  </si>
  <si>
    <t>Total Fixed Assets</t>
  </si>
  <si>
    <t>Breakup of Fixed Assets</t>
  </si>
  <si>
    <t>Breakup of Fixed Assets - Common Size</t>
  </si>
  <si>
    <t>Depreciation and Amortization</t>
  </si>
  <si>
    <t>Maintenance Capex</t>
  </si>
  <si>
    <t>Growth Capex</t>
  </si>
  <si>
    <t>Growth in Gross Block YoY%</t>
  </si>
  <si>
    <t>FY25 CAPEX (IN CRS)</t>
  </si>
  <si>
    <t>this is 5% of FY25 sales</t>
  </si>
  <si>
    <t>FY 26 CAPEX (in crs)</t>
  </si>
  <si>
    <t>1200 -1300</t>
  </si>
  <si>
    <t>mostly towards investment in EV</t>
  </si>
  <si>
    <t>Other than this no guidance by management on capex</t>
  </si>
  <si>
    <t>Consensus Estimate</t>
  </si>
  <si>
    <t>Capex</t>
  </si>
  <si>
    <t>Right of Use Asset Growth %</t>
  </si>
  <si>
    <t>Property Plant &amp; Equipment</t>
  </si>
  <si>
    <t>YoY Growth %</t>
  </si>
  <si>
    <t>Right of Use Asset</t>
  </si>
  <si>
    <t>Capital Work in Progress</t>
  </si>
  <si>
    <t>Non Current Assets</t>
  </si>
  <si>
    <t>Non Current Financial Assets</t>
  </si>
  <si>
    <t>Non Current Financial Assets Growth %</t>
  </si>
  <si>
    <t>Deferred Tax Asset Growth %</t>
  </si>
  <si>
    <t>Non-current tax assets Growth %</t>
  </si>
  <si>
    <t>Other Non Current Item</t>
  </si>
  <si>
    <t>Other Non Current Assets</t>
  </si>
  <si>
    <t>Other Non Current Assets % Revenue</t>
  </si>
  <si>
    <t>Other Non Current Asset % Revenue</t>
  </si>
  <si>
    <t>Non Current Financial Asset</t>
  </si>
  <si>
    <t>Other Non Current Asset</t>
  </si>
  <si>
    <t>Deferred Tax Asset</t>
  </si>
  <si>
    <t>Non-current tax assets</t>
  </si>
  <si>
    <t>% of Revenue</t>
  </si>
  <si>
    <t>Total Non Current Assets</t>
  </si>
  <si>
    <t>CWIP</t>
  </si>
  <si>
    <t>CWIP % Fixed Assets</t>
  </si>
  <si>
    <t>Median CWIP % Fixed Assets - Moderate Capex</t>
  </si>
  <si>
    <t>Median CWIP % Fixed Assets - Aggressive Capex</t>
  </si>
  <si>
    <t>No guidance given by management</t>
  </si>
  <si>
    <t>Capital Work in Progress % Net Fixed Assets</t>
  </si>
  <si>
    <t>Depreciable Gross Block</t>
  </si>
  <si>
    <t>Net Depreciable Fixed Assets</t>
  </si>
  <si>
    <t>Intangible assets under development Growth %</t>
  </si>
  <si>
    <t>Intangible assets Growth %</t>
  </si>
  <si>
    <t xml:space="preserve">Intangible assets </t>
  </si>
  <si>
    <t>Less : Intangible assets</t>
  </si>
  <si>
    <t>Depreciation for the year</t>
  </si>
  <si>
    <t>Average Life of Asset</t>
  </si>
  <si>
    <t>Average Age of Asset</t>
  </si>
  <si>
    <t>% Asset depreciated</t>
  </si>
  <si>
    <t>Depreciation % Net Fixed Assets</t>
  </si>
  <si>
    <t>Depreciation % Gross Block</t>
  </si>
  <si>
    <t>Depreciation % Revenue</t>
  </si>
  <si>
    <t>Add : Capex during the year</t>
  </si>
  <si>
    <t>Depreciation % Sales</t>
  </si>
  <si>
    <t>Nothing found</t>
  </si>
  <si>
    <t>We expect capex to remain flat going ahead.</t>
  </si>
  <si>
    <t>Opening PP&amp;E</t>
  </si>
  <si>
    <t>Closing PP&amp;E</t>
  </si>
  <si>
    <t>Addition during the year</t>
  </si>
  <si>
    <t>Closing Right of Use Asset</t>
  </si>
  <si>
    <t>Closing Intangible Asset</t>
  </si>
  <si>
    <t>Total Net Depreciable Fixed Assets</t>
  </si>
  <si>
    <t>Closing Intangible asset under development</t>
  </si>
  <si>
    <t>Less : Interest</t>
  </si>
  <si>
    <t>Other Income</t>
  </si>
  <si>
    <t>% Revenue</t>
  </si>
  <si>
    <t>Profit Before Tax</t>
  </si>
  <si>
    <t>Add  : Other Income</t>
  </si>
  <si>
    <t>Equity &amp; Liabilities</t>
  </si>
  <si>
    <t>Total Liabilities</t>
  </si>
  <si>
    <t>Add : Other Items</t>
  </si>
  <si>
    <t>Less : Changes in Working Capital</t>
  </si>
  <si>
    <t>Less: Taxes Paid</t>
  </si>
  <si>
    <t>CashFlow</t>
  </si>
  <si>
    <t>Adjustments</t>
  </si>
  <si>
    <t>Depreciation, Amortisation and Impairment</t>
  </si>
  <si>
    <t>Profit/ Loss on sale of fixed assets</t>
  </si>
  <si>
    <t>Profit/ Loss on sale of investments</t>
  </si>
  <si>
    <t>Dividend Received</t>
  </si>
  <si>
    <t>Interest Income</t>
  </si>
  <si>
    <t>Effect of exchange rate change</t>
  </si>
  <si>
    <t>Other Adjustments</t>
  </si>
  <si>
    <t>Changes in working capital</t>
  </si>
  <si>
    <t>Cash flow from Operating activities</t>
  </si>
  <si>
    <t>Cash flow from Investing activities</t>
  </si>
  <si>
    <t>Purchase of fixed assets</t>
  </si>
  <si>
    <t>Sale of fixed assets</t>
  </si>
  <si>
    <t>Purchase of Investments</t>
  </si>
  <si>
    <t>Sale of Investments</t>
  </si>
  <si>
    <t>Dividend Income</t>
  </si>
  <si>
    <t>Interest Received</t>
  </si>
  <si>
    <t>Other investing activities items</t>
  </si>
  <si>
    <t>Cash flow from Financing activities</t>
  </si>
  <si>
    <t>Increase/ (Decrease) in loan funds</t>
  </si>
  <si>
    <t>Proceeds from issue of share capital</t>
  </si>
  <si>
    <t>Proceeds from long term borrowings</t>
  </si>
  <si>
    <t>Repayment of long term borrowings</t>
  </si>
  <si>
    <t>Proceeds/(Repayment) of short term loans</t>
  </si>
  <si>
    <t>Interests paid</t>
  </si>
  <si>
    <t>Other financing activities</t>
  </si>
  <si>
    <t>Net Cash Inflow/ Outflow</t>
  </si>
  <si>
    <t>Opening Cash &amp; Cash Equivalents</t>
  </si>
  <si>
    <t>Other Cash &amp; Cash Equivalents Items</t>
  </si>
  <si>
    <t>Effect of Foreign exchange fluctuations</t>
  </si>
  <si>
    <t>Closing Cash &amp; Cash Equivalents</t>
  </si>
  <si>
    <t>Interest Paid</t>
  </si>
  <si>
    <t>Tax paid</t>
  </si>
  <si>
    <t>Other direct expenses paid</t>
  </si>
  <si>
    <t>Other operating activities items</t>
  </si>
  <si>
    <t>Source - Go India Stocks</t>
  </si>
  <si>
    <t>Net Purchase of Fixed Assets</t>
  </si>
  <si>
    <t>Net Purchase of Investments</t>
  </si>
  <si>
    <t>Financial Assets</t>
  </si>
  <si>
    <t>Net Proceeds from Long term Borrowings</t>
  </si>
  <si>
    <t>Net Proceeds from Short term Borrowings</t>
  </si>
  <si>
    <t>Financial Liabilities</t>
  </si>
  <si>
    <t xml:space="preserve"> Trade Payables</t>
  </si>
  <si>
    <t>Othe Current Liabilites / Financial Liabilities</t>
  </si>
  <si>
    <t>Trade Payables</t>
  </si>
  <si>
    <t>Trade Payables % COGS</t>
  </si>
  <si>
    <t>Trade Payables Days</t>
  </si>
  <si>
    <t>Trade Payables % Revenue</t>
  </si>
  <si>
    <t>Trade Receivable % Revenue</t>
  </si>
  <si>
    <t>Peer Comparison</t>
  </si>
  <si>
    <t>Peer Payables Days Analysis</t>
  </si>
  <si>
    <t>No management guidance</t>
  </si>
  <si>
    <t>Source : Screener (it calculates payable days on basis of COGS)</t>
  </si>
  <si>
    <t>We assume Other current liabilites to remain flat at 3% of revenue.</t>
  </si>
  <si>
    <t>We assume Other Current Liabilities excluding short term borrowings to remain flat at 2025 levels. The short term borrowings is' separately calculated.</t>
  </si>
  <si>
    <t>Method A</t>
  </si>
  <si>
    <t>METHOD B</t>
  </si>
  <si>
    <t>Debt</t>
  </si>
  <si>
    <t>Long Term Borrowings</t>
  </si>
  <si>
    <t>Short Term Borrowings</t>
  </si>
  <si>
    <t>Total Borrowings</t>
  </si>
  <si>
    <t>LTB%TB</t>
  </si>
  <si>
    <t>STB%TB</t>
  </si>
  <si>
    <t>LTB%Revenue</t>
  </si>
  <si>
    <t>STB%Revenue</t>
  </si>
  <si>
    <t>Debt to Equity</t>
  </si>
  <si>
    <t>Debt to Capital</t>
  </si>
  <si>
    <t>Debt to Asset</t>
  </si>
  <si>
    <t>Debt to EBITDA</t>
  </si>
  <si>
    <t>No management guidance on debt levels</t>
  </si>
  <si>
    <t>Change in Operating Working Capital</t>
  </si>
  <si>
    <t>Change in Trade Payables</t>
  </si>
  <si>
    <t>Long Term Borrowing</t>
  </si>
  <si>
    <t>Short Term Borrowing</t>
  </si>
  <si>
    <t>Total Borrowing</t>
  </si>
  <si>
    <t>Interest Cost</t>
  </si>
  <si>
    <t>Interest Cost % TB</t>
  </si>
  <si>
    <t>Interest Rate</t>
  </si>
  <si>
    <t>Amount</t>
  </si>
  <si>
    <t>Weighted Average rate of Interest</t>
  </si>
  <si>
    <t>Average Total Borrowing</t>
  </si>
  <si>
    <t>Interest Expenses</t>
  </si>
  <si>
    <t>Other Income % Revenue</t>
  </si>
  <si>
    <t>We assume other income to grow by 5.2% of the revenue</t>
  </si>
  <si>
    <t>Dividend</t>
  </si>
  <si>
    <t>Total Dividend</t>
  </si>
  <si>
    <t>Total NP</t>
  </si>
  <si>
    <t>Dividend Payout Ratio</t>
  </si>
  <si>
    <t>Other Equity Schedule</t>
  </si>
  <si>
    <t>Other Equity - Beginning of the Year</t>
  </si>
  <si>
    <t>Other Equity - Ending of the Year</t>
  </si>
  <si>
    <t>Lease Liabilities</t>
  </si>
  <si>
    <t>Change in Trade Receivables</t>
  </si>
  <si>
    <t>Change in Short Term Borrowings</t>
  </si>
  <si>
    <t>Change in Lease Liabilities</t>
  </si>
  <si>
    <t>Change in Total Working Capital Excluding Cash</t>
  </si>
  <si>
    <t>Contract Liability</t>
  </si>
  <si>
    <t>Other Current liabilities</t>
  </si>
  <si>
    <t>Addition of CWIP</t>
  </si>
  <si>
    <t>Source : AR</t>
  </si>
  <si>
    <t>Total Cash</t>
  </si>
  <si>
    <t>Cash % Revenue</t>
  </si>
  <si>
    <t>Cash % Total Asset</t>
  </si>
  <si>
    <t>We assume Dividend Payout Ratio going ahead to increase constantly as the company is going to become more mature. Hence as a result, we have aligned this ratio to its peers DPR.</t>
  </si>
  <si>
    <t xml:space="preserve"> </t>
  </si>
  <si>
    <t>Please provide the below inputs</t>
  </si>
  <si>
    <t>Name of the company</t>
  </si>
  <si>
    <t>Assumptions</t>
  </si>
  <si>
    <t xml:space="preserve">COGS </t>
  </si>
  <si>
    <t xml:space="preserve">Selling, General and Administration (SG&amp;A) </t>
  </si>
  <si>
    <t xml:space="preserve">Non-Current Asset </t>
  </si>
  <si>
    <t xml:space="preserve">Tax Rate </t>
  </si>
  <si>
    <t xml:space="preserve">Long Term Borrowings </t>
  </si>
  <si>
    <t xml:space="preserve">Short Term Borrowings </t>
  </si>
  <si>
    <t xml:space="preserve">Interest Rate </t>
  </si>
  <si>
    <t xml:space="preserve">Dividend Payout </t>
  </si>
  <si>
    <t>Current Case - COGS % Sales</t>
  </si>
  <si>
    <t>Trade Payable Days</t>
  </si>
  <si>
    <t>Common Size Statement Model</t>
  </si>
  <si>
    <t>Assumed Operating Cash % Revenue</t>
  </si>
  <si>
    <t>Operating Cash</t>
  </si>
  <si>
    <t>Excess Cash</t>
  </si>
  <si>
    <t xml:space="preserve">                         Explicit Forecast Period</t>
  </si>
  <si>
    <t>Country</t>
  </si>
  <si>
    <t>Africa</t>
  </si>
  <si>
    <t>Moody's rating</t>
  </si>
  <si>
    <t>Rating-based Default Spread</t>
  </si>
  <si>
    <t>Abu Dhabi</t>
  </si>
  <si>
    <t>Middle East</t>
  </si>
  <si>
    <t>Aa2</t>
  </si>
  <si>
    <t>Albania</t>
  </si>
  <si>
    <t>Eastern Europe &amp; Russia</t>
  </si>
  <si>
    <t>Ba3</t>
  </si>
  <si>
    <t>Andorra (Principality of)</t>
  </si>
  <si>
    <t>Western Europe</t>
  </si>
  <si>
    <t>Baa1</t>
  </si>
  <si>
    <t>Angola</t>
  </si>
  <si>
    <t>B3</t>
  </si>
  <si>
    <t>Argentina</t>
  </si>
  <si>
    <t>Central and South America</t>
  </si>
  <si>
    <t>Caa3</t>
  </si>
  <si>
    <t>Armenia</t>
  </si>
  <si>
    <t>Aruba</t>
  </si>
  <si>
    <t>Caribbean</t>
  </si>
  <si>
    <t>Baa3</t>
  </si>
  <si>
    <t>Australia</t>
  </si>
  <si>
    <t>Australia &amp; New Zealand</t>
  </si>
  <si>
    <t>Aaa</t>
  </si>
  <si>
    <t>Austria</t>
  </si>
  <si>
    <t>Aa1</t>
  </si>
  <si>
    <t>Azerbaijan</t>
  </si>
  <si>
    <t>Bahamas</t>
  </si>
  <si>
    <t>B1</t>
  </si>
  <si>
    <t>Bahrain</t>
  </si>
  <si>
    <t>B2</t>
  </si>
  <si>
    <t>Bangladesh</t>
  </si>
  <si>
    <t>Asia</t>
  </si>
  <si>
    <t>Barbados</t>
  </si>
  <si>
    <t>Belarus</t>
  </si>
  <si>
    <t>C</t>
  </si>
  <si>
    <t>Belgium</t>
  </si>
  <si>
    <t>Aa3</t>
  </si>
  <si>
    <t>Belize</t>
  </si>
  <si>
    <t>Caa1</t>
  </si>
  <si>
    <t>Benin</t>
  </si>
  <si>
    <t>Bermuda</t>
  </si>
  <si>
    <t>A2</t>
  </si>
  <si>
    <t>Bolivia</t>
  </si>
  <si>
    <t>Ca</t>
  </si>
  <si>
    <t>Bosnia and Herzegovina</t>
  </si>
  <si>
    <t>Botswana</t>
  </si>
  <si>
    <t>A3</t>
  </si>
  <si>
    <t>Brazil</t>
  </si>
  <si>
    <t>Ba1</t>
  </si>
  <si>
    <t>Bulgaria</t>
  </si>
  <si>
    <t>Burkina Faso</t>
  </si>
  <si>
    <t>Cambodia</t>
  </si>
  <si>
    <t>Cameroon</t>
  </si>
  <si>
    <t>Canada</t>
  </si>
  <si>
    <t>North America</t>
  </si>
  <si>
    <t>Cape Verde</t>
  </si>
  <si>
    <t>Cayman Islands</t>
  </si>
  <si>
    <t>Chile</t>
  </si>
  <si>
    <t>China</t>
  </si>
  <si>
    <t>A1</t>
  </si>
  <si>
    <t>Colombia</t>
  </si>
  <si>
    <t>Congo (Democratic Republic of)</t>
  </si>
  <si>
    <t>Congo (Republic of)</t>
  </si>
  <si>
    <t>Caa2</t>
  </si>
  <si>
    <t>Cook Islands</t>
  </si>
  <si>
    <t>Costa Rica</t>
  </si>
  <si>
    <t>Côte d'Ivoire</t>
  </si>
  <si>
    <t>Ba2</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</si>
  <si>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</si>
  <si>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</si>
  <si>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</si>
  <si>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</si>
  <si>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</si>
  <si>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</si>
  <si>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</si>
  <si>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</si>
  <si>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</si>
  <si>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</si>
  <si>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</si>
  <si>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</si>
  <si>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</si>
  <si>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</si>
  <si>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</si>
  <si>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</si>
  <si>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</si>
  <si>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</si>
  <si>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</si>
  <si>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</si>
  <si>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</si>
  <si>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</si>
  <si>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</si>
  <si>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</si>
  <si>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</si>
  <si>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</si>
  <si>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</si>
  <si>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</si>
  <si>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</si>
  <si>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</si>
  <si>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</si>
  <si>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</si>
  <si>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</si>
  <si>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</si>
  <si>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</si>
  <si>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</si>
  <si>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</si>
  <si>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</si>
  <si>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</si>
  <si>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</si>
  <si>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</si>
  <si>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</si>
  <si>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</si>
  <si>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</si>
  <si>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</si>
  <si>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</si>
  <si>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</si>
  <si>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</si>
  <si>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</si>
  <si>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</si>
  <si>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</si>
  <si>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</si>
  <si>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</si>
  <si>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</si>
  <si>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</si>
  <si>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</si>
  <si>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</si>
  <si>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</si>
  <si>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</si>
  <si>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</si>
  <si>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</si>
  <si>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</si>
  <si>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</si>
  <si>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</si>
  <si>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</si>
  <si>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</si>
  <si>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</si>
  <si>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</si>
  <si>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</si>
  <si>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</si>
  <si>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</si>
  <si>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</si>
  <si>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</si>
  <si>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</si>
  <si>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</si>
  <si>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</si>
  <si>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</si>
  <si>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</si>
  <si>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</si>
  <si>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</si>
  <si>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</si>
  <si>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</si>
  <si>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</si>
  <si>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</si>
  <si>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</si>
  <si>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</si>
  <si>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</si>
  <si>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</si>
  <si>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</si>
  <si>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</si>
  <si>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</si>
  <si>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</si>
  <si>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</si>
  <si>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</si>
  <si>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</si>
  <si>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</si>
  <si>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</si>
  <si>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</si>
  <si>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</si>
  <si>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</si>
  <si>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</si>
  <si>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</si>
  <si>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</si>
  <si>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</si>
  <si>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</si>
  <si>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</si>
  <si>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</si>
  <si>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</si>
  <si>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</si>
  <si>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</si>
  <si>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</si>
  <si>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</si>
  <si>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</si>
  <si>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</si>
  <si>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</si>
  <si>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</si>
  <si>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</si>
  <si>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</si>
  <si>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</si>
  <si>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</si>
  <si>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WACC Inputs</t>
  </si>
  <si>
    <t>Local Currency 10Y Government Bond Yield</t>
  </si>
  <si>
    <t>Credit default spread as per Dr Damodaran</t>
  </si>
  <si>
    <t>Implied US Equity Risk Premium</t>
  </si>
  <si>
    <t>Asset Beta</t>
  </si>
  <si>
    <t>Asset Beta Variation (+/-)</t>
  </si>
  <si>
    <t>Debt to Capital (Gearing)</t>
  </si>
  <si>
    <t>Company Credit Rating Available?</t>
  </si>
  <si>
    <t>Provide Credit Rating</t>
  </si>
  <si>
    <t>Small Size Premium</t>
  </si>
  <si>
    <t xml:space="preserve">Asset Specific Risk Premium </t>
  </si>
  <si>
    <t>Company is Large Firm or Small Firm?</t>
  </si>
  <si>
    <t>L</t>
  </si>
  <si>
    <t>S</t>
  </si>
  <si>
    <t>Country Data</t>
  </si>
  <si>
    <t>Company Data</t>
  </si>
  <si>
    <t>For large non-financial service firms</t>
  </si>
  <si>
    <t>If interest coverage ratio is</t>
  </si>
  <si>
    <t>&gt;</t>
  </si>
  <si>
    <t>≤ to</t>
  </si>
  <si>
    <t>Rating is</t>
  </si>
  <si>
    <t>Spread is</t>
  </si>
  <si>
    <t>D2/D</t>
  </si>
  <si>
    <t>C2/C</t>
  </si>
  <si>
    <t>Ca2/CC</t>
  </si>
  <si>
    <t>Caa/CCC</t>
  </si>
  <si>
    <t>B3/B-</t>
  </si>
  <si>
    <t>B2/B</t>
  </si>
  <si>
    <t>B1/B+</t>
  </si>
  <si>
    <t>Ba2/BB</t>
  </si>
  <si>
    <t>Ba1/BB+</t>
  </si>
  <si>
    <t>Baa2/BBB</t>
  </si>
  <si>
    <t>A3/A-</t>
  </si>
  <si>
    <t>A2/A</t>
  </si>
  <si>
    <t>A1/A+</t>
  </si>
  <si>
    <t>Aa2/AA</t>
  </si>
  <si>
    <t>Aaa/AAA</t>
  </si>
  <si>
    <t>For smaller and riskier firms</t>
  </si>
  <si>
    <t>greater than</t>
  </si>
  <si>
    <t>Low</t>
  </si>
  <si>
    <t>Mid</t>
  </si>
  <si>
    <t>High</t>
  </si>
  <si>
    <t>Equity Risk Premium</t>
  </si>
  <si>
    <t>D/E Ratio</t>
  </si>
  <si>
    <t>Equity Beta</t>
  </si>
  <si>
    <t>CAPM Cost of Equity</t>
  </si>
  <si>
    <t>Asset Specific Premium</t>
  </si>
  <si>
    <t>Modified Cost of Equity</t>
  </si>
  <si>
    <t>Pre Tax Cost of Debt</t>
  </si>
  <si>
    <t>Post Tax Cost of Debt</t>
  </si>
  <si>
    <t>Capital Gearing (D/D+E)</t>
  </si>
  <si>
    <t>Weighted Average Cost of Capital (Rounded)</t>
  </si>
  <si>
    <t>ICR Based Corporate Default Spread</t>
  </si>
  <si>
    <t>Beta Analysis - 2 Years Weekly</t>
  </si>
  <si>
    <t>Company Name</t>
  </si>
  <si>
    <t>TVS Motors</t>
  </si>
  <si>
    <t>Hero Motorcorp</t>
  </si>
  <si>
    <t>Mahindra &amp; Mahindra Ltd</t>
  </si>
  <si>
    <t>Ashok Leyland Ltd</t>
  </si>
  <si>
    <t>Ticker</t>
  </si>
  <si>
    <t>No. of Weekly Observations</t>
  </si>
  <si>
    <t>2 years avg D/E</t>
  </si>
  <si>
    <t>Equity beta</t>
  </si>
  <si>
    <t>2 years avg D/D+E</t>
  </si>
  <si>
    <t>NSE: BAJAJ-AUTO</t>
  </si>
  <si>
    <t>NSE: TVSMOTOR</t>
  </si>
  <si>
    <t>NSE: HEROMOTOCO</t>
  </si>
  <si>
    <t>NSE: M&amp;M</t>
  </si>
  <si>
    <t>NSE: ASHOKLEY</t>
  </si>
  <si>
    <t>Market Cap (in Crs.)</t>
  </si>
  <si>
    <t>Considered?</t>
  </si>
  <si>
    <t>Y</t>
  </si>
  <si>
    <t>N</t>
  </si>
  <si>
    <t>Narrow Set</t>
  </si>
  <si>
    <t>Median - Broad Set</t>
  </si>
  <si>
    <t>Average - Broad Set</t>
  </si>
  <si>
    <t>Median - Considered Set</t>
  </si>
  <si>
    <t>Average - Considered Set</t>
  </si>
  <si>
    <t>No. of Monthly Observations</t>
  </si>
  <si>
    <t>5 years avg D/E</t>
  </si>
  <si>
    <t>5 years avg D/D+E</t>
  </si>
  <si>
    <t>Beta Analysis - 5 Years Monthly</t>
  </si>
  <si>
    <t>Blume Beta Analysis - 5 Years Monthly</t>
  </si>
  <si>
    <t>2/3 - Beta + 1/3*Market Beta</t>
  </si>
  <si>
    <t>We are taking 0.72 as asset beta of automobile industry (2/3 wheelers)</t>
  </si>
  <si>
    <t>1. Tax rate considered as Marginal Tax Rate of India.</t>
  </si>
  <si>
    <t>2. Asset Beta is considered as median of 5 years beta of comps adjusted for blume effect</t>
  </si>
  <si>
    <t>3. Equity Beta = Asset Beta * (1+(1-Tax Rate%)*Debt/Equity)</t>
  </si>
  <si>
    <t>For the purpose of assessing the cost of debt, we have used country's risk free rate, country's default spread and corporate default spread based on company's debt rating and interest coverage ratio.</t>
  </si>
  <si>
    <t>Emperically small sized assets have exceeded the returns as compared to large sized assets. We have used the study on size premium conducted by Incwert which is based on difference between actual returns and CAPM expected returns arranged in decile basis market capitalization of Indian Companies.</t>
  </si>
  <si>
    <t xml:space="preserve">Small Size Premium </t>
  </si>
  <si>
    <t>Source - Incwert Size Premia Study</t>
  </si>
  <si>
    <t>Note</t>
  </si>
  <si>
    <t>Realisitic Forecasting</t>
  </si>
  <si>
    <t>Actual Forecasting</t>
  </si>
  <si>
    <t>Add : Depreciation &amp; Amortization</t>
  </si>
  <si>
    <t>Cash NOPAT</t>
  </si>
  <si>
    <t>Capex during the year</t>
  </si>
  <si>
    <t>Less : Minority Interest</t>
  </si>
  <si>
    <t>Add : Non Operating Asset</t>
  </si>
  <si>
    <t>Less : Value of Options</t>
  </si>
  <si>
    <t>Equity Value for Shareholders</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</si>
  <si>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</si>
  <si>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</si>
  <si>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</si>
  <si>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</si>
  <si>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</si>
  <si>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</si>
  <si>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</si>
  <si>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Risk Free rate =</t>
  </si>
  <si>
    <t>Enter the number of options outstanding =</t>
  </si>
  <si>
    <t>Enter the number of shares outstanding =</t>
  </si>
  <si>
    <t>Do not input any numbers below this line</t>
  </si>
  <si>
    <t>VALUING OPTIONS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</si>
  <si>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</si>
  <si>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</si>
  <si>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</si>
  <si>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</si>
  <si>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</si>
  <si>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</si>
  <si>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</si>
  <si>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</si>
  <si>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</si>
  <si>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</si>
  <si>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</si>
  <si>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</si>
  <si>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</si>
  <si>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</si>
  <si>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</si>
  <si>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</si>
  <si>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</si>
  <si>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Options series</t>
  </si>
  <si>
    <t>Number</t>
  </si>
  <si>
    <t>Grant date</t>
  </si>
  <si>
    <t>Vesting period</t>
  </si>
  <si>
    <t>Expiry date</t>
  </si>
  <si>
    <t>Exercise Price (₹)</t>
  </si>
  <si>
    <t>Fair value at grant date (₹)</t>
  </si>
  <si>
    <t>(viii)</t>
  </si>
  <si>
    <t>3–5 Years</t>
  </si>
  <si>
    <t>(x)</t>
  </si>
  <si>
    <t>(xii)</t>
  </si>
  <si>
    <t>(xiii)</t>
  </si>
  <si>
    <t>(xiv)</t>
  </si>
  <si>
    <t>(xv)</t>
  </si>
  <si>
    <t>(xvi)</t>
  </si>
  <si>
    <t>(xvii)</t>
  </si>
  <si>
    <t>(xviii)</t>
  </si>
  <si>
    <t>(xxi)</t>
  </si>
  <si>
    <t>(xxii)</t>
  </si>
  <si>
    <t>(xxx)</t>
  </si>
  <si>
    <t>(xxxi)</t>
  </si>
  <si>
    <t>(xxxii)</t>
  </si>
  <si>
    <t>(xxxiv)</t>
  </si>
  <si>
    <t>(xxxv)</t>
  </si>
  <si>
    <t>(xxxvi)</t>
  </si>
  <si>
    <t>3–4 Years</t>
  </si>
  <si>
    <t>(xxxvii)</t>
  </si>
  <si>
    <t>(xxxviii)</t>
  </si>
  <si>
    <t>6 Years</t>
  </si>
  <si>
    <t>7 Years</t>
  </si>
  <si>
    <t>Weighted Average</t>
  </si>
  <si>
    <t>Maturity</t>
  </si>
  <si>
    <t>Expected Volatility</t>
  </si>
  <si>
    <t>Expected Dividends</t>
  </si>
  <si>
    <t>Maturity Period</t>
  </si>
  <si>
    <t>Sensitivity Analysis</t>
  </si>
  <si>
    <t>Terminal Growth%</t>
  </si>
  <si>
    <t xml:space="preserve">                                                                Explicit Forecast Period</t>
  </si>
  <si>
    <t>Comparable Companies</t>
  </si>
  <si>
    <t>Description</t>
  </si>
  <si>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t>
  </si>
  <si>
    <t>TVS Motor Company Ltd (TVSM) is engaged in manufacturing two-wheelers and its accessories. It is one of the leading players in the two-wheeler industry and is the only company to have a presence in all the three categories, i.e., motorcycles, scooters, and mopeds, catering to both domestic and international markets. TVSM is also the only company to have a presence in the moped segment for the domestic market.</t>
  </si>
  <si>
    <t>Hero Moto Corp earlier also known as “Hero Honda” is one of India’s first motorcycle manufacturers. It is the world’s largest manufacturer of 2 Wheelers, in terms of unit volumes sold by a single company in a calendar year, for more than 2 decades. The overall market share of the co. in the indian motorcycle market is 48% and in the two-wheeler segment stands at 34 % as of FY22.</t>
  </si>
  <si>
    <t>Mahindra &amp; Mahindra Ltd is one of the most diversified automobile company in India with presence across 2-wheelers, 3-wheelers, PVs, CVs, tractors &amp; earthmovers. It also has presence across financial services, auto components, hospitality, infrastructure, retail, logistics, steel trading and processing, IT businesses, agri, aerospace, consulting services, defence, energy and industrial equipment through its subsidiaries and group companies.</t>
  </si>
  <si>
    <t>Ashok Leyland is the flagship Company of the Hinduja group, having a long-standing presence in the domestic medium and heavy commercial vehicle (M&amp;HCV) segment. The company has a strong brand and well-diversified distribution and service network across the country and has a presence in 50 countries, it is one of the most fully-integrated manufacturing companies. Its headquarter is in Chennai. The company is India's 2nd largest manufacturer of commercial vehicles, the 4th largest manufacturer of buses globally, and the 9th largest manufacturer of trucks. It had a market share of 31% in the M&amp;HCV bus and truck segment and 20% in the LCV segment as of FY24.</t>
  </si>
  <si>
    <t>in %</t>
  </si>
  <si>
    <t>Mean</t>
  </si>
  <si>
    <t>EBITDA Margin</t>
  </si>
  <si>
    <t>PAT Margin</t>
  </si>
  <si>
    <t>EBIT Margin</t>
  </si>
  <si>
    <t>PBT Margin</t>
  </si>
  <si>
    <t>Summary</t>
  </si>
  <si>
    <t>Average Revenue Growth</t>
  </si>
  <si>
    <t>Average EBITDA Margins</t>
  </si>
  <si>
    <t>Average EBIT Margins</t>
  </si>
  <si>
    <t>Average PBT Margins</t>
  </si>
  <si>
    <t>Average PAT Margins</t>
  </si>
  <si>
    <t>Historical Average</t>
  </si>
  <si>
    <t>Median Revenue Growth</t>
  </si>
  <si>
    <t>Median EBITDA Margins</t>
  </si>
  <si>
    <t>Median EBIT Margins</t>
  </si>
  <si>
    <t>Median PBT Margins</t>
  </si>
  <si>
    <t>Median PAT Margins</t>
  </si>
  <si>
    <t>Relative Valuation</t>
  </si>
  <si>
    <t>Share Price</t>
  </si>
  <si>
    <t>Market Cap</t>
  </si>
  <si>
    <t>In INR Crores</t>
  </si>
  <si>
    <t>Sales</t>
  </si>
  <si>
    <t>Market Data</t>
  </si>
  <si>
    <t>Financials</t>
  </si>
  <si>
    <t>75th Percentile</t>
  </si>
  <si>
    <t>25th Percentile</t>
  </si>
  <si>
    <t>PAT</t>
  </si>
  <si>
    <t>PBT</t>
  </si>
  <si>
    <t>Sales Growth (%)</t>
  </si>
  <si>
    <t>EBITDA Margins (%)</t>
  </si>
  <si>
    <t>PAT Margins (%)</t>
  </si>
  <si>
    <t>EV/Sales</t>
  </si>
  <si>
    <t>EV/EBITDA</t>
  </si>
  <si>
    <t>Price/Earnings</t>
  </si>
  <si>
    <t>Multiples</t>
  </si>
  <si>
    <t>NSE: EICHERMOT</t>
  </si>
  <si>
    <t>Cash</t>
  </si>
  <si>
    <t>Earnings</t>
  </si>
  <si>
    <t>Valuation Multiple</t>
  </si>
  <si>
    <t>PE</t>
  </si>
  <si>
    <t>Eicher Motors Limited (EML) is an Indian, multinational automotive company that has diversified interests in motorcycle and commercial vehicles manufacturing. The Company is engaged in the manufacturing and selling of motorcycles, spare parts and related services. It manufactures the iconic 'Royal Enfield' brand of motorcycles, which leads the premium motorcycle segment in India. Royal Enfield is the oldest motorcycle brand having the production worldwide since 1901. Royal Enfield's product line includes the Bullet, Classic and Thunderbird models in 350cc. EML's 50-50 joint venture with the Sweden's AB Volvo ,VE Commercial Vehicles Limited (VECV) is a joint venture between the Volvo Group and Eicher Motors Limited. In operation since July 2008, the company includes the complete range of Eicher branded trucks and buses, VE Powertrain, Eicher’s components and engineering design services businesses, the sales and distribution business of Volvo Trucks as well as aftermarket support to Volvo Buses in India.</t>
  </si>
  <si>
    <t>Accessories and other allied products</t>
  </si>
  <si>
    <t>Spare parts and other components</t>
  </si>
  <si>
    <t>Two Wheelers</t>
  </si>
  <si>
    <t>Date</t>
  </si>
  <si>
    <t>Price</t>
  </si>
  <si>
    <t>Rest of the world</t>
  </si>
  <si>
    <r>
      <rPr>
        <b/>
        <sz val="11"/>
        <color theme="1"/>
        <rFont val="Calibri"/>
        <family val="2"/>
        <scheme val="minor"/>
      </rPr>
      <t>Global growth is projected at 3% for CY25 and 3.1% for CY26. The forecast for 2025 is 0.2% point higher than that in the reference forecast of the April 2025 World Economic Outlook (WEO) and 0.1% point higher for 2026. This reflects stronger-than-expected front-loading in anticipation of higher tariffs; lower average effective US tariff rates than announced in April; an improvement in financial conditions, including due to a weaker US dollar; and fiscal expansion in some major jurisdictions. Global headline inflation is expected to fall to 4.2% in 2025 and 3.6% in 2026, a path similar to the one projected in April.</t>
    </r>
    <r>
      <rPr>
        <sz val="11"/>
        <color theme="1"/>
        <rFont val="Calibri"/>
        <family val="2"/>
        <scheme val="minor"/>
      </rPr>
      <t xml:space="preserve"> The overall picture hides notable cross-country differences, with forecasts predicting inflation will remain above target in the United States and be more subdued in other large economies. Risks to the outlook are tilted to the downside, as they were in the April 2025 WEO. A rebound in effective tariff rates could lead to weaker growth. Elevated uncertainty could start weighing more heavily on activity, also as deadlines for additional tariffs expire without progress on substantial, permanent agreements. Geopolitical tensions could disrupt global supply chains and push commodity prices up. Larger fiscal deficits or increased risk aversion could raise long-term interest rates and tighten global financial conditions. Combined with fragmentation concerns, this could reignite volatility in financial markets. On the upside, global growth could be lifted if trade negotiations lead to a predictable framework and to a decline in tariffs. Policies need to bring confidence, predictability, and sustainability by calming tensions, preserving price and financial stability, restoring fiscal buffers, and implementing much-needed structural reform</t>
    </r>
  </si>
  <si>
    <t>Growth in advanced economies is projected to be 1.5 percent in 2025 and 1.6 percent in 2026. In the United States, with tariff rates settling at lower levels than those announced on April 2 and looser financial conditions, the economy is projected to expand at a rate of 1.9 percent in 2025. In the euro area, growth is expected to accelerate to 1.0 percent in 2025 and to 1.2 percent in 2026. This is an upward revision of 0.2 percentage point for 2025, but it is largely driven by the strong GDP outturn in Ireland in the first quarter of the year, although Ireland represents less than 5 percent of euro area GDP. The upward revision for 2025 reflects a historically largeincrease in Irish pharmaceutical exports to the United States resulting from front-loading and the opening of new production facilities.  In emerging market and developing economies, growth is expected to be 4.1 percent in 2025 and 4.0
percent in 2026. Relative to the forecast in April, growth in 2025 for China is revised upward by
0.8 percentage point to 4.8 percent.  In India, growth is
projected to be 6.4 percent in 2025 and 2026, with both numbers revised slightly upward,
reflecting a more benign external environment than assumed in the April reference forecast.</t>
  </si>
  <si>
    <t xml:space="preserve">In recent times, the global economy has not been in good shape due to geo politicial tensions and uncertainty around tariff issues.  </t>
  </si>
  <si>
    <t>World</t>
  </si>
  <si>
    <t>Global GDP Predictions</t>
  </si>
  <si>
    <t>Advanced Economies</t>
  </si>
  <si>
    <t>Emerging Economies</t>
  </si>
  <si>
    <t>Euro Area</t>
  </si>
  <si>
    <t>US</t>
  </si>
  <si>
    <t>UK</t>
  </si>
  <si>
    <t>2024A</t>
  </si>
  <si>
    <t>2025A</t>
  </si>
  <si>
    <t>2026P</t>
  </si>
  <si>
    <t>India, UK sign landmark free trade agreement after years of negotiation</t>
  </si>
  <si>
    <t>India and the UK have finalized a free trade agreement, enhancing economic ties and aiming for $120 billion in trade by 2030. The deal eliminates tariffs on 99% of Indian exports, benefiting key sectors and promoting a strategic partnership across various domains including technology and defense.</t>
  </si>
  <si>
    <t>India aims to double bilateral trade with UK to $120 billion by 2030: Modi</t>
  </si>
  <si>
    <t>British prime minister Keir Starmer said that the India-UK free trade agreement will add “billions of pounds” to UK’s GDP and hundreds of billions of rupees to India’s, as well as add billions to wages.</t>
  </si>
  <si>
    <t>https://www.livemint.com/industry/banking/india-uk-bilateral-trade-narendra-modi-keir-starmer-gdp-export-import-11760019769841.html</t>
  </si>
  <si>
    <t>India Q2 GDP preview: Urban demand, rural spending amid favourable base likely pushed growth to 7–8%</t>
  </si>
  <si>
    <t>Economists predict India's Q2FY26 GDP growth could reach 7-8%, driven by strong government spending, urban demand, and a revival in rural spending, amid a favourable base. With the key data set for release, the economic landscape appears promising yet cautious</t>
  </si>
  <si>
    <t>https://www.livemint.com/economy/india-q2-gdp-preview-urban-demand-rural-spending-amid-favourable-base-likely-pushed-growth-to-78-11764235766103.html</t>
  </si>
  <si>
    <t>The global economy has not been doing well in recent times, mainly due to geopolitical tensions and uncertainty around tariffs.</t>
  </si>
  <si>
    <t>India vs Global GDP Growth</t>
  </si>
  <si>
    <t>India's Growth Rate</t>
  </si>
  <si>
    <t>Global Growth Rate</t>
  </si>
  <si>
    <t>Q2FY24</t>
  </si>
  <si>
    <t>Q3FY24</t>
  </si>
  <si>
    <t>Q4FY24</t>
  </si>
  <si>
    <t>Q1FY25</t>
  </si>
  <si>
    <t>Q2FY25</t>
  </si>
  <si>
    <t>Q3FY25</t>
  </si>
  <si>
    <t>Q4FY25</t>
  </si>
  <si>
    <t>Q1FY26</t>
  </si>
  <si>
    <t>Source Annual Reports</t>
  </si>
  <si>
    <t>Source : Society of Indian Automobile Manufacturers (SIAM)</t>
  </si>
  <si>
    <t>2020-21</t>
  </si>
  <si>
    <t>2021-22</t>
  </si>
  <si>
    <t>2022-23</t>
  </si>
  <si>
    <t>2023-24</t>
  </si>
  <si>
    <t>2024-25</t>
  </si>
  <si>
    <t>A Kearney study projects India’s two-wheeler industry to grow at 6–8% annually until 2030, fueled by increased household penetration, rising incomes, and electric vehicle adoption. The industry already contributes 15% to India’s automotive output, with strong demand driven by factors like lower two-wheeler ownership per household compared to other countries.</t>
  </si>
  <si>
    <r>
      <t>The company established a CKD (assembly unit) in Nepal in FY24, with a capacity of 20,000 units to serve Nepal and the SAARC region. Additionally, it has plans to set up CKDs in Bangladesh, which will begin operations from FY25 onwards. The company spent Rs. 808 Cr on capital expenditure in FY24, up from Rs. 629 Cr in FY22. </t>
    </r>
    <r>
      <rPr>
        <vertAlign val="superscript"/>
        <sz val="7"/>
        <color rgb="FF645DF9"/>
        <rFont val="Arial"/>
        <family val="2"/>
      </rPr>
      <t>[22]</t>
    </r>
    <r>
      <rPr>
        <sz val="10"/>
        <color rgb="FF606F7B"/>
        <rFont val="Arial"/>
        <family val="2"/>
      </rPr>
      <t> </t>
    </r>
    <r>
      <rPr>
        <vertAlign val="superscript"/>
        <sz val="7"/>
        <color rgb="FF645DF9"/>
        <rFont val="Arial"/>
        <family val="2"/>
      </rPr>
      <t>[20]</t>
    </r>
    <r>
      <rPr>
        <sz val="10"/>
        <color rgb="FF606F7B"/>
        <rFont val="Arial"/>
        <family val="2"/>
      </rPr>
      <t xml:space="preserve"> With a presence in over 65 
countries and manufacturing rooted 
in India, the brand has become 
synonymous with timeless design 
and experiential  riding.</t>
    </r>
  </si>
  <si>
    <t>Capex over the years</t>
  </si>
  <si>
    <t>Info from the Website</t>
  </si>
  <si>
    <t>global leader in the middleweight motorcycles segment (250cc - 750cc).</t>
  </si>
  <si>
    <t>2000+ stores across India</t>
  </si>
  <si>
    <t>1130+ stores internationally</t>
  </si>
  <si>
    <t>https://economictimes.indiatimes.com/industry/auto/two-wheelers-three-wheelers/royal-enfield-bullet-650-unveiled-at-eicma-2025-in-milan-may-come-to-india-at-rs-3-70-lakh/articleshow/125086166.cms</t>
  </si>
  <si>
    <t>Two -world class technical centres - one in UK and other in Chennai</t>
  </si>
  <si>
    <t>Two state of the art production facilities located in Chennai</t>
  </si>
  <si>
    <t>Royal Enfield has six modern CKD assembly facilities in Bangladesh, Nepal, Brazil, Thailand, Argentina and Colombia</t>
  </si>
  <si>
    <t>Info from the Annual Report</t>
  </si>
  <si>
    <t>BAAKI INFO READ FROM REPORT ITSELF WHICH IS IN EICHER MOTORS FOLDER</t>
  </si>
  <si>
    <t>RE = ROYAL ENFIELD</t>
  </si>
  <si>
    <t>In the Financial Year 2024-25, VECV continued its growth trajectory, ending the year as market share leader in LMD Truck</t>
  </si>
  <si>
    <t>VECV concluded the year as the market leader in the Indian 5-18.5T Light and Medium Duty truck segment</t>
  </si>
  <si>
    <t>we will aim to achieve faster growth than the industry while maintaining best-in-class margins over the long term</t>
  </si>
  <si>
    <t>Info from Concalls</t>
  </si>
  <si>
    <t>BAAKI KUCH INITIATING COVERAGE REPORT DOWNLOAD KI HAI USME SE DATA DEKHLENA INDUSTRY AUR COMPANY KA - THE REPORT IS IN EICHER MOTOR FOLDER</t>
  </si>
  <si>
    <t>FOR CONCALLS DATA SEE THEIR RESPECTIVE PDF'S USME UNDERLINE KI HAI</t>
  </si>
  <si>
    <t>Mota mata revenues mid double digit mein grow krega (by around 10-15%), pat aur ebitda ki growth dekhlena concall mein, ebitda margins wahi 20 -26% ke beech mein rahenge and baaki volumes growth of their products/motorcycles and VECV segment ka data concall mein dekhlena underlined hai</t>
  </si>
  <si>
    <t>Q2FY24 CONCALL</t>
  </si>
  <si>
    <t>MAY 2023 MEIN EK PRICE HIKE LIYA THA</t>
  </si>
  <si>
    <t>Digitization pe acha khasa kaam kr rhe hai</t>
  </si>
  <si>
    <t>452 liquid-cooled (mtlb 450 cc)new Sherpa engine platform. So, the platform selected as an engine level. You will see products which will be evolved around that.</t>
  </si>
  <si>
    <t>focus on the middleweight</t>
  </si>
  <si>
    <t>Source - FY25AR</t>
  </si>
  <si>
    <t>Premium segment is the focus</t>
  </si>
  <si>
    <t>Q3FY24 CONCALL</t>
  </si>
  <si>
    <t>Huge headroom for growth in Small commercial vehicle area</t>
  </si>
  <si>
    <t>https://economictimes.indiatimes.com/industry/auto/two-wheelers-three-wheelers/royal-enfield-launches-meteor-350-sundowner-orange-special-edition-at-motoverse-may-soon-announce-its-most-powerful-motorcycle-too/articleshow/125490595.cms</t>
  </si>
  <si>
    <t>Pdf in eicher folder too</t>
  </si>
  <si>
    <t>https://www.bseindia.com/xml-data/corpfiling/AttachLive/afeaeb8b-2248-408b-9b07-0fdf73af8312.pdf</t>
  </si>
  <si>
    <t>Q4FY24 CONCALL</t>
  </si>
  <si>
    <t>Heavy duty truck market mein leader</t>
  </si>
  <si>
    <t>Industry se zada pace pe grow kr rhi company in both RE and VECV</t>
  </si>
  <si>
    <t>Financial Year (Ending March)</t>
  </si>
  <si>
    <t>Total Motorcycles Sold (Nos.)</t>
  </si>
  <si>
    <t>Year-over-Year Change</t>
  </si>
  <si>
    <t>Summary of Key Middleweight Segment Metrics</t>
  </si>
  <si>
    <t>FY 2018-19 (FY19)</t>
  </si>
  <si>
    <t>8,22,724 / 8,23,828</t>
  </si>
  <si>
    <t>Largely flat vs previous year</t>
  </si>
  <si>
    <t>Metric</t>
  </si>
  <si>
    <t>Q4 FY24 (Jan-Mar 2024)</t>
  </si>
  <si>
    <t>Q4 FY25 (Jan-Mar 2025)</t>
  </si>
  <si>
    <t>Q1 FY26 (Apr-Jun 2025)</t>
  </si>
  <si>
    <t>FY 2019-20 (FY20)</t>
  </si>
  <si>
    <t>6,97,582 / 6,98,216</t>
  </si>
  <si>
    <t>Decline of 15%</t>
  </si>
  <si>
    <t>Total Volumes Sold (Wholesale)</t>
  </si>
  <si>
    <t>2,27,925 motorcycles</t>
  </si>
  <si>
    <t>2,80,801 motorcycles</t>
  </si>
  <si>
    <t>2,61,326 motorcycles</t>
  </si>
  <si>
    <t>FY 2020-21 (FY21)</t>
  </si>
  <si>
    <t>6,09,403 / 6,12,350</t>
  </si>
  <si>
    <t>Decline of 13%</t>
  </si>
  <si>
    <t>Year-on-Year Growth (Total)</t>
  </si>
  <si>
    <t>N/A</t>
  </si>
  <si>
    <r>
      <t>14.7%</t>
    </r>
    <r>
      <rPr>
        <sz val="11"/>
        <color theme="1"/>
        <rFont val="Calibri"/>
        <family val="2"/>
        <scheme val="minor"/>
      </rPr>
      <t xml:space="preserve"> (vs Q1 FY25)</t>
    </r>
  </si>
  <si>
    <t>FY 2021-22 (FY22)</t>
  </si>
  <si>
    <t>5,95,474 / 6,02,268</t>
  </si>
  <si>
    <t>Decline of 2%</t>
  </si>
  <si>
    <t>India Market Share (250-750cc)</t>
  </si>
  <si>
    <t>88.5% (FY24 Annual)</t>
  </si>
  <si>
    <t>87.1% (FY25 Annual)</t>
  </si>
  <si>
    <r>
      <t>87.3%</t>
    </r>
    <r>
      <rPr>
        <sz val="11"/>
        <color theme="1"/>
        <rFont val="Calibri"/>
        <family val="2"/>
        <scheme val="minor"/>
      </rPr>
      <t xml:space="preserve"> (June '25)</t>
    </r>
  </si>
  <si>
    <t>FY 2022-23 (FY23)</t>
  </si>
  <si>
    <t>8,24,066 / 8,34,895</t>
  </si>
  <si>
    <r>
      <t>Highest ever volume</t>
    </r>
    <r>
      <rPr>
        <sz val="8"/>
        <color rgb="FF303030"/>
        <rFont val="Arial"/>
        <family val="2"/>
      </rPr>
      <t>; 38.4% growth</t>
    </r>
  </si>
  <si>
    <t>International Wholesale Volumes</t>
  </si>
  <si>
    <t>15,829 units (Q3 FY24 shipment)</t>
  </si>
  <si>
    <t>~30,900 units</t>
  </si>
  <si>
    <t>FY 2023-24 (FY24)</t>
  </si>
  <si>
    <r>
      <t>Highest ever volume</t>
    </r>
    <r>
      <rPr>
        <sz val="8"/>
        <color rgb="FF303030"/>
        <rFont val="Arial"/>
        <family val="2"/>
      </rPr>
      <t>; 9% growth</t>
    </r>
  </si>
  <si>
    <t>International Growth (YOY Wholesale)</t>
  </si>
  <si>
    <t>FY 2024-25 (FY25)</t>
  </si>
  <si>
    <t>10,02,893 / 10,05,340</t>
  </si>
  <si>
    <r>
      <t>Highest ever volume</t>
    </r>
    <r>
      <rPr>
        <sz val="8"/>
        <color rgb="FF303030"/>
        <rFont val="Arial"/>
        <family val="2"/>
      </rPr>
      <t>; 10% growth YOY</t>
    </r>
  </si>
  <si>
    <t>took out this table from notebook lm</t>
  </si>
  <si>
    <t>Company can esily open the stores and increase its wholesale volume but it does not want to do so infact it wants to increase its retail volumes</t>
  </si>
  <si>
    <t>Exports market divided into two parts:</t>
  </si>
  <si>
    <t>U.S., Europe, Australia, Japan, New Zealand, Korea - YAHA growth kam hai</t>
  </si>
  <si>
    <t>LatAm and  Southeast Asia - YAHA GROWTH ACHI KHASI HAI "MINI INDIA MARKETS BOLTI HAI COMPANY INHE"</t>
  </si>
  <si>
    <t>Q1FY25 CONCALL</t>
  </si>
  <si>
    <t>company will be doing brand buillding , market activities from time to time in order to attract the younger customers</t>
  </si>
  <si>
    <t>Marketing and spending mein aage paisa kharch hoga but yeh company apni growth ke liye kr rhi hai</t>
  </si>
  <si>
    <t>NEW FIRST TIME TWO WHEELER BUYER AA RHE HAI AROUND 12 - 13% AUR KUCH MOTORCYCLE MEIN JAISE HUNTER MEIN 19 - 25% TOH OVERALL MOTA MATA  20 -21% MAAN LO</t>
  </si>
  <si>
    <t>Company constantly new features ( like  USB  chargers,  LED  lamps) wagerah laa rhi hai apne products mein yaani bikes and all mein aur marketing pe bhi acha khasa spend kr rhi hai to attract customers.</t>
  </si>
  <si>
    <t>Company does not build up inventory unnecessarily</t>
  </si>
  <si>
    <t>Seems like company is plannign to grow its apparel business by opening retail outlets</t>
  </si>
  <si>
    <t>Company ka marketing activites wagerah yaha kaam aayi aur yaha unhe volumes mein waps se pick up dikha</t>
  </si>
  <si>
    <t>Value engineering inka ek hai jisse company cost ko control mein laati hai aur margins ko kuch hadd tak sambhal leti hai</t>
  </si>
  <si>
    <t>Growing better than the industry</t>
  </si>
  <si>
    <t>Margin to improve aage agr inke higher variant models ache khaase bike toh</t>
  </si>
  <si>
    <t>Marketing expenses aage bhi honge but yeh company growth ke liye he kr rhi hai</t>
  </si>
  <si>
    <t>Q3FY25 CONCALL</t>
  </si>
  <si>
    <t>Tariff ke impact ke baare mein question krne pr bhi nhi btaya</t>
  </si>
  <si>
    <t>Q4FY25 CONCALL</t>
  </si>
  <si>
    <t>R</t>
  </si>
  <si>
    <t>Rural growth ho rhi hai but urban nhi ho rhi thi fir tax cuts ke saath management expecting urban growth bhi hogi</t>
  </si>
  <si>
    <t>ONE PRICE HIKE IN FY23 AROUND MAY</t>
  </si>
  <si>
    <t>ANOTHER PRICE HIKE IN APRIL FY24 BY 1.15% ON SOME SELECTED MODELS</t>
  </si>
  <si>
    <t xml:space="preserve">NO GUIDANCE FOR EBITDA MAGINS GIVENEVEN </t>
  </si>
  <si>
    <t>Q1FY26 CONCALL</t>
  </si>
  <si>
    <t>RURAL IS NOW ABOUT 50% OF COMPANY SALES</t>
  </si>
  <si>
    <t>RURAL WAS SHOWING GROWTH EARLY BUT NOW URBAN HAS ALSO STARTED SHOWING GROWTH</t>
  </si>
  <si>
    <t>Q2FY26 CONCALL</t>
  </si>
  <si>
    <t>Source : FY25AR</t>
  </si>
  <si>
    <t>Capacity expansion from 1.2mn to 1.35mn</t>
  </si>
  <si>
    <t>In the month of April, we took a price increase in a few models and then also in a few models in July, we took a price increase as per the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</si>
</sst>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 #,##0.00_ ;_ * \-#,##0.00_ ;_ * &quot;-&quot;??_ ;_ @_ "/>
    <numFmt numFmtId="164" formatCode="#,##0;\(#,##0\);\-"/>
    <numFmt numFmtId="165" formatCode="0.0%"/>
    <numFmt numFmtId="166" formatCode="_(* #,##0_);_(* \(#,##0\);_(* &quot;-&quot;??_);_(@_)"/>
    <numFmt numFmtId="167" formatCode="&quot;FY&quot;0"/>
    <numFmt numFmtId="168" formatCode="&quot;₹&quot;\ #,##0"/>
    <numFmt numFmtId="169" formatCode="&quot;₹&quot;\ #,##0.00"/>
    <numFmt numFmtId="170" formatCode="&quot;₹&quot;\ #,##0;\(&quot;₹&quot;\ #,##0\);\-"/>
    <numFmt numFmtId="171" formatCode="0\ &quot;Days&quot;"/>
    <numFmt numFmtId="172" formatCode="&quot;Debt Tenure - &quot;0\ &quot;Years&quot;"/>
    <numFmt numFmtId="173" formatCode="0.0&quot;x&quot;"/>
    <numFmt numFmtId="174" formatCode="0.000"/>
    <numFmt numFmtId="175" formatCode="#,##0.0;\(#,##0.0\);\-"/>
    <numFmt numFmtId="176" formatCode="0.0"/>
    <numFmt numFmtId="177" formatCode="_ * #,##0_ ;_ * \-#,##0_ ;_ * &quot;-&quot;??_ ;_ @_ "/>
    <numFmt numFmtId="178" formatCode="0.00&quot;x&quot;"/>
    <numFmt numFmtId="179" formatCode="#,##0.0"/>
    <numFmt numFmtId="180" formatCode="&quot;Useful Life -&quot;\ 0\ &quot;Years&quot;"/>
    <numFmt numFmtId="181" formatCode="General\ \:"/>
    <numFmt numFmtId="182" formatCode="_(* #,##0.00_);_(* \(#,##0.00\);_(* &quot;-&quot;??_);_(@_)"/>
    <numFmt numFmtId="183" formatCode="0.0000"/>
    <numFmt numFmtId="184" formatCode="_(&quot;$&quot;* #,##0.00_);_(&quot;$&quot;* \(#,##0.00\);_(&quot;$&quot;* &quot;-&quot;??_);_(@_)"/>
    <numFmt numFmtId="185" formatCode="#,##0.0000"/>
    <numFmt numFmtId="186" formatCode="0&quot;x&quot;"/>
    <numFmt numFmtId="187" formatCode="0&quot;A&quot;"/>
    <numFmt numFmtId="188" formatCode="0&quot;E&quot;"/>
    <numFmt numFmtId="189" formatCode="0&quot;P&quot;"/>
    <numFmt numFmtId="190" formatCode="0&quot;F&quot;"/>
  </numFmts>
  <fonts count="8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sz val="11"/>
      <name val="Calibri"/>
      <family val="2"/>
      <scheme val="minor"/>
    </font>
    <font>
      <sz val="12"/>
      <name val="Arial"/>
      <family val="2"/>
    </font>
    <font>
      <b/>
      <sz val="11"/>
      <color rgb="FF000000"/>
      <name val="Calibri"/>
      <family val="2"/>
      <scheme val="minor"/>
    </font>
    <font>
      <sz val="10"/>
      <name val="Calibri"/>
      <family val="2"/>
      <scheme val="minor"/>
    </font>
    <font>
      <i/>
      <sz val="11"/>
      <color theme="1"/>
      <name val="Calibri"/>
      <family val="2"/>
      <scheme val="minor"/>
    </font>
    <font>
      <sz val="10"/>
      <color rgb="FF000000"/>
      <name val="Calibri"/>
      <family val="2"/>
      <scheme val="minor"/>
    </font>
    <font>
      <b/>
      <sz val="10"/>
      <name val="Calibri"/>
      <family val="2"/>
      <scheme val="minor"/>
    </font>
    <font>
      <sz val="10"/>
      <color theme="1"/>
      <name val="Calibri"/>
      <family val="2"/>
      <scheme val="minor"/>
    </font>
    <font>
      <b/>
      <u/>
      <sz val="11"/>
      <name val="Calibri"/>
      <family val="2"/>
      <scheme val="minor"/>
    </font>
    <font>
      <b/>
      <sz val="16"/>
      <color theme="4" tint="-0.249977111117893"/>
      <name val="Calibri"/>
      <family val="2"/>
      <scheme val="minor"/>
    </font>
    <font>
      <b/>
      <sz val="12"/>
      <color theme="1"/>
      <name val="Calibri"/>
      <family val="2"/>
      <scheme val="minor"/>
    </font>
    <font>
      <i/>
      <sz val="11"/>
      <color theme="4"/>
      <name val="Calibri"/>
      <family val="2"/>
      <scheme val="minor"/>
    </font>
    <font>
      <b/>
      <sz val="14"/>
      <color theme="0"/>
      <name val="Calibri"/>
      <family val="2"/>
      <scheme val="minor"/>
    </font>
    <font>
      <sz val="11"/>
      <color theme="4"/>
      <name val="Calibri"/>
      <family val="2"/>
      <scheme val="minor"/>
    </font>
    <font>
      <sz val="11"/>
      <color theme="9" tint="-0.249977111117893"/>
      <name val="Calibri"/>
      <family val="2"/>
      <scheme val="minor"/>
    </font>
    <font>
      <b/>
      <u/>
      <sz val="11"/>
      <color theme="1"/>
      <name val="Calibri"/>
      <family val="2"/>
      <scheme val="minor"/>
    </font>
    <font>
      <sz val="11"/>
      <color theme="9"/>
      <name val="Calibri"/>
      <family val="2"/>
      <scheme val="minor"/>
    </font>
    <font>
      <b/>
      <sz val="11"/>
      <color theme="9"/>
      <name val="Calibri"/>
      <family val="2"/>
      <scheme val="minor"/>
    </font>
    <font>
      <sz val="11"/>
      <color theme="8"/>
      <name val="Calibri"/>
      <family val="2"/>
      <scheme val="minor"/>
    </font>
    <font>
      <b/>
      <sz val="11"/>
      <color theme="4"/>
      <name val="Calibri"/>
      <family val="2"/>
      <scheme val="minor"/>
    </font>
    <font>
      <sz val="11"/>
      <color rgb="FF000000"/>
      <name val="Calibri"/>
      <family val="2"/>
      <scheme val="minor"/>
    </font>
    <font>
      <b/>
      <u/>
      <sz val="11"/>
      <color rgb="FF000000"/>
      <name val="Calibri"/>
      <family val="2"/>
      <scheme val="minor"/>
    </font>
    <font>
      <b/>
      <sz val="11"/>
      <name val="Calibri"/>
      <family val="2"/>
      <scheme val="minor"/>
    </font>
    <font>
      <sz val="11"/>
      <color theme="0"/>
      <name val="Calibri"/>
      <family val="2"/>
      <scheme val="minor"/>
    </font>
    <font>
      <sz val="11"/>
      <color rgb="FF373737"/>
      <name val="Arial"/>
      <family val="2"/>
    </font>
    <font>
      <sz val="12"/>
      <color rgb="FF373737"/>
      <name val="Inherit"/>
    </font>
    <font>
      <sz val="11"/>
      <color rgb="FF202020"/>
      <name val="Arial"/>
      <family val="2"/>
    </font>
    <font>
      <sz val="11"/>
      <color rgb="FF9EA6B7"/>
      <name val="Arial"/>
      <family val="2"/>
    </font>
    <font>
      <sz val="11"/>
      <color rgb="FF373737"/>
      <name val="Arial"/>
      <family val="2"/>
    </font>
    <font>
      <sz val="9"/>
      <color indexed="81"/>
      <name val="Tahoma"/>
      <family val="2"/>
    </font>
    <font>
      <b/>
      <sz val="9"/>
      <color indexed="81"/>
      <name val="Tahoma"/>
      <family val="2"/>
    </font>
    <font>
      <b/>
      <sz val="28"/>
      <color theme="1"/>
      <name val="Calibri"/>
      <family val="2"/>
      <scheme val="minor"/>
    </font>
    <font>
      <b/>
      <sz val="16"/>
      <color theme="1"/>
      <name val="Calibri"/>
      <family val="2"/>
      <scheme val="minor"/>
    </font>
    <font>
      <u/>
      <sz val="11"/>
      <color theme="10"/>
      <name val="Calibri"/>
      <family val="2"/>
      <scheme val="minor"/>
    </font>
    <font>
      <b/>
      <i/>
      <sz val="11"/>
      <color rgb="FF000000"/>
      <name val="Calibri"/>
      <family val="2"/>
      <scheme val="minor"/>
    </font>
    <font>
      <sz val="16"/>
      <color theme="1"/>
      <name val="Calibri"/>
      <family val="2"/>
      <scheme val="minor"/>
    </font>
    <font>
      <b/>
      <sz val="18"/>
      <color theme="1"/>
      <name val="Calibri"/>
      <family val="2"/>
      <scheme val="minor"/>
    </font>
    <font>
      <b/>
      <sz val="20"/>
      <color theme="1"/>
      <name val="Calibri"/>
      <family val="2"/>
      <scheme val="minor"/>
    </font>
    <font>
      <b/>
      <sz val="16"/>
      <color theme="0"/>
      <name val="Calibri"/>
      <family val="2"/>
      <scheme val="minor"/>
    </font>
    <font>
      <b/>
      <sz val="11"/>
      <color theme="4" tint="-0.249977111117893"/>
      <name val="Calibri"/>
      <family val="2"/>
      <scheme val="minor"/>
    </font>
    <font>
      <sz val="10"/>
      <color theme="9"/>
      <name val="Calibri"/>
      <family val="2"/>
      <scheme val="minor"/>
    </font>
    <font>
      <sz val="18"/>
      <color theme="0"/>
      <name val="Calibri"/>
      <family val="2"/>
      <scheme val="minor"/>
    </font>
    <font>
      <b/>
      <i/>
      <sz val="11"/>
      <color theme="1"/>
      <name val="Calibri"/>
      <family val="2"/>
      <scheme val="minor"/>
    </font>
    <font>
      <sz val="12"/>
      <color theme="1"/>
      <name val="Calibri"/>
      <family val="2"/>
      <scheme val="minor"/>
    </font>
    <font>
      <sz val="14"/>
      <color rgb="FFFFFFFF"/>
      <name val="Arial"/>
      <family val="2"/>
    </font>
    <font>
      <sz val="11"/>
      <color rgb="FFFF0000"/>
      <name val="Calibri"/>
      <family val="2"/>
      <scheme val="minor"/>
    </font>
    <font>
      <b/>
      <sz val="11"/>
      <color theme="8"/>
      <name val="Calibri"/>
      <family val="2"/>
      <scheme val="minor"/>
    </font>
    <font>
      <b/>
      <sz val="10"/>
      <color theme="1"/>
      <name val="Calibri"/>
      <family val="2"/>
      <scheme val="minor"/>
    </font>
    <font>
      <b/>
      <sz val="12"/>
      <color theme="0"/>
      <name val="Calibri"/>
      <family val="2"/>
      <scheme val="minor"/>
    </font>
    <font>
      <sz val="11"/>
      <color theme="0" tint="-0.14999847407452621"/>
      <name val="Calibri"/>
      <family val="2"/>
      <scheme val="minor"/>
    </font>
    <font>
      <b/>
      <sz val="10"/>
      <name val="Times"/>
      <family val="1"/>
    </font>
    <font>
      <sz val="10"/>
      <name val="Geneva"/>
      <family val="2"/>
      <charset val="1"/>
    </font>
    <font>
      <i/>
      <sz val="10"/>
      <name val="Times Roman"/>
    </font>
    <font>
      <sz val="10"/>
      <name val="Times Roman"/>
    </font>
    <font>
      <b/>
      <sz val="11"/>
      <color theme="0"/>
      <name val="Calibri"/>
      <family val="2"/>
    </font>
    <font>
      <sz val="11"/>
      <color theme="1"/>
      <name val="Calibri"/>
      <family val="2"/>
    </font>
    <font>
      <b/>
      <sz val="11"/>
      <color theme="1"/>
      <name val="Calibri"/>
      <family val="2"/>
    </font>
    <font>
      <sz val="9"/>
      <name val="Geneva"/>
      <family val="2"/>
    </font>
    <font>
      <sz val="10"/>
      <name val="Times"/>
      <family val="1"/>
    </font>
    <font>
      <b/>
      <sz val="14"/>
      <name val="Geneva"/>
      <family val="2"/>
    </font>
    <font>
      <b/>
      <i/>
      <sz val="11"/>
      <name val="Calibri"/>
      <family val="2"/>
      <scheme val="minor"/>
    </font>
    <font>
      <i/>
      <sz val="11"/>
      <name val="Calibri"/>
      <family val="2"/>
      <scheme val="minor"/>
    </font>
    <font>
      <i/>
      <sz val="10"/>
      <name val="Geneva"/>
      <family val="2"/>
    </font>
    <font>
      <b/>
      <sz val="9"/>
      <name val="Geneva"/>
    </font>
    <font>
      <sz val="11"/>
      <color theme="0" tint="-4.9989318521683403E-2"/>
      <name val="Calibri"/>
      <family val="2"/>
      <scheme val="minor"/>
    </font>
    <font>
      <b/>
      <sz val="11"/>
      <color rgb="FFFF0000"/>
      <name val="Calibri"/>
      <family val="2"/>
      <scheme val="minor"/>
    </font>
    <font>
      <b/>
      <sz val="16"/>
      <color rgb="FFFF0000"/>
      <name val="Calibri"/>
      <family val="2"/>
      <scheme val="minor"/>
    </font>
    <font>
      <sz val="8"/>
      <color rgb="FF373A3C"/>
      <name val="Arial"/>
      <family val="2"/>
    </font>
    <font>
      <sz val="10"/>
      <color rgb="FF606F7B"/>
      <name val="Arial"/>
      <family val="2"/>
    </font>
    <font>
      <vertAlign val="superscript"/>
      <sz val="7"/>
      <color rgb="FF645DF9"/>
      <name val="Arial"/>
      <family val="2"/>
    </font>
    <font>
      <i/>
      <sz val="11"/>
      <color rgb="FFFF0000"/>
      <name val="Calibri"/>
      <family val="2"/>
      <scheme val="minor"/>
    </font>
    <font>
      <b/>
      <sz val="16"/>
      <color rgb="FFEE2941"/>
      <name val="Calibri"/>
      <family val="2"/>
      <scheme val="minor"/>
    </font>
    <font>
      <b/>
      <sz val="26"/>
      <color theme="0"/>
      <name val="Calibri"/>
      <family val="2"/>
      <scheme val="minor"/>
    </font>
    <font>
      <sz val="18"/>
      <color rgb="FF707173"/>
      <name val="Arial"/>
      <family val="2"/>
    </font>
    <font>
      <b/>
      <sz val="18"/>
      <color theme="0"/>
      <name val="Calibri"/>
      <family val="2"/>
      <scheme val="minor"/>
    </font>
    <font>
      <sz val="18"/>
      <color theme="1"/>
      <name val="Calibri"/>
      <family val="2"/>
      <scheme val="minor"/>
    </font>
    <font>
      <sz val="24"/>
      <color rgb="FF000000"/>
      <name val="Arial"/>
      <family val="2"/>
    </font>
    <font>
      <sz val="26"/>
      <color theme="1"/>
      <name val="Calibri"/>
      <family val="2"/>
      <scheme val="minor"/>
    </font>
    <font>
      <sz val="8"/>
      <color rgb="FF303030"/>
      <name val="Arial"/>
      <family val="2"/>
    </font>
    <font>
      <b/>
      <sz val="8"/>
      <color rgb="FF303030"/>
      <name val="Arial"/>
      <family val="2"/>
    </font>
    <font>
      <sz val="20"/>
      <color theme="1"/>
      <name val="Calibri"/>
      <family val="2"/>
      <scheme val="minor"/>
    </font>
    <font>
      <sz val="22"/>
      <color theme="1"/>
      <name val="Calibri"/>
      <family val="2"/>
      <scheme val="minor"/>
    </font>
    <font>
      <sz val="36"/>
      <color theme="1"/>
      <name val="Calibri"/>
      <family val="2"/>
      <scheme val="minor"/>
    </font>
    <font>
      <sz val="24"/>
      <color theme="1"/>
      <name val="Calibri"/>
      <family val="2"/>
      <scheme val="minor"/>
    </font>
  </fonts>
  <fills count="13">
    <fill>
      <patternFill patternType="none"/>
    </fill>
    <fill>
      <patternFill patternType="gray125"/>
    </fill>
    <fill>
      <patternFill patternType="solid">
        <fgColor rgb="FF00206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002060"/>
      </patternFill>
    </fill>
    <fill>
      <patternFill patternType="solid">
        <fgColor rgb="FFEE2941"/>
        <bgColor indexed="64"/>
      </patternFill>
    </fill>
    <fill>
      <patternFill patternType="solid">
        <fgColor theme="4" tint="-0.499984740745262"/>
        <bgColor indexed="64"/>
      </patternFill>
    </fill>
    <fill>
      <patternFill patternType="solid">
        <fgColor rgb="FFFFFFFF"/>
        <bgColor indexed="64"/>
      </patternFill>
    </fill>
  </fills>
  <borders count="28">
    <border>
      <left/>
      <right/>
      <top/>
      <bottom/>
      <diagonal/>
    </border>
    <border>
      <left/>
      <right/>
      <top/>
      <bottom style="thin">
        <color indexed="64"/>
      </bottom>
      <diagonal/>
    </border>
    <border>
      <left/>
      <right/>
      <top style="thin">
        <color indexed="64"/>
      </top>
      <bottom style="medium">
        <color indexed="64"/>
      </bottom>
      <diagonal/>
    </border>
    <border>
      <left/>
      <right/>
      <top style="thin">
        <color auto="1"/>
      </top>
      <bottom/>
      <diagonal/>
    </border>
    <border>
      <left/>
      <right/>
      <top style="hair">
        <color auto="1"/>
      </top>
      <bottom style="hair">
        <color auto="1"/>
      </bottom>
      <diagonal/>
    </border>
    <border>
      <left/>
      <right/>
      <top style="hair">
        <color auto="1"/>
      </top>
      <bottom/>
      <diagonal/>
    </border>
    <border>
      <left/>
      <right/>
      <top style="thin">
        <color auto="1"/>
      </top>
      <bottom style="thick">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medium">
        <color rgb="FFE6E8EB"/>
      </left>
      <right/>
      <top/>
      <bottom/>
      <diagonal/>
    </border>
    <border>
      <left/>
      <right/>
      <top style="medium">
        <color rgb="FFE6E8EB"/>
      </top>
      <bottom/>
      <diagonal/>
    </border>
    <border>
      <left style="medium">
        <color rgb="FFE6E8EB"/>
      </left>
      <right/>
      <top style="medium">
        <color rgb="FFE6E8EB"/>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hair">
        <color auto="1"/>
      </top>
      <bottom style="thin">
        <color auto="1"/>
      </bottom>
      <diagonal/>
    </border>
    <border>
      <left/>
      <right/>
      <top style="thin">
        <color auto="1"/>
      </top>
      <bottom style="hair">
        <color auto="1"/>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s>
  <cellStyleXfs count="10">
    <xf numFmtId="0" fontId="0" fillId="0" borderId="0"/>
    <xf numFmtId="9" fontId="1" fillId="0" borderId="0" applyFont="0" applyFill="0" applyBorder="0" applyAlignment="0" applyProtection="0"/>
    <xf numFmtId="0" fontId="4" fillId="0" borderId="0"/>
    <xf numFmtId="0" fontId="6" fillId="0" borderId="0"/>
    <xf numFmtId="43" fontId="1" fillId="0" borderId="0" applyFont="0" applyFill="0" applyBorder="0" applyAlignment="0" applyProtection="0"/>
    <xf numFmtId="0" fontId="38" fillId="0" borderId="0" applyNumberFormat="0" applyFill="0" applyBorder="0" applyAlignment="0" applyProtection="0"/>
    <xf numFmtId="0" fontId="62" fillId="0" borderId="0"/>
    <xf numFmtId="184" fontId="62" fillId="0" borderId="0" applyFont="0" applyFill="0" applyBorder="0" applyAlignment="0" applyProtection="0"/>
    <xf numFmtId="9" fontId="62" fillId="0" borderId="0" applyFont="0" applyFill="0" applyBorder="0" applyAlignment="0" applyProtection="0"/>
    <xf numFmtId="182" fontId="62" fillId="0" borderId="0" applyFont="0" applyFill="0" applyBorder="0" applyAlignment="0" applyProtection="0"/>
  </cellStyleXfs>
  <cellXfs count="569">
    <xf numFmtId="0" fontId="0" fillId="0" borderId="0" xfId="0"/>
    <xf numFmtId="0" fontId="8" fillId="0" borderId="0" xfId="2" applyFont="1"/>
    <xf numFmtId="0" fontId="5" fillId="0" borderId="0" xfId="2" applyFont="1"/>
    <xf numFmtId="166" fontId="8" fillId="0" borderId="0" xfId="2" applyNumberFormat="1" applyFont="1"/>
    <xf numFmtId="164" fontId="12" fillId="0" borderId="0" xfId="1" applyNumberFormat="1" applyFont="1" applyFill="1"/>
    <xf numFmtId="164" fontId="10" fillId="0" borderId="0" xfId="3" applyNumberFormat="1" applyFont="1" applyAlignment="1">
      <alignment horizontal="left" vertical="center" indent="1"/>
    </xf>
    <xf numFmtId="0" fontId="11" fillId="0" borderId="2" xfId="2" applyFont="1" applyBorder="1"/>
    <xf numFmtId="0" fontId="13" fillId="0" borderId="0" xfId="2" applyFont="1"/>
    <xf numFmtId="0" fontId="14" fillId="0" borderId="0" xfId="0" applyFont="1"/>
    <xf numFmtId="0" fontId="15" fillId="0" borderId="0" xfId="0" applyFont="1"/>
    <xf numFmtId="0" fontId="16" fillId="0" borderId="1" xfId="0" applyFont="1" applyBorder="1"/>
    <xf numFmtId="0" fontId="0" fillId="0" borderId="1" xfId="0" applyBorder="1"/>
    <xf numFmtId="0" fontId="0" fillId="0" borderId="3" xfId="0" applyBorder="1"/>
    <xf numFmtId="0" fontId="3" fillId="0" borderId="3" xfId="0" applyFont="1" applyBorder="1"/>
    <xf numFmtId="0" fontId="18" fillId="0" borderId="4" xfId="0" applyFont="1" applyBorder="1"/>
    <xf numFmtId="0" fontId="0" fillId="0" borderId="4" xfId="0" applyBorder="1"/>
    <xf numFmtId="0" fontId="18" fillId="0" borderId="5" xfId="0" applyFont="1" applyBorder="1"/>
    <xf numFmtId="0" fontId="0" fillId="0" borderId="5" xfId="0" applyBorder="1"/>
    <xf numFmtId="0" fontId="3" fillId="4" borderId="0" xfId="0" applyFont="1" applyFill="1"/>
    <xf numFmtId="0" fontId="0" fillId="4" borderId="0" xfId="0" applyFill="1"/>
    <xf numFmtId="165" fontId="18" fillId="0" borderId="4" xfId="1" applyNumberFormat="1" applyFont="1" applyBorder="1"/>
    <xf numFmtId="165" fontId="18" fillId="0" borderId="4" xfId="0" applyNumberFormat="1" applyFont="1" applyBorder="1"/>
    <xf numFmtId="0" fontId="0" fillId="5" borderId="0" xfId="0" applyFill="1"/>
    <xf numFmtId="168" fontId="3" fillId="0" borderId="3" xfId="0" applyNumberFormat="1" applyFont="1" applyBorder="1"/>
    <xf numFmtId="165" fontId="0" fillId="5" borderId="0" xfId="1" applyNumberFormat="1" applyFont="1" applyFill="1"/>
    <xf numFmtId="165" fontId="19" fillId="5" borderId="0" xfId="1" applyNumberFormat="1" applyFont="1" applyFill="1"/>
    <xf numFmtId="0" fontId="3" fillId="0" borderId="0" xfId="0" applyFont="1"/>
    <xf numFmtId="0" fontId="3" fillId="0" borderId="1" xfId="0" applyFont="1" applyBorder="1"/>
    <xf numFmtId="3" fontId="0" fillId="0" borderId="1" xfId="0" applyNumberFormat="1" applyBorder="1"/>
    <xf numFmtId="0" fontId="3" fillId="0" borderId="6" xfId="0" applyFont="1" applyBorder="1"/>
    <xf numFmtId="168" fontId="3" fillId="0" borderId="0" xfId="0" applyNumberFormat="1" applyFont="1"/>
    <xf numFmtId="0" fontId="17" fillId="4" borderId="0" xfId="0" applyFont="1" applyFill="1"/>
    <xf numFmtId="0" fontId="2" fillId="4" borderId="0" xfId="0" applyFont="1" applyFill="1"/>
    <xf numFmtId="0" fontId="20" fillId="0" borderId="0" xfId="0" applyFont="1"/>
    <xf numFmtId="168" fontId="0" fillId="0" borderId="0" xfId="0" applyNumberFormat="1"/>
    <xf numFmtId="165" fontId="0" fillId="0" borderId="0" xfId="1" applyNumberFormat="1" applyFont="1"/>
    <xf numFmtId="0" fontId="0" fillId="0" borderId="0" xfId="0" applyAlignment="1">
      <alignment horizontal="left" indent="1"/>
    </xf>
    <xf numFmtId="167" fontId="0" fillId="0" borderId="0" xfId="0" applyNumberFormat="1" applyAlignment="1">
      <alignment horizontal="left"/>
    </xf>
    <xf numFmtId="168" fontId="22" fillId="0" borderId="0" xfId="0" applyNumberFormat="1" applyFont="1"/>
    <xf numFmtId="168" fontId="0" fillId="5" borderId="0" xfId="0" applyNumberFormat="1" applyFill="1"/>
    <xf numFmtId="170" fontId="0" fillId="0" borderId="0" xfId="0" applyNumberFormat="1"/>
    <xf numFmtId="165" fontId="21" fillId="5" borderId="0" xfId="1" applyNumberFormat="1" applyFont="1" applyFill="1"/>
    <xf numFmtId="170" fontId="22" fillId="0" borderId="3" xfId="0" applyNumberFormat="1" applyFont="1" applyBorder="1"/>
    <xf numFmtId="170" fontId="3" fillId="0" borderId="3" xfId="0" applyNumberFormat="1" applyFont="1" applyBorder="1"/>
    <xf numFmtId="171" fontId="18" fillId="0" borderId="0" xfId="0" applyNumberFormat="1" applyFont="1"/>
    <xf numFmtId="0" fontId="3" fillId="6" borderId="0" xfId="0" applyFont="1" applyFill="1"/>
    <xf numFmtId="165" fontId="3" fillId="6" borderId="0" xfId="1" applyNumberFormat="1" applyFont="1" applyFill="1"/>
    <xf numFmtId="165" fontId="0" fillId="0" borderId="0" xfId="0" applyNumberFormat="1"/>
    <xf numFmtId="165" fontId="23" fillId="0" borderId="0" xfId="0" applyNumberFormat="1" applyFont="1"/>
    <xf numFmtId="165" fontId="21" fillId="6" borderId="0" xfId="1" applyNumberFormat="1" applyFont="1" applyFill="1"/>
    <xf numFmtId="0" fontId="2" fillId="2" borderId="0" xfId="0" applyFont="1" applyFill="1"/>
    <xf numFmtId="167" fontId="3" fillId="0" borderId="1" xfId="0" applyNumberFormat="1" applyFont="1" applyBorder="1"/>
    <xf numFmtId="164" fontId="25" fillId="0" borderId="0" xfId="3" applyNumberFormat="1" applyFont="1" applyAlignment="1">
      <alignment horizontal="left" vertical="center"/>
    </xf>
    <xf numFmtId="164" fontId="25" fillId="0" borderId="0" xfId="3" applyNumberFormat="1" applyFont="1" applyAlignment="1">
      <alignment vertical="center"/>
    </xf>
    <xf numFmtId="164" fontId="26" fillId="0" borderId="0" xfId="3" applyNumberFormat="1" applyFont="1" applyAlignment="1">
      <alignment horizontal="left" vertical="center"/>
    </xf>
    <xf numFmtId="164" fontId="25" fillId="0" borderId="0" xfId="3" applyNumberFormat="1" applyFont="1" applyAlignment="1">
      <alignment horizontal="left" vertical="center" indent="1"/>
    </xf>
    <xf numFmtId="0" fontId="5" fillId="0" borderId="0" xfId="2" applyFont="1" applyAlignment="1">
      <alignment horizontal="left" indent="1"/>
    </xf>
    <xf numFmtId="164" fontId="7" fillId="0" borderId="3" xfId="3" applyNumberFormat="1" applyFont="1" applyBorder="1" applyAlignment="1">
      <alignment vertical="center"/>
    </xf>
    <xf numFmtId="164" fontId="7" fillId="0" borderId="3" xfId="3" applyNumberFormat="1" applyFont="1" applyBorder="1" applyAlignment="1">
      <alignment horizontal="left" vertical="center"/>
    </xf>
    <xf numFmtId="164" fontId="7" fillId="0" borderId="6" xfId="3" applyNumberFormat="1" applyFont="1" applyBorder="1" applyAlignment="1">
      <alignment vertical="center"/>
    </xf>
    <xf numFmtId="0" fontId="0" fillId="0" borderId="6" xfId="0" applyBorder="1"/>
    <xf numFmtId="164" fontId="7" fillId="0" borderId="0" xfId="3" applyNumberFormat="1" applyFont="1" applyAlignment="1">
      <alignment horizontal="left" vertical="center"/>
    </xf>
    <xf numFmtId="170" fontId="3" fillId="0" borderId="0" xfId="0" applyNumberFormat="1" applyFont="1"/>
    <xf numFmtId="164" fontId="7" fillId="0" borderId="0" xfId="3" applyNumberFormat="1" applyFont="1" applyAlignment="1">
      <alignment horizontal="left" vertical="center" indent="1"/>
    </xf>
    <xf numFmtId="0" fontId="16" fillId="0" borderId="0" xfId="0" applyFont="1"/>
    <xf numFmtId="167" fontId="24" fillId="0" borderId="0" xfId="0" applyNumberFormat="1" applyFont="1"/>
    <xf numFmtId="167" fontId="3" fillId="0" borderId="0" xfId="0" applyNumberFormat="1" applyFont="1"/>
    <xf numFmtId="0" fontId="11" fillId="0" borderId="3" xfId="2" applyFont="1" applyBorder="1"/>
    <xf numFmtId="0" fontId="27" fillId="0" borderId="3" xfId="2" applyFont="1" applyBorder="1"/>
    <xf numFmtId="0" fontId="8" fillId="0" borderId="3" xfId="2" applyFont="1" applyBorder="1"/>
    <xf numFmtId="165" fontId="3" fillId="4" borderId="0" xfId="1" applyNumberFormat="1" applyFont="1" applyFill="1"/>
    <xf numFmtId="165" fontId="3" fillId="4" borderId="0" xfId="0" applyNumberFormat="1" applyFont="1" applyFill="1"/>
    <xf numFmtId="0" fontId="20" fillId="4" borderId="0" xfId="0" applyFont="1" applyFill="1"/>
    <xf numFmtId="164" fontId="25" fillId="0" borderId="0" xfId="3" applyNumberFormat="1" applyFont="1" applyAlignment="1">
      <alignment horizontal="left"/>
    </xf>
    <xf numFmtId="0" fontId="3" fillId="4" borderId="3" xfId="0" applyFont="1" applyFill="1" applyBorder="1" applyAlignment="1">
      <alignment horizontal="left"/>
    </xf>
    <xf numFmtId="0" fontId="3" fillId="4" borderId="3" xfId="0" applyFont="1" applyFill="1" applyBorder="1"/>
    <xf numFmtId="0" fontId="8" fillId="4" borderId="0" xfId="2" applyFont="1" applyFill="1"/>
    <xf numFmtId="170" fontId="21" fillId="4" borderId="0" xfId="0" applyNumberFormat="1" applyFont="1" applyFill="1"/>
    <xf numFmtId="0" fontId="0" fillId="4" borderId="0" xfId="0" applyFill="1" applyAlignment="1">
      <alignment horizontal="left" indent="1"/>
    </xf>
    <xf numFmtId="0" fontId="9" fillId="0" borderId="0" xfId="0" applyFont="1"/>
    <xf numFmtId="0" fontId="0" fillId="0" borderId="0" xfId="0" applyAlignment="1">
      <alignment horizontal="left"/>
    </xf>
    <xf numFmtId="165" fontId="3" fillId="0" borderId="3" xfId="1" applyNumberFormat="1" applyFont="1" applyBorder="1"/>
    <xf numFmtId="173" fontId="3" fillId="0" borderId="3" xfId="0" applyNumberFormat="1" applyFont="1" applyBorder="1"/>
    <xf numFmtId="9" fontId="0" fillId="0" borderId="7" xfId="0" applyNumberFormat="1" applyBorder="1" applyAlignment="1">
      <alignment vertical="top"/>
    </xf>
    <xf numFmtId="0" fontId="0" fillId="0" borderId="7" xfId="0" applyBorder="1"/>
    <xf numFmtId="174" fontId="0" fillId="0" borderId="0" xfId="0" applyNumberFormat="1"/>
    <xf numFmtId="0" fontId="3" fillId="0" borderId="2" xfId="0" applyFont="1" applyBorder="1"/>
    <xf numFmtId="10" fontId="0" fillId="0" borderId="0" xfId="0" applyNumberFormat="1"/>
    <xf numFmtId="9" fontId="0" fillId="0" borderId="0" xfId="0" applyNumberFormat="1"/>
    <xf numFmtId="173" fontId="0" fillId="0" borderId="0" xfId="0" applyNumberFormat="1"/>
    <xf numFmtId="170" fontId="22" fillId="0" borderId="0" xfId="0" applyNumberFormat="1" applyFont="1"/>
    <xf numFmtId="175" fontId="0" fillId="0" borderId="0" xfId="4" applyNumberFormat="1" applyFont="1"/>
    <xf numFmtId="0" fontId="3" fillId="0" borderId="8" xfId="0" applyFont="1" applyBorder="1"/>
    <xf numFmtId="175" fontId="3" fillId="0" borderId="8" xfId="4" applyNumberFormat="1" applyFont="1" applyBorder="1"/>
    <xf numFmtId="175" fontId="3" fillId="0" borderId="0" xfId="4" applyNumberFormat="1" applyFont="1" applyBorder="1"/>
    <xf numFmtId="165" fontId="9" fillId="0" borderId="0" xfId="1" applyNumberFormat="1" applyFont="1" applyBorder="1"/>
    <xf numFmtId="175" fontId="3" fillId="0" borderId="0" xfId="4" applyNumberFormat="1" applyFont="1"/>
    <xf numFmtId="175" fontId="1" fillId="0" borderId="0" xfId="4" applyNumberFormat="1" applyFont="1"/>
    <xf numFmtId="175" fontId="3" fillId="0" borderId="0" xfId="0" applyNumberFormat="1" applyFont="1"/>
    <xf numFmtId="175" fontId="3" fillId="0" borderId="2" xfId="4" applyNumberFormat="1" applyFont="1" applyBorder="1"/>
    <xf numFmtId="4" fontId="0" fillId="0" borderId="0" xfId="0" applyNumberFormat="1"/>
    <xf numFmtId="175" fontId="0" fillId="0" borderId="0" xfId="0" applyNumberFormat="1"/>
    <xf numFmtId="176" fontId="0" fillId="0" borderId="0" xfId="0" applyNumberFormat="1"/>
    <xf numFmtId="175" fontId="0" fillId="0" borderId="0" xfId="4" applyNumberFormat="1" applyFont="1" applyAlignment="1">
      <alignment horizontal="right"/>
    </xf>
    <xf numFmtId="175" fontId="3" fillId="0" borderId="0" xfId="4" applyNumberFormat="1" applyFont="1" applyAlignment="1">
      <alignment horizontal="right"/>
    </xf>
    <xf numFmtId="0" fontId="28" fillId="2" borderId="0" xfId="0" applyFont="1" applyFill="1"/>
    <xf numFmtId="9" fontId="0" fillId="0" borderId="0" xfId="1" applyFont="1"/>
    <xf numFmtId="164" fontId="0" fillId="0" borderId="0" xfId="4" applyNumberFormat="1" applyFont="1"/>
    <xf numFmtId="165" fontId="3" fillId="0" borderId="0" xfId="1" applyNumberFormat="1" applyFont="1"/>
    <xf numFmtId="0" fontId="31" fillId="0" borderId="0" xfId="0" applyFont="1" applyAlignment="1">
      <alignment horizontal="right" vertical="top" wrapText="1"/>
    </xf>
    <xf numFmtId="0" fontId="32" fillId="0" borderId="0" xfId="0" applyFont="1" applyAlignment="1">
      <alignment horizontal="right" vertical="center" wrapText="1"/>
    </xf>
    <xf numFmtId="0" fontId="31" fillId="0" borderId="9" xfId="0" applyFont="1" applyBorder="1" applyAlignment="1">
      <alignment horizontal="right" vertical="top" wrapText="1"/>
    </xf>
    <xf numFmtId="0" fontId="32" fillId="0" borderId="9" xfId="0" applyFont="1" applyBorder="1" applyAlignment="1">
      <alignment horizontal="right" vertical="center" wrapText="1"/>
    </xf>
    <xf numFmtId="0" fontId="33" fillId="0" borderId="0" xfId="0" applyFont="1" applyAlignment="1">
      <alignment horizontal="left" vertical="top" wrapText="1"/>
    </xf>
    <xf numFmtId="4" fontId="29" fillId="0" borderId="0" xfId="0" applyNumberFormat="1" applyFont="1" applyAlignment="1">
      <alignment horizontal="right" vertical="top" wrapText="1"/>
    </xf>
    <xf numFmtId="4" fontId="29" fillId="0" borderId="9" xfId="0" applyNumberFormat="1" applyFont="1" applyBorder="1" applyAlignment="1">
      <alignment horizontal="right" vertical="top" wrapText="1"/>
    </xf>
    <xf numFmtId="0" fontId="33" fillId="0" borderId="10" xfId="0" applyFont="1" applyBorder="1" applyAlignment="1">
      <alignment horizontal="left" vertical="top" wrapText="1"/>
    </xf>
    <xf numFmtId="4" fontId="29" fillId="0" borderId="10" xfId="0" applyNumberFormat="1" applyFont="1" applyBorder="1" applyAlignment="1">
      <alignment horizontal="right" vertical="top" wrapText="1"/>
    </xf>
    <xf numFmtId="3" fontId="29" fillId="0" borderId="10" xfId="0" applyNumberFormat="1" applyFont="1" applyBorder="1" applyAlignment="1">
      <alignment horizontal="right" vertical="top" wrapText="1"/>
    </xf>
    <xf numFmtId="4" fontId="29" fillId="0" borderId="11" xfId="0" applyNumberFormat="1" applyFont="1" applyBorder="1" applyAlignment="1">
      <alignment horizontal="right" vertical="top" wrapText="1"/>
    </xf>
    <xf numFmtId="0" fontId="29" fillId="0" borderId="10" xfId="0" applyFont="1" applyBorder="1" applyAlignment="1">
      <alignment horizontal="right" vertical="top" wrapText="1"/>
    </xf>
    <xf numFmtId="0" fontId="29" fillId="0" borderId="11" xfId="0" applyFont="1" applyBorder="1" applyAlignment="1">
      <alignment horizontal="right" vertical="top" wrapText="1"/>
    </xf>
    <xf numFmtId="0" fontId="30" fillId="0" borderId="0" xfId="0" applyFont="1" applyAlignment="1">
      <alignment vertical="center"/>
    </xf>
    <xf numFmtId="165" fontId="21" fillId="0" borderId="4" xfId="1" applyNumberFormat="1" applyFont="1" applyBorder="1"/>
    <xf numFmtId="165" fontId="0" fillId="0" borderId="4" xfId="0" applyNumberFormat="1" applyBorder="1"/>
    <xf numFmtId="165" fontId="0" fillId="0" borderId="5" xfId="0" applyNumberFormat="1" applyBorder="1"/>
    <xf numFmtId="3" fontId="22" fillId="0" borderId="1" xfId="0" applyNumberFormat="1" applyFont="1" applyBorder="1"/>
    <xf numFmtId="0" fontId="28" fillId="0" borderId="0" xfId="0" applyFont="1"/>
    <xf numFmtId="3" fontId="21" fillId="0" borderId="0" xfId="0" applyNumberFormat="1" applyFont="1"/>
    <xf numFmtId="0" fontId="36" fillId="0" borderId="0" xfId="0" applyFont="1"/>
    <xf numFmtId="0" fontId="3" fillId="3" borderId="0" xfId="0" applyFont="1" applyFill="1"/>
    <xf numFmtId="175" fontId="3" fillId="3" borderId="0" xfId="4" applyNumberFormat="1" applyFont="1" applyFill="1" applyBorder="1"/>
    <xf numFmtId="165" fontId="3" fillId="3" borderId="0" xfId="1" applyNumberFormat="1" applyFont="1" applyFill="1" applyBorder="1"/>
    <xf numFmtId="0" fontId="28" fillId="4" borderId="0" xfId="0" applyFont="1" applyFill="1"/>
    <xf numFmtId="165" fontId="0" fillId="3" borderId="0" xfId="1" applyNumberFormat="1" applyFont="1" applyFill="1"/>
    <xf numFmtId="0" fontId="37" fillId="0" borderId="0" xfId="0" applyFont="1"/>
    <xf numFmtId="0" fontId="38" fillId="0" borderId="0" xfId="5"/>
    <xf numFmtId="3" fontId="0" fillId="0" borderId="3" xfId="0" applyNumberFormat="1" applyBorder="1"/>
    <xf numFmtId="164" fontId="21" fillId="0" borderId="0" xfId="0" applyNumberFormat="1" applyFont="1"/>
    <xf numFmtId="3" fontId="3" fillId="0" borderId="3" xfId="0" applyNumberFormat="1" applyFont="1" applyBorder="1"/>
    <xf numFmtId="1" fontId="0" fillId="0" borderId="0" xfId="0" applyNumberFormat="1"/>
    <xf numFmtId="43" fontId="0" fillId="0" borderId="0" xfId="4" applyFont="1"/>
    <xf numFmtId="1" fontId="3" fillId="0" borderId="2" xfId="0" applyNumberFormat="1" applyFont="1" applyBorder="1"/>
    <xf numFmtId="9" fontId="3" fillId="0" borderId="2" xfId="1" applyFont="1" applyBorder="1"/>
    <xf numFmtId="0" fontId="0" fillId="3" borderId="0" xfId="0" applyFill="1"/>
    <xf numFmtId="165" fontId="0" fillId="4" borderId="0" xfId="1" applyNumberFormat="1" applyFont="1" applyFill="1"/>
    <xf numFmtId="1" fontId="3" fillId="0" borderId="0" xfId="0" applyNumberFormat="1" applyFont="1"/>
    <xf numFmtId="165" fontId="3" fillId="0" borderId="0" xfId="1" applyNumberFormat="1" applyFont="1" applyBorder="1"/>
    <xf numFmtId="1" fontId="0" fillId="0" borderId="0" xfId="1" applyNumberFormat="1" applyFont="1"/>
    <xf numFmtId="165" fontId="3" fillId="0" borderId="2" xfId="1" applyNumberFormat="1" applyFont="1" applyBorder="1"/>
    <xf numFmtId="1" fontId="0" fillId="4" borderId="0" xfId="1" applyNumberFormat="1" applyFont="1" applyFill="1"/>
    <xf numFmtId="0" fontId="3" fillId="0" borderId="18" xfId="0" applyFont="1" applyBorder="1"/>
    <xf numFmtId="0" fontId="0" fillId="0" borderId="18" xfId="0" applyBorder="1"/>
    <xf numFmtId="165" fontId="3" fillId="0" borderId="0" xfId="0" applyNumberFormat="1" applyFont="1"/>
    <xf numFmtId="1" fontId="21" fillId="0" borderId="0" xfId="0" applyNumberFormat="1" applyFont="1"/>
    <xf numFmtId="177" fontId="3" fillId="0" borderId="6" xfId="4" applyNumberFormat="1" applyFont="1" applyBorder="1"/>
    <xf numFmtId="164" fontId="7" fillId="0" borderId="0" xfId="3" applyNumberFormat="1" applyFont="1" applyAlignment="1">
      <alignment vertical="center"/>
    </xf>
    <xf numFmtId="3" fontId="3" fillId="0" borderId="0" xfId="0" applyNumberFormat="1" applyFont="1"/>
    <xf numFmtId="3" fontId="0" fillId="0" borderId="0" xfId="0" applyNumberFormat="1"/>
    <xf numFmtId="0" fontId="41" fillId="0" borderId="0" xfId="0" applyFont="1"/>
    <xf numFmtId="0" fontId="42" fillId="0" borderId="0" xfId="0" applyFont="1"/>
    <xf numFmtId="1" fontId="3" fillId="3" borderId="0" xfId="0" applyNumberFormat="1" applyFont="1" applyFill="1"/>
    <xf numFmtId="1" fontId="0" fillId="0" borderId="4" xfId="0" applyNumberFormat="1" applyBorder="1"/>
    <xf numFmtId="1" fontId="45" fillId="0" borderId="0" xfId="2" applyNumberFormat="1" applyFont="1"/>
    <xf numFmtId="178" fontId="0" fillId="0" borderId="0" xfId="0" applyNumberFormat="1"/>
    <xf numFmtId="177" fontId="0" fillId="0" borderId="0" xfId="4" applyNumberFormat="1" applyFont="1"/>
    <xf numFmtId="0" fontId="0" fillId="0" borderId="19" xfId="0" applyBorder="1"/>
    <xf numFmtId="0" fontId="47" fillId="0" borderId="0" xfId="0" applyFont="1"/>
    <xf numFmtId="10" fontId="0" fillId="0" borderId="0" xfId="1" applyNumberFormat="1" applyFont="1"/>
    <xf numFmtId="179" fontId="0" fillId="0" borderId="0" xfId="0" applyNumberFormat="1"/>
    <xf numFmtId="0" fontId="48" fillId="0" borderId="0" xfId="0" applyFont="1" applyAlignment="1">
      <alignment vertical="center"/>
    </xf>
    <xf numFmtId="9" fontId="3" fillId="0" borderId="0" xfId="1" applyFont="1"/>
    <xf numFmtId="0" fontId="47" fillId="3" borderId="0" xfId="0" applyFont="1" applyFill="1"/>
    <xf numFmtId="0" fontId="9" fillId="3" borderId="0" xfId="0" applyFont="1" applyFill="1"/>
    <xf numFmtId="165" fontId="47" fillId="3" borderId="0" xfId="1" applyNumberFormat="1" applyFont="1" applyFill="1"/>
    <xf numFmtId="173" fontId="0" fillId="3" borderId="0" xfId="0" applyNumberFormat="1" applyFill="1"/>
    <xf numFmtId="165" fontId="0" fillId="3" borderId="0" xfId="0" applyNumberFormat="1" applyFill="1"/>
    <xf numFmtId="1" fontId="0" fillId="0" borderId="3" xfId="0" applyNumberFormat="1" applyBorder="1"/>
    <xf numFmtId="165" fontId="9" fillId="3" borderId="0" xfId="1" applyNumberFormat="1" applyFont="1" applyFill="1"/>
    <xf numFmtId="173" fontId="9" fillId="3" borderId="0" xfId="0" applyNumberFormat="1" applyFont="1" applyFill="1"/>
    <xf numFmtId="165" fontId="3" fillId="4" borderId="0" xfId="1" applyNumberFormat="1" applyFont="1" applyFill="1" applyBorder="1"/>
    <xf numFmtId="165" fontId="19" fillId="4" borderId="0" xfId="1" applyNumberFormat="1" applyFont="1" applyFill="1"/>
    <xf numFmtId="165" fontId="0" fillId="4" borderId="0" xfId="1" applyNumberFormat="1" applyFont="1" applyFill="1" applyBorder="1"/>
    <xf numFmtId="1" fontId="3" fillId="0" borderId="3" xfId="0" applyNumberFormat="1" applyFont="1" applyBorder="1"/>
    <xf numFmtId="1" fontId="0" fillId="3" borderId="0" xfId="0" applyNumberFormat="1" applyFill="1"/>
    <xf numFmtId="9" fontId="0" fillId="3" borderId="0" xfId="1" applyFont="1" applyFill="1"/>
    <xf numFmtId="9" fontId="3" fillId="0" borderId="0" xfId="1" applyFont="1" applyBorder="1"/>
    <xf numFmtId="1" fontId="0" fillId="4" borderId="0" xfId="0" applyNumberFormat="1" applyFill="1"/>
    <xf numFmtId="1" fontId="3" fillId="4" borderId="3" xfId="0" applyNumberFormat="1" applyFont="1" applyFill="1" applyBorder="1"/>
    <xf numFmtId="0" fontId="3" fillId="0" borderId="3" xfId="0" applyFont="1" applyBorder="1" applyAlignment="1">
      <alignment horizontal="left" indent="1"/>
    </xf>
    <xf numFmtId="164" fontId="3" fillId="0" borderId="0" xfId="4" applyNumberFormat="1" applyFont="1"/>
    <xf numFmtId="0" fontId="11" fillId="0" borderId="0" xfId="2" applyFont="1"/>
    <xf numFmtId="1" fontId="11" fillId="0" borderId="0" xfId="2" applyNumberFormat="1" applyFont="1"/>
    <xf numFmtId="164" fontId="26" fillId="0" borderId="0" xfId="3" applyNumberFormat="1" applyFont="1" applyAlignment="1">
      <alignment vertical="center"/>
    </xf>
    <xf numFmtId="0" fontId="13" fillId="0" borderId="2" xfId="2" applyFont="1" applyBorder="1"/>
    <xf numFmtId="181" fontId="5" fillId="0" borderId="0" xfId="2" applyNumberFormat="1" applyFont="1"/>
    <xf numFmtId="0" fontId="0" fillId="7" borderId="0" xfId="0" applyFill="1"/>
    <xf numFmtId="9" fontId="50" fillId="0" borderId="0" xfId="1" applyFont="1"/>
    <xf numFmtId="9" fontId="9" fillId="0" borderId="0" xfId="1" applyFont="1"/>
    <xf numFmtId="165" fontId="9" fillId="0" borderId="0" xfId="1" applyNumberFormat="1" applyFont="1"/>
    <xf numFmtId="165" fontId="0" fillId="4" borderId="0" xfId="0" applyNumberFormat="1" applyFill="1"/>
    <xf numFmtId="169" fontId="0" fillId="0" borderId="0" xfId="0" applyNumberFormat="1"/>
    <xf numFmtId="9" fontId="0" fillId="3" borderId="0" xfId="0" applyNumberFormat="1" applyFill="1"/>
    <xf numFmtId="178" fontId="0" fillId="3" borderId="0" xfId="0" applyNumberFormat="1" applyFill="1"/>
    <xf numFmtId="178" fontId="0" fillId="3" borderId="0" xfId="1" applyNumberFormat="1" applyFont="1" applyFill="1"/>
    <xf numFmtId="172" fontId="23" fillId="4" borderId="0" xfId="0" applyNumberFormat="1" applyFont="1" applyFill="1"/>
    <xf numFmtId="177" fontId="21" fillId="0" borderId="0" xfId="4" applyNumberFormat="1" applyFont="1"/>
    <xf numFmtId="1" fontId="3" fillId="4" borderId="0" xfId="0" applyNumberFormat="1" applyFont="1" applyFill="1"/>
    <xf numFmtId="1" fontId="24" fillId="4" borderId="0" xfId="0" applyNumberFormat="1" applyFont="1" applyFill="1"/>
    <xf numFmtId="165" fontId="51" fillId="0" borderId="3" xfId="0" applyNumberFormat="1" applyFont="1" applyBorder="1"/>
    <xf numFmtId="165" fontId="0" fillId="5" borderId="0" xfId="0" applyNumberFormat="1" applyFill="1"/>
    <xf numFmtId="3" fontId="3" fillId="4" borderId="3" xfId="0" applyNumberFormat="1" applyFont="1" applyFill="1" applyBorder="1"/>
    <xf numFmtId="3" fontId="3" fillId="4" borderId="6" xfId="0" applyNumberFormat="1" applyFont="1" applyFill="1" applyBorder="1"/>
    <xf numFmtId="165" fontId="21" fillId="0" borderId="0" xfId="0" applyNumberFormat="1" applyFont="1"/>
    <xf numFmtId="165" fontId="24" fillId="4" borderId="0" xfId="0" applyNumberFormat="1" applyFont="1" applyFill="1"/>
    <xf numFmtId="168" fontId="3" fillId="4" borderId="0" xfId="0" applyNumberFormat="1" applyFont="1" applyFill="1"/>
    <xf numFmtId="164" fontId="3" fillId="4" borderId="2" xfId="4" applyNumberFormat="1" applyFont="1" applyFill="1" applyBorder="1"/>
    <xf numFmtId="9" fontId="11" fillId="0" borderId="0" xfId="1" applyFont="1"/>
    <xf numFmtId="168" fontId="0" fillId="4" borderId="0" xfId="0" applyNumberFormat="1" applyFill="1"/>
    <xf numFmtId="168" fontId="3" fillId="4" borderId="3" xfId="0" applyNumberFormat="1" applyFont="1" applyFill="1" applyBorder="1"/>
    <xf numFmtId="164" fontId="25" fillId="4" borderId="0" xfId="3" applyNumberFormat="1" applyFont="1" applyFill="1" applyAlignment="1">
      <alignment horizontal="left"/>
    </xf>
    <xf numFmtId="3" fontId="0" fillId="4" borderId="0" xfId="0" applyNumberFormat="1" applyFill="1"/>
    <xf numFmtId="1" fontId="45" fillId="4" borderId="0" xfId="2" applyNumberFormat="1" applyFont="1" applyFill="1"/>
    <xf numFmtId="164" fontId="25" fillId="4" borderId="0" xfId="3" applyNumberFormat="1" applyFont="1" applyFill="1" applyAlignment="1">
      <alignment vertical="center"/>
    </xf>
    <xf numFmtId="0" fontId="11" fillId="4" borderId="0" xfId="2" applyFont="1" applyFill="1"/>
    <xf numFmtId="3" fontId="3" fillId="4" borderId="0" xfId="0" applyNumberFormat="1" applyFont="1" applyFill="1"/>
    <xf numFmtId="170" fontId="3" fillId="4" borderId="0" xfId="0" applyNumberFormat="1" applyFont="1" applyFill="1"/>
    <xf numFmtId="1" fontId="11" fillId="4" borderId="0" xfId="2" applyNumberFormat="1" applyFont="1" applyFill="1"/>
    <xf numFmtId="166" fontId="8" fillId="4" borderId="0" xfId="2" applyNumberFormat="1" applyFont="1" applyFill="1"/>
    <xf numFmtId="164" fontId="12" fillId="4" borderId="0" xfId="1" applyNumberFormat="1" applyFont="1" applyFill="1"/>
    <xf numFmtId="164" fontId="7" fillId="4" borderId="3" xfId="3" applyNumberFormat="1" applyFont="1" applyFill="1" applyBorder="1" applyAlignment="1">
      <alignment vertical="center"/>
    </xf>
    <xf numFmtId="0" fontId="11" fillId="4" borderId="3" xfId="2" applyFont="1" applyFill="1" applyBorder="1"/>
    <xf numFmtId="0" fontId="0" fillId="0" borderId="0" xfId="0" applyAlignment="1">
      <alignment horizontal="center"/>
    </xf>
    <xf numFmtId="0" fontId="0" fillId="0" borderId="20" xfId="0" applyBorder="1"/>
    <xf numFmtId="1" fontId="22" fillId="0" borderId="0" xfId="0" applyNumberFormat="1" applyFont="1"/>
    <xf numFmtId="3" fontId="22" fillId="0" borderId="0" xfId="0" applyNumberFormat="1" applyFont="1"/>
    <xf numFmtId="165" fontId="21" fillId="0" borderId="0" xfId="1" applyNumberFormat="1" applyFont="1" applyBorder="1"/>
    <xf numFmtId="9" fontId="1" fillId="4" borderId="0" xfId="1" applyFont="1" applyFill="1"/>
    <xf numFmtId="9" fontId="1" fillId="0" borderId="3" xfId="1" applyFont="1" applyBorder="1"/>
    <xf numFmtId="0" fontId="1" fillId="4" borderId="0" xfId="0" applyFont="1" applyFill="1"/>
    <xf numFmtId="170" fontId="1" fillId="4" borderId="0" xfId="0" applyNumberFormat="1" applyFont="1" applyFill="1"/>
    <xf numFmtId="9" fontId="1" fillId="0" borderId="0" xfId="1" applyFont="1" applyBorder="1"/>
    <xf numFmtId="9" fontId="3" fillId="4" borderId="3" xfId="1" applyFont="1" applyFill="1" applyBorder="1"/>
    <xf numFmtId="9" fontId="3" fillId="4" borderId="6" xfId="1" applyFont="1" applyFill="1" applyBorder="1"/>
    <xf numFmtId="0" fontId="12" fillId="4" borderId="0" xfId="2" applyFont="1" applyFill="1"/>
    <xf numFmtId="0" fontId="20" fillId="4" borderId="0" xfId="2" applyFont="1" applyFill="1"/>
    <xf numFmtId="9" fontId="12" fillId="4" borderId="0" xfId="1" applyFont="1" applyFill="1"/>
    <xf numFmtId="9" fontId="52" fillId="4" borderId="3" xfId="1" applyFont="1" applyFill="1" applyBorder="1"/>
    <xf numFmtId="9" fontId="52" fillId="4" borderId="0" xfId="1" applyFont="1" applyFill="1"/>
    <xf numFmtId="1" fontId="52" fillId="4" borderId="0" xfId="2" applyNumberFormat="1" applyFont="1" applyFill="1"/>
    <xf numFmtId="9" fontId="52" fillId="4" borderId="2" xfId="1" applyFont="1" applyFill="1" applyBorder="1"/>
    <xf numFmtId="9" fontId="52" fillId="0" borderId="3" xfId="1" applyFont="1" applyBorder="1"/>
    <xf numFmtId="9" fontId="11" fillId="0" borderId="2" xfId="1" applyFont="1" applyBorder="1"/>
    <xf numFmtId="0" fontId="48" fillId="3" borderId="0" xfId="0" applyFont="1" applyFill="1" applyAlignment="1">
      <alignment horizontal="right"/>
    </xf>
    <xf numFmtId="0" fontId="3" fillId="4" borderId="1" xfId="0" applyFont="1" applyFill="1" applyBorder="1"/>
    <xf numFmtId="0" fontId="0" fillId="4" borderId="1" xfId="0" applyFill="1" applyBorder="1"/>
    <xf numFmtId="0" fontId="3" fillId="5" borderId="0" xfId="0" applyFont="1" applyFill="1"/>
    <xf numFmtId="0" fontId="3" fillId="5" borderId="3" xfId="0" applyFont="1" applyFill="1" applyBorder="1"/>
    <xf numFmtId="0" fontId="0" fillId="5" borderId="3" xfId="0" applyFill="1" applyBorder="1"/>
    <xf numFmtId="165" fontId="0" fillId="5" borderId="3" xfId="1" applyNumberFormat="1" applyFont="1" applyFill="1" applyBorder="1"/>
    <xf numFmtId="165" fontId="3" fillId="5" borderId="3" xfId="1" applyNumberFormat="1" applyFont="1" applyFill="1" applyBorder="1"/>
    <xf numFmtId="0" fontId="15" fillId="3" borderId="0" xfId="0" applyFont="1" applyFill="1" applyAlignment="1">
      <alignment horizontal="left"/>
    </xf>
    <xf numFmtId="0" fontId="15" fillId="3" borderId="0" xfId="0" applyFont="1" applyFill="1" applyAlignment="1">
      <alignment horizontal="right"/>
    </xf>
    <xf numFmtId="177" fontId="3" fillId="5" borderId="0" xfId="0" applyNumberFormat="1" applyFont="1" applyFill="1"/>
    <xf numFmtId="177" fontId="44" fillId="5" borderId="0" xfId="0" applyNumberFormat="1" applyFont="1" applyFill="1"/>
    <xf numFmtId="165" fontId="3" fillId="5" borderId="0" xfId="1" applyNumberFormat="1" applyFont="1" applyFill="1"/>
    <xf numFmtId="1" fontId="3" fillId="5" borderId="0" xfId="0" applyNumberFormat="1" applyFont="1" applyFill="1"/>
    <xf numFmtId="1" fontId="44" fillId="5" borderId="0" xfId="0" applyNumberFormat="1" applyFont="1" applyFill="1"/>
    <xf numFmtId="9" fontId="0" fillId="5" borderId="0" xfId="1" applyFont="1" applyFill="1"/>
    <xf numFmtId="165" fontId="44" fillId="5" borderId="0" xfId="0" applyNumberFormat="1" applyFont="1" applyFill="1"/>
    <xf numFmtId="1" fontId="24" fillId="5" borderId="0" xfId="0" applyNumberFormat="1" applyFont="1" applyFill="1"/>
    <xf numFmtId="165" fontId="24" fillId="5" borderId="0" xfId="0" applyNumberFormat="1" applyFont="1" applyFill="1"/>
    <xf numFmtId="0" fontId="0" fillId="5" borderId="0" xfId="0" applyFill="1" applyAlignment="1">
      <alignment horizontal="left"/>
    </xf>
    <xf numFmtId="165" fontId="22" fillId="5" borderId="0" xfId="1" applyNumberFormat="1" applyFont="1" applyFill="1"/>
    <xf numFmtId="1" fontId="0" fillId="5" borderId="0" xfId="0" applyNumberFormat="1" applyFill="1" applyAlignment="1">
      <alignment horizontal="right"/>
    </xf>
    <xf numFmtId="9" fontId="0" fillId="5" borderId="0" xfId="1" applyFont="1" applyFill="1" applyAlignment="1">
      <alignment horizontal="right"/>
    </xf>
    <xf numFmtId="164" fontId="39" fillId="5" borderId="0" xfId="3" applyNumberFormat="1" applyFont="1" applyFill="1" applyAlignment="1">
      <alignment vertical="center"/>
    </xf>
    <xf numFmtId="165" fontId="3" fillId="5" borderId="0" xfId="1" applyNumberFormat="1" applyFont="1" applyFill="1" applyBorder="1"/>
    <xf numFmtId="1" fontId="21" fillId="5" borderId="0" xfId="0" applyNumberFormat="1" applyFont="1" applyFill="1"/>
    <xf numFmtId="1" fontId="21" fillId="4" borderId="0" xfId="0" applyNumberFormat="1" applyFont="1" applyFill="1"/>
    <xf numFmtId="165" fontId="1" fillId="5" borderId="0" xfId="1" applyNumberFormat="1" applyFont="1" applyFill="1"/>
    <xf numFmtId="177" fontId="22" fillId="0" borderId="1" xfId="4" applyNumberFormat="1" applyFont="1" applyBorder="1"/>
    <xf numFmtId="177" fontId="0" fillId="0" borderId="1" xfId="4" applyNumberFormat="1" applyFont="1" applyBorder="1"/>
    <xf numFmtId="177" fontId="18" fillId="4" borderId="0" xfId="4" applyNumberFormat="1" applyFont="1" applyFill="1"/>
    <xf numFmtId="177" fontId="0" fillId="4" borderId="0" xfId="4" applyNumberFormat="1" applyFont="1" applyFill="1"/>
    <xf numFmtId="177" fontId="3" fillId="4" borderId="3" xfId="4" applyNumberFormat="1" applyFont="1" applyFill="1" applyBorder="1"/>
    <xf numFmtId="1" fontId="18" fillId="4" borderId="0" xfId="0" applyNumberFormat="1" applyFont="1" applyFill="1"/>
    <xf numFmtId="177" fontId="0" fillId="0" borderId="3" xfId="4" applyNumberFormat="1" applyFont="1" applyBorder="1"/>
    <xf numFmtId="177" fontId="3" fillId="4" borderId="1" xfId="4" applyNumberFormat="1" applyFont="1" applyFill="1" applyBorder="1"/>
    <xf numFmtId="177" fontId="3" fillId="4" borderId="0" xfId="4" applyNumberFormat="1" applyFont="1" applyFill="1" applyBorder="1"/>
    <xf numFmtId="164" fontId="0" fillId="0" borderId="3" xfId="0" applyNumberFormat="1" applyBorder="1"/>
    <xf numFmtId="164" fontId="0" fillId="0" borderId="0" xfId="0" applyNumberFormat="1"/>
    <xf numFmtId="164" fontId="3" fillId="0" borderId="3" xfId="0" applyNumberFormat="1" applyFont="1" applyBorder="1"/>
    <xf numFmtId="164" fontId="21" fillId="0" borderId="0" xfId="4" applyNumberFormat="1" applyFont="1"/>
    <xf numFmtId="164" fontId="3" fillId="4" borderId="0" xfId="0" applyNumberFormat="1" applyFont="1" applyFill="1"/>
    <xf numFmtId="164" fontId="45" fillId="0" borderId="0" xfId="2" applyNumberFormat="1" applyFont="1"/>
    <xf numFmtId="164" fontId="11" fillId="4" borderId="3" xfId="2" applyNumberFormat="1" applyFont="1" applyFill="1" applyBorder="1"/>
    <xf numFmtId="164" fontId="11" fillId="0" borderId="3" xfId="2" applyNumberFormat="1" applyFont="1" applyBorder="1"/>
    <xf numFmtId="164" fontId="8" fillId="0" borderId="0" xfId="2" applyNumberFormat="1" applyFont="1"/>
    <xf numFmtId="164" fontId="12" fillId="4" borderId="0" xfId="2" applyNumberFormat="1" applyFont="1" applyFill="1"/>
    <xf numFmtId="164" fontId="8" fillId="4" borderId="0" xfId="2" applyNumberFormat="1" applyFont="1" applyFill="1"/>
    <xf numFmtId="164" fontId="11" fillId="4" borderId="2" xfId="2" applyNumberFormat="1" applyFont="1" applyFill="1" applyBorder="1"/>
    <xf numFmtId="164" fontId="12" fillId="0" borderId="0" xfId="2" applyNumberFormat="1" applyFont="1"/>
    <xf numFmtId="164" fontId="0" fillId="5" borderId="0" xfId="0" applyNumberFormat="1" applyFill="1"/>
    <xf numFmtId="164" fontId="0" fillId="4" borderId="0" xfId="0" applyNumberFormat="1" applyFill="1"/>
    <xf numFmtId="164" fontId="21" fillId="4" borderId="0" xfId="0" applyNumberFormat="1" applyFont="1" applyFill="1"/>
    <xf numFmtId="164" fontId="3" fillId="4" borderId="3" xfId="0" applyNumberFormat="1" applyFont="1" applyFill="1" applyBorder="1"/>
    <xf numFmtId="164" fontId="18" fillId="4" borderId="0" xfId="0" applyNumberFormat="1" applyFont="1" applyFill="1"/>
    <xf numFmtId="164" fontId="18" fillId="0" borderId="0" xfId="4" applyNumberFormat="1" applyFont="1"/>
    <xf numFmtId="164" fontId="3" fillId="0" borderId="2" xfId="0" applyNumberFormat="1" applyFont="1" applyBorder="1"/>
    <xf numFmtId="164" fontId="3" fillId="4" borderId="2" xfId="0" applyNumberFormat="1" applyFont="1" applyFill="1" applyBorder="1"/>
    <xf numFmtId="0" fontId="54" fillId="0" borderId="0" xfId="0" applyFont="1"/>
    <xf numFmtId="0" fontId="55" fillId="0" borderId="0" xfId="0" applyFont="1"/>
    <xf numFmtId="0" fontId="56" fillId="0" borderId="0" xfId="0" applyFont="1"/>
    <xf numFmtId="0" fontId="57" fillId="0" borderId="7" xfId="0" applyFont="1" applyBorder="1" applyAlignment="1">
      <alignment horizontal="centerContinuous"/>
    </xf>
    <xf numFmtId="0" fontId="57" fillId="0" borderId="7" xfId="0" applyFont="1" applyBorder="1"/>
    <xf numFmtId="0" fontId="57" fillId="0" borderId="7" xfId="0" applyFont="1" applyBorder="1" applyAlignment="1">
      <alignment horizontal="center"/>
    </xf>
    <xf numFmtId="0" fontId="58" fillId="0" borderId="7" xfId="0" applyFont="1" applyBorder="1" applyAlignment="1">
      <alignment horizontal="center"/>
    </xf>
    <xf numFmtId="10" fontId="8" fillId="0" borderId="17" xfId="1" applyNumberFormat="1" applyFont="1" applyBorder="1" applyAlignment="1">
      <alignment horizontal="center"/>
    </xf>
    <xf numFmtId="2" fontId="58" fillId="0" borderId="7" xfId="0" applyNumberFormat="1" applyFont="1" applyBorder="1" applyAlignment="1">
      <alignment horizontal="center"/>
    </xf>
    <xf numFmtId="0" fontId="55" fillId="0" borderId="0" xfId="0" applyFont="1" applyAlignment="1">
      <alignment horizontal="center"/>
    </xf>
    <xf numFmtId="0" fontId="56" fillId="0" borderId="0" xfId="0" applyFont="1" applyAlignment="1">
      <alignment horizontal="center"/>
    </xf>
    <xf numFmtId="0" fontId="3" fillId="5" borderId="8" xfId="0" applyFont="1" applyFill="1" applyBorder="1"/>
    <xf numFmtId="0" fontId="0" fillId="0" borderId="22" xfId="0" applyBorder="1"/>
    <xf numFmtId="0" fontId="0" fillId="0" borderId="4" xfId="0" applyBorder="1" applyAlignment="1">
      <alignment horizontal="center"/>
    </xf>
    <xf numFmtId="0" fontId="0" fillId="0" borderId="23" xfId="0" applyBorder="1"/>
    <xf numFmtId="10" fontId="0" fillId="0" borderId="23" xfId="0" applyNumberFormat="1" applyBorder="1" applyAlignment="1">
      <alignment horizontal="center"/>
    </xf>
    <xf numFmtId="10" fontId="0" fillId="0" borderId="4" xfId="0" applyNumberFormat="1" applyBorder="1" applyAlignment="1">
      <alignment horizontal="center"/>
    </xf>
    <xf numFmtId="10" fontId="3" fillId="5" borderId="8" xfId="0" applyNumberFormat="1" applyFont="1" applyFill="1" applyBorder="1" applyAlignment="1">
      <alignment horizontal="center"/>
    </xf>
    <xf numFmtId="10" fontId="0" fillId="0" borderId="18" xfId="1" applyNumberFormat="1" applyFont="1" applyBorder="1" applyAlignment="1">
      <alignment horizontal="center"/>
    </xf>
    <xf numFmtId="10" fontId="0" fillId="0" borderId="22" xfId="1" applyNumberFormat="1" applyFont="1" applyBorder="1" applyAlignment="1">
      <alignment horizontal="center"/>
    </xf>
    <xf numFmtId="10" fontId="0" fillId="0" borderId="18" xfId="0" applyNumberFormat="1" applyBorder="1" applyAlignment="1">
      <alignment horizontal="center"/>
    </xf>
    <xf numFmtId="10" fontId="0" fillId="0" borderId="22" xfId="0" applyNumberFormat="1" applyBorder="1" applyAlignment="1">
      <alignment horizontal="center"/>
    </xf>
    <xf numFmtId="0" fontId="60" fillId="0" borderId="4" xfId="0" applyFont="1" applyBorder="1" applyAlignment="1">
      <alignment horizontal="left"/>
    </xf>
    <xf numFmtId="166" fontId="60" fillId="0" borderId="4" xfId="0" applyNumberFormat="1" applyFont="1" applyBorder="1"/>
    <xf numFmtId="182" fontId="60" fillId="0" borderId="4" xfId="0" applyNumberFormat="1" applyFont="1" applyBorder="1"/>
    <xf numFmtId="182" fontId="60" fillId="0" borderId="4" xfId="0" applyNumberFormat="1" applyFont="1" applyBorder="1" applyAlignment="1">
      <alignment horizontal="center"/>
    </xf>
    <xf numFmtId="182" fontId="60" fillId="0" borderId="4" xfId="0" applyNumberFormat="1" applyFont="1" applyBorder="1" applyAlignment="1">
      <alignment horizontal="left" vertical="top"/>
    </xf>
    <xf numFmtId="0" fontId="61" fillId="0" borderId="0" xfId="0" applyFont="1" applyAlignment="1">
      <alignment horizontal="left"/>
    </xf>
    <xf numFmtId="166" fontId="61" fillId="0" borderId="0" xfId="0" applyNumberFormat="1" applyFont="1"/>
    <xf numFmtId="182" fontId="61" fillId="0" borderId="0" xfId="0" applyNumberFormat="1" applyFont="1"/>
    <xf numFmtId="165" fontId="61" fillId="0" borderId="0" xfId="1" applyNumberFormat="1" applyFont="1" applyBorder="1"/>
    <xf numFmtId="9" fontId="60" fillId="0" borderId="4" xfId="1" applyFont="1" applyBorder="1"/>
    <xf numFmtId="9" fontId="60" fillId="0" borderId="5" xfId="1" applyFont="1" applyBorder="1"/>
    <xf numFmtId="0" fontId="60" fillId="4" borderId="4" xfId="0" applyFont="1" applyFill="1" applyBorder="1" applyAlignment="1">
      <alignment horizontal="left"/>
    </xf>
    <xf numFmtId="166" fontId="60" fillId="4" borderId="4" xfId="0" applyNumberFormat="1" applyFont="1" applyFill="1" applyBorder="1"/>
    <xf numFmtId="182" fontId="60" fillId="4" borderId="4" xfId="0" applyNumberFormat="1" applyFont="1" applyFill="1" applyBorder="1" applyAlignment="1">
      <alignment horizontal="left" vertical="top"/>
    </xf>
    <xf numFmtId="182" fontId="60" fillId="4" borderId="4" xfId="0" applyNumberFormat="1" applyFont="1" applyFill="1" applyBorder="1"/>
    <xf numFmtId="9" fontId="60" fillId="4" borderId="4" xfId="1" applyFont="1" applyFill="1" applyBorder="1"/>
    <xf numFmtId="0" fontId="60" fillId="0" borderId="22" xfId="0" applyFont="1" applyBorder="1" applyAlignment="1">
      <alignment horizontal="left"/>
    </xf>
    <xf numFmtId="166" fontId="61" fillId="0" borderId="22" xfId="0" applyNumberFormat="1" applyFont="1" applyBorder="1"/>
    <xf numFmtId="182" fontId="61" fillId="0" borderId="22" xfId="0" applyNumberFormat="1" applyFont="1" applyBorder="1"/>
    <xf numFmtId="165" fontId="60" fillId="0" borderId="22" xfId="1" applyNumberFormat="1" applyFont="1" applyBorder="1"/>
    <xf numFmtId="182" fontId="60" fillId="0" borderId="22" xfId="0" applyNumberFormat="1" applyFont="1" applyBorder="1"/>
    <xf numFmtId="166" fontId="61" fillId="0" borderId="23" xfId="0" applyNumberFormat="1" applyFont="1" applyBorder="1"/>
    <xf numFmtId="182" fontId="61" fillId="0" borderId="23" xfId="0" applyNumberFormat="1" applyFont="1" applyBorder="1"/>
    <xf numFmtId="165" fontId="61" fillId="0" borderId="23" xfId="1" applyNumberFormat="1" applyFont="1" applyBorder="1"/>
    <xf numFmtId="166" fontId="60" fillId="0" borderId="22" xfId="0" applyNumberFormat="1" applyFont="1" applyBorder="1"/>
    <xf numFmtId="0" fontId="61" fillId="0" borderId="23" xfId="0" applyFont="1" applyBorder="1" applyAlignment="1">
      <alignment horizontal="left"/>
    </xf>
    <xf numFmtId="2" fontId="0" fillId="0" borderId="22" xfId="0" applyNumberFormat="1" applyBorder="1" applyAlignment="1">
      <alignment horizontal="center"/>
    </xf>
    <xf numFmtId="10" fontId="0" fillId="0" borderId="4" xfId="1" applyNumberFormat="1" applyFont="1" applyBorder="1"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10" fontId="3" fillId="4" borderId="0" xfId="0" applyNumberFormat="1" applyFont="1" applyFill="1" applyAlignment="1">
      <alignment horizontal="center"/>
    </xf>
    <xf numFmtId="9" fontId="0" fillId="0" borderId="18" xfId="0" applyNumberFormat="1" applyBorder="1" applyAlignment="1">
      <alignment horizontal="center"/>
    </xf>
    <xf numFmtId="10" fontId="3" fillId="0" borderId="0" xfId="0" applyNumberFormat="1" applyFont="1"/>
    <xf numFmtId="9" fontId="0" fillId="0" borderId="0" xfId="0" applyNumberFormat="1" applyAlignment="1">
      <alignment vertical="top"/>
    </xf>
    <xf numFmtId="167" fontId="22" fillId="0" borderId="1" xfId="0" applyNumberFormat="1" applyFont="1" applyBorder="1"/>
    <xf numFmtId="164" fontId="3" fillId="0" borderId="3" xfId="0" applyNumberFormat="1" applyFont="1" applyBorder="1" applyAlignment="1">
      <alignment horizontal="right"/>
    </xf>
    <xf numFmtId="164" fontId="3" fillId="0" borderId="0" xfId="0" applyNumberFormat="1" applyFont="1" applyAlignment="1">
      <alignment horizontal="right"/>
    </xf>
    <xf numFmtId="164" fontId="21" fillId="0" borderId="0" xfId="0" applyNumberFormat="1" applyFont="1" applyAlignment="1">
      <alignment horizontal="right"/>
    </xf>
    <xf numFmtId="0" fontId="3" fillId="0" borderId="3" xfId="0" applyFont="1" applyBorder="1" applyAlignment="1">
      <alignment horizontal="left"/>
    </xf>
    <xf numFmtId="0" fontId="9" fillId="0" borderId="0" xfId="0" applyFont="1" applyAlignment="1">
      <alignment horizontal="left" indent="1"/>
    </xf>
    <xf numFmtId="3" fontId="3" fillId="0" borderId="2" xfId="0" applyNumberFormat="1" applyFont="1" applyBorder="1"/>
    <xf numFmtId="164" fontId="9" fillId="0" borderId="0" xfId="0" applyNumberFormat="1" applyFont="1"/>
    <xf numFmtId="164" fontId="22" fillId="0" borderId="0" xfId="0" applyNumberFormat="1" applyFont="1"/>
    <xf numFmtId="0" fontId="63" fillId="0" borderId="0" xfId="6" applyFont="1"/>
    <xf numFmtId="0" fontId="27" fillId="0" borderId="0" xfId="6" applyFont="1"/>
    <xf numFmtId="0" fontId="27" fillId="0" borderId="0" xfId="6" applyFont="1" applyAlignment="1">
      <alignment horizontal="right"/>
    </xf>
    <xf numFmtId="0" fontId="64" fillId="0" borderId="0" xfId="6" applyFont="1"/>
    <xf numFmtId="0" fontId="5" fillId="0" borderId="0" xfId="6" applyFont="1"/>
    <xf numFmtId="0" fontId="62" fillId="0" borderId="0" xfId="6"/>
    <xf numFmtId="0" fontId="65" fillId="0" borderId="0" xfId="6" applyFont="1"/>
    <xf numFmtId="0" fontId="66" fillId="0" borderId="0" xfId="6" applyFont="1"/>
    <xf numFmtId="0" fontId="67" fillId="0" borderId="0" xfId="6" applyFont="1"/>
    <xf numFmtId="2" fontId="27" fillId="0" borderId="7" xfId="6" applyNumberFormat="1" applyFont="1" applyBorder="1" applyAlignment="1">
      <alignment horizontal="right"/>
    </xf>
    <xf numFmtId="2" fontId="5" fillId="0" borderId="7" xfId="6" applyNumberFormat="1" applyFont="1" applyBorder="1"/>
    <xf numFmtId="10" fontId="27" fillId="0" borderId="0" xfId="6" applyNumberFormat="1" applyFont="1"/>
    <xf numFmtId="10" fontId="27" fillId="0" borderId="7" xfId="6" applyNumberFormat="1" applyFont="1" applyBorder="1"/>
    <xf numFmtId="185" fontId="27" fillId="0" borderId="7" xfId="9" applyNumberFormat="1" applyFont="1" applyBorder="1"/>
    <xf numFmtId="10" fontId="5" fillId="0" borderId="7" xfId="6" applyNumberFormat="1" applyFont="1" applyBorder="1"/>
    <xf numFmtId="2" fontId="5" fillId="0" borderId="7" xfId="6" applyNumberFormat="1" applyFont="1" applyBorder="1" applyAlignment="1">
      <alignment horizontal="right"/>
    </xf>
    <xf numFmtId="0" fontId="5" fillId="0" borderId="0" xfId="6" applyFont="1" applyAlignment="1">
      <alignment horizontal="right"/>
    </xf>
    <xf numFmtId="2" fontId="5" fillId="0" borderId="24" xfId="7" applyNumberFormat="1" applyFont="1" applyBorder="1" applyAlignment="1">
      <alignment horizontal="right"/>
    </xf>
    <xf numFmtId="183" fontId="5" fillId="0" borderId="0" xfId="6" applyNumberFormat="1" applyFont="1"/>
    <xf numFmtId="184" fontId="5" fillId="0" borderId="0" xfId="7" applyFont="1"/>
    <xf numFmtId="1" fontId="5" fillId="0" borderId="24" xfId="6" applyNumberFormat="1" applyFont="1" applyBorder="1" applyAlignment="1">
      <alignment horizontal="right"/>
    </xf>
    <xf numFmtId="164" fontId="1" fillId="0" borderId="0" xfId="4" applyNumberFormat="1" applyFont="1"/>
    <xf numFmtId="0" fontId="3"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5" fontId="0" fillId="0" borderId="0" xfId="0" applyNumberFormat="1" applyAlignment="1">
      <alignment vertical="center" wrapText="1"/>
    </xf>
    <xf numFmtId="4" fontId="0" fillId="0" borderId="0" xfId="0" applyNumberFormat="1" applyAlignment="1">
      <alignment vertical="center" wrapText="1"/>
    </xf>
    <xf numFmtId="0" fontId="68" fillId="0" borderId="0" xfId="6" applyFont="1"/>
    <xf numFmtId="1" fontId="0" fillId="0" borderId="0" xfId="0" applyNumberFormat="1" applyAlignment="1">
      <alignment vertical="center" wrapText="1"/>
    </xf>
    <xf numFmtId="1" fontId="62" fillId="0" borderId="0" xfId="6" applyNumberFormat="1"/>
    <xf numFmtId="0" fontId="68" fillId="0" borderId="0" xfId="6" applyFont="1" applyAlignment="1">
      <alignment horizontal="center" vertical="center"/>
    </xf>
    <xf numFmtId="0" fontId="68" fillId="0" borderId="0" xfId="6" applyFont="1" applyAlignment="1">
      <alignment horizontal="center" vertical="center" wrapText="1"/>
    </xf>
    <xf numFmtId="10" fontId="62" fillId="0" borderId="0" xfId="6" applyNumberFormat="1"/>
    <xf numFmtId="10" fontId="62" fillId="0" borderId="0" xfId="1" applyNumberFormat="1" applyFont="1"/>
    <xf numFmtId="0" fontId="48" fillId="5" borderId="0" xfId="0" applyFont="1" applyFill="1" applyAlignment="1">
      <alignment horizontal="right"/>
    </xf>
    <xf numFmtId="164" fontId="0" fillId="0" borderId="0" xfId="0" applyNumberFormat="1" applyAlignment="1">
      <alignment horizontal="right"/>
    </xf>
    <xf numFmtId="173" fontId="18" fillId="0" borderId="0" xfId="0" applyNumberFormat="1" applyFont="1"/>
    <xf numFmtId="164" fontId="69" fillId="4" borderId="0" xfId="0" applyNumberFormat="1" applyFont="1" applyFill="1"/>
    <xf numFmtId="0" fontId="0" fillId="0" borderId="0" xfId="0" applyAlignment="1">
      <alignment horizontal="left" vertical="center" wrapText="1"/>
    </xf>
    <xf numFmtId="165" fontId="0" fillId="0" borderId="3" xfId="0" applyNumberFormat="1" applyBorder="1"/>
    <xf numFmtId="165" fontId="0" fillId="0" borderId="19" xfId="0" applyNumberFormat="1" applyBorder="1"/>
    <xf numFmtId="165" fontId="0" fillId="0" borderId="3" xfId="1" applyNumberFormat="1" applyFont="1" applyBorder="1"/>
    <xf numFmtId="165" fontId="0" fillId="0" borderId="0" xfId="1" applyNumberFormat="1" applyFont="1" applyBorder="1"/>
    <xf numFmtId="0" fontId="3" fillId="0" borderId="0" xfId="0" applyFont="1" applyAlignment="1">
      <alignment horizontal="right" wrapText="1"/>
    </xf>
    <xf numFmtId="187" fontId="2" fillId="2" borderId="0" xfId="0" applyNumberFormat="1" applyFont="1" applyFill="1"/>
    <xf numFmtId="188" fontId="2" fillId="2" borderId="0" xfId="0" applyNumberFormat="1" applyFont="1" applyFill="1" applyAlignment="1">
      <alignment horizontal="left"/>
    </xf>
    <xf numFmtId="0" fontId="0" fillId="5" borderId="18" xfId="0" applyFill="1" applyBorder="1"/>
    <xf numFmtId="0" fontId="0" fillId="5" borderId="4" xfId="0" applyFill="1" applyBorder="1"/>
    <xf numFmtId="0" fontId="0" fillId="5" borderId="5" xfId="0" applyFill="1" applyBorder="1"/>
    <xf numFmtId="3" fontId="0" fillId="0" borderId="4" xfId="0" applyNumberFormat="1" applyBorder="1"/>
    <xf numFmtId="3" fontId="0" fillId="0" borderId="23" xfId="0" applyNumberFormat="1" applyBorder="1"/>
    <xf numFmtId="3" fontId="0" fillId="0" borderId="22" xfId="0" applyNumberFormat="1" applyBorder="1"/>
    <xf numFmtId="187" fontId="3" fillId="0" borderId="0" xfId="0" applyNumberFormat="1" applyFont="1"/>
    <xf numFmtId="188" fontId="3" fillId="0" borderId="0" xfId="0" applyNumberFormat="1" applyFont="1"/>
    <xf numFmtId="165" fontId="0" fillId="0" borderId="4" xfId="1" applyNumberFormat="1" applyFont="1" applyBorder="1"/>
    <xf numFmtId="165" fontId="0" fillId="0" borderId="22" xfId="1" applyNumberFormat="1" applyFont="1" applyBorder="1"/>
    <xf numFmtId="165" fontId="0" fillId="0" borderId="23" xfId="1" applyNumberFormat="1" applyFont="1" applyBorder="1"/>
    <xf numFmtId="173" fontId="0" fillId="0" borderId="23" xfId="0" applyNumberFormat="1" applyBorder="1"/>
    <xf numFmtId="173" fontId="0" fillId="0" borderId="4" xfId="0" applyNumberFormat="1" applyBorder="1"/>
    <xf numFmtId="173" fontId="0" fillId="0" borderId="22" xfId="0" applyNumberFormat="1" applyBorder="1"/>
    <xf numFmtId="173" fontId="0" fillId="5" borderId="18" xfId="0" applyNumberFormat="1" applyFill="1" applyBorder="1"/>
    <xf numFmtId="173" fontId="0" fillId="5" borderId="5" xfId="0" applyNumberFormat="1" applyFill="1" applyBorder="1"/>
    <xf numFmtId="0" fontId="3" fillId="5" borderId="4" xfId="0" applyFont="1" applyFill="1" applyBorder="1"/>
    <xf numFmtId="173" fontId="3" fillId="5" borderId="4" xfId="0" applyNumberFormat="1" applyFont="1" applyFill="1" applyBorder="1"/>
    <xf numFmtId="0" fontId="0" fillId="5" borderId="0" xfId="0" applyFill="1" applyAlignment="1">
      <alignment horizontal="right"/>
    </xf>
    <xf numFmtId="3" fontId="3" fillId="0" borderId="8" xfId="0" applyNumberFormat="1" applyFont="1" applyBorder="1"/>
    <xf numFmtId="177" fontId="0" fillId="0" borderId="25" xfId="4" applyNumberFormat="1" applyFont="1" applyBorder="1"/>
    <xf numFmtId="177" fontId="0" fillId="0" borderId="23" xfId="4" applyNumberFormat="1" applyFont="1" applyBorder="1"/>
    <xf numFmtId="177" fontId="0" fillId="0" borderId="26" xfId="4" applyNumberFormat="1" applyFont="1" applyBorder="1"/>
    <xf numFmtId="177" fontId="0" fillId="0" borderId="4" xfId="4" applyNumberFormat="1" applyFont="1" applyBorder="1"/>
    <xf numFmtId="177" fontId="0" fillId="0" borderId="27" xfId="4" applyNumberFormat="1" applyFont="1" applyBorder="1"/>
    <xf numFmtId="177" fontId="0" fillId="0" borderId="5" xfId="4" applyNumberFormat="1" applyFont="1" applyBorder="1"/>
    <xf numFmtId="177" fontId="0" fillId="4" borderId="4" xfId="4" applyNumberFormat="1" applyFont="1" applyFill="1" applyBorder="1"/>
    <xf numFmtId="0" fontId="28" fillId="8" borderId="0" xfId="0" applyFont="1" applyFill="1"/>
    <xf numFmtId="0" fontId="70" fillId="4" borderId="21" xfId="0" applyFont="1" applyFill="1" applyBorder="1"/>
    <xf numFmtId="0" fontId="70" fillId="0" borderId="21" xfId="0" applyFont="1" applyBorder="1" applyAlignment="1">
      <alignment horizontal="left"/>
    </xf>
    <xf numFmtId="10" fontId="70" fillId="0" borderId="21" xfId="0" applyNumberFormat="1" applyFont="1" applyBorder="1" applyAlignment="1">
      <alignment horizontal="left"/>
    </xf>
    <xf numFmtId="10" fontId="70" fillId="0" borderId="21" xfId="1" applyNumberFormat="1" applyFont="1" applyBorder="1" applyAlignment="1">
      <alignment horizontal="left"/>
    </xf>
    <xf numFmtId="165" fontId="70" fillId="0" borderId="21" xfId="1" applyNumberFormat="1" applyFont="1" applyBorder="1" applyAlignment="1">
      <alignment horizontal="left"/>
    </xf>
    <xf numFmtId="9" fontId="70" fillId="0" borderId="21" xfId="1" applyFont="1" applyBorder="1" applyAlignment="1">
      <alignment horizontal="left"/>
    </xf>
    <xf numFmtId="176" fontId="70" fillId="0" borderId="21" xfId="0" applyNumberFormat="1" applyFont="1" applyBorder="1" applyAlignment="1">
      <alignment horizontal="left"/>
    </xf>
    <xf numFmtId="0" fontId="59" fillId="9" borderId="0" xfId="0" applyFont="1" applyFill="1" applyAlignment="1">
      <alignment horizontal="center" vertical="center"/>
    </xf>
    <xf numFmtId="0" fontId="59" fillId="9" borderId="0" xfId="0" applyFont="1" applyFill="1" applyAlignment="1">
      <alignment horizontal="center" vertical="center" wrapText="1"/>
    </xf>
    <xf numFmtId="0" fontId="28" fillId="9" borderId="0" xfId="0" applyFont="1" applyFill="1"/>
    <xf numFmtId="0" fontId="28" fillId="9" borderId="0" xfId="0" applyFont="1" applyFill="1" applyAlignment="1">
      <alignment horizontal="center"/>
    </xf>
    <xf numFmtId="0" fontId="71" fillId="0" borderId="0" xfId="0" applyFont="1"/>
    <xf numFmtId="0" fontId="53" fillId="8" borderId="0" xfId="0" applyFont="1" applyFill="1"/>
    <xf numFmtId="180" fontId="70" fillId="0" borderId="7" xfId="0" applyNumberFormat="1" applyFont="1" applyBorder="1" applyAlignment="1">
      <alignment horizontal="center" vertical="center"/>
    </xf>
    <xf numFmtId="167" fontId="53" fillId="8" borderId="0" xfId="0" applyNumberFormat="1" applyFont="1" applyFill="1"/>
    <xf numFmtId="0" fontId="2" fillId="8" borderId="0" xfId="0" applyFont="1" applyFill="1"/>
    <xf numFmtId="173" fontId="3" fillId="0" borderId="3" xfId="1" applyNumberFormat="1" applyFont="1" applyBorder="1"/>
    <xf numFmtId="164" fontId="18" fillId="0" borderId="0" xfId="0" applyNumberFormat="1" applyFont="1"/>
    <xf numFmtId="0" fontId="17" fillId="8" borderId="0" xfId="0" applyFont="1" applyFill="1"/>
    <xf numFmtId="167" fontId="2" fillId="8" borderId="0" xfId="0" applyNumberFormat="1" applyFont="1" applyFill="1"/>
    <xf numFmtId="9" fontId="70" fillId="4" borderId="0" xfId="0" applyNumberFormat="1" applyFont="1" applyFill="1"/>
    <xf numFmtId="186" fontId="70" fillId="4" borderId="0" xfId="0" applyNumberFormat="1" applyFont="1" applyFill="1"/>
    <xf numFmtId="0" fontId="2" fillId="8" borderId="0" xfId="0" applyFont="1" applyFill="1" applyAlignment="1">
      <alignment horizontal="center"/>
    </xf>
    <xf numFmtId="3" fontId="2" fillId="8" borderId="0" xfId="0" applyNumberFormat="1" applyFont="1" applyFill="1"/>
    <xf numFmtId="0" fontId="2" fillId="8" borderId="0" xfId="0" applyFont="1" applyFill="1" applyAlignment="1">
      <alignment horizontal="left"/>
    </xf>
    <xf numFmtId="187" fontId="2" fillId="8" borderId="0" xfId="0" applyNumberFormat="1" applyFont="1" applyFill="1" applyAlignment="1">
      <alignment horizontal="center"/>
    </xf>
    <xf numFmtId="188" fontId="2" fillId="8" borderId="0" xfId="0" applyNumberFormat="1" applyFont="1" applyFill="1" applyAlignment="1">
      <alignment horizontal="center"/>
    </xf>
    <xf numFmtId="187" fontId="2" fillId="8" borderId="0" xfId="0" applyNumberFormat="1" applyFont="1" applyFill="1" applyAlignment="1">
      <alignment horizontal="left"/>
    </xf>
    <xf numFmtId="188" fontId="2" fillId="8" borderId="0" xfId="0" applyNumberFormat="1" applyFont="1" applyFill="1" applyAlignment="1">
      <alignment horizontal="left"/>
    </xf>
    <xf numFmtId="0" fontId="43" fillId="8" borderId="0" xfId="0" applyFont="1" applyFill="1"/>
    <xf numFmtId="2" fontId="70" fillId="4" borderId="7" xfId="6" applyNumberFormat="1" applyFont="1" applyFill="1" applyBorder="1" applyAlignment="1">
      <alignment horizontal="right"/>
    </xf>
    <xf numFmtId="2" fontId="70" fillId="4" borderId="7" xfId="7" applyNumberFormat="1" applyFont="1" applyFill="1" applyBorder="1" applyAlignment="1">
      <alignment horizontal="right"/>
    </xf>
    <xf numFmtId="10" fontId="70" fillId="4" borderId="7" xfId="8" applyNumberFormat="1" applyFont="1" applyFill="1" applyBorder="1" applyAlignment="1">
      <alignment horizontal="right"/>
    </xf>
    <xf numFmtId="10" fontId="70" fillId="4" borderId="7" xfId="6" applyNumberFormat="1" applyFont="1" applyFill="1" applyBorder="1" applyAlignment="1">
      <alignment horizontal="right"/>
    </xf>
    <xf numFmtId="17" fontId="49" fillId="8" borderId="0" xfId="0" applyNumberFormat="1" applyFont="1" applyFill="1" applyAlignment="1">
      <alignment horizontal="right" vertical="center"/>
    </xf>
    <xf numFmtId="0" fontId="72" fillId="0" borderId="0" xfId="0" applyFont="1" applyAlignment="1">
      <alignment wrapText="1"/>
    </xf>
    <xf numFmtId="0" fontId="72" fillId="0" borderId="0" xfId="0" applyFont="1" applyAlignment="1">
      <alignment vertical="center" wrapText="1"/>
    </xf>
    <xf numFmtId="0" fontId="0" fillId="10" borderId="0" xfId="0" applyFill="1"/>
    <xf numFmtId="14" fontId="0" fillId="0" borderId="0" xfId="0" applyNumberFormat="1"/>
    <xf numFmtId="10" fontId="72" fillId="0" borderId="0" xfId="0" applyNumberFormat="1" applyFont="1" applyAlignment="1">
      <alignment wrapText="1"/>
    </xf>
    <xf numFmtId="187" fontId="0" fillId="0" borderId="0" xfId="0" applyNumberFormat="1"/>
    <xf numFmtId="189" fontId="0" fillId="0" borderId="0" xfId="0" applyNumberFormat="1"/>
    <xf numFmtId="0" fontId="73" fillId="0" borderId="0" xfId="0" applyFont="1" applyAlignment="1">
      <alignment vertical="top" wrapText="1"/>
    </xf>
    <xf numFmtId="190" fontId="0" fillId="0" borderId="0" xfId="0" applyNumberFormat="1"/>
    <xf numFmtId="0" fontId="75" fillId="0" borderId="1" xfId="0" applyFont="1" applyBorder="1"/>
    <xf numFmtId="0" fontId="0" fillId="0" borderId="7" xfId="0" applyBorder="1" applyAlignment="1">
      <alignment horizontal="left" vertical="top"/>
    </xf>
    <xf numFmtId="0" fontId="12" fillId="0" borderId="0" xfId="0" applyFont="1"/>
    <xf numFmtId="9" fontId="70" fillId="0" borderId="21" xfId="0" applyNumberFormat="1" applyFont="1" applyBorder="1" applyAlignment="1">
      <alignment horizontal="left"/>
    </xf>
    <xf numFmtId="9" fontId="70" fillId="4" borderId="0" xfId="1" applyFont="1" applyFill="1" applyBorder="1" applyAlignment="1">
      <alignment horizontal="left"/>
    </xf>
    <xf numFmtId="10" fontId="70" fillId="4" borderId="0" xfId="0" applyNumberFormat="1" applyFont="1" applyFill="1" applyAlignment="1">
      <alignment horizontal="left"/>
    </xf>
    <xf numFmtId="0" fontId="70" fillId="4" borderId="0" xfId="0" applyFont="1" applyFill="1" applyAlignment="1">
      <alignment horizontal="left"/>
    </xf>
    <xf numFmtId="176" fontId="70" fillId="4" borderId="0" xfId="0" applyNumberFormat="1" applyFont="1" applyFill="1" applyAlignment="1">
      <alignment horizontal="left"/>
    </xf>
    <xf numFmtId="10" fontId="70" fillId="4" borderId="0" xfId="1" applyNumberFormat="1" applyFont="1" applyFill="1" applyBorder="1" applyAlignment="1">
      <alignment horizontal="left"/>
    </xf>
    <xf numFmtId="9" fontId="70" fillId="4" borderId="0" xfId="0" applyNumberFormat="1" applyFont="1" applyFill="1" applyAlignment="1">
      <alignment horizontal="left"/>
    </xf>
    <xf numFmtId="0" fontId="70" fillId="4" borderId="0" xfId="0" applyFont="1" applyFill="1" applyAlignment="1">
      <alignment horizontal="left" vertical="top"/>
    </xf>
    <xf numFmtId="0" fontId="76" fillId="0" borderId="0" xfId="0" applyFont="1"/>
    <xf numFmtId="0" fontId="0" fillId="0" borderId="0" xfId="0" applyAlignment="1">
      <alignment vertical="center"/>
    </xf>
    <xf numFmtId="0" fontId="77" fillId="11" borderId="0" xfId="0" applyFont="1" applyFill="1"/>
    <xf numFmtId="0" fontId="78" fillId="0" borderId="0" xfId="0" applyFont="1"/>
    <xf numFmtId="0" fontId="40" fillId="0" borderId="0" xfId="0" applyFont="1"/>
    <xf numFmtId="0" fontId="0" fillId="0" borderId="0" xfId="0" applyAlignment="1">
      <alignment wrapText="1"/>
    </xf>
    <xf numFmtId="0" fontId="79" fillId="8" borderId="0" xfId="0" applyFont="1" applyFill="1" applyAlignment="1">
      <alignment horizontal="center"/>
    </xf>
    <xf numFmtId="0" fontId="80" fillId="0" borderId="0" xfId="0" applyFont="1"/>
    <xf numFmtId="0" fontId="0" fillId="0" borderId="0" xfId="0" applyAlignment="1">
      <alignment horizontal="right" vertical="top"/>
    </xf>
    <xf numFmtId="0" fontId="81" fillId="0" borderId="0" xfId="0" applyFont="1" applyAlignment="1">
      <alignment horizontal="center" vertical="center"/>
    </xf>
    <xf numFmtId="0" fontId="82" fillId="0" borderId="0" xfId="0" applyFont="1"/>
    <xf numFmtId="0" fontId="0" fillId="12" borderId="0" xfId="0" applyFill="1"/>
    <xf numFmtId="0" fontId="83" fillId="12" borderId="0" xfId="0" applyFont="1" applyFill="1" applyAlignment="1">
      <alignment vertical="center" wrapText="1"/>
    </xf>
    <xf numFmtId="0" fontId="84" fillId="12" borderId="0" xfId="0" applyFont="1" applyFill="1" applyAlignment="1">
      <alignment vertical="center" wrapText="1"/>
    </xf>
    <xf numFmtId="0" fontId="3" fillId="0" borderId="0" xfId="0" applyFont="1" applyAlignment="1">
      <alignment vertical="center" wrapText="1"/>
    </xf>
    <xf numFmtId="10" fontId="3" fillId="0" borderId="0" xfId="0" applyNumberFormat="1" applyFont="1" applyAlignment="1">
      <alignment vertical="center" wrapText="1"/>
    </xf>
    <xf numFmtId="3" fontId="83" fillId="12" borderId="0" xfId="0" applyNumberFormat="1" applyFont="1" applyFill="1" applyAlignment="1">
      <alignment vertical="center" wrapText="1"/>
    </xf>
    <xf numFmtId="0" fontId="84" fillId="12" borderId="0" xfId="0" applyFont="1" applyFill="1" applyAlignment="1">
      <alignment vertical="center"/>
    </xf>
    <xf numFmtId="0" fontId="85" fillId="0" borderId="0" xfId="0" applyFont="1"/>
    <xf numFmtId="0" fontId="86" fillId="0" borderId="0" xfId="0" applyFont="1"/>
    <xf numFmtId="0" fontId="87" fillId="0" borderId="0" xfId="0" applyFont="1"/>
    <xf numFmtId="0" fontId="88" fillId="0" borderId="0" xfId="0" applyFont="1"/>
    <xf numFmtId="0" fontId="0" fillId="0" borderId="0" xfId="1" applyNumberFormat="1" applyFont="1"/>
    <xf numFmtId="0" fontId="0" fillId="4" borderId="12" xfId="0" applyFill="1" applyBorder="1" applyAlignment="1">
      <alignment horizontal="left" vertical="top" wrapText="1"/>
    </xf>
    <xf numFmtId="0" fontId="0" fillId="4" borderId="3" xfId="0" applyFill="1" applyBorder="1" applyAlignment="1">
      <alignment horizontal="left" vertical="top" wrapText="1"/>
    </xf>
    <xf numFmtId="0" fontId="0" fillId="4" borderId="13" xfId="0" applyFill="1" applyBorder="1" applyAlignment="1">
      <alignment horizontal="left" vertical="top" wrapText="1"/>
    </xf>
    <xf numFmtId="0" fontId="0" fillId="4" borderId="14" xfId="0" applyFill="1" applyBorder="1" applyAlignment="1">
      <alignment horizontal="left" vertical="top" wrapText="1"/>
    </xf>
    <xf numFmtId="0" fontId="0" fillId="4" borderId="0" xfId="0" applyFill="1" applyAlignment="1">
      <alignment horizontal="left" vertical="top" wrapText="1"/>
    </xf>
    <xf numFmtId="0" fontId="0" fillId="4" borderId="15" xfId="0" applyFill="1" applyBorder="1" applyAlignment="1">
      <alignment horizontal="left" vertical="top" wrapText="1"/>
    </xf>
    <xf numFmtId="0" fontId="0" fillId="4" borderId="16" xfId="0" applyFill="1" applyBorder="1" applyAlignment="1">
      <alignment horizontal="left" vertical="top" wrapText="1"/>
    </xf>
    <xf numFmtId="0" fontId="0" fillId="4" borderId="1" xfId="0" applyFill="1" applyBorder="1" applyAlignment="1">
      <alignment horizontal="left" vertical="top" wrapText="1"/>
    </xf>
    <xf numFmtId="0" fontId="0" fillId="4" borderId="17" xfId="0" applyFill="1" applyBorder="1" applyAlignment="1">
      <alignment horizontal="left" vertical="top" wrapText="1"/>
    </xf>
    <xf numFmtId="0" fontId="0" fillId="0" borderId="12" xfId="0" applyBorder="1" applyAlignment="1">
      <alignment horizontal="left" vertical="top" wrapText="1"/>
    </xf>
    <xf numFmtId="0" fontId="0" fillId="0" borderId="3"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57" fillId="0" borderId="20" xfId="0" applyFont="1" applyBorder="1" applyAlignment="1">
      <alignment horizontal="center"/>
    </xf>
    <xf numFmtId="0" fontId="57" fillId="0" borderId="21" xfId="0" applyFont="1" applyBorder="1" applyAlignment="1">
      <alignment horizontal="center"/>
    </xf>
    <xf numFmtId="0" fontId="53" fillId="8" borderId="0" xfId="0" applyFont="1" applyFill="1" applyAlignment="1">
      <alignment horizontal="center"/>
    </xf>
    <xf numFmtId="165" fontId="3" fillId="5" borderId="0" xfId="1" applyNumberFormat="1" applyFont="1" applyFill="1" applyBorder="1" applyAlignment="1">
      <alignment horizontal="center"/>
    </xf>
    <xf numFmtId="0" fontId="15" fillId="3" borderId="0" xfId="0" applyFont="1" applyFill="1" applyAlignment="1">
      <alignment horizontal="center"/>
    </xf>
    <xf numFmtId="0" fontId="70" fillId="0" borderId="0" xfId="0" applyFont="1" applyAlignment="1">
      <alignment horizontal="center"/>
    </xf>
    <xf numFmtId="0" fontId="70" fillId="0" borderId="0" xfId="0" applyFont="1" applyAlignment="1">
      <alignment horizontal="right" vertical="center" textRotation="90" wrapText="1"/>
    </xf>
    <xf numFmtId="0" fontId="3" fillId="3" borderId="0" xfId="0" applyFont="1" applyFill="1" applyAlignment="1">
      <alignment horizontal="center" vertical="center"/>
    </xf>
    <xf numFmtId="0" fontId="2" fillId="8" borderId="0" xfId="0" applyFont="1" applyFill="1" applyAlignment="1">
      <alignment horizontal="center"/>
    </xf>
    <xf numFmtId="0" fontId="0" fillId="0" borderId="3" xfId="0" applyBorder="1" applyAlignment="1">
      <alignment horizontal="left" vertical="center" wrapText="1"/>
    </xf>
    <xf numFmtId="0" fontId="0" fillId="0" borderId="0" xfId="0" applyAlignment="1">
      <alignment horizontal="left" vertical="center" wrapText="1"/>
    </xf>
    <xf numFmtId="0" fontId="31" fillId="0" borderId="0" xfId="0" applyFont="1" applyAlignment="1">
      <alignment horizontal="left" vertical="top" wrapText="1"/>
    </xf>
    <xf numFmtId="0" fontId="40" fillId="0" borderId="0" xfId="0" applyFont="1" applyAlignment="1">
      <alignment horizontal="center" vertical="center" wrapText="1"/>
    </xf>
    <xf numFmtId="0" fontId="46" fillId="8" borderId="0" xfId="0" applyFont="1" applyFill="1" applyAlignment="1">
      <alignment horizontal="center"/>
    </xf>
    <xf numFmtId="0" fontId="0" fillId="0" borderId="0" xfId="0" applyAlignment="1">
      <alignment horizontal="center" vertical="center" wrapText="1"/>
    </xf>
    <xf numFmtId="0" fontId="73" fillId="0" borderId="0" xfId="0" applyFont="1" applyAlignment="1">
      <alignment horizontal="left" vertical="top" wrapText="1"/>
    </xf>
    <xf numFmtId="0" fontId="72" fillId="0" borderId="0" xfId="0" applyFont="1" applyAlignment="1">
      <alignment horizontal="left" vertical="top" wrapText="1"/>
    </xf>
    <xf numFmtId="0" fontId="80" fillId="0" borderId="0" xfId="0" applyFont="1" applyAlignment="1">
      <alignment horizontal="center" vertical="center" wrapText="1"/>
    </xf>
    <xf numFmtId="0" fontId="82" fillId="0" borderId="0" xfId="0" applyFont="1" applyAlignment="1">
      <alignment horizontal="center" vertical="center" wrapText="1"/>
    </xf>
    <xf numFmtId="0" fontId="79" fillId="8" borderId="0" xfId="0" applyFont="1" applyFill="1" applyAlignment="1">
      <alignment horizontal="center"/>
    </xf>
    <xf numFmtId="0" fontId="87" fillId="0" borderId="0" xfId="0" applyFont="1" applyAlignment="1">
      <alignment horizontal="center" vertical="center" wrapText="1"/>
    </xf>
    <xf numFmtId="0" fontId="0" fillId="0" borderId="0" xfId="0" applyAlignment="1">
      <alignment horizontal="center" wrapText="1"/>
    </xf>
  </cellXfs>
  <cellStyles count="10">
    <cellStyle name="Comma" xfId="4" builtinId="3"/>
    <cellStyle name="Comma 2" xfId="9" xr:uid="{7E59E0BF-8B66-4293-842D-C25DCA8237D3}"/>
    <cellStyle name="Currency 3" xfId="7" xr:uid="{68A76B57-C1CA-43A0-AE49-CE88C1F60E75}"/>
    <cellStyle name="Hyperlink" xfId="5" builtinId="8"/>
    <cellStyle name="Normal" xfId="0" builtinId="0"/>
    <cellStyle name="Normal 2" xfId="3" xr:uid="{25E6DFAE-C4D1-45A3-9C04-C891FD2CBE50}"/>
    <cellStyle name="Normal 3" xfId="2" xr:uid="{4A602115-C3AA-4755-BDEB-67922035B0F4}"/>
    <cellStyle name="Normal 6" xfId="6" xr:uid="{A6C6FC96-FD5C-4C61-B799-30E080F4342E}"/>
    <cellStyle name="Percent" xfId="1" builtinId="5"/>
    <cellStyle name="Percent 5" xfId="8" xr:uid="{82456DF7-070D-4F3C-8A6F-42FAC817E853}"/>
  </cellStyles>
  <dxfs count="0"/>
  <tableStyles count="0" defaultTableStyle="TableStyleMedium2" defaultPivotStyle="PivotStyleLight16"/>
  <colors>
    <mruColors>
      <color rgb="FFEE2941"/>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Working'!$B$359</c:f>
              <c:strCache>
                <c:ptCount val="1"/>
                <c:pt idx="0">
                  <c:v>Revenue Growth YoY%</c:v>
                </c:pt>
              </c:strCache>
            </c:strRef>
          </c:tx>
          <c:spPr>
            <a:ln w="28575" cap="rnd">
              <a:solidFill>
                <a:schemeClr val="accent1"/>
              </a:solidFill>
              <a:round/>
            </a:ln>
            <a:effectLst/>
          </c:spPr>
          <c:marker>
            <c:symbol val="none"/>
          </c:marker>
          <c:cat>
            <c:numRef>
              <c:f>'Assumptions Working'!$C$357:$J$357</c:f>
              <c:numCache>
                <c:formatCode>General</c:formatCode>
                <c:ptCount val="8"/>
                <c:pt idx="1">
                  <c:v>2019</c:v>
                </c:pt>
                <c:pt idx="2">
                  <c:v>2020</c:v>
                </c:pt>
                <c:pt idx="3">
                  <c:v>2021</c:v>
                </c:pt>
                <c:pt idx="4">
                  <c:v>2022</c:v>
                </c:pt>
                <c:pt idx="5">
                  <c:v>2023</c:v>
                </c:pt>
                <c:pt idx="6">
                  <c:v>2024</c:v>
                </c:pt>
                <c:pt idx="7">
                  <c:v>2025</c:v>
                </c:pt>
              </c:numCache>
            </c:numRef>
          </c:cat>
          <c:val>
            <c:numRef>
              <c:f>'Assumptions Working'!$C$359:$J$359</c:f>
              <c:numCache>
                <c:formatCode>0.0%</c:formatCode>
                <c:ptCount val="8"/>
                <c:pt idx="1">
                  <c:v>6.2673142963751927E-2</c:v>
                </c:pt>
                <c:pt idx="2">
                  <c:v>-6.5680928768426572E-2</c:v>
                </c:pt>
                <c:pt idx="3">
                  <c:v>-4.732902318000165E-2</c:v>
                </c:pt>
                <c:pt idx="4">
                  <c:v>0.18089640897441028</c:v>
                </c:pt>
                <c:pt idx="5">
                  <c:v>0.40244886544058311</c:v>
                </c:pt>
                <c:pt idx="6">
                  <c:v>0.14496426439775711</c:v>
                </c:pt>
                <c:pt idx="7">
                  <c:v>0.14118293784750402</c:v>
                </c:pt>
              </c:numCache>
            </c:numRef>
          </c:val>
          <c:smooth val="0"/>
          <c:extLst>
            <c:ext xmlns:c16="http://schemas.microsoft.com/office/drawing/2014/chart" uri="{C3380CC4-5D6E-409C-BE32-E72D297353CC}">
              <c16:uniqueId val="{00000000-CF6D-4F8E-9D1C-87DE8AC23AF0}"/>
            </c:ext>
          </c:extLst>
        </c:ser>
        <c:ser>
          <c:idx val="1"/>
          <c:order val="1"/>
          <c:tx>
            <c:strRef>
              <c:f>'Assumptions Working'!$B$362</c:f>
              <c:strCache>
                <c:ptCount val="1"/>
                <c:pt idx="0">
                  <c:v>Inventory Growth YoY%</c:v>
                </c:pt>
              </c:strCache>
            </c:strRef>
          </c:tx>
          <c:spPr>
            <a:ln w="28575" cap="rnd">
              <a:solidFill>
                <a:schemeClr val="accent2"/>
              </a:solidFill>
              <a:round/>
            </a:ln>
            <a:effectLst/>
          </c:spPr>
          <c:marker>
            <c:symbol val="none"/>
          </c:marker>
          <c:cat>
            <c:numRef>
              <c:f>'Assumptions Working'!$C$357:$J$357</c:f>
              <c:numCache>
                <c:formatCode>General</c:formatCode>
                <c:ptCount val="8"/>
                <c:pt idx="1">
                  <c:v>2019</c:v>
                </c:pt>
                <c:pt idx="2">
                  <c:v>2020</c:v>
                </c:pt>
                <c:pt idx="3">
                  <c:v>2021</c:v>
                </c:pt>
                <c:pt idx="4">
                  <c:v>2022</c:v>
                </c:pt>
                <c:pt idx="5">
                  <c:v>2023</c:v>
                </c:pt>
                <c:pt idx="6">
                  <c:v>2024</c:v>
                </c:pt>
                <c:pt idx="7">
                  <c:v>2025</c:v>
                </c:pt>
              </c:numCache>
            </c:numRef>
          </c:cat>
          <c:val>
            <c:numRef>
              <c:f>'Assumptions Working'!$C$362:$J$362</c:f>
              <c:numCache>
                <c:formatCode>General</c:formatCode>
                <c:ptCount val="8"/>
                <c:pt idx="2" formatCode="0.0%">
                  <c:v>-9.6356057974675502E-2</c:v>
                </c:pt>
                <c:pt idx="3" formatCode="0.0%">
                  <c:v>0.52808596138726305</c:v>
                </c:pt>
                <c:pt idx="4" formatCode="0.0%">
                  <c:v>0.29476332037502861</c:v>
                </c:pt>
                <c:pt idx="5" formatCode="0.0%">
                  <c:v>0.12896503002472626</c:v>
                </c:pt>
                <c:pt idx="6" formatCode="0.0%">
                  <c:v>0.10262507430931445</c:v>
                </c:pt>
                <c:pt idx="7" formatCode="0.0%">
                  <c:v>0.10932578530688675</c:v>
                </c:pt>
              </c:numCache>
            </c:numRef>
          </c:val>
          <c:smooth val="0"/>
          <c:extLst>
            <c:ext xmlns:c16="http://schemas.microsoft.com/office/drawing/2014/chart" uri="{C3380CC4-5D6E-409C-BE32-E72D297353CC}">
              <c16:uniqueId val="{00000001-CF6D-4F8E-9D1C-87DE8AC23AF0}"/>
            </c:ext>
          </c:extLst>
        </c:ser>
        <c:dLbls>
          <c:showLegendKey val="0"/>
          <c:showVal val="0"/>
          <c:showCatName val="0"/>
          <c:showSerName val="0"/>
          <c:showPercent val="0"/>
          <c:showBubbleSize val="0"/>
        </c:dLbls>
        <c:smooth val="0"/>
        <c:axId val="845176096"/>
        <c:axId val="845181376"/>
      </c:lineChart>
      <c:catAx>
        <c:axId val="8451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81376"/>
        <c:crosses val="autoZero"/>
        <c:auto val="1"/>
        <c:lblAlgn val="ctr"/>
        <c:lblOffset val="100"/>
        <c:noMultiLvlLbl val="0"/>
      </c:catAx>
      <c:valAx>
        <c:axId val="8451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76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Working'!$B$444</c:f>
              <c:strCache>
                <c:ptCount val="1"/>
                <c:pt idx="0">
                  <c:v>Revenue Growth YoY %</c:v>
                </c:pt>
              </c:strCache>
            </c:strRef>
          </c:tx>
          <c:spPr>
            <a:ln w="28575" cap="rnd">
              <a:solidFill>
                <a:schemeClr val="accent1"/>
              </a:solidFill>
              <a:round/>
            </a:ln>
            <a:effectLst/>
          </c:spPr>
          <c:marker>
            <c:symbol val="none"/>
          </c:marker>
          <c:cat>
            <c:numRef>
              <c:f>'Assumptions Working'!$C$442:$J$442</c:f>
              <c:numCache>
                <c:formatCode>General</c:formatCode>
                <c:ptCount val="8"/>
                <c:pt idx="1">
                  <c:v>2019</c:v>
                </c:pt>
                <c:pt idx="2">
                  <c:v>2020</c:v>
                </c:pt>
                <c:pt idx="3">
                  <c:v>2021</c:v>
                </c:pt>
                <c:pt idx="4">
                  <c:v>2022</c:v>
                </c:pt>
                <c:pt idx="5">
                  <c:v>2023</c:v>
                </c:pt>
                <c:pt idx="6">
                  <c:v>2024</c:v>
                </c:pt>
                <c:pt idx="7">
                  <c:v>2025</c:v>
                </c:pt>
              </c:numCache>
            </c:numRef>
          </c:cat>
          <c:val>
            <c:numRef>
              <c:f>'Assumptions Working'!$C$444:$J$444</c:f>
              <c:numCache>
                <c:formatCode>0.0%</c:formatCode>
                <c:ptCount val="8"/>
                <c:pt idx="1">
                  <c:v>6.2673142963751927E-2</c:v>
                </c:pt>
                <c:pt idx="2">
                  <c:v>-6.5680928768426572E-2</c:v>
                </c:pt>
                <c:pt idx="3">
                  <c:v>-4.732902318000165E-2</c:v>
                </c:pt>
                <c:pt idx="4">
                  <c:v>0.18089640897441028</c:v>
                </c:pt>
                <c:pt idx="5">
                  <c:v>0.40244886544058311</c:v>
                </c:pt>
                <c:pt idx="6">
                  <c:v>0.14496426439775711</c:v>
                </c:pt>
                <c:pt idx="7">
                  <c:v>0.14118293784750402</c:v>
                </c:pt>
              </c:numCache>
            </c:numRef>
          </c:val>
          <c:smooth val="0"/>
          <c:extLst>
            <c:ext xmlns:c16="http://schemas.microsoft.com/office/drawing/2014/chart" uri="{C3380CC4-5D6E-409C-BE32-E72D297353CC}">
              <c16:uniqueId val="{00000000-94E9-4E03-B284-B2D7059D107D}"/>
            </c:ext>
          </c:extLst>
        </c:ser>
        <c:ser>
          <c:idx val="1"/>
          <c:order val="1"/>
          <c:tx>
            <c:strRef>
              <c:f>'Assumptions Working'!$B$447</c:f>
              <c:strCache>
                <c:ptCount val="1"/>
                <c:pt idx="0">
                  <c:v>Trade Receivable Growth YoY %</c:v>
                </c:pt>
              </c:strCache>
            </c:strRef>
          </c:tx>
          <c:spPr>
            <a:ln w="28575" cap="rnd">
              <a:solidFill>
                <a:schemeClr val="accent2"/>
              </a:solidFill>
              <a:round/>
            </a:ln>
            <a:effectLst/>
          </c:spPr>
          <c:marker>
            <c:symbol val="none"/>
          </c:marker>
          <c:cat>
            <c:numRef>
              <c:f>'Assumptions Working'!$C$442:$J$442</c:f>
              <c:numCache>
                <c:formatCode>General</c:formatCode>
                <c:ptCount val="8"/>
                <c:pt idx="1">
                  <c:v>2019</c:v>
                </c:pt>
                <c:pt idx="2">
                  <c:v>2020</c:v>
                </c:pt>
                <c:pt idx="3">
                  <c:v>2021</c:v>
                </c:pt>
                <c:pt idx="4">
                  <c:v>2022</c:v>
                </c:pt>
                <c:pt idx="5">
                  <c:v>2023</c:v>
                </c:pt>
                <c:pt idx="6">
                  <c:v>2024</c:v>
                </c:pt>
                <c:pt idx="7">
                  <c:v>2025</c:v>
                </c:pt>
              </c:numCache>
            </c:numRef>
          </c:cat>
          <c:val>
            <c:numRef>
              <c:f>'Assumptions Working'!$C$447:$J$447</c:f>
              <c:numCache>
                <c:formatCode>General</c:formatCode>
                <c:ptCount val="8"/>
                <c:pt idx="2" formatCode="0.0%">
                  <c:v>2.9303594732471128E-2</c:v>
                </c:pt>
                <c:pt idx="3" formatCode="0.0%">
                  <c:v>0.82295988934993081</c:v>
                </c:pt>
                <c:pt idx="4" formatCode="0.0%">
                  <c:v>0.90971168437025818</c:v>
                </c:pt>
                <c:pt idx="5" formatCode="0.0%">
                  <c:v>0.22142762548006889</c:v>
                </c:pt>
                <c:pt idx="6" formatCode="0.0%">
                  <c:v>1.3173587769706119E-2</c:v>
                </c:pt>
                <c:pt idx="7" formatCode="0.0%">
                  <c:v>0.47049066295681952</c:v>
                </c:pt>
              </c:numCache>
            </c:numRef>
          </c:val>
          <c:smooth val="0"/>
          <c:extLst>
            <c:ext xmlns:c16="http://schemas.microsoft.com/office/drawing/2014/chart" uri="{C3380CC4-5D6E-409C-BE32-E72D297353CC}">
              <c16:uniqueId val="{00000001-94E9-4E03-B284-B2D7059D107D}"/>
            </c:ext>
          </c:extLst>
        </c:ser>
        <c:dLbls>
          <c:showLegendKey val="0"/>
          <c:showVal val="0"/>
          <c:showCatName val="0"/>
          <c:showSerName val="0"/>
          <c:showPercent val="0"/>
          <c:showBubbleSize val="0"/>
        </c:dLbls>
        <c:smooth val="0"/>
        <c:axId val="1388009776"/>
        <c:axId val="1388002096"/>
      </c:lineChart>
      <c:catAx>
        <c:axId val="138800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02096"/>
        <c:crosses val="autoZero"/>
        <c:auto val="1"/>
        <c:lblAlgn val="ctr"/>
        <c:lblOffset val="100"/>
        <c:noMultiLvlLbl val="0"/>
      </c:catAx>
      <c:valAx>
        <c:axId val="138800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0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'Assumptions Working'!$B$738</c:f>
              <c:strCache>
                <c:ptCount val="1"/>
                <c:pt idx="0">
                  <c:v>Trade Payables % Revenue</c:v>
                </c:pt>
              </c:strCache>
            </c:strRef>
          </c:tx>
          <c:spPr>
            <a:solidFill>
              <a:schemeClr val="accent1"/>
            </a:solidFill>
            <a:ln>
              <a:noFill/>
            </a:ln>
            <a:effectLst/>
          </c:spPr>
          <c:invertIfNegative val="0"/>
          <c:cat>
            <c:numRef>
              <c:f>'Assumptions Working'!$C$725:$J$725</c:f>
              <c:numCache>
                <c:formatCode>General</c:formatCode>
                <c:ptCount val="8"/>
                <c:pt idx="1">
                  <c:v>2019</c:v>
                </c:pt>
                <c:pt idx="2">
                  <c:v>2020</c:v>
                </c:pt>
                <c:pt idx="3">
                  <c:v>2021</c:v>
                </c:pt>
                <c:pt idx="4">
                  <c:v>2022</c:v>
                </c:pt>
                <c:pt idx="5">
                  <c:v>2023</c:v>
                </c:pt>
                <c:pt idx="6">
                  <c:v>2024</c:v>
                </c:pt>
                <c:pt idx="7">
                  <c:v>2025</c:v>
                </c:pt>
              </c:numCache>
            </c:numRef>
          </c:cat>
          <c:val>
            <c:numRef>
              <c:f>'Assumptions Working'!$C$738:$J$738</c:f>
              <c:numCache>
                <c:formatCode>0.0%</c:formatCode>
                <c:ptCount val="8"/>
                <c:pt idx="1">
                  <c:v>0.1259612577650846</c:v>
                </c:pt>
                <c:pt idx="2">
                  <c:v>0.11010118445460683</c:v>
                </c:pt>
                <c:pt idx="3">
                  <c:v>0.17352858543521762</c:v>
                </c:pt>
                <c:pt idx="4">
                  <c:v>0.17363755276597106</c:v>
                </c:pt>
                <c:pt idx="5">
                  <c:v>0.12535780609298597</c:v>
                </c:pt>
                <c:pt idx="6">
                  <c:v>0.12640044799821962</c:v>
                </c:pt>
                <c:pt idx="7">
                  <c:v>0.13405951664913476</c:v>
                </c:pt>
              </c:numCache>
            </c:numRef>
          </c:val>
          <c:extLst>
            <c:ext xmlns:c16="http://schemas.microsoft.com/office/drawing/2014/chart" uri="{C3380CC4-5D6E-409C-BE32-E72D297353CC}">
              <c16:uniqueId val="{00000000-775C-44A9-8E0A-4D261EC9EFF7}"/>
            </c:ext>
          </c:extLst>
        </c:ser>
        <c:ser>
          <c:idx val="1"/>
          <c:order val="1"/>
          <c:tx>
            <c:strRef>
              <c:f>'Assumptions Working'!$B$739</c:f>
              <c:strCache>
                <c:ptCount val="1"/>
                <c:pt idx="0">
                  <c:v>Trade Receivable % Revenue</c:v>
                </c:pt>
              </c:strCache>
            </c:strRef>
          </c:tx>
          <c:spPr>
            <a:solidFill>
              <a:schemeClr val="accent2"/>
            </a:solidFill>
            <a:ln>
              <a:noFill/>
            </a:ln>
            <a:effectLst/>
          </c:spPr>
          <c:invertIfNegative val="0"/>
          <c:cat>
            <c:numRef>
              <c:f>'Assumptions Working'!$C$725:$J$725</c:f>
              <c:numCache>
                <c:formatCode>General</c:formatCode>
                <c:ptCount val="8"/>
                <c:pt idx="1">
                  <c:v>2019</c:v>
                </c:pt>
                <c:pt idx="2">
                  <c:v>2020</c:v>
                </c:pt>
                <c:pt idx="3">
                  <c:v>2021</c:v>
                </c:pt>
                <c:pt idx="4">
                  <c:v>2022</c:v>
                </c:pt>
                <c:pt idx="5">
                  <c:v>2023</c:v>
                </c:pt>
                <c:pt idx="6">
                  <c:v>2024</c:v>
                </c:pt>
                <c:pt idx="7">
                  <c:v>2025</c:v>
                </c:pt>
              </c:numCache>
            </c:numRef>
          </c:cat>
          <c:val>
            <c:numRef>
              <c:f>'Assumptions Working'!$C$739:$J$739</c:f>
              <c:numCache>
                <c:formatCode>0.0%</c:formatCode>
                <c:ptCount val="8"/>
                <c:pt idx="1">
                  <c:v>8.6036014886098477E-3</c:v>
                </c:pt>
                <c:pt idx="2">
                  <c:v>9.4782587796250223E-3</c:v>
                </c:pt>
                <c:pt idx="3">
                  <c:v>1.813688670752894E-2</c:v>
                </c:pt>
                <c:pt idx="4">
                  <c:v>2.9330451172722798E-2</c:v>
                </c:pt>
                <c:pt idx="5">
                  <c:v>2.55446199950423E-2</c:v>
                </c:pt>
                <c:pt idx="6">
                  <c:v>2.2604316216108342E-2</c:v>
                </c:pt>
                <c:pt idx="7">
                  <c:v>2.9127175701563566E-2</c:v>
                </c:pt>
              </c:numCache>
            </c:numRef>
          </c:val>
          <c:extLst>
            <c:ext xmlns:c16="http://schemas.microsoft.com/office/drawing/2014/chart" uri="{C3380CC4-5D6E-409C-BE32-E72D297353CC}">
              <c16:uniqueId val="{00000001-775C-44A9-8E0A-4D261EC9EFF7}"/>
            </c:ext>
          </c:extLst>
        </c:ser>
        <c:dLbls>
          <c:showLegendKey val="0"/>
          <c:showVal val="0"/>
          <c:showCatName val="0"/>
          <c:showSerName val="0"/>
          <c:showPercent val="0"/>
          <c:showBubbleSize val="0"/>
        </c:dLbls>
        <c:gapWidth val="219"/>
        <c:overlap val="-27"/>
        <c:axId val="2006292256"/>
        <c:axId val="2006290816"/>
      </c:barChart>
      <c:catAx>
        <c:axId val="20062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290816"/>
        <c:crosses val="autoZero"/>
        <c:auto val="1"/>
        <c:lblAlgn val="ctr"/>
        <c:lblOffset val="100"/>
        <c:noMultiLvlLbl val="0"/>
      </c:catAx>
      <c:valAx>
        <c:axId val="200629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29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'Assumptions Working'!$B$882</c:f>
              <c:strCache>
                <c:ptCount val="1"/>
                <c:pt idx="0">
                  <c:v>Operating Cash</c:v>
                </c:pt>
              </c:strCache>
            </c:strRef>
          </c:tx>
          <c:spPr>
            <a:solidFill>
              <a:schemeClr val="accent1"/>
            </a:solidFill>
            <a:ln>
              <a:noFill/>
            </a:ln>
            <a:effectLst/>
          </c:spPr>
          <c:invertIfNegative val="0"/>
          <c:cat>
            <c:numRef>
              <c:f>'Assumptions Working'!$C$869:$O$869</c:f>
              <c:numCache>
                <c:formatCode>General</c:formatCode>
                <c:ptCount val="13"/>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'Assumptions Working'!$C$882:$O$882</c:f>
              <c:numCache>
                <c:formatCode>0</c:formatCode>
                <c:ptCount val="13"/>
                <c:pt idx="1">
                  <c:v>726.98</c:v>
                </c:pt>
                <c:pt idx="2">
                  <c:v>43.210000000000008</c:v>
                </c:pt>
                <c:pt idx="3">
                  <c:v>94.12</c:v>
                </c:pt>
                <c:pt idx="4">
                  <c:v>50.53</c:v>
                </c:pt>
                <c:pt idx="5">
                  <c:v>88.81</c:v>
                </c:pt>
                <c:pt idx="6">
                  <c:v>107.21</c:v>
                </c:pt>
                <c:pt idx="7">
                  <c:v>218.96</c:v>
                </c:pt>
                <c:pt idx="8">
                  <c:v>434.01804999999996</c:v>
                </c:pt>
                <c:pt idx="9">
                  <c:v>495.86562212499996</c:v>
                </c:pt>
                <c:pt idx="10">
                  <c:v>562.80748111187495</c:v>
                </c:pt>
                <c:pt idx="11">
                  <c:v>634.56543495363894</c:v>
                </c:pt>
                <c:pt idx="12">
                  <c:v>710.71328714807578</c:v>
                </c:pt>
              </c:numCache>
            </c:numRef>
          </c:val>
          <c:extLst>
            <c:ext xmlns:c16="http://schemas.microsoft.com/office/drawing/2014/chart" uri="{C3380CC4-5D6E-409C-BE32-E72D297353CC}">
              <c16:uniqueId val="{00000000-47F1-4912-9C4E-0B1ADDD4337C}"/>
            </c:ext>
          </c:extLst>
        </c:ser>
        <c:ser>
          <c:idx val="1"/>
          <c:order val="1"/>
          <c:tx>
            <c:strRef>
              <c:f>'Assumptions Working'!$B$884</c:f>
              <c:strCache>
                <c:ptCount val="1"/>
                <c:pt idx="0">
                  <c:v>Excess Cash</c:v>
                </c:pt>
              </c:strCache>
            </c:strRef>
          </c:tx>
          <c:spPr>
            <a:solidFill>
              <a:schemeClr val="accent2"/>
            </a:solidFill>
            <a:ln>
              <a:noFill/>
            </a:ln>
            <a:effectLst/>
          </c:spPr>
          <c:invertIfNegative val="0"/>
          <c:cat>
            <c:numRef>
              <c:f>'Assumptions Working'!$C$869:$O$869</c:f>
              <c:numCache>
                <c:formatCode>General</c:formatCode>
                <c:ptCount val="13"/>
                <c:pt idx="1">
                  <c:v>2019</c:v>
                </c:pt>
                <c:pt idx="2">
                  <c:v>2020</c:v>
                </c:pt>
                <c:pt idx="3">
                  <c:v>2021</c:v>
                </c:pt>
                <c:pt idx="4">
                  <c:v>2022</c:v>
                </c:pt>
                <c:pt idx="5">
                  <c:v>2023</c:v>
                </c:pt>
                <c:pt idx="6">
                  <c:v>2024</c:v>
                </c:pt>
                <c:pt idx="7">
                  <c:v>2025</c:v>
                </c:pt>
                <c:pt idx="8">
                  <c:v>2026</c:v>
                </c:pt>
                <c:pt idx="9">
                  <c:v>2027</c:v>
                </c:pt>
                <c:pt idx="10">
                  <c:v>2028</c:v>
                </c:pt>
                <c:pt idx="11">
                  <c:v>2029</c:v>
                </c:pt>
                <c:pt idx="12">
                  <c:v>2030</c:v>
                </c:pt>
              </c:numCache>
            </c:numRef>
          </c:cat>
          <c:val>
            <c:numRef>
              <c:f>'Assumptions Working'!$C$884:$O$884</c:f>
              <c:numCache>
                <c:formatCode>_(* #,##0.00_);_(* \(#,##0.00\);_(* "-"??_);_(@_)</c:formatCode>
                <c:ptCount val="13"/>
                <c:pt idx="1">
                  <c:v>0</c:v>
                </c:pt>
                <c:pt idx="2">
                  <c:v>0</c:v>
                </c:pt>
                <c:pt idx="3">
                  <c:v>0</c:v>
                </c:pt>
                <c:pt idx="4">
                  <c:v>0</c:v>
                </c:pt>
                <c:pt idx="5">
                  <c:v>0</c:v>
                </c:pt>
                <c:pt idx="6">
                  <c:v>0</c:v>
                </c:pt>
                <c:pt idx="7">
                  <c:v>0</c:v>
                </c:pt>
                <c:pt idx="8" formatCode="0">
                  <c:v>989.50307902334566</c:v>
                </c:pt>
                <c:pt idx="9" formatCode="0">
                  <c:v>1985.3684394819934</c:v>
                </c:pt>
                <c:pt idx="10" formatCode="0">
                  <c:v>3092.1383080350879</c:v>
                </c:pt>
                <c:pt idx="11" formatCode="0">
                  <c:v>3615.7583331722344</c:v>
                </c:pt>
                <c:pt idx="12" formatCode="0">
                  <c:v>3950.6208580302068</c:v>
                </c:pt>
              </c:numCache>
            </c:numRef>
          </c:val>
          <c:extLst>
            <c:ext xmlns:c16="http://schemas.microsoft.com/office/drawing/2014/chart" uri="{C3380CC4-5D6E-409C-BE32-E72D297353CC}">
              <c16:uniqueId val="{00000001-47F1-4912-9C4E-0B1ADDD4337C}"/>
            </c:ext>
          </c:extLst>
        </c:ser>
        <c:dLbls>
          <c:showLegendKey val="0"/>
          <c:showVal val="0"/>
          <c:showCatName val="0"/>
          <c:showSerName val="0"/>
          <c:showPercent val="0"/>
          <c:showBubbleSize val="0"/>
        </c:dLbls>
        <c:gapWidth val="150"/>
        <c:overlap val="100"/>
        <c:axId val="1534445055"/>
        <c:axId val="1534458015"/>
      </c:barChart>
      <c:catAx>
        <c:axId val="15344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458015"/>
        <c:crosses val="autoZero"/>
        <c:auto val="1"/>
        <c:lblAlgn val="ctr"/>
        <c:lblOffset val="100"/>
        <c:noMultiLvlLbl val="0"/>
      </c:catAx>
      <c:valAx>
        <c:axId val="153445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445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E2941"/>
                </a:solidFill>
                <a:latin typeface="+mn-lt"/>
                <a:ea typeface="+mn-ea"/>
                <a:cs typeface="+mn-cs"/>
              </a:defRPr>
            </a:pPr>
            <a:r>
              <a:rPr lang="en-IN" b="1">
                <a:solidFill>
                  <a:srgbClr val="C00000"/>
                </a:solidFill>
              </a:rPr>
              <a:t>Product Wise Revenue</a:t>
            </a:r>
            <a:r>
              <a:rPr lang="en-IN" b="1" baseline="0">
                <a:solidFill>
                  <a:srgbClr val="C00000"/>
                </a:solidFill>
              </a:rPr>
              <a:t> Breakup</a:t>
            </a:r>
            <a:endParaRPr lang="en-IN" b="1">
              <a:solidFill>
                <a:srgbClr val="C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E2941"/>
              </a:solidFill>
              <a:latin typeface="+mn-lt"/>
              <a:ea typeface="+mn-ea"/>
              <a:cs typeface="+mn-cs"/>
            </a:defRPr>
          </a:pPr>
          <a:endParaRPr lang="en-IN"/>
        </a:p>
      </c:txPr>
    </c:title>
    <c:autoTitleDeleted val="0"/>
    <c:plotArea>
      <c:layout/>
      <c:doughnutChart>
        <c:varyColors val="1"/>
        <c:ser>
          <c:idx val="0"/>
          <c:order val="0"/>
          <c:spPr>
            <a:solidFill>
              <a:srgbClr val="FF0000"/>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2-0D06-4386-BD89-6E0F5816146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D06-4386-BD89-6E0F5816146B}"/>
              </c:ext>
            </c:extLst>
          </c:dPt>
          <c:dPt>
            <c:idx val="2"/>
            <c:bubble3D val="0"/>
            <c:spPr>
              <a:solidFill>
                <a:srgbClr val="EE2941"/>
              </a:solidFill>
              <a:ln w="19050">
                <a:solidFill>
                  <a:schemeClr val="lt1"/>
                </a:solidFill>
              </a:ln>
              <a:effectLst/>
            </c:spPr>
            <c:extLst>
              <c:ext xmlns:c16="http://schemas.microsoft.com/office/drawing/2014/chart" uri="{C3380CC4-5D6E-409C-BE32-E72D297353CC}">
                <c16:uniqueId val="{00000003-0D06-4386-BD89-6E0F5816146B}"/>
              </c:ext>
            </c:extLst>
          </c:dPt>
          <c:dLbls>
            <c:dLbl>
              <c:idx val="0"/>
              <c:layout>
                <c:manualLayout>
                  <c:x val="2.5000000000000001E-2"/>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06-4386-BD89-6E0F5816146B}"/>
                </c:ext>
              </c:extLst>
            </c:dLbl>
            <c:dLbl>
              <c:idx val="1"/>
              <c:layout>
                <c:manualLayout>
                  <c:x val="8.333333333333332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06-4386-BD89-6E0F5816146B}"/>
                </c:ext>
              </c:extLst>
            </c:dLbl>
            <c:dLbl>
              <c:idx val="2"/>
              <c:layout>
                <c:manualLayout>
                  <c:x val="-5.8333333333333383E-2"/>
                  <c:y val="5.5555555555555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06-4386-BD89-6E0F5816146B}"/>
                </c:ext>
              </c:extLst>
            </c:dLbl>
            <c:spPr>
              <a:noFill/>
              <a:ln>
                <a:noFill/>
              </a:ln>
              <a:effectLst/>
            </c:spPr>
            <c:txPr>
              <a:bodyPr rot="0" spcFirstLastPara="1" vertOverflow="ellipsis" vert="horz" wrap="square" lIns="38100" tIns="19050" rIns="38100" bIns="19050" anchor="t" anchorCtr="0">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Report!$D$24:$D$26</c:f>
              <c:strCache>
                <c:ptCount val="3"/>
                <c:pt idx="0">
                  <c:v>Accessories and other allied products</c:v>
                </c:pt>
                <c:pt idx="1">
                  <c:v>Spare parts and other components</c:v>
                </c:pt>
                <c:pt idx="2">
                  <c:v>Two Wheelers</c:v>
                </c:pt>
              </c:strCache>
            </c:strRef>
          </c:cat>
          <c:val>
            <c:numRef>
              <c:f>Report!$E$24:$E$26</c:f>
              <c:numCache>
                <c:formatCode>0.00%</c:formatCode>
                <c:ptCount val="3"/>
                <c:pt idx="0">
                  <c:v>5.8999999999999997E-2</c:v>
                </c:pt>
                <c:pt idx="1">
                  <c:v>7.0999999999999994E-2</c:v>
                </c:pt>
                <c:pt idx="2">
                  <c:v>0.87</c:v>
                </c:pt>
              </c:numCache>
            </c:numRef>
          </c:val>
          <c:extLst>
            <c:ext xmlns:c16="http://schemas.microsoft.com/office/drawing/2014/chart" uri="{C3380CC4-5D6E-409C-BE32-E72D297353CC}">
              <c16:uniqueId val="{00000000-0D06-4386-BD89-6E0F581614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Share Price</a:t>
            </a:r>
            <a:r>
              <a:rPr lang="en-US" b="1" baseline="0">
                <a:solidFill>
                  <a:srgbClr val="C00000"/>
                </a:solidFill>
              </a:rPr>
              <a:t> Performance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Report!$M$42</c:f>
              <c:strCache>
                <c:ptCount val="1"/>
                <c:pt idx="0">
                  <c:v>Price</c:v>
                </c:pt>
              </c:strCache>
            </c:strRef>
          </c:tx>
          <c:spPr>
            <a:ln w="28575" cap="rnd">
              <a:solidFill>
                <a:srgbClr val="EE2941"/>
              </a:solidFill>
              <a:round/>
            </a:ln>
            <a:effectLst/>
          </c:spPr>
          <c:marker>
            <c:symbol val="none"/>
          </c:marker>
          <c:cat>
            <c:numRef>
              <c:f>Report!$L$43:$L$292</c:f>
              <c:numCache>
                <c:formatCode>m/d/yyyy</c:formatCode>
                <c:ptCount val="250"/>
                <c:pt idx="0">
                  <c:v>45623</c:v>
                </c:pt>
                <c:pt idx="1">
                  <c:v>45624</c:v>
                </c:pt>
                <c:pt idx="2">
                  <c:v>45625</c:v>
                </c:pt>
                <c:pt idx="3">
                  <c:v>45628</c:v>
                </c:pt>
                <c:pt idx="4">
                  <c:v>45629</c:v>
                </c:pt>
                <c:pt idx="5">
                  <c:v>45630</c:v>
                </c:pt>
                <c:pt idx="6">
                  <c:v>45631</c:v>
                </c:pt>
                <c:pt idx="7">
                  <c:v>45632</c:v>
                </c:pt>
                <c:pt idx="8">
                  <c:v>45635</c:v>
                </c:pt>
                <c:pt idx="9">
                  <c:v>45636</c:v>
                </c:pt>
                <c:pt idx="10">
                  <c:v>45637</c:v>
                </c:pt>
                <c:pt idx="11">
                  <c:v>45638</c:v>
                </c:pt>
                <c:pt idx="12">
                  <c:v>45639</c:v>
                </c:pt>
                <c:pt idx="13">
                  <c:v>45642</c:v>
                </c:pt>
                <c:pt idx="14">
                  <c:v>45643</c:v>
                </c:pt>
                <c:pt idx="15">
                  <c:v>45644</c:v>
                </c:pt>
                <c:pt idx="16">
                  <c:v>45645</c:v>
                </c:pt>
                <c:pt idx="17">
                  <c:v>45646</c:v>
                </c:pt>
                <c:pt idx="18">
                  <c:v>45649</c:v>
                </c:pt>
                <c:pt idx="19">
                  <c:v>45650</c:v>
                </c:pt>
                <c:pt idx="20">
                  <c:v>45652</c:v>
                </c:pt>
                <c:pt idx="21">
                  <c:v>45653</c:v>
                </c:pt>
                <c:pt idx="22">
                  <c:v>45656</c:v>
                </c:pt>
                <c:pt idx="23">
                  <c:v>45657</c:v>
                </c:pt>
                <c:pt idx="24">
                  <c:v>45658</c:v>
                </c:pt>
                <c:pt idx="25">
                  <c:v>45659</c:v>
                </c:pt>
                <c:pt idx="26">
                  <c:v>45660</c:v>
                </c:pt>
                <c:pt idx="27">
                  <c:v>45663</c:v>
                </c:pt>
                <c:pt idx="28">
                  <c:v>45664</c:v>
                </c:pt>
                <c:pt idx="29">
                  <c:v>45665</c:v>
                </c:pt>
                <c:pt idx="30">
                  <c:v>45666</c:v>
                </c:pt>
                <c:pt idx="31">
                  <c:v>45667</c:v>
                </c:pt>
                <c:pt idx="32">
                  <c:v>45670</c:v>
                </c:pt>
                <c:pt idx="33">
                  <c:v>45671</c:v>
                </c:pt>
                <c:pt idx="34">
                  <c:v>45672</c:v>
                </c:pt>
                <c:pt idx="35">
                  <c:v>45673</c:v>
                </c:pt>
                <c:pt idx="36">
                  <c:v>45674</c:v>
                </c:pt>
                <c:pt idx="37">
                  <c:v>45677</c:v>
                </c:pt>
                <c:pt idx="38">
                  <c:v>45678</c:v>
                </c:pt>
                <c:pt idx="39">
                  <c:v>45679</c:v>
                </c:pt>
                <c:pt idx="40">
                  <c:v>45680</c:v>
                </c:pt>
                <c:pt idx="41">
                  <c:v>45681</c:v>
                </c:pt>
                <c:pt idx="42">
                  <c:v>45684</c:v>
                </c:pt>
                <c:pt idx="43">
                  <c:v>45685</c:v>
                </c:pt>
                <c:pt idx="44">
                  <c:v>45686</c:v>
                </c:pt>
                <c:pt idx="45">
                  <c:v>45687</c:v>
                </c:pt>
                <c:pt idx="46">
                  <c:v>45688</c:v>
                </c:pt>
                <c:pt idx="47">
                  <c:v>45689</c:v>
                </c:pt>
                <c:pt idx="48">
                  <c:v>45691</c:v>
                </c:pt>
                <c:pt idx="49">
                  <c:v>45692</c:v>
                </c:pt>
                <c:pt idx="50">
                  <c:v>45693</c:v>
                </c:pt>
                <c:pt idx="51">
                  <c:v>45694</c:v>
                </c:pt>
                <c:pt idx="52">
                  <c:v>45695</c:v>
                </c:pt>
                <c:pt idx="53">
                  <c:v>45698</c:v>
                </c:pt>
                <c:pt idx="54">
                  <c:v>45699</c:v>
                </c:pt>
                <c:pt idx="55">
                  <c:v>45700</c:v>
                </c:pt>
                <c:pt idx="56">
                  <c:v>45701</c:v>
                </c:pt>
                <c:pt idx="57">
                  <c:v>45702</c:v>
                </c:pt>
                <c:pt idx="58">
                  <c:v>45705</c:v>
                </c:pt>
                <c:pt idx="59">
                  <c:v>45706</c:v>
                </c:pt>
                <c:pt idx="60">
                  <c:v>45707</c:v>
                </c:pt>
                <c:pt idx="61">
                  <c:v>45708</c:v>
                </c:pt>
                <c:pt idx="62">
                  <c:v>45709</c:v>
                </c:pt>
                <c:pt idx="63">
                  <c:v>45712</c:v>
                </c:pt>
                <c:pt idx="64">
                  <c:v>45713</c:v>
                </c:pt>
                <c:pt idx="65">
                  <c:v>45715</c:v>
                </c:pt>
                <c:pt idx="66">
                  <c:v>45716</c:v>
                </c:pt>
                <c:pt idx="67">
                  <c:v>45719</c:v>
                </c:pt>
                <c:pt idx="68">
                  <c:v>45720</c:v>
                </c:pt>
                <c:pt idx="69">
                  <c:v>45721</c:v>
                </c:pt>
                <c:pt idx="70">
                  <c:v>45722</c:v>
                </c:pt>
                <c:pt idx="71">
                  <c:v>45723</c:v>
                </c:pt>
                <c:pt idx="72">
                  <c:v>45726</c:v>
                </c:pt>
                <c:pt idx="73">
                  <c:v>45727</c:v>
                </c:pt>
                <c:pt idx="74">
                  <c:v>45728</c:v>
                </c:pt>
                <c:pt idx="75">
                  <c:v>45729</c:v>
                </c:pt>
                <c:pt idx="76">
                  <c:v>45733</c:v>
                </c:pt>
                <c:pt idx="77">
                  <c:v>45734</c:v>
                </c:pt>
                <c:pt idx="78">
                  <c:v>45735</c:v>
                </c:pt>
                <c:pt idx="79">
                  <c:v>45736</c:v>
                </c:pt>
                <c:pt idx="80">
                  <c:v>45737</c:v>
                </c:pt>
                <c:pt idx="81">
                  <c:v>45740</c:v>
                </c:pt>
                <c:pt idx="82">
                  <c:v>45741</c:v>
                </c:pt>
                <c:pt idx="83">
                  <c:v>45742</c:v>
                </c:pt>
                <c:pt idx="84">
                  <c:v>45743</c:v>
                </c:pt>
                <c:pt idx="85">
                  <c:v>45744</c:v>
                </c:pt>
                <c:pt idx="86">
                  <c:v>45748</c:v>
                </c:pt>
                <c:pt idx="87">
                  <c:v>45749</c:v>
                </c:pt>
                <c:pt idx="88">
                  <c:v>45750</c:v>
                </c:pt>
                <c:pt idx="89">
                  <c:v>45751</c:v>
                </c:pt>
                <c:pt idx="90">
                  <c:v>45754</c:v>
                </c:pt>
                <c:pt idx="91">
                  <c:v>45755</c:v>
                </c:pt>
                <c:pt idx="92">
                  <c:v>45756</c:v>
                </c:pt>
                <c:pt idx="93">
                  <c:v>45758</c:v>
                </c:pt>
                <c:pt idx="94">
                  <c:v>45762</c:v>
                </c:pt>
                <c:pt idx="95">
                  <c:v>45763</c:v>
                </c:pt>
                <c:pt idx="96">
                  <c:v>45764</c:v>
                </c:pt>
                <c:pt idx="97">
                  <c:v>45768</c:v>
                </c:pt>
                <c:pt idx="98">
                  <c:v>45769</c:v>
                </c:pt>
                <c:pt idx="99">
                  <c:v>45770</c:v>
                </c:pt>
                <c:pt idx="100">
                  <c:v>45771</c:v>
                </c:pt>
                <c:pt idx="101">
                  <c:v>45772</c:v>
                </c:pt>
                <c:pt idx="102">
                  <c:v>45775</c:v>
                </c:pt>
                <c:pt idx="103">
                  <c:v>45776</c:v>
                </c:pt>
                <c:pt idx="104">
                  <c:v>45777</c:v>
                </c:pt>
                <c:pt idx="105">
                  <c:v>45779</c:v>
                </c:pt>
                <c:pt idx="106">
                  <c:v>45782</c:v>
                </c:pt>
                <c:pt idx="107">
                  <c:v>45783</c:v>
                </c:pt>
                <c:pt idx="108">
                  <c:v>45784</c:v>
                </c:pt>
                <c:pt idx="109">
                  <c:v>45785</c:v>
                </c:pt>
                <c:pt idx="110">
                  <c:v>45786</c:v>
                </c:pt>
                <c:pt idx="111">
                  <c:v>45789</c:v>
                </c:pt>
                <c:pt idx="112">
                  <c:v>45790</c:v>
                </c:pt>
                <c:pt idx="113">
                  <c:v>45791</c:v>
                </c:pt>
                <c:pt idx="114">
                  <c:v>45792</c:v>
                </c:pt>
                <c:pt idx="115">
                  <c:v>45793</c:v>
                </c:pt>
                <c:pt idx="116">
                  <c:v>45796</c:v>
                </c:pt>
                <c:pt idx="117">
                  <c:v>45797</c:v>
                </c:pt>
                <c:pt idx="118">
                  <c:v>45798</c:v>
                </c:pt>
                <c:pt idx="119">
                  <c:v>45799</c:v>
                </c:pt>
                <c:pt idx="120">
                  <c:v>45800</c:v>
                </c:pt>
                <c:pt idx="121">
                  <c:v>45803</c:v>
                </c:pt>
                <c:pt idx="122">
                  <c:v>45804</c:v>
                </c:pt>
                <c:pt idx="123">
                  <c:v>45805</c:v>
                </c:pt>
                <c:pt idx="124">
                  <c:v>45806</c:v>
                </c:pt>
                <c:pt idx="125">
                  <c:v>45807</c:v>
                </c:pt>
                <c:pt idx="126">
                  <c:v>45810</c:v>
                </c:pt>
                <c:pt idx="127">
                  <c:v>45811</c:v>
                </c:pt>
                <c:pt idx="128">
                  <c:v>45812</c:v>
                </c:pt>
                <c:pt idx="129">
                  <c:v>45813</c:v>
                </c:pt>
                <c:pt idx="130">
                  <c:v>45814</c:v>
                </c:pt>
                <c:pt idx="131">
                  <c:v>45817</c:v>
                </c:pt>
                <c:pt idx="132">
                  <c:v>45818</c:v>
                </c:pt>
                <c:pt idx="133">
                  <c:v>45819</c:v>
                </c:pt>
                <c:pt idx="134">
                  <c:v>45820</c:v>
                </c:pt>
                <c:pt idx="135">
                  <c:v>45821</c:v>
                </c:pt>
                <c:pt idx="136">
                  <c:v>45824</c:v>
                </c:pt>
                <c:pt idx="137">
                  <c:v>45825</c:v>
                </c:pt>
                <c:pt idx="138">
                  <c:v>45826</c:v>
                </c:pt>
                <c:pt idx="139">
                  <c:v>45827</c:v>
                </c:pt>
                <c:pt idx="140">
                  <c:v>45828</c:v>
                </c:pt>
                <c:pt idx="141">
                  <c:v>45831</c:v>
                </c:pt>
                <c:pt idx="142">
                  <c:v>45832</c:v>
                </c:pt>
                <c:pt idx="143">
                  <c:v>45833</c:v>
                </c:pt>
                <c:pt idx="144">
                  <c:v>45834</c:v>
                </c:pt>
                <c:pt idx="145">
                  <c:v>45835</c:v>
                </c:pt>
                <c:pt idx="146">
                  <c:v>45838</c:v>
                </c:pt>
                <c:pt idx="147">
                  <c:v>45839</c:v>
                </c:pt>
                <c:pt idx="148">
                  <c:v>45840</c:v>
                </c:pt>
                <c:pt idx="149">
                  <c:v>45841</c:v>
                </c:pt>
                <c:pt idx="150">
                  <c:v>45842</c:v>
                </c:pt>
                <c:pt idx="151">
                  <c:v>45845</c:v>
                </c:pt>
                <c:pt idx="152">
                  <c:v>45846</c:v>
                </c:pt>
                <c:pt idx="153">
                  <c:v>45847</c:v>
                </c:pt>
                <c:pt idx="154">
                  <c:v>45848</c:v>
                </c:pt>
                <c:pt idx="155">
                  <c:v>45849</c:v>
                </c:pt>
                <c:pt idx="156">
                  <c:v>45852</c:v>
                </c:pt>
                <c:pt idx="157">
                  <c:v>45853</c:v>
                </c:pt>
                <c:pt idx="158">
                  <c:v>45854</c:v>
                </c:pt>
                <c:pt idx="159">
                  <c:v>45855</c:v>
                </c:pt>
                <c:pt idx="160">
                  <c:v>45856</c:v>
                </c:pt>
                <c:pt idx="161">
                  <c:v>45859</c:v>
                </c:pt>
                <c:pt idx="162">
                  <c:v>45860</c:v>
                </c:pt>
                <c:pt idx="163">
                  <c:v>45861</c:v>
                </c:pt>
                <c:pt idx="164">
                  <c:v>45862</c:v>
                </c:pt>
                <c:pt idx="165">
                  <c:v>45863</c:v>
                </c:pt>
                <c:pt idx="166">
                  <c:v>45866</c:v>
                </c:pt>
                <c:pt idx="167">
                  <c:v>45867</c:v>
                </c:pt>
                <c:pt idx="168">
                  <c:v>45868</c:v>
                </c:pt>
                <c:pt idx="169">
                  <c:v>45869</c:v>
                </c:pt>
                <c:pt idx="170">
                  <c:v>45870</c:v>
                </c:pt>
                <c:pt idx="171">
                  <c:v>45873</c:v>
                </c:pt>
                <c:pt idx="172">
                  <c:v>45874</c:v>
                </c:pt>
                <c:pt idx="173">
                  <c:v>45875</c:v>
                </c:pt>
                <c:pt idx="174">
                  <c:v>45876</c:v>
                </c:pt>
                <c:pt idx="175">
                  <c:v>45877</c:v>
                </c:pt>
                <c:pt idx="176">
                  <c:v>45880</c:v>
                </c:pt>
                <c:pt idx="177">
                  <c:v>45881</c:v>
                </c:pt>
                <c:pt idx="178">
                  <c:v>45882</c:v>
                </c:pt>
                <c:pt idx="179">
                  <c:v>45883</c:v>
                </c:pt>
                <c:pt idx="180">
                  <c:v>45887</c:v>
                </c:pt>
                <c:pt idx="181">
                  <c:v>45888</c:v>
                </c:pt>
                <c:pt idx="182">
                  <c:v>45889</c:v>
                </c:pt>
                <c:pt idx="183">
                  <c:v>45890</c:v>
                </c:pt>
                <c:pt idx="184">
                  <c:v>45891</c:v>
                </c:pt>
                <c:pt idx="185">
                  <c:v>45894</c:v>
                </c:pt>
                <c:pt idx="186">
                  <c:v>45895</c:v>
                </c:pt>
                <c:pt idx="187">
                  <c:v>45897</c:v>
                </c:pt>
                <c:pt idx="188">
                  <c:v>45898</c:v>
                </c:pt>
                <c:pt idx="189">
                  <c:v>45901</c:v>
                </c:pt>
                <c:pt idx="190">
                  <c:v>45902</c:v>
                </c:pt>
                <c:pt idx="191">
                  <c:v>45903</c:v>
                </c:pt>
                <c:pt idx="192">
                  <c:v>45904</c:v>
                </c:pt>
                <c:pt idx="193">
                  <c:v>45905</c:v>
                </c:pt>
                <c:pt idx="194">
                  <c:v>45908</c:v>
                </c:pt>
                <c:pt idx="195">
                  <c:v>45909</c:v>
                </c:pt>
                <c:pt idx="196">
                  <c:v>45910</c:v>
                </c:pt>
                <c:pt idx="197">
                  <c:v>45911</c:v>
                </c:pt>
                <c:pt idx="198">
                  <c:v>45912</c:v>
                </c:pt>
                <c:pt idx="199">
                  <c:v>45915</c:v>
                </c:pt>
                <c:pt idx="200">
                  <c:v>45916</c:v>
                </c:pt>
                <c:pt idx="201">
                  <c:v>45917</c:v>
                </c:pt>
                <c:pt idx="202">
                  <c:v>45918</c:v>
                </c:pt>
                <c:pt idx="203">
                  <c:v>45919</c:v>
                </c:pt>
                <c:pt idx="204">
                  <c:v>45922</c:v>
                </c:pt>
                <c:pt idx="205">
                  <c:v>45923</c:v>
                </c:pt>
                <c:pt idx="206">
                  <c:v>45924</c:v>
                </c:pt>
                <c:pt idx="207">
                  <c:v>45925</c:v>
                </c:pt>
                <c:pt idx="208">
                  <c:v>45926</c:v>
                </c:pt>
                <c:pt idx="209">
                  <c:v>45929</c:v>
                </c:pt>
                <c:pt idx="210">
                  <c:v>45930</c:v>
                </c:pt>
                <c:pt idx="211">
                  <c:v>45931</c:v>
                </c:pt>
                <c:pt idx="212">
                  <c:v>45933</c:v>
                </c:pt>
                <c:pt idx="213">
                  <c:v>45936</c:v>
                </c:pt>
                <c:pt idx="214">
                  <c:v>45937</c:v>
                </c:pt>
                <c:pt idx="215">
                  <c:v>45938</c:v>
                </c:pt>
                <c:pt idx="216">
                  <c:v>45939</c:v>
                </c:pt>
                <c:pt idx="217">
                  <c:v>45940</c:v>
                </c:pt>
                <c:pt idx="218">
                  <c:v>45943</c:v>
                </c:pt>
                <c:pt idx="219">
                  <c:v>45944</c:v>
                </c:pt>
                <c:pt idx="220">
                  <c:v>45945</c:v>
                </c:pt>
                <c:pt idx="221">
                  <c:v>45946</c:v>
                </c:pt>
                <c:pt idx="222">
                  <c:v>45947</c:v>
                </c:pt>
                <c:pt idx="223">
                  <c:v>45950</c:v>
                </c:pt>
                <c:pt idx="224">
                  <c:v>45951</c:v>
                </c:pt>
                <c:pt idx="225">
                  <c:v>45953</c:v>
                </c:pt>
                <c:pt idx="226">
                  <c:v>45954</c:v>
                </c:pt>
                <c:pt idx="227">
                  <c:v>45957</c:v>
                </c:pt>
                <c:pt idx="228">
                  <c:v>45958</c:v>
                </c:pt>
                <c:pt idx="229">
                  <c:v>45959</c:v>
                </c:pt>
                <c:pt idx="230">
                  <c:v>45960</c:v>
                </c:pt>
                <c:pt idx="231">
                  <c:v>45961</c:v>
                </c:pt>
                <c:pt idx="232">
                  <c:v>45964</c:v>
                </c:pt>
                <c:pt idx="233">
                  <c:v>45965</c:v>
                </c:pt>
                <c:pt idx="234">
                  <c:v>45967</c:v>
                </c:pt>
                <c:pt idx="235">
                  <c:v>45968</c:v>
                </c:pt>
                <c:pt idx="236">
                  <c:v>45971</c:v>
                </c:pt>
                <c:pt idx="237">
                  <c:v>45972</c:v>
                </c:pt>
                <c:pt idx="238">
                  <c:v>45973</c:v>
                </c:pt>
                <c:pt idx="239">
                  <c:v>45974</c:v>
                </c:pt>
                <c:pt idx="240">
                  <c:v>45975</c:v>
                </c:pt>
                <c:pt idx="241">
                  <c:v>45978</c:v>
                </c:pt>
                <c:pt idx="242">
                  <c:v>45979</c:v>
                </c:pt>
                <c:pt idx="243">
                  <c:v>45980</c:v>
                </c:pt>
                <c:pt idx="244">
                  <c:v>45981</c:v>
                </c:pt>
                <c:pt idx="245">
                  <c:v>45982</c:v>
                </c:pt>
                <c:pt idx="246">
                  <c:v>45985</c:v>
                </c:pt>
                <c:pt idx="247">
                  <c:v>45986</c:v>
                </c:pt>
                <c:pt idx="248">
                  <c:v>45987</c:v>
                </c:pt>
                <c:pt idx="249">
                  <c:v>45988</c:v>
                </c:pt>
              </c:numCache>
            </c:numRef>
          </c:cat>
          <c:val>
            <c:numRef>
              <c:f>Report!$M$43:$M$292</c:f>
              <c:numCache>
                <c:formatCode>#,##0.00</c:formatCode>
                <c:ptCount val="250"/>
                <c:pt idx="0">
                  <c:v>4917.5</c:v>
                </c:pt>
                <c:pt idx="1">
                  <c:v>4815.7</c:v>
                </c:pt>
                <c:pt idx="2">
                  <c:v>4831.8500000000004</c:v>
                </c:pt>
                <c:pt idx="3">
                  <c:v>4820.7</c:v>
                </c:pt>
                <c:pt idx="4">
                  <c:v>4844.3500000000004</c:v>
                </c:pt>
                <c:pt idx="5">
                  <c:v>4797.05</c:v>
                </c:pt>
                <c:pt idx="6">
                  <c:v>4837.55</c:v>
                </c:pt>
                <c:pt idx="7">
                  <c:v>4877.05</c:v>
                </c:pt>
                <c:pt idx="8">
                  <c:v>4842.1000000000004</c:v>
                </c:pt>
                <c:pt idx="9">
                  <c:v>4813.05</c:v>
                </c:pt>
                <c:pt idx="10">
                  <c:v>4801.95</c:v>
                </c:pt>
                <c:pt idx="11">
                  <c:v>4807.6499999999996</c:v>
                </c:pt>
                <c:pt idx="12">
                  <c:v>4825.8999999999996</c:v>
                </c:pt>
                <c:pt idx="13">
                  <c:v>4838.5</c:v>
                </c:pt>
                <c:pt idx="14">
                  <c:v>4742.6499999999996</c:v>
                </c:pt>
                <c:pt idx="15">
                  <c:v>4749.8500000000004</c:v>
                </c:pt>
                <c:pt idx="16">
                  <c:v>4771.95</c:v>
                </c:pt>
                <c:pt idx="17">
                  <c:v>4734.5</c:v>
                </c:pt>
                <c:pt idx="18">
                  <c:v>4750.55</c:v>
                </c:pt>
                <c:pt idx="19">
                  <c:v>4792.8999999999996</c:v>
                </c:pt>
                <c:pt idx="20">
                  <c:v>4801.3500000000004</c:v>
                </c:pt>
                <c:pt idx="21">
                  <c:v>4876.8999999999996</c:v>
                </c:pt>
                <c:pt idx="22">
                  <c:v>4855.8</c:v>
                </c:pt>
                <c:pt idx="23">
                  <c:v>4821.8999999999996</c:v>
                </c:pt>
                <c:pt idx="24">
                  <c:v>4885.3</c:v>
                </c:pt>
                <c:pt idx="25">
                  <c:v>5308.1</c:v>
                </c:pt>
                <c:pt idx="26">
                  <c:v>5310.75</c:v>
                </c:pt>
                <c:pt idx="27">
                  <c:v>5250.1</c:v>
                </c:pt>
                <c:pt idx="28">
                  <c:v>5177.3</c:v>
                </c:pt>
                <c:pt idx="29">
                  <c:v>5163.2</c:v>
                </c:pt>
                <c:pt idx="30">
                  <c:v>5139.8999999999996</c:v>
                </c:pt>
                <c:pt idx="31">
                  <c:v>5058.45</c:v>
                </c:pt>
                <c:pt idx="32">
                  <c:v>4939.1000000000004</c:v>
                </c:pt>
                <c:pt idx="33">
                  <c:v>5029.55</c:v>
                </c:pt>
                <c:pt idx="34">
                  <c:v>5081.8999999999996</c:v>
                </c:pt>
                <c:pt idx="35">
                  <c:v>5047.8</c:v>
                </c:pt>
                <c:pt idx="36">
                  <c:v>5012.3</c:v>
                </c:pt>
                <c:pt idx="37">
                  <c:v>5016.75</c:v>
                </c:pt>
                <c:pt idx="38">
                  <c:v>4969.95</c:v>
                </c:pt>
                <c:pt idx="39">
                  <c:v>5009.7</c:v>
                </c:pt>
                <c:pt idx="40">
                  <c:v>5116.2</c:v>
                </c:pt>
                <c:pt idx="41">
                  <c:v>5206.3</c:v>
                </c:pt>
                <c:pt idx="42">
                  <c:v>5144.5</c:v>
                </c:pt>
                <c:pt idx="43">
                  <c:v>5105.3999999999996</c:v>
                </c:pt>
                <c:pt idx="44">
                  <c:v>5182.8999999999996</c:v>
                </c:pt>
                <c:pt idx="45">
                  <c:v>5164.3500000000004</c:v>
                </c:pt>
                <c:pt idx="46">
                  <c:v>5194.3</c:v>
                </c:pt>
                <c:pt idx="47">
                  <c:v>5390.15</c:v>
                </c:pt>
                <c:pt idx="48">
                  <c:v>5485.25</c:v>
                </c:pt>
                <c:pt idx="49">
                  <c:v>5450.1</c:v>
                </c:pt>
                <c:pt idx="50">
                  <c:v>5417.2</c:v>
                </c:pt>
                <c:pt idx="51">
                  <c:v>5342</c:v>
                </c:pt>
                <c:pt idx="52">
                  <c:v>5372.55</c:v>
                </c:pt>
                <c:pt idx="53">
                  <c:v>5335.35</c:v>
                </c:pt>
                <c:pt idx="54">
                  <c:v>4972.3500000000004</c:v>
                </c:pt>
                <c:pt idx="55">
                  <c:v>4849.45</c:v>
                </c:pt>
                <c:pt idx="56">
                  <c:v>4820.3999999999996</c:v>
                </c:pt>
                <c:pt idx="57">
                  <c:v>4703.3500000000004</c:v>
                </c:pt>
                <c:pt idx="58">
                  <c:v>4745.2</c:v>
                </c:pt>
                <c:pt idx="59">
                  <c:v>4719.3999999999996</c:v>
                </c:pt>
                <c:pt idx="60">
                  <c:v>4810.6000000000004</c:v>
                </c:pt>
                <c:pt idx="61">
                  <c:v>4888.3999999999996</c:v>
                </c:pt>
                <c:pt idx="62">
                  <c:v>4962.45</c:v>
                </c:pt>
                <c:pt idx="63">
                  <c:v>5010.8</c:v>
                </c:pt>
                <c:pt idx="64">
                  <c:v>4989.8</c:v>
                </c:pt>
                <c:pt idx="65">
                  <c:v>4935.5</c:v>
                </c:pt>
                <c:pt idx="66">
                  <c:v>4773.6000000000004</c:v>
                </c:pt>
                <c:pt idx="67">
                  <c:v>4906.6000000000004</c:v>
                </c:pt>
                <c:pt idx="68">
                  <c:v>4815.1000000000004</c:v>
                </c:pt>
                <c:pt idx="69">
                  <c:v>4988.3</c:v>
                </c:pt>
                <c:pt idx="70">
                  <c:v>5094.3999999999996</c:v>
                </c:pt>
                <c:pt idx="71">
                  <c:v>5100.7</c:v>
                </c:pt>
                <c:pt idx="72">
                  <c:v>4990.55</c:v>
                </c:pt>
                <c:pt idx="73">
                  <c:v>4985.55</c:v>
                </c:pt>
                <c:pt idx="74">
                  <c:v>5017.45</c:v>
                </c:pt>
                <c:pt idx="75">
                  <c:v>5015.25</c:v>
                </c:pt>
                <c:pt idx="76">
                  <c:v>5050.25</c:v>
                </c:pt>
                <c:pt idx="77">
                  <c:v>5127.3999999999996</c:v>
                </c:pt>
                <c:pt idx="78">
                  <c:v>5100.8999999999996</c:v>
                </c:pt>
                <c:pt idx="79">
                  <c:v>5229.3500000000004</c:v>
                </c:pt>
                <c:pt idx="80">
                  <c:v>5305.95</c:v>
                </c:pt>
                <c:pt idx="81">
                  <c:v>5424.2</c:v>
                </c:pt>
                <c:pt idx="82">
                  <c:v>5431.25</c:v>
                </c:pt>
                <c:pt idx="83">
                  <c:v>5403.3</c:v>
                </c:pt>
                <c:pt idx="84">
                  <c:v>5345.75</c:v>
                </c:pt>
                <c:pt idx="85">
                  <c:v>5347.7</c:v>
                </c:pt>
                <c:pt idx="86">
                  <c:v>5307.2</c:v>
                </c:pt>
                <c:pt idx="87">
                  <c:v>5355.5</c:v>
                </c:pt>
                <c:pt idx="88">
                  <c:v>5379.15</c:v>
                </c:pt>
                <c:pt idx="89">
                  <c:v>5247.9</c:v>
                </c:pt>
                <c:pt idx="90">
                  <c:v>5065.25</c:v>
                </c:pt>
                <c:pt idx="91">
                  <c:v>5231.3500000000004</c:v>
                </c:pt>
                <c:pt idx="92">
                  <c:v>5258.3</c:v>
                </c:pt>
                <c:pt idx="93">
                  <c:v>5350.9</c:v>
                </c:pt>
                <c:pt idx="94">
                  <c:v>5529</c:v>
                </c:pt>
                <c:pt idx="95">
                  <c:v>5615.5</c:v>
                </c:pt>
                <c:pt idx="96">
                  <c:v>5678.5</c:v>
                </c:pt>
                <c:pt idx="97">
                  <c:v>5810.5</c:v>
                </c:pt>
                <c:pt idx="98">
                  <c:v>5784</c:v>
                </c:pt>
                <c:pt idx="99">
                  <c:v>5740</c:v>
                </c:pt>
                <c:pt idx="100">
                  <c:v>5650.5</c:v>
                </c:pt>
                <c:pt idx="101">
                  <c:v>5575.5</c:v>
                </c:pt>
                <c:pt idx="102">
                  <c:v>5622</c:v>
                </c:pt>
                <c:pt idx="103">
                  <c:v>5579</c:v>
                </c:pt>
                <c:pt idx="104">
                  <c:v>5567</c:v>
                </c:pt>
                <c:pt idx="105">
                  <c:v>5437.5</c:v>
                </c:pt>
                <c:pt idx="106">
                  <c:v>5460.5</c:v>
                </c:pt>
                <c:pt idx="107">
                  <c:v>5515</c:v>
                </c:pt>
                <c:pt idx="108">
                  <c:v>5489</c:v>
                </c:pt>
                <c:pt idx="109">
                  <c:v>5372.5</c:v>
                </c:pt>
                <c:pt idx="110">
                  <c:v>5324</c:v>
                </c:pt>
                <c:pt idx="111">
                  <c:v>5520</c:v>
                </c:pt>
                <c:pt idx="112">
                  <c:v>5419</c:v>
                </c:pt>
                <c:pt idx="113">
                  <c:v>5446.5</c:v>
                </c:pt>
                <c:pt idx="114">
                  <c:v>5466</c:v>
                </c:pt>
                <c:pt idx="115">
                  <c:v>5509.5</c:v>
                </c:pt>
                <c:pt idx="116">
                  <c:v>5530</c:v>
                </c:pt>
                <c:pt idx="117">
                  <c:v>5387.5</c:v>
                </c:pt>
                <c:pt idx="118">
                  <c:v>5409</c:v>
                </c:pt>
                <c:pt idx="119">
                  <c:v>5387</c:v>
                </c:pt>
                <c:pt idx="120">
                  <c:v>5400</c:v>
                </c:pt>
                <c:pt idx="121">
                  <c:v>5427.5</c:v>
                </c:pt>
                <c:pt idx="122">
                  <c:v>5389.5</c:v>
                </c:pt>
                <c:pt idx="123">
                  <c:v>5326.5</c:v>
                </c:pt>
                <c:pt idx="124">
                  <c:v>5379</c:v>
                </c:pt>
                <c:pt idx="125">
                  <c:v>5333.5</c:v>
                </c:pt>
                <c:pt idx="126">
                  <c:v>5361</c:v>
                </c:pt>
                <c:pt idx="127">
                  <c:v>5354</c:v>
                </c:pt>
                <c:pt idx="128">
                  <c:v>5319.5</c:v>
                </c:pt>
                <c:pt idx="129">
                  <c:v>5308.5</c:v>
                </c:pt>
                <c:pt idx="130">
                  <c:v>5394</c:v>
                </c:pt>
                <c:pt idx="131">
                  <c:v>5391</c:v>
                </c:pt>
                <c:pt idx="132">
                  <c:v>5377.5</c:v>
                </c:pt>
                <c:pt idx="133">
                  <c:v>5352</c:v>
                </c:pt>
                <c:pt idx="134">
                  <c:v>5315.5</c:v>
                </c:pt>
                <c:pt idx="135">
                  <c:v>5319</c:v>
                </c:pt>
                <c:pt idx="136">
                  <c:v>5365</c:v>
                </c:pt>
                <c:pt idx="137">
                  <c:v>5341</c:v>
                </c:pt>
                <c:pt idx="138">
                  <c:v>5393</c:v>
                </c:pt>
                <c:pt idx="139">
                  <c:v>5493.5</c:v>
                </c:pt>
                <c:pt idx="140">
                  <c:v>5525</c:v>
                </c:pt>
                <c:pt idx="141">
                  <c:v>5552.5</c:v>
                </c:pt>
                <c:pt idx="142">
                  <c:v>5629</c:v>
                </c:pt>
                <c:pt idx="143">
                  <c:v>5576</c:v>
                </c:pt>
                <c:pt idx="144">
                  <c:v>5611.5</c:v>
                </c:pt>
                <c:pt idx="145">
                  <c:v>5660</c:v>
                </c:pt>
                <c:pt idx="146">
                  <c:v>5656.5</c:v>
                </c:pt>
                <c:pt idx="147">
                  <c:v>5715.5</c:v>
                </c:pt>
                <c:pt idx="148">
                  <c:v>5722.5</c:v>
                </c:pt>
                <c:pt idx="149">
                  <c:v>5716</c:v>
                </c:pt>
                <c:pt idx="150">
                  <c:v>5629</c:v>
                </c:pt>
                <c:pt idx="151">
                  <c:v>5682.5</c:v>
                </c:pt>
                <c:pt idx="152">
                  <c:v>5679.5</c:v>
                </c:pt>
                <c:pt idx="153">
                  <c:v>5695</c:v>
                </c:pt>
                <c:pt idx="154">
                  <c:v>5652</c:v>
                </c:pt>
                <c:pt idx="155">
                  <c:v>5612.5</c:v>
                </c:pt>
                <c:pt idx="156">
                  <c:v>5540.5</c:v>
                </c:pt>
                <c:pt idx="157">
                  <c:v>5591</c:v>
                </c:pt>
                <c:pt idx="158">
                  <c:v>5626.5</c:v>
                </c:pt>
                <c:pt idx="159">
                  <c:v>5650</c:v>
                </c:pt>
                <c:pt idx="160">
                  <c:v>5627.5</c:v>
                </c:pt>
                <c:pt idx="161">
                  <c:v>5558</c:v>
                </c:pt>
                <c:pt idx="162">
                  <c:v>5439.5</c:v>
                </c:pt>
                <c:pt idx="163">
                  <c:v>5441.5</c:v>
                </c:pt>
                <c:pt idx="164">
                  <c:v>5469</c:v>
                </c:pt>
                <c:pt idx="165">
                  <c:v>5433</c:v>
                </c:pt>
                <c:pt idx="166">
                  <c:v>5386</c:v>
                </c:pt>
                <c:pt idx="167">
                  <c:v>5470.5</c:v>
                </c:pt>
                <c:pt idx="168">
                  <c:v>5481</c:v>
                </c:pt>
                <c:pt idx="169">
                  <c:v>5468.5</c:v>
                </c:pt>
                <c:pt idx="170">
                  <c:v>5528</c:v>
                </c:pt>
                <c:pt idx="171">
                  <c:v>5621</c:v>
                </c:pt>
                <c:pt idx="172">
                  <c:v>5681</c:v>
                </c:pt>
                <c:pt idx="173">
                  <c:v>5668</c:v>
                </c:pt>
                <c:pt idx="174">
                  <c:v>5681.5</c:v>
                </c:pt>
                <c:pt idx="175">
                  <c:v>5663</c:v>
                </c:pt>
                <c:pt idx="176">
                  <c:v>5671.5</c:v>
                </c:pt>
                <c:pt idx="177">
                  <c:v>5658</c:v>
                </c:pt>
                <c:pt idx="178">
                  <c:v>5714.5</c:v>
                </c:pt>
                <c:pt idx="179">
                  <c:v>5764</c:v>
                </c:pt>
                <c:pt idx="180">
                  <c:v>5912</c:v>
                </c:pt>
                <c:pt idx="181">
                  <c:v>5938.5</c:v>
                </c:pt>
                <c:pt idx="182">
                  <c:v>5937.5</c:v>
                </c:pt>
                <c:pt idx="183">
                  <c:v>5975</c:v>
                </c:pt>
                <c:pt idx="184">
                  <c:v>5924.5</c:v>
                </c:pt>
                <c:pt idx="185">
                  <c:v>5990.5</c:v>
                </c:pt>
                <c:pt idx="186">
                  <c:v>6151</c:v>
                </c:pt>
                <c:pt idx="187">
                  <c:v>6133</c:v>
                </c:pt>
                <c:pt idx="188">
                  <c:v>6103</c:v>
                </c:pt>
                <c:pt idx="189">
                  <c:v>6280</c:v>
                </c:pt>
                <c:pt idx="190">
                  <c:v>6349</c:v>
                </c:pt>
                <c:pt idx="191">
                  <c:v>6371.5</c:v>
                </c:pt>
                <c:pt idx="192">
                  <c:v>6425</c:v>
                </c:pt>
                <c:pt idx="193">
                  <c:v>6580.5</c:v>
                </c:pt>
                <c:pt idx="194">
                  <c:v>6815</c:v>
                </c:pt>
                <c:pt idx="195">
                  <c:v>6874.5</c:v>
                </c:pt>
                <c:pt idx="196">
                  <c:v>6836.5</c:v>
                </c:pt>
                <c:pt idx="197">
                  <c:v>6758</c:v>
                </c:pt>
                <c:pt idx="198">
                  <c:v>6875</c:v>
                </c:pt>
                <c:pt idx="199">
                  <c:v>6801</c:v>
                </c:pt>
                <c:pt idx="200">
                  <c:v>6927.5</c:v>
                </c:pt>
                <c:pt idx="201">
                  <c:v>6890.5</c:v>
                </c:pt>
                <c:pt idx="202">
                  <c:v>6924.5</c:v>
                </c:pt>
                <c:pt idx="203">
                  <c:v>6973.5</c:v>
                </c:pt>
                <c:pt idx="204">
                  <c:v>6946</c:v>
                </c:pt>
                <c:pt idx="205">
                  <c:v>6990.5</c:v>
                </c:pt>
                <c:pt idx="206">
                  <c:v>7011.5</c:v>
                </c:pt>
                <c:pt idx="207">
                  <c:v>6986</c:v>
                </c:pt>
                <c:pt idx="208">
                  <c:v>7047</c:v>
                </c:pt>
                <c:pt idx="209">
                  <c:v>6985</c:v>
                </c:pt>
                <c:pt idx="210">
                  <c:v>7005.5</c:v>
                </c:pt>
                <c:pt idx="211">
                  <c:v>7021.5</c:v>
                </c:pt>
                <c:pt idx="212">
                  <c:v>6941</c:v>
                </c:pt>
                <c:pt idx="213">
                  <c:v>6880</c:v>
                </c:pt>
                <c:pt idx="214">
                  <c:v>6957</c:v>
                </c:pt>
                <c:pt idx="215">
                  <c:v>6902.5</c:v>
                </c:pt>
                <c:pt idx="216">
                  <c:v>6896.5</c:v>
                </c:pt>
                <c:pt idx="217">
                  <c:v>6965</c:v>
                </c:pt>
                <c:pt idx="218">
                  <c:v>6912</c:v>
                </c:pt>
                <c:pt idx="219">
                  <c:v>6887</c:v>
                </c:pt>
                <c:pt idx="220">
                  <c:v>6895</c:v>
                </c:pt>
                <c:pt idx="221">
                  <c:v>6988</c:v>
                </c:pt>
                <c:pt idx="222">
                  <c:v>7042.5</c:v>
                </c:pt>
                <c:pt idx="223">
                  <c:v>7013.5</c:v>
                </c:pt>
                <c:pt idx="224">
                  <c:v>7018.5</c:v>
                </c:pt>
                <c:pt idx="225">
                  <c:v>6884.5</c:v>
                </c:pt>
                <c:pt idx="226">
                  <c:v>6840</c:v>
                </c:pt>
                <c:pt idx="227">
                  <c:v>6906.5</c:v>
                </c:pt>
                <c:pt idx="228">
                  <c:v>7002.5</c:v>
                </c:pt>
                <c:pt idx="229">
                  <c:v>6952</c:v>
                </c:pt>
                <c:pt idx="230">
                  <c:v>6889</c:v>
                </c:pt>
                <c:pt idx="231">
                  <c:v>7007</c:v>
                </c:pt>
                <c:pt idx="232">
                  <c:v>7023.5</c:v>
                </c:pt>
                <c:pt idx="233">
                  <c:v>6930</c:v>
                </c:pt>
                <c:pt idx="234">
                  <c:v>6806.5</c:v>
                </c:pt>
                <c:pt idx="235">
                  <c:v>6886</c:v>
                </c:pt>
                <c:pt idx="236">
                  <c:v>6866.5</c:v>
                </c:pt>
                <c:pt idx="237">
                  <c:v>6873</c:v>
                </c:pt>
                <c:pt idx="238">
                  <c:v>6879</c:v>
                </c:pt>
                <c:pt idx="239">
                  <c:v>6855</c:v>
                </c:pt>
                <c:pt idx="240">
                  <c:v>6695</c:v>
                </c:pt>
                <c:pt idx="241">
                  <c:v>6799</c:v>
                </c:pt>
                <c:pt idx="242">
                  <c:v>6814.5</c:v>
                </c:pt>
                <c:pt idx="243">
                  <c:v>6896.5</c:v>
                </c:pt>
                <c:pt idx="244">
                  <c:v>7125.5</c:v>
                </c:pt>
                <c:pt idx="245">
                  <c:v>7134.5</c:v>
                </c:pt>
                <c:pt idx="246">
                  <c:v>7258.5</c:v>
                </c:pt>
                <c:pt idx="247">
                  <c:v>7218.5</c:v>
                </c:pt>
                <c:pt idx="248">
                  <c:v>7198.5</c:v>
                </c:pt>
                <c:pt idx="249">
                  <c:v>6999</c:v>
                </c:pt>
              </c:numCache>
            </c:numRef>
          </c:val>
          <c:smooth val="0"/>
          <c:extLst>
            <c:ext xmlns:c16="http://schemas.microsoft.com/office/drawing/2014/chart" uri="{C3380CC4-5D6E-409C-BE32-E72D297353CC}">
              <c16:uniqueId val="{00000000-CF93-49DA-A0B3-238E6E26E5B5}"/>
            </c:ext>
          </c:extLst>
        </c:ser>
        <c:dLbls>
          <c:showLegendKey val="0"/>
          <c:showVal val="0"/>
          <c:showCatName val="0"/>
          <c:showSerName val="0"/>
          <c:showPercent val="0"/>
          <c:showBubbleSize val="0"/>
        </c:dLbls>
        <c:smooth val="0"/>
        <c:axId val="1917050720"/>
        <c:axId val="1917053120"/>
      </c:lineChart>
      <c:dateAx>
        <c:axId val="1917050720"/>
        <c:scaling>
          <c:orientation val="minMax"/>
        </c:scaling>
        <c:delete val="1"/>
        <c:axPos val="b"/>
        <c:numFmt formatCode="m/d/yyyy" sourceLinked="1"/>
        <c:majorTickMark val="out"/>
        <c:minorTickMark val="none"/>
        <c:tickLblPos val="nextTo"/>
        <c:crossAx val="1917053120"/>
        <c:crosses val="autoZero"/>
        <c:auto val="1"/>
        <c:lblOffset val="100"/>
        <c:baseTimeUnit val="days"/>
      </c:dateAx>
      <c:valAx>
        <c:axId val="1917053120"/>
        <c:scaling>
          <c:orientation val="minMax"/>
          <c:max val="8000"/>
          <c:min val="200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507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Location Wise</a:t>
            </a:r>
            <a:r>
              <a:rPr lang="en-IN" baseline="0">
                <a:solidFill>
                  <a:srgbClr val="C00000"/>
                </a:solidFill>
              </a:rPr>
              <a:t> Breakup</a:t>
            </a:r>
            <a:endParaRPr lang="en-IN">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dPt>
            <c:idx val="0"/>
            <c:bubble3D val="0"/>
            <c:spPr>
              <a:solidFill>
                <a:srgbClr val="EE2941"/>
              </a:solidFill>
              <a:ln w="19050">
                <a:solidFill>
                  <a:schemeClr val="lt1"/>
                </a:solidFill>
              </a:ln>
              <a:effectLst/>
            </c:spPr>
            <c:extLst>
              <c:ext xmlns:c16="http://schemas.microsoft.com/office/drawing/2014/chart" uri="{C3380CC4-5D6E-409C-BE32-E72D297353CC}">
                <c16:uniqueId val="{00000001-2A0A-4A01-8438-0533AACD039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2A0A-4A01-8438-0533AACD0394}"/>
              </c:ext>
            </c:extLst>
          </c:dPt>
          <c:dLbls>
            <c:dLbl>
              <c:idx val="0"/>
              <c:layout>
                <c:manualLayout>
                  <c:x val="4.4444444444444446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0A-4A01-8438-0533AACD0394}"/>
                </c:ext>
              </c:extLst>
            </c:dLbl>
            <c:dLbl>
              <c:idx val="1"/>
              <c:layout>
                <c:manualLayout>
                  <c:x val="-2.777777777777782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0A-4A01-8438-0533AACD039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Report!$S$13:$S$14</c:f>
              <c:strCache>
                <c:ptCount val="2"/>
                <c:pt idx="0">
                  <c:v>India</c:v>
                </c:pt>
                <c:pt idx="1">
                  <c:v>Rest of the world</c:v>
                </c:pt>
              </c:strCache>
            </c:strRef>
          </c:cat>
          <c:val>
            <c:numRef>
              <c:f>Report!$T$13:$T$14</c:f>
              <c:numCache>
                <c:formatCode>0.00%</c:formatCode>
                <c:ptCount val="2"/>
                <c:pt idx="0">
                  <c:v>0.85499999999999998</c:v>
                </c:pt>
                <c:pt idx="1">
                  <c:v>0.14499999999999999</c:v>
                </c:pt>
              </c:numCache>
            </c:numRef>
          </c:val>
          <c:extLst>
            <c:ext xmlns:c16="http://schemas.microsoft.com/office/drawing/2014/chart" uri="{C3380CC4-5D6E-409C-BE32-E72D297353CC}">
              <c16:uniqueId val="{00000000-2A0A-4A01-8438-0533AACD03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Global GDP Predictions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Report!$AD$35</c:f>
              <c:strCache>
                <c:ptCount val="1"/>
                <c:pt idx="0">
                  <c:v>2024A</c:v>
                </c:pt>
              </c:strCache>
            </c:strRef>
          </c:tx>
          <c:spPr>
            <a:solidFill>
              <a:schemeClr val="bg1">
                <a:lumMod val="75000"/>
              </a:schemeClr>
            </a:solidFill>
            <a:ln>
              <a:noFill/>
            </a:ln>
            <a:effectLst/>
          </c:spPr>
          <c:invertIfNegative val="0"/>
          <c:cat>
            <c:strRef>
              <c:f>Report!$AC$36:$AC$44</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Report!$AD$36:$AD$44</c:f>
              <c:numCache>
                <c:formatCode>0.00%</c:formatCode>
                <c:ptCount val="9"/>
                <c:pt idx="0">
                  <c:v>3.3000000000000002E-2</c:v>
                </c:pt>
                <c:pt idx="1">
                  <c:v>1.7999999999999999E-2</c:v>
                </c:pt>
                <c:pt idx="2">
                  <c:v>4.2999999999999997E-2</c:v>
                </c:pt>
                <c:pt idx="3">
                  <c:v>8.9999999999999993E-3</c:v>
                </c:pt>
                <c:pt idx="4">
                  <c:v>2.8000000000000001E-2</c:v>
                </c:pt>
                <c:pt idx="5">
                  <c:v>2E-3</c:v>
                </c:pt>
                <c:pt idx="6">
                  <c:v>1.0999999999999999E-2</c:v>
                </c:pt>
                <c:pt idx="7">
                  <c:v>0.05</c:v>
                </c:pt>
                <c:pt idx="8">
                  <c:v>6.5000000000000002E-2</c:v>
                </c:pt>
              </c:numCache>
            </c:numRef>
          </c:val>
          <c:extLst>
            <c:ext xmlns:c16="http://schemas.microsoft.com/office/drawing/2014/chart" uri="{C3380CC4-5D6E-409C-BE32-E72D297353CC}">
              <c16:uniqueId val="{00000000-01FA-475F-AA00-FD71B3FD218B}"/>
            </c:ext>
          </c:extLst>
        </c:ser>
        <c:ser>
          <c:idx val="1"/>
          <c:order val="1"/>
          <c:tx>
            <c:strRef>
              <c:f>Report!$AE$35</c:f>
              <c:strCache>
                <c:ptCount val="1"/>
                <c:pt idx="0">
                  <c:v>2025A</c:v>
                </c:pt>
              </c:strCache>
            </c:strRef>
          </c:tx>
          <c:spPr>
            <a:solidFill>
              <a:srgbClr val="FF9B9B"/>
            </a:solidFill>
            <a:ln>
              <a:noFill/>
            </a:ln>
            <a:effectLst/>
          </c:spPr>
          <c:invertIfNegative val="0"/>
          <c:cat>
            <c:strRef>
              <c:f>Report!$AC$36:$AC$44</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Report!$AE$36:$AE$44</c:f>
              <c:numCache>
                <c:formatCode>0.00%</c:formatCode>
                <c:ptCount val="9"/>
                <c:pt idx="0">
                  <c:v>0.03</c:v>
                </c:pt>
                <c:pt idx="1">
                  <c:v>1.4999999999999999E-2</c:v>
                </c:pt>
                <c:pt idx="2">
                  <c:v>4.1000000000000002E-2</c:v>
                </c:pt>
                <c:pt idx="3">
                  <c:v>0.01</c:v>
                </c:pt>
                <c:pt idx="4">
                  <c:v>1.9E-2</c:v>
                </c:pt>
                <c:pt idx="5">
                  <c:v>7.0000000000000001E-3</c:v>
                </c:pt>
                <c:pt idx="6">
                  <c:v>1.2E-2</c:v>
                </c:pt>
                <c:pt idx="7">
                  <c:v>4.8000000000000001E-2</c:v>
                </c:pt>
                <c:pt idx="8">
                  <c:v>6.4000000000000001E-2</c:v>
                </c:pt>
              </c:numCache>
            </c:numRef>
          </c:val>
          <c:extLst>
            <c:ext xmlns:c16="http://schemas.microsoft.com/office/drawing/2014/chart" uri="{C3380CC4-5D6E-409C-BE32-E72D297353CC}">
              <c16:uniqueId val="{00000001-01FA-475F-AA00-FD71B3FD218B}"/>
            </c:ext>
          </c:extLst>
        </c:ser>
        <c:ser>
          <c:idx val="2"/>
          <c:order val="2"/>
          <c:tx>
            <c:strRef>
              <c:f>Report!$AF$35</c:f>
              <c:strCache>
                <c:ptCount val="1"/>
                <c:pt idx="0">
                  <c:v>2026P</c:v>
                </c:pt>
              </c:strCache>
            </c:strRef>
          </c:tx>
          <c:spPr>
            <a:solidFill>
              <a:srgbClr val="FF0000"/>
            </a:solidFill>
            <a:ln>
              <a:noFill/>
            </a:ln>
            <a:effectLst/>
          </c:spPr>
          <c:invertIfNegative val="0"/>
          <c:cat>
            <c:strRef>
              <c:f>Report!$AC$36:$AC$44</c:f>
              <c:strCache>
                <c:ptCount val="9"/>
                <c:pt idx="0">
                  <c:v>World</c:v>
                </c:pt>
                <c:pt idx="1">
                  <c:v>Advanced Economies</c:v>
                </c:pt>
                <c:pt idx="2">
                  <c:v>Emerging Economies</c:v>
                </c:pt>
                <c:pt idx="3">
                  <c:v>Euro Area</c:v>
                </c:pt>
                <c:pt idx="4">
                  <c:v>US</c:v>
                </c:pt>
                <c:pt idx="5">
                  <c:v>Japan</c:v>
                </c:pt>
                <c:pt idx="6">
                  <c:v>UK</c:v>
                </c:pt>
                <c:pt idx="7">
                  <c:v>China</c:v>
                </c:pt>
                <c:pt idx="8">
                  <c:v>India</c:v>
                </c:pt>
              </c:strCache>
            </c:strRef>
          </c:cat>
          <c:val>
            <c:numRef>
              <c:f>Report!$AF$36:$AF$44</c:f>
              <c:numCache>
                <c:formatCode>0.00%</c:formatCode>
                <c:ptCount val="9"/>
                <c:pt idx="0">
                  <c:v>3.1E-2</c:v>
                </c:pt>
                <c:pt idx="1">
                  <c:v>1.6E-2</c:v>
                </c:pt>
                <c:pt idx="2">
                  <c:v>0.04</c:v>
                </c:pt>
                <c:pt idx="3">
                  <c:v>1.2E-2</c:v>
                </c:pt>
                <c:pt idx="4">
                  <c:v>0.02</c:v>
                </c:pt>
                <c:pt idx="5">
                  <c:v>5.0000000000000001E-3</c:v>
                </c:pt>
                <c:pt idx="6">
                  <c:v>1.4E-2</c:v>
                </c:pt>
                <c:pt idx="7">
                  <c:v>4.2000000000000003E-2</c:v>
                </c:pt>
                <c:pt idx="8">
                  <c:v>6.6000000000000003E-2</c:v>
                </c:pt>
              </c:numCache>
            </c:numRef>
          </c:val>
          <c:extLst>
            <c:ext xmlns:c16="http://schemas.microsoft.com/office/drawing/2014/chart" uri="{C3380CC4-5D6E-409C-BE32-E72D297353CC}">
              <c16:uniqueId val="{00000002-01FA-475F-AA00-FD71B3FD218B}"/>
            </c:ext>
          </c:extLst>
        </c:ser>
        <c:dLbls>
          <c:showLegendKey val="0"/>
          <c:showVal val="0"/>
          <c:showCatName val="0"/>
          <c:showSerName val="0"/>
          <c:showPercent val="0"/>
          <c:showBubbleSize val="0"/>
        </c:dLbls>
        <c:gapWidth val="182"/>
        <c:axId val="1917020480"/>
        <c:axId val="1917020960"/>
      </c:barChart>
      <c:catAx>
        <c:axId val="1917020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20960"/>
        <c:crosses val="autoZero"/>
        <c:auto val="1"/>
        <c:lblAlgn val="ctr"/>
        <c:lblOffset val="100"/>
        <c:noMultiLvlLbl val="0"/>
      </c:catAx>
      <c:valAx>
        <c:axId val="1917020960"/>
        <c:scaling>
          <c:orientation val="minMax"/>
          <c:min val="1.0000000000000002E-3"/>
        </c:scaling>
        <c:delete val="0"/>
        <c:axPos val="t"/>
        <c:numFmt formatCode="0.0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2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 vs Global GDP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Report!$AF$96</c:f>
              <c:strCache>
                <c:ptCount val="1"/>
                <c:pt idx="0">
                  <c:v>India's Growth Rate</c:v>
                </c:pt>
              </c:strCache>
            </c:strRef>
          </c:tx>
          <c:spPr>
            <a:solidFill>
              <a:srgbClr val="EE2941"/>
            </a:solidFill>
            <a:ln>
              <a:noFill/>
            </a:ln>
            <a:effectLst/>
          </c:spPr>
          <c:invertIfNegative val="0"/>
          <c:cat>
            <c:numRef>
              <c:f>Report!$AE$97:$AE$103</c:f>
              <c:numCache>
                <c:formatCode>0"A"</c:formatCode>
                <c:ptCount val="7"/>
                <c:pt idx="0">
                  <c:v>2020</c:v>
                </c:pt>
                <c:pt idx="1">
                  <c:v>2021</c:v>
                </c:pt>
                <c:pt idx="2">
                  <c:v>2022</c:v>
                </c:pt>
                <c:pt idx="3">
                  <c:v>2023</c:v>
                </c:pt>
                <c:pt idx="4">
                  <c:v>2024</c:v>
                </c:pt>
                <c:pt idx="5" formatCode="0&quot;P&quot;">
                  <c:v>2025</c:v>
                </c:pt>
                <c:pt idx="6" formatCode="0&quot;P&quot;">
                  <c:v>2026</c:v>
                </c:pt>
              </c:numCache>
            </c:numRef>
          </c:cat>
          <c:val>
            <c:numRef>
              <c:f>Report!$AF$97:$AF$103</c:f>
              <c:numCache>
                <c:formatCode>0.00%</c:formatCode>
                <c:ptCount val="7"/>
                <c:pt idx="0">
                  <c:v>-5.8000000000000003E-2</c:v>
                </c:pt>
                <c:pt idx="1">
                  <c:v>9.7000000000000003E-2</c:v>
                </c:pt>
                <c:pt idx="2">
                  <c:v>7.5999999999999998E-2</c:v>
                </c:pt>
                <c:pt idx="3">
                  <c:v>9.1999999999999998E-2</c:v>
                </c:pt>
                <c:pt idx="4">
                  <c:v>6.5000000000000002E-2</c:v>
                </c:pt>
                <c:pt idx="5">
                  <c:v>6.4000000000000001E-2</c:v>
                </c:pt>
                <c:pt idx="6">
                  <c:v>6.6000000000000003E-2</c:v>
                </c:pt>
              </c:numCache>
            </c:numRef>
          </c:val>
          <c:extLst>
            <c:ext xmlns:c16="http://schemas.microsoft.com/office/drawing/2014/chart" uri="{C3380CC4-5D6E-409C-BE32-E72D297353CC}">
              <c16:uniqueId val="{00000000-2167-4F72-800D-423E9E178B43}"/>
            </c:ext>
          </c:extLst>
        </c:ser>
        <c:dLbls>
          <c:showLegendKey val="0"/>
          <c:showVal val="0"/>
          <c:showCatName val="0"/>
          <c:showSerName val="0"/>
          <c:showPercent val="0"/>
          <c:showBubbleSize val="0"/>
        </c:dLbls>
        <c:gapWidth val="219"/>
        <c:axId val="1529249103"/>
        <c:axId val="1529245263"/>
      </c:barChart>
      <c:lineChart>
        <c:grouping val="standard"/>
        <c:varyColors val="0"/>
        <c:ser>
          <c:idx val="1"/>
          <c:order val="1"/>
          <c:tx>
            <c:strRef>
              <c:f>Report!$AG$96</c:f>
              <c:strCache>
                <c:ptCount val="1"/>
                <c:pt idx="0">
                  <c:v>Global Growth Rate</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cat>
            <c:numRef>
              <c:f>Report!$AE$97:$AE$103</c:f>
              <c:numCache>
                <c:formatCode>0"A"</c:formatCode>
                <c:ptCount val="7"/>
                <c:pt idx="0">
                  <c:v>2020</c:v>
                </c:pt>
                <c:pt idx="1">
                  <c:v>2021</c:v>
                </c:pt>
                <c:pt idx="2">
                  <c:v>2022</c:v>
                </c:pt>
                <c:pt idx="3">
                  <c:v>2023</c:v>
                </c:pt>
                <c:pt idx="4">
                  <c:v>2024</c:v>
                </c:pt>
                <c:pt idx="5" formatCode="0&quot;P&quot;">
                  <c:v>2025</c:v>
                </c:pt>
                <c:pt idx="6" formatCode="0&quot;P&quot;">
                  <c:v>2026</c:v>
                </c:pt>
              </c:numCache>
            </c:numRef>
          </c:cat>
          <c:val>
            <c:numRef>
              <c:f>Report!$AG$97:$AG$103</c:f>
              <c:numCache>
                <c:formatCode>0.00%</c:formatCode>
                <c:ptCount val="7"/>
                <c:pt idx="0">
                  <c:v>-2.8000000000000001E-2</c:v>
                </c:pt>
                <c:pt idx="1">
                  <c:v>6.4000000000000001E-2</c:v>
                </c:pt>
                <c:pt idx="2">
                  <c:v>3.4000000000000002E-2</c:v>
                </c:pt>
                <c:pt idx="3">
                  <c:v>2.9000000000000001E-2</c:v>
                </c:pt>
                <c:pt idx="4">
                  <c:v>2.9000000000000001E-2</c:v>
                </c:pt>
                <c:pt idx="5" formatCode="0%">
                  <c:v>0.03</c:v>
                </c:pt>
                <c:pt idx="6">
                  <c:v>3.1E-2</c:v>
                </c:pt>
              </c:numCache>
            </c:numRef>
          </c:val>
          <c:smooth val="0"/>
          <c:extLst>
            <c:ext xmlns:c16="http://schemas.microsoft.com/office/drawing/2014/chart" uri="{C3380CC4-5D6E-409C-BE32-E72D297353CC}">
              <c16:uniqueId val="{00000001-2167-4F72-800D-423E9E178B43}"/>
            </c:ext>
          </c:extLst>
        </c:ser>
        <c:dLbls>
          <c:showLegendKey val="0"/>
          <c:showVal val="0"/>
          <c:showCatName val="0"/>
          <c:showSerName val="0"/>
          <c:showPercent val="0"/>
          <c:showBubbleSize val="0"/>
        </c:dLbls>
        <c:marker val="1"/>
        <c:smooth val="0"/>
        <c:axId val="1529263023"/>
        <c:axId val="1529247663"/>
      </c:lineChart>
      <c:catAx>
        <c:axId val="1529249103"/>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45263"/>
        <c:crosses val="autoZero"/>
        <c:auto val="1"/>
        <c:lblAlgn val="ctr"/>
        <c:lblOffset val="100"/>
        <c:noMultiLvlLbl val="0"/>
      </c:catAx>
      <c:valAx>
        <c:axId val="1529245263"/>
        <c:scaling>
          <c:orientation val="minMax"/>
        </c:scaling>
        <c:delete val="1"/>
        <c:axPos val="l"/>
        <c:numFmt formatCode="0.00%" sourceLinked="1"/>
        <c:majorTickMark val="none"/>
        <c:minorTickMark val="none"/>
        <c:tickLblPos val="nextTo"/>
        <c:crossAx val="1529249103"/>
        <c:crosses val="autoZero"/>
        <c:crossBetween val="between"/>
      </c:valAx>
      <c:valAx>
        <c:axId val="1529247663"/>
        <c:scaling>
          <c:orientation val="minMax"/>
        </c:scaling>
        <c:delete val="1"/>
        <c:axPos val="r"/>
        <c:numFmt formatCode="0.00%" sourceLinked="1"/>
        <c:majorTickMark val="out"/>
        <c:minorTickMark val="none"/>
        <c:tickLblPos val="nextTo"/>
        <c:crossAx val="1529263023"/>
        <c:crosses val="max"/>
        <c:crossBetween val="between"/>
      </c:valAx>
      <c:catAx>
        <c:axId val="1529263023"/>
        <c:scaling>
          <c:orientation val="minMax"/>
        </c:scaling>
        <c:delete val="1"/>
        <c:axPos val="b"/>
        <c:numFmt formatCode="0&quot;A&quot;" sourceLinked="1"/>
        <c:majorTickMark val="out"/>
        <c:minorTickMark val="none"/>
        <c:tickLblPos val="nextTo"/>
        <c:crossAx val="1529247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India's</a:t>
            </a:r>
            <a:r>
              <a:rPr lang="en-IN" baseline="0"/>
              <a:t> Quarterly GDP Growth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EE2941"/>
            </a:solidFill>
            <a:ln>
              <a:noFill/>
            </a:ln>
            <a:effectLst/>
          </c:spPr>
          <c:invertIfNegative val="0"/>
          <c:cat>
            <c:strRef>
              <c:f>Report!$AE$108:$AE$116</c:f>
              <c:strCache>
                <c:ptCount val="9"/>
                <c:pt idx="0">
                  <c:v>Q2FY24</c:v>
                </c:pt>
                <c:pt idx="1">
                  <c:v>Q3FY24</c:v>
                </c:pt>
                <c:pt idx="2">
                  <c:v>Q4FY24</c:v>
                </c:pt>
                <c:pt idx="3">
                  <c:v>Q1FY25</c:v>
                </c:pt>
                <c:pt idx="4">
                  <c:v>Q2FY25</c:v>
                </c:pt>
                <c:pt idx="5">
                  <c:v>Q3FY25</c:v>
                </c:pt>
                <c:pt idx="6">
                  <c:v>Q4FY25</c:v>
                </c:pt>
                <c:pt idx="7">
                  <c:v>Q1FY26</c:v>
                </c:pt>
                <c:pt idx="8">
                  <c:v>Q2FY26</c:v>
                </c:pt>
              </c:strCache>
            </c:strRef>
          </c:cat>
          <c:val>
            <c:numRef>
              <c:f>Report!$AF$108:$AF$116</c:f>
              <c:numCache>
                <c:formatCode>0.00%</c:formatCode>
                <c:ptCount val="9"/>
                <c:pt idx="0">
                  <c:v>9.2999999999999999E-2</c:v>
                </c:pt>
                <c:pt idx="1">
                  <c:v>9.5000000000000001E-2</c:v>
                </c:pt>
                <c:pt idx="2">
                  <c:v>8.4000000000000005E-2</c:v>
                </c:pt>
                <c:pt idx="3">
                  <c:v>6.5000000000000002E-2</c:v>
                </c:pt>
                <c:pt idx="4">
                  <c:v>5.6000000000000001E-2</c:v>
                </c:pt>
                <c:pt idx="5">
                  <c:v>6.4000000000000001E-2</c:v>
                </c:pt>
                <c:pt idx="6">
                  <c:v>7.3999999999999996E-2</c:v>
                </c:pt>
                <c:pt idx="7">
                  <c:v>7.8E-2</c:v>
                </c:pt>
                <c:pt idx="8">
                  <c:v>8.2000000000000003E-2</c:v>
                </c:pt>
              </c:numCache>
            </c:numRef>
          </c:val>
          <c:extLst>
            <c:ext xmlns:c16="http://schemas.microsoft.com/office/drawing/2014/chart" uri="{C3380CC4-5D6E-409C-BE32-E72D297353CC}">
              <c16:uniqueId val="{00000000-B25C-40DC-80D3-3C9A93138592}"/>
            </c:ext>
          </c:extLst>
        </c:ser>
        <c:dLbls>
          <c:showLegendKey val="0"/>
          <c:showVal val="0"/>
          <c:showCatName val="0"/>
          <c:showSerName val="0"/>
          <c:showPercent val="0"/>
          <c:showBubbleSize val="0"/>
        </c:dLbls>
        <c:gapWidth val="219"/>
        <c:overlap val="-27"/>
        <c:axId val="1529229423"/>
        <c:axId val="1529223183"/>
      </c:barChart>
      <c:catAx>
        <c:axId val="152922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23183"/>
        <c:crosses val="autoZero"/>
        <c:auto val="1"/>
        <c:lblAlgn val="ctr"/>
        <c:lblOffset val="100"/>
        <c:noMultiLvlLbl val="0"/>
      </c:catAx>
      <c:valAx>
        <c:axId val="1529223183"/>
        <c:scaling>
          <c:orientation val="minMax"/>
          <c:min val="2.0000000000000004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294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Two Wheeler</a:t>
            </a:r>
            <a:r>
              <a:rPr lang="en-IN" baseline="0"/>
              <a:t> </a:t>
            </a:r>
            <a:r>
              <a:rPr lang="en-IN"/>
              <a:t>Domestic Sales</a:t>
            </a:r>
            <a:r>
              <a:rPr lang="en-IN" baseline="0"/>
              <a:t> (Units in '000)</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EE2941"/>
            </a:solidFill>
            <a:ln>
              <a:noFill/>
            </a:ln>
            <a:effectLst/>
          </c:spPr>
          <c:invertIfNegative val="0"/>
          <c:cat>
            <c:strRef>
              <c:f>Report!$AI$167:$AI$171</c:f>
              <c:strCache>
                <c:ptCount val="5"/>
                <c:pt idx="0">
                  <c:v>2020-21</c:v>
                </c:pt>
                <c:pt idx="1">
                  <c:v>2021-22</c:v>
                </c:pt>
                <c:pt idx="2">
                  <c:v>2022-23</c:v>
                </c:pt>
                <c:pt idx="3">
                  <c:v>2023-24</c:v>
                </c:pt>
                <c:pt idx="4">
                  <c:v>2024-25</c:v>
                </c:pt>
              </c:strCache>
            </c:strRef>
          </c:cat>
          <c:val>
            <c:numRef>
              <c:f>Report!$AJ$167:$AJ$171</c:f>
              <c:numCache>
                <c:formatCode>General</c:formatCode>
                <c:ptCount val="5"/>
                <c:pt idx="0">
                  <c:v>15121</c:v>
                </c:pt>
                <c:pt idx="1">
                  <c:v>13570</c:v>
                </c:pt>
                <c:pt idx="2">
                  <c:v>15863</c:v>
                </c:pt>
                <c:pt idx="3">
                  <c:v>17974</c:v>
                </c:pt>
                <c:pt idx="4">
                  <c:v>19607</c:v>
                </c:pt>
              </c:numCache>
            </c:numRef>
          </c:val>
          <c:extLst>
            <c:ext xmlns:c16="http://schemas.microsoft.com/office/drawing/2014/chart" uri="{C3380CC4-5D6E-409C-BE32-E72D297353CC}">
              <c16:uniqueId val="{00000000-4A81-4BB2-B483-FE790E8F42D2}"/>
            </c:ext>
          </c:extLst>
        </c:ser>
        <c:dLbls>
          <c:showLegendKey val="0"/>
          <c:showVal val="0"/>
          <c:showCatName val="0"/>
          <c:showSerName val="0"/>
          <c:showPercent val="0"/>
          <c:showBubbleSize val="0"/>
        </c:dLbls>
        <c:gapWidth val="219"/>
        <c:overlap val="-27"/>
        <c:axId val="1529214543"/>
        <c:axId val="1529232303"/>
      </c:barChart>
      <c:catAx>
        <c:axId val="152921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32303"/>
        <c:crosses val="autoZero"/>
        <c:auto val="1"/>
        <c:lblAlgn val="ctr"/>
        <c:lblOffset val="100"/>
        <c:noMultiLvlLbl val="0"/>
      </c:catAx>
      <c:valAx>
        <c:axId val="1529232303"/>
        <c:scaling>
          <c:orientation val="minMax"/>
          <c:min val="5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14543"/>
        <c:crosses val="autoZero"/>
        <c:crossBetween val="between"/>
        <c:majorUnit val="5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0" i="0" u="none" strike="noStrike" kern="1200" spc="0" baseline="0">
                <a:solidFill>
                  <a:sysClr val="windowText" lastClr="000000">
                    <a:lumMod val="65000"/>
                    <a:lumOff val="35000"/>
                  </a:sysClr>
                </a:solidFill>
              </a:rPr>
              <a:t>Two Wheeler Exports (Units in '000)</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EE2941"/>
            </a:solidFill>
            <a:ln>
              <a:noFill/>
            </a:ln>
            <a:effectLst/>
          </c:spPr>
          <c:invertIfNegative val="0"/>
          <c:cat>
            <c:strRef>
              <c:f>Report!$AI$174:$AI$178</c:f>
              <c:strCache>
                <c:ptCount val="5"/>
                <c:pt idx="0">
                  <c:v>2020-21</c:v>
                </c:pt>
                <c:pt idx="1">
                  <c:v>2021-22</c:v>
                </c:pt>
                <c:pt idx="2">
                  <c:v>2022-23</c:v>
                </c:pt>
                <c:pt idx="3">
                  <c:v>2023-24</c:v>
                </c:pt>
                <c:pt idx="4">
                  <c:v>2024-25</c:v>
                </c:pt>
              </c:strCache>
            </c:strRef>
          </c:cat>
          <c:val>
            <c:numRef>
              <c:f>Report!$AJ$174:$AJ$178</c:f>
              <c:numCache>
                <c:formatCode>General</c:formatCode>
                <c:ptCount val="5"/>
                <c:pt idx="0">
                  <c:v>3283</c:v>
                </c:pt>
                <c:pt idx="1">
                  <c:v>4443</c:v>
                </c:pt>
                <c:pt idx="2">
                  <c:v>3652</c:v>
                </c:pt>
                <c:pt idx="3">
                  <c:v>3458</c:v>
                </c:pt>
                <c:pt idx="4">
                  <c:v>4198</c:v>
                </c:pt>
              </c:numCache>
            </c:numRef>
          </c:val>
          <c:extLst>
            <c:ext xmlns:c16="http://schemas.microsoft.com/office/drawing/2014/chart" uri="{C3380CC4-5D6E-409C-BE32-E72D297353CC}">
              <c16:uniqueId val="{00000000-B39A-4993-BCA5-23092DF9DF43}"/>
            </c:ext>
          </c:extLst>
        </c:ser>
        <c:dLbls>
          <c:showLegendKey val="0"/>
          <c:showVal val="0"/>
          <c:showCatName val="0"/>
          <c:showSerName val="0"/>
          <c:showPercent val="0"/>
          <c:showBubbleSize val="0"/>
        </c:dLbls>
        <c:gapWidth val="219"/>
        <c:overlap val="-27"/>
        <c:axId val="1529225103"/>
        <c:axId val="1529231823"/>
      </c:barChart>
      <c:catAx>
        <c:axId val="152922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29231823"/>
        <c:crosses val="autoZero"/>
        <c:auto val="1"/>
        <c:lblAlgn val="ctr"/>
        <c:lblOffset val="100"/>
        <c:noMultiLvlLbl val="0"/>
      </c:catAx>
      <c:valAx>
        <c:axId val="1529231823"/>
        <c:scaling>
          <c:orientation val="minMax"/>
          <c:min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29225103"/>
        <c:crosses val="autoZero"/>
        <c:crossBetween val="between"/>
        <c:majorUnit val="1000"/>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CAPEX (in Crores)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EE294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Report!$AJ$285:$AJ$290</c:f>
              <c:numCache>
                <c:formatCode>0"A"</c:formatCode>
                <c:ptCount val="6"/>
                <c:pt idx="0">
                  <c:v>2020</c:v>
                </c:pt>
                <c:pt idx="1">
                  <c:v>2021</c:v>
                </c:pt>
                <c:pt idx="2">
                  <c:v>2022</c:v>
                </c:pt>
                <c:pt idx="3">
                  <c:v>2023</c:v>
                </c:pt>
                <c:pt idx="4">
                  <c:v>2024</c:v>
                </c:pt>
                <c:pt idx="5">
                  <c:v>2025</c:v>
                </c:pt>
              </c:numCache>
            </c:numRef>
          </c:cat>
          <c:val>
            <c:numRef>
              <c:f>Report!$AK$285:$AK$290</c:f>
              <c:numCache>
                <c:formatCode>General</c:formatCode>
                <c:ptCount val="6"/>
                <c:pt idx="0">
                  <c:v>544</c:v>
                </c:pt>
                <c:pt idx="1">
                  <c:v>521</c:v>
                </c:pt>
                <c:pt idx="2">
                  <c:v>629</c:v>
                </c:pt>
                <c:pt idx="3">
                  <c:v>654</c:v>
                </c:pt>
                <c:pt idx="4">
                  <c:v>808</c:v>
                </c:pt>
                <c:pt idx="5">
                  <c:v>1010</c:v>
                </c:pt>
              </c:numCache>
            </c:numRef>
          </c:val>
          <c:extLst>
            <c:ext xmlns:c16="http://schemas.microsoft.com/office/drawing/2014/chart" uri="{C3380CC4-5D6E-409C-BE32-E72D297353CC}">
              <c16:uniqueId val="{00000000-5E1B-4445-800D-34E5EE7BBF50}"/>
            </c:ext>
          </c:extLst>
        </c:ser>
        <c:dLbls>
          <c:showLegendKey val="0"/>
          <c:showVal val="0"/>
          <c:showCatName val="0"/>
          <c:showSerName val="0"/>
          <c:showPercent val="0"/>
          <c:showBubbleSize val="0"/>
        </c:dLbls>
        <c:gapWidth val="219"/>
        <c:overlap val="-27"/>
        <c:axId val="1529219823"/>
        <c:axId val="1529236623"/>
      </c:barChart>
      <c:catAx>
        <c:axId val="1529219823"/>
        <c:scaling>
          <c:orientation val="minMax"/>
        </c:scaling>
        <c:delete val="0"/>
        <c:axPos val="b"/>
        <c:numFmt formatCode="0&quot;A&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36623"/>
        <c:crosses val="autoZero"/>
        <c:auto val="1"/>
        <c:lblAlgn val="ctr"/>
        <c:lblOffset val="100"/>
        <c:noMultiLvlLbl val="0"/>
      </c:catAx>
      <c:valAx>
        <c:axId val="1529236623"/>
        <c:scaling>
          <c:orientation val="minMax"/>
          <c:min val="2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19823"/>
        <c:crosses val="autoZero"/>
        <c:crossBetween val="between"/>
        <c:majorUnit val="2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Report!$AK$95</c:f>
              <c:strCache>
                <c:ptCount val="1"/>
                <c:pt idx="0">
                  <c:v>Revenue</c:v>
                </c:pt>
              </c:strCache>
            </c:strRef>
          </c:tx>
          <c:spPr>
            <a:solidFill>
              <a:srgbClr val="EE2941"/>
            </a:solidFill>
            <a:ln>
              <a:noFill/>
            </a:ln>
            <a:effectLst/>
          </c:spPr>
          <c:invertIfNegative val="0"/>
          <c:cat>
            <c:numRef>
              <c:f>Report!$AN$94:$AW$94</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Report!$AN$95:$AW$95</c:f>
              <c:numCache>
                <c:formatCode>General</c:formatCode>
                <c:ptCount val="10"/>
                <c:pt idx="0">
                  <c:v>8720.35</c:v>
                </c:pt>
                <c:pt idx="1">
                  <c:v>10297.83</c:v>
                </c:pt>
                <c:pt idx="2">
                  <c:v>14442.18</c:v>
                </c:pt>
                <c:pt idx="3">
                  <c:v>16535.78</c:v>
                </c:pt>
                <c:pt idx="4">
                  <c:v>18870.349999999999</c:v>
                </c:pt>
                <c:pt idx="5" formatCode="0">
                  <c:v>21700.902499999997</c:v>
                </c:pt>
                <c:pt idx="6" formatCode="0">
                  <c:v>24793.281106249997</c:v>
                </c:pt>
                <c:pt idx="7" formatCode="0">
                  <c:v>28140.374055593747</c:v>
                </c:pt>
                <c:pt idx="8" formatCode="0">
                  <c:v>31728.271747681949</c:v>
                </c:pt>
                <c:pt idx="9" formatCode="0">
                  <c:v>35535.664357403788</c:v>
                </c:pt>
              </c:numCache>
            </c:numRef>
          </c:val>
          <c:extLst>
            <c:ext xmlns:c16="http://schemas.microsoft.com/office/drawing/2014/chart" uri="{C3380CC4-5D6E-409C-BE32-E72D297353CC}">
              <c16:uniqueId val="{00000000-55C1-43F0-847D-C9C17313B3CA}"/>
            </c:ext>
          </c:extLst>
        </c:ser>
        <c:dLbls>
          <c:showLegendKey val="0"/>
          <c:showVal val="0"/>
          <c:showCatName val="0"/>
          <c:showSerName val="0"/>
          <c:showPercent val="0"/>
          <c:showBubbleSize val="0"/>
        </c:dLbls>
        <c:gapWidth val="219"/>
        <c:overlap val="-27"/>
        <c:axId val="1645659295"/>
        <c:axId val="1645646815"/>
      </c:barChart>
      <c:lineChart>
        <c:grouping val="standard"/>
        <c:varyColors val="0"/>
        <c:ser>
          <c:idx val="1"/>
          <c:order val="1"/>
          <c:tx>
            <c:strRef>
              <c:f>Report!$AK$96</c:f>
              <c:strCache>
                <c:ptCount val="1"/>
                <c:pt idx="0">
                  <c:v>Revenue Growth</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cat>
            <c:numRef>
              <c:f>Report!$AN$94:$AW$94</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Report!$AN$96:$AW$96</c:f>
              <c:numCache>
                <c:formatCode>0%</c:formatCode>
                <c:ptCount val="10"/>
                <c:pt idx="0">
                  <c:v>-4.732902318000165E-2</c:v>
                </c:pt>
                <c:pt idx="1">
                  <c:v>0.18089640897441028</c:v>
                </c:pt>
                <c:pt idx="2">
                  <c:v>0.40244886544058311</c:v>
                </c:pt>
                <c:pt idx="3">
                  <c:v>0.14496426439775711</c:v>
                </c:pt>
                <c:pt idx="4">
                  <c:v>0.14118293784750402</c:v>
                </c:pt>
                <c:pt idx="5">
                  <c:v>0.14999999999999991</c:v>
                </c:pt>
                <c:pt idx="6">
                  <c:v>0.14250000000000007</c:v>
                </c:pt>
                <c:pt idx="7">
                  <c:v>0.13500000000000001</c:v>
                </c:pt>
                <c:pt idx="8">
                  <c:v>0.12749999999999995</c:v>
                </c:pt>
                <c:pt idx="9">
                  <c:v>0.12000000000000011</c:v>
                </c:pt>
              </c:numCache>
            </c:numRef>
          </c:val>
          <c:smooth val="0"/>
          <c:extLst>
            <c:ext xmlns:c16="http://schemas.microsoft.com/office/drawing/2014/chart" uri="{C3380CC4-5D6E-409C-BE32-E72D297353CC}">
              <c16:uniqueId val="{00000001-55C1-43F0-847D-C9C17313B3CA}"/>
            </c:ext>
          </c:extLst>
        </c:ser>
        <c:dLbls>
          <c:showLegendKey val="0"/>
          <c:showVal val="0"/>
          <c:showCatName val="0"/>
          <c:showSerName val="0"/>
          <c:showPercent val="0"/>
          <c:showBubbleSize val="0"/>
        </c:dLbls>
        <c:marker val="1"/>
        <c:smooth val="0"/>
        <c:axId val="1645660255"/>
        <c:axId val="1645645375"/>
      </c:lineChart>
      <c:catAx>
        <c:axId val="164565929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46815"/>
        <c:crosses val="autoZero"/>
        <c:auto val="1"/>
        <c:lblAlgn val="ctr"/>
        <c:lblOffset val="100"/>
        <c:noMultiLvlLbl val="0"/>
      </c:catAx>
      <c:valAx>
        <c:axId val="1645646815"/>
        <c:scaling>
          <c:orientation val="minMax"/>
          <c:min val="2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59295"/>
        <c:crosses val="autoZero"/>
        <c:crossBetween val="between"/>
      </c:valAx>
      <c:valAx>
        <c:axId val="164564537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60255"/>
        <c:crosses val="max"/>
        <c:crossBetween val="between"/>
      </c:valAx>
      <c:catAx>
        <c:axId val="1645660255"/>
        <c:scaling>
          <c:orientation val="minMax"/>
        </c:scaling>
        <c:delete val="1"/>
        <c:axPos val="b"/>
        <c:numFmt formatCode="0&quot;A&quot;" sourceLinked="1"/>
        <c:majorTickMark val="none"/>
        <c:minorTickMark val="none"/>
        <c:tickLblPos val="nextTo"/>
        <c:crossAx val="16456453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Report!$AK$102</c:f>
              <c:strCache>
                <c:ptCount val="1"/>
                <c:pt idx="0">
                  <c:v>Gross Profit</c:v>
                </c:pt>
              </c:strCache>
            </c:strRef>
          </c:tx>
          <c:spPr>
            <a:solidFill>
              <a:srgbClr val="EE2941"/>
            </a:solidFill>
            <a:ln>
              <a:noFill/>
            </a:ln>
            <a:effectLst/>
          </c:spPr>
          <c:invertIfNegative val="0"/>
          <c:cat>
            <c:numRef>
              <c:f>Report!$AL$101:$AU$101</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Report!$AL$102:$AU$102</c:f>
              <c:numCache>
                <c:formatCode>0</c:formatCode>
                <c:ptCount val="10"/>
                <c:pt idx="0">
                  <c:v>3608.08</c:v>
                </c:pt>
                <c:pt idx="1">
                  <c:v>4342.1500000000005</c:v>
                </c:pt>
                <c:pt idx="2">
                  <c:v>6230.2800000000007</c:v>
                </c:pt>
                <c:pt idx="3">
                  <c:v>7555.1299999999992</c:v>
                </c:pt>
                <c:pt idx="4">
                  <c:v>8573.2699999999986</c:v>
                </c:pt>
                <c:pt idx="5">
                  <c:v>9765.4061249999977</c:v>
                </c:pt>
                <c:pt idx="6">
                  <c:v>11156.976497812497</c:v>
                </c:pt>
                <c:pt idx="7">
                  <c:v>12663.168325017185</c:v>
                </c:pt>
                <c:pt idx="8">
                  <c:v>14277.722286456876</c:v>
                </c:pt>
                <c:pt idx="9">
                  <c:v>16133.191618261317</c:v>
                </c:pt>
              </c:numCache>
            </c:numRef>
          </c:val>
          <c:extLst>
            <c:ext xmlns:c16="http://schemas.microsoft.com/office/drawing/2014/chart" uri="{C3380CC4-5D6E-409C-BE32-E72D297353CC}">
              <c16:uniqueId val="{00000000-FA14-4B9F-8311-BA466B08533C}"/>
            </c:ext>
          </c:extLst>
        </c:ser>
        <c:dLbls>
          <c:showLegendKey val="0"/>
          <c:showVal val="0"/>
          <c:showCatName val="0"/>
          <c:showSerName val="0"/>
          <c:showPercent val="0"/>
          <c:showBubbleSize val="0"/>
        </c:dLbls>
        <c:gapWidth val="219"/>
        <c:overlap val="-27"/>
        <c:axId val="1645650655"/>
        <c:axId val="1645646335"/>
      </c:barChart>
      <c:catAx>
        <c:axId val="164565065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46335"/>
        <c:crosses val="autoZero"/>
        <c:auto val="1"/>
        <c:lblAlgn val="ctr"/>
        <c:lblOffset val="100"/>
        <c:noMultiLvlLbl val="0"/>
      </c:catAx>
      <c:valAx>
        <c:axId val="1645646335"/>
        <c:scaling>
          <c:orientation val="minMax"/>
          <c:min val="2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506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Report!$AK$109</c:f>
              <c:strCache>
                <c:ptCount val="1"/>
                <c:pt idx="0">
                  <c:v>Gross Margins</c:v>
                </c:pt>
              </c:strCache>
            </c:strRef>
          </c:tx>
          <c:spPr>
            <a:solidFill>
              <a:srgbClr val="EE2941"/>
            </a:solidFill>
            <a:ln>
              <a:noFill/>
            </a:ln>
            <a:effectLst/>
          </c:spPr>
          <c:invertIfNegative val="0"/>
          <c:cat>
            <c:numRef>
              <c:f>Report!$AL$108:$AU$108</c:f>
              <c:numCache>
                <c:formatCode>0"A"</c:formatCode>
                <c:ptCount val="10"/>
                <c:pt idx="0">
                  <c:v>2021</c:v>
                </c:pt>
                <c:pt idx="1">
                  <c:v>2022</c:v>
                </c:pt>
                <c:pt idx="2">
                  <c:v>2023</c:v>
                </c:pt>
                <c:pt idx="3">
                  <c:v>2024</c:v>
                </c:pt>
                <c:pt idx="4">
                  <c:v>2025</c:v>
                </c:pt>
                <c:pt idx="5" formatCode="0&quot;F&quot;">
                  <c:v>2026</c:v>
                </c:pt>
                <c:pt idx="6" formatCode="0&quot;F&quot;">
                  <c:v>2027</c:v>
                </c:pt>
                <c:pt idx="7" formatCode="0&quot;F&quot;">
                  <c:v>2028</c:v>
                </c:pt>
                <c:pt idx="8" formatCode="0&quot;F&quot;">
                  <c:v>2029</c:v>
                </c:pt>
                <c:pt idx="9" formatCode="0&quot;F&quot;">
                  <c:v>2030</c:v>
                </c:pt>
              </c:numCache>
            </c:numRef>
          </c:cat>
          <c:val>
            <c:numRef>
              <c:f>Report!$AL$109:$AU$109</c:f>
              <c:numCache>
                <c:formatCode>0%</c:formatCode>
                <c:ptCount val="10"/>
                <c:pt idx="0">
                  <c:v>0.41375403510180209</c:v>
                </c:pt>
                <c:pt idx="1">
                  <c:v>0.42165679565500697</c:v>
                </c:pt>
                <c:pt idx="2">
                  <c:v>0.43139470633934768</c:v>
                </c:pt>
                <c:pt idx="3">
                  <c:v>0.45689589484136822</c:v>
                </c:pt>
                <c:pt idx="4">
                  <c:v>0.45432490653326513</c:v>
                </c:pt>
                <c:pt idx="5">
                  <c:v>0.44999999999999996</c:v>
                </c:pt>
                <c:pt idx="6">
                  <c:v>0.4499999999999999</c:v>
                </c:pt>
                <c:pt idx="7">
                  <c:v>0.44999999999999996</c:v>
                </c:pt>
                <c:pt idx="8">
                  <c:v>0.44999999999999996</c:v>
                </c:pt>
                <c:pt idx="9">
                  <c:v>0.4539999999999999</c:v>
                </c:pt>
              </c:numCache>
            </c:numRef>
          </c:val>
          <c:extLst>
            <c:ext xmlns:c16="http://schemas.microsoft.com/office/drawing/2014/chart" uri="{C3380CC4-5D6E-409C-BE32-E72D297353CC}">
              <c16:uniqueId val="{00000000-F726-4ADA-A770-DFE89D93DF65}"/>
            </c:ext>
          </c:extLst>
        </c:ser>
        <c:dLbls>
          <c:showLegendKey val="0"/>
          <c:showVal val="0"/>
          <c:showCatName val="0"/>
          <c:showSerName val="0"/>
          <c:showPercent val="0"/>
          <c:showBubbleSize val="0"/>
        </c:dLbls>
        <c:gapWidth val="219"/>
        <c:overlap val="-27"/>
        <c:axId val="1645677055"/>
        <c:axId val="1645676575"/>
      </c:barChart>
      <c:catAx>
        <c:axId val="164567705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76575"/>
        <c:crosses val="autoZero"/>
        <c:auto val="1"/>
        <c:lblAlgn val="ctr"/>
        <c:lblOffset val="100"/>
        <c:noMultiLvlLbl val="0"/>
      </c:catAx>
      <c:valAx>
        <c:axId val="1645676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77055"/>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SG&amp;A % Revenue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Report!$AX$165</c:f>
              <c:strCache>
                <c:ptCount val="1"/>
                <c:pt idx="0">
                  <c:v>SG&amp;A Expenses</c:v>
                </c:pt>
              </c:strCache>
            </c:strRef>
          </c:tx>
          <c:spPr>
            <a:solidFill>
              <a:srgbClr val="EE2941"/>
            </a:solidFill>
            <a:ln>
              <a:noFill/>
            </a:ln>
            <a:effectLst/>
          </c:spPr>
          <c:invertIfNegative val="0"/>
          <c:cat>
            <c:numRef>
              <c:f>Report!$AY$164:$BE$164</c:f>
              <c:numCache>
                <c:formatCode>General</c:formatCode>
                <c:ptCount val="7"/>
                <c:pt idx="0">
                  <c:v>2019</c:v>
                </c:pt>
                <c:pt idx="1">
                  <c:v>2020</c:v>
                </c:pt>
                <c:pt idx="2">
                  <c:v>2021</c:v>
                </c:pt>
                <c:pt idx="3">
                  <c:v>2022</c:v>
                </c:pt>
                <c:pt idx="4">
                  <c:v>2023</c:v>
                </c:pt>
                <c:pt idx="5">
                  <c:v>2024</c:v>
                </c:pt>
                <c:pt idx="6">
                  <c:v>2025</c:v>
                </c:pt>
              </c:numCache>
            </c:numRef>
          </c:cat>
          <c:val>
            <c:numRef>
              <c:f>Report!$AY$165:$BE$165</c:f>
              <c:numCache>
                <c:formatCode>0</c:formatCode>
                <c:ptCount val="7"/>
                <c:pt idx="0">
                  <c:v>1822.4500000000003</c:v>
                </c:pt>
                <c:pt idx="1">
                  <c:v>1959.3300000000002</c:v>
                </c:pt>
                <c:pt idx="2">
                  <c:v>1818.3499999999997</c:v>
                </c:pt>
                <c:pt idx="3">
                  <c:v>2169.8999999999996</c:v>
                </c:pt>
                <c:pt idx="4">
                  <c:v>2786.6999999999994</c:v>
                </c:pt>
                <c:pt idx="5">
                  <c:v>3228.2200000000003</c:v>
                </c:pt>
                <c:pt idx="6">
                  <c:v>3861.2400000000002</c:v>
                </c:pt>
              </c:numCache>
            </c:numRef>
          </c:val>
          <c:extLst>
            <c:ext xmlns:c16="http://schemas.microsoft.com/office/drawing/2014/chart" uri="{C3380CC4-5D6E-409C-BE32-E72D297353CC}">
              <c16:uniqueId val="{00000000-5AB1-4A52-88C0-78841EEF2FED}"/>
            </c:ext>
          </c:extLst>
        </c:ser>
        <c:dLbls>
          <c:showLegendKey val="0"/>
          <c:showVal val="0"/>
          <c:showCatName val="0"/>
          <c:showSerName val="0"/>
          <c:showPercent val="0"/>
          <c:showBubbleSize val="0"/>
        </c:dLbls>
        <c:gapWidth val="219"/>
        <c:overlap val="-27"/>
        <c:axId val="1256890159"/>
        <c:axId val="1256873839"/>
      </c:barChart>
      <c:lineChart>
        <c:grouping val="standard"/>
        <c:varyColors val="0"/>
        <c:ser>
          <c:idx val="1"/>
          <c:order val="1"/>
          <c:tx>
            <c:strRef>
              <c:f>Report!$AX$166</c:f>
              <c:strCache>
                <c:ptCount val="1"/>
                <c:pt idx="0">
                  <c:v>SG&amp;A % Revenue</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cat>
            <c:numRef>
              <c:f>Report!$AY$164:$BE$164</c:f>
              <c:numCache>
                <c:formatCode>General</c:formatCode>
                <c:ptCount val="7"/>
                <c:pt idx="0">
                  <c:v>2019</c:v>
                </c:pt>
                <c:pt idx="1">
                  <c:v>2020</c:v>
                </c:pt>
                <c:pt idx="2">
                  <c:v>2021</c:v>
                </c:pt>
                <c:pt idx="3">
                  <c:v>2022</c:v>
                </c:pt>
                <c:pt idx="4">
                  <c:v>2023</c:v>
                </c:pt>
                <c:pt idx="5">
                  <c:v>2024</c:v>
                </c:pt>
                <c:pt idx="6">
                  <c:v>2025</c:v>
                </c:pt>
              </c:numCache>
            </c:numRef>
          </c:cat>
          <c:val>
            <c:numRef>
              <c:f>Report!$AY$166:$BE$166</c:f>
              <c:numCache>
                <c:formatCode>0%</c:formatCode>
                <c:ptCount val="7"/>
                <c:pt idx="0">
                  <c:v>0.18602009174180822</c:v>
                </c:pt>
                <c:pt idx="1">
                  <c:v>0.21405067743986506</c:v>
                </c:pt>
                <c:pt idx="2">
                  <c:v>0.2094812708205519</c:v>
                </c:pt>
                <c:pt idx="3">
                  <c:v>0.21071429611869685</c:v>
                </c:pt>
                <c:pt idx="4">
                  <c:v>0.19295563412171846</c:v>
                </c:pt>
                <c:pt idx="5">
                  <c:v>0.19522635158426155</c:v>
                </c:pt>
                <c:pt idx="6">
                  <c:v>0.20461941617405086</c:v>
                </c:pt>
              </c:numCache>
            </c:numRef>
          </c:val>
          <c:smooth val="0"/>
          <c:extLst>
            <c:ext xmlns:c16="http://schemas.microsoft.com/office/drawing/2014/chart" uri="{C3380CC4-5D6E-409C-BE32-E72D297353CC}">
              <c16:uniqueId val="{00000001-5AB1-4A52-88C0-78841EEF2FED}"/>
            </c:ext>
          </c:extLst>
        </c:ser>
        <c:dLbls>
          <c:showLegendKey val="0"/>
          <c:showVal val="0"/>
          <c:showCatName val="0"/>
          <c:showSerName val="0"/>
          <c:showPercent val="0"/>
          <c:showBubbleSize val="0"/>
        </c:dLbls>
        <c:marker val="1"/>
        <c:smooth val="0"/>
        <c:axId val="1256892079"/>
        <c:axId val="1256891119"/>
      </c:lineChart>
      <c:catAx>
        <c:axId val="125689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73839"/>
        <c:crosses val="autoZero"/>
        <c:auto val="1"/>
        <c:lblAlgn val="ctr"/>
        <c:lblOffset val="100"/>
        <c:noMultiLvlLbl val="0"/>
      </c:catAx>
      <c:valAx>
        <c:axId val="1256873839"/>
        <c:scaling>
          <c:orientation val="minMax"/>
          <c:min val="5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90159"/>
        <c:crosses val="autoZero"/>
        <c:crossBetween val="between"/>
      </c:valAx>
      <c:valAx>
        <c:axId val="125689111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892079"/>
        <c:crosses val="max"/>
        <c:crossBetween val="between"/>
      </c:valAx>
      <c:catAx>
        <c:axId val="1256892079"/>
        <c:scaling>
          <c:orientation val="minMax"/>
        </c:scaling>
        <c:delete val="1"/>
        <c:axPos val="b"/>
        <c:numFmt formatCode="General" sourceLinked="1"/>
        <c:majorTickMark val="none"/>
        <c:minorTickMark val="none"/>
        <c:tickLblPos val="nextTo"/>
        <c:crossAx val="12568911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Report!$BH$159</c:f>
              <c:strCache>
                <c:ptCount val="1"/>
                <c:pt idx="0">
                  <c:v>Inventories</c:v>
                </c:pt>
              </c:strCache>
            </c:strRef>
          </c:tx>
          <c:spPr>
            <a:solidFill>
              <a:srgbClr val="EE2941"/>
            </a:solidFill>
            <a:ln>
              <a:noFill/>
            </a:ln>
            <a:effectLst/>
          </c:spPr>
          <c:invertIfNegative val="0"/>
          <c:cat>
            <c:numRef>
              <c:f>Report!$BI$158:$BO$158</c:f>
              <c:numCache>
                <c:formatCode>General</c:formatCode>
                <c:ptCount val="7"/>
                <c:pt idx="0">
                  <c:v>2019</c:v>
                </c:pt>
                <c:pt idx="1">
                  <c:v>2020</c:v>
                </c:pt>
                <c:pt idx="2">
                  <c:v>2021</c:v>
                </c:pt>
                <c:pt idx="3">
                  <c:v>2022</c:v>
                </c:pt>
                <c:pt idx="4">
                  <c:v>2023</c:v>
                </c:pt>
                <c:pt idx="5">
                  <c:v>2024</c:v>
                </c:pt>
                <c:pt idx="6">
                  <c:v>2025</c:v>
                </c:pt>
              </c:numCache>
            </c:numRef>
          </c:cat>
          <c:val>
            <c:numRef>
              <c:f>Report!$BI$159:$BO$159</c:f>
              <c:numCache>
                <c:formatCode>0</c:formatCode>
                <c:ptCount val="7"/>
                <c:pt idx="0">
                  <c:v>633.38</c:v>
                </c:pt>
                <c:pt idx="1">
                  <c:v>572.35</c:v>
                </c:pt>
                <c:pt idx="2">
                  <c:v>874.6</c:v>
                </c:pt>
                <c:pt idx="3">
                  <c:v>1132.4000000000001</c:v>
                </c:pt>
                <c:pt idx="4">
                  <c:v>1278.44</c:v>
                </c:pt>
                <c:pt idx="5">
                  <c:v>1409.64</c:v>
                </c:pt>
                <c:pt idx="6">
                  <c:v>1563.75</c:v>
                </c:pt>
              </c:numCache>
            </c:numRef>
          </c:val>
          <c:extLst>
            <c:ext xmlns:c16="http://schemas.microsoft.com/office/drawing/2014/chart" uri="{C3380CC4-5D6E-409C-BE32-E72D297353CC}">
              <c16:uniqueId val="{00000000-4BD1-495C-86E5-62B7FB05ABD5}"/>
            </c:ext>
          </c:extLst>
        </c:ser>
        <c:dLbls>
          <c:showLegendKey val="0"/>
          <c:showVal val="0"/>
          <c:showCatName val="0"/>
          <c:showSerName val="0"/>
          <c:showPercent val="0"/>
          <c:showBubbleSize val="0"/>
        </c:dLbls>
        <c:gapWidth val="219"/>
        <c:axId val="1645620415"/>
        <c:axId val="1645618975"/>
      </c:barChart>
      <c:lineChart>
        <c:grouping val="standard"/>
        <c:varyColors val="0"/>
        <c:ser>
          <c:idx val="1"/>
          <c:order val="1"/>
          <c:tx>
            <c:strRef>
              <c:f>Report!$BH$160</c:f>
              <c:strCache>
                <c:ptCount val="1"/>
                <c:pt idx="0">
                  <c:v>Inventory Days(Revenue)</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dLbls>
            <c:dLbl>
              <c:idx val="6"/>
              <c:layout>
                <c:manualLayout>
                  <c:x val="-3.6139535360036813E-2"/>
                  <c:y val="-9.8949404592516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D1-495C-86E5-62B7FB05AB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Report!$BI$158:$BO$158</c:f>
              <c:numCache>
                <c:formatCode>General</c:formatCode>
                <c:ptCount val="7"/>
                <c:pt idx="0">
                  <c:v>2019</c:v>
                </c:pt>
                <c:pt idx="1">
                  <c:v>2020</c:v>
                </c:pt>
                <c:pt idx="2">
                  <c:v>2021</c:v>
                </c:pt>
                <c:pt idx="3">
                  <c:v>2022</c:v>
                </c:pt>
                <c:pt idx="4">
                  <c:v>2023</c:v>
                </c:pt>
                <c:pt idx="5">
                  <c:v>2024</c:v>
                </c:pt>
                <c:pt idx="6">
                  <c:v>2025</c:v>
                </c:pt>
              </c:numCache>
            </c:numRef>
          </c:cat>
          <c:val>
            <c:numRef>
              <c:f>Report!$BI$160:$BO$160</c:f>
              <c:numCache>
                <c:formatCode>0</c:formatCode>
                <c:ptCount val="7"/>
                <c:pt idx="0" formatCode="General">
                  <c:v>21</c:v>
                </c:pt>
                <c:pt idx="1">
                  <c:v>24.039307571463844</c:v>
                </c:pt>
                <c:pt idx="2">
                  <c:v>30.281855086091728</c:v>
                </c:pt>
                <c:pt idx="3">
                  <c:v>35.568415870139631</c:v>
                </c:pt>
                <c:pt idx="4">
                  <c:v>30.464812099004444</c:v>
                </c:pt>
                <c:pt idx="5">
                  <c:v>29.667460500804921</c:v>
                </c:pt>
                <c:pt idx="6">
                  <c:v>28.756418137448435</c:v>
                </c:pt>
              </c:numCache>
            </c:numRef>
          </c:val>
          <c:smooth val="0"/>
          <c:extLst>
            <c:ext xmlns:c16="http://schemas.microsoft.com/office/drawing/2014/chart" uri="{C3380CC4-5D6E-409C-BE32-E72D297353CC}">
              <c16:uniqueId val="{00000001-4BD1-495C-86E5-62B7FB05ABD5}"/>
            </c:ext>
          </c:extLst>
        </c:ser>
        <c:dLbls>
          <c:showLegendKey val="0"/>
          <c:showVal val="0"/>
          <c:showCatName val="0"/>
          <c:showSerName val="0"/>
          <c:showPercent val="0"/>
          <c:showBubbleSize val="0"/>
        </c:dLbls>
        <c:marker val="1"/>
        <c:smooth val="0"/>
        <c:axId val="1529239983"/>
        <c:axId val="1529239503"/>
      </c:lineChart>
      <c:catAx>
        <c:axId val="164562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18975"/>
        <c:crosses val="autoZero"/>
        <c:auto val="1"/>
        <c:lblAlgn val="ctr"/>
        <c:lblOffset val="100"/>
        <c:noMultiLvlLbl val="0"/>
      </c:catAx>
      <c:valAx>
        <c:axId val="1645618975"/>
        <c:scaling>
          <c:orientation val="minMax"/>
          <c:min val="2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20415"/>
        <c:crosses val="autoZero"/>
        <c:crossBetween val="between"/>
      </c:valAx>
      <c:valAx>
        <c:axId val="15292395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39983"/>
        <c:crosses val="max"/>
        <c:crossBetween val="between"/>
      </c:valAx>
      <c:catAx>
        <c:axId val="1529239983"/>
        <c:scaling>
          <c:orientation val="minMax"/>
        </c:scaling>
        <c:delete val="1"/>
        <c:axPos val="b"/>
        <c:numFmt formatCode="General" sourceLinked="1"/>
        <c:majorTickMark val="out"/>
        <c:minorTickMark val="none"/>
        <c:tickLblPos val="nextTo"/>
        <c:crossAx val="15292395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Trade Receivable Days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Report!$BH$187</c:f>
              <c:strCache>
                <c:ptCount val="1"/>
                <c:pt idx="0">
                  <c:v>Trade Receivable</c:v>
                </c:pt>
              </c:strCache>
            </c:strRef>
          </c:tx>
          <c:spPr>
            <a:solidFill>
              <a:srgbClr val="EE2941"/>
            </a:solidFill>
            <a:ln>
              <a:noFill/>
            </a:ln>
            <a:effectLst/>
          </c:spPr>
          <c:invertIfNegative val="0"/>
          <c:cat>
            <c:numRef>
              <c:f>Report!$BI$186:$BO$186</c:f>
              <c:numCache>
                <c:formatCode>0"A"</c:formatCode>
                <c:ptCount val="7"/>
                <c:pt idx="0">
                  <c:v>2019</c:v>
                </c:pt>
                <c:pt idx="1">
                  <c:v>2020</c:v>
                </c:pt>
                <c:pt idx="2">
                  <c:v>2021</c:v>
                </c:pt>
                <c:pt idx="3">
                  <c:v>2022</c:v>
                </c:pt>
                <c:pt idx="4">
                  <c:v>2023</c:v>
                </c:pt>
                <c:pt idx="5">
                  <c:v>2024</c:v>
                </c:pt>
                <c:pt idx="6">
                  <c:v>2025</c:v>
                </c:pt>
              </c:numCache>
            </c:numRef>
          </c:cat>
          <c:val>
            <c:numRef>
              <c:f>Report!$BI$187:$BO$187</c:f>
              <c:numCache>
                <c:formatCode>0</c:formatCode>
                <c:ptCount val="7"/>
                <c:pt idx="0">
                  <c:v>84.29</c:v>
                </c:pt>
                <c:pt idx="1">
                  <c:v>86.76</c:v>
                </c:pt>
                <c:pt idx="2">
                  <c:v>158.16</c:v>
                </c:pt>
                <c:pt idx="3">
                  <c:v>302.04000000000002</c:v>
                </c:pt>
                <c:pt idx="4">
                  <c:v>368.92</c:v>
                </c:pt>
                <c:pt idx="5">
                  <c:v>373.78</c:v>
                </c:pt>
                <c:pt idx="6">
                  <c:v>549.64</c:v>
                </c:pt>
              </c:numCache>
            </c:numRef>
          </c:val>
          <c:extLst>
            <c:ext xmlns:c16="http://schemas.microsoft.com/office/drawing/2014/chart" uri="{C3380CC4-5D6E-409C-BE32-E72D297353CC}">
              <c16:uniqueId val="{00000000-4889-41A3-8938-F6AC6C72F876}"/>
            </c:ext>
          </c:extLst>
        </c:ser>
        <c:dLbls>
          <c:showLegendKey val="0"/>
          <c:showVal val="0"/>
          <c:showCatName val="0"/>
          <c:showSerName val="0"/>
          <c:showPercent val="0"/>
          <c:showBubbleSize val="0"/>
        </c:dLbls>
        <c:gapWidth val="219"/>
        <c:axId val="1645629535"/>
        <c:axId val="1645615135"/>
      </c:barChart>
      <c:lineChart>
        <c:grouping val="standard"/>
        <c:varyColors val="0"/>
        <c:ser>
          <c:idx val="1"/>
          <c:order val="1"/>
          <c:tx>
            <c:strRef>
              <c:f>Report!$BH$188</c:f>
              <c:strCache>
                <c:ptCount val="1"/>
                <c:pt idx="0">
                  <c:v>Receivable Days</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Report!$BI$186:$BO$186</c:f>
              <c:numCache>
                <c:formatCode>0"A"</c:formatCode>
                <c:ptCount val="7"/>
                <c:pt idx="0">
                  <c:v>2019</c:v>
                </c:pt>
                <c:pt idx="1">
                  <c:v>2020</c:v>
                </c:pt>
                <c:pt idx="2">
                  <c:v>2021</c:v>
                </c:pt>
                <c:pt idx="3">
                  <c:v>2022</c:v>
                </c:pt>
                <c:pt idx="4">
                  <c:v>2023</c:v>
                </c:pt>
                <c:pt idx="5">
                  <c:v>2024</c:v>
                </c:pt>
                <c:pt idx="6">
                  <c:v>2025</c:v>
                </c:pt>
              </c:numCache>
            </c:numRef>
          </c:cat>
          <c:val>
            <c:numRef>
              <c:f>Report!$BI$188:$BO$188</c:f>
              <c:numCache>
                <c:formatCode>0</c:formatCode>
                <c:ptCount val="7"/>
                <c:pt idx="0">
                  <c:v>3.1403145433425941</c:v>
                </c:pt>
                <c:pt idx="1">
                  <c:v>3.4595644545631328</c:v>
                </c:pt>
                <c:pt idx="2">
                  <c:v>6.6199636482480626</c:v>
                </c:pt>
                <c:pt idx="3">
                  <c:v>10.705614678043821</c:v>
                </c:pt>
                <c:pt idx="4">
                  <c:v>9.3237862981904396</c:v>
                </c:pt>
                <c:pt idx="5">
                  <c:v>8.2505754188795439</c:v>
                </c:pt>
                <c:pt idx="6">
                  <c:v>10.6314191310707</c:v>
                </c:pt>
              </c:numCache>
            </c:numRef>
          </c:val>
          <c:smooth val="0"/>
          <c:extLst>
            <c:ext xmlns:c16="http://schemas.microsoft.com/office/drawing/2014/chart" uri="{C3380CC4-5D6E-409C-BE32-E72D297353CC}">
              <c16:uniqueId val="{00000001-4889-41A3-8938-F6AC6C72F876}"/>
            </c:ext>
          </c:extLst>
        </c:ser>
        <c:dLbls>
          <c:showLegendKey val="0"/>
          <c:showVal val="0"/>
          <c:showCatName val="0"/>
          <c:showSerName val="0"/>
          <c:showPercent val="0"/>
          <c:showBubbleSize val="0"/>
        </c:dLbls>
        <c:marker val="1"/>
        <c:smooth val="0"/>
        <c:axId val="1645634335"/>
        <c:axId val="1645633855"/>
      </c:lineChart>
      <c:catAx>
        <c:axId val="16456295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15135"/>
        <c:crosses val="autoZero"/>
        <c:auto val="1"/>
        <c:lblAlgn val="ctr"/>
        <c:lblOffset val="100"/>
        <c:noMultiLvlLbl val="0"/>
      </c:catAx>
      <c:valAx>
        <c:axId val="1645615135"/>
        <c:scaling>
          <c:orientation val="minMax"/>
          <c:min val="5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29535"/>
        <c:crosses val="autoZero"/>
        <c:crossBetween val="between"/>
      </c:valAx>
      <c:valAx>
        <c:axId val="164563385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34335"/>
        <c:crosses val="max"/>
        <c:crossBetween val="between"/>
      </c:valAx>
      <c:catAx>
        <c:axId val="1645634335"/>
        <c:scaling>
          <c:orientation val="minMax"/>
        </c:scaling>
        <c:delete val="1"/>
        <c:axPos val="b"/>
        <c:numFmt formatCode="0&quot;A&quot;" sourceLinked="1"/>
        <c:majorTickMark val="out"/>
        <c:minorTickMark val="none"/>
        <c:tickLblPos val="nextTo"/>
        <c:crossAx val="16456338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Trade Payable Days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Report!$BH$210</c:f>
              <c:strCache>
                <c:ptCount val="1"/>
                <c:pt idx="0">
                  <c:v>Trade Payables</c:v>
                </c:pt>
              </c:strCache>
            </c:strRef>
          </c:tx>
          <c:spPr>
            <a:solidFill>
              <a:srgbClr val="EE2941"/>
            </a:solidFill>
            <a:ln>
              <a:noFill/>
            </a:ln>
            <a:effectLst/>
          </c:spPr>
          <c:invertIfNegative val="0"/>
          <c:cat>
            <c:numRef>
              <c:f>Report!$BI$209:$BO$209</c:f>
              <c:numCache>
                <c:formatCode>0"A"</c:formatCode>
                <c:ptCount val="7"/>
                <c:pt idx="0">
                  <c:v>2019</c:v>
                </c:pt>
                <c:pt idx="1">
                  <c:v>2020</c:v>
                </c:pt>
                <c:pt idx="2">
                  <c:v>2021</c:v>
                </c:pt>
                <c:pt idx="3">
                  <c:v>2022</c:v>
                </c:pt>
                <c:pt idx="4">
                  <c:v>2023</c:v>
                </c:pt>
                <c:pt idx="5">
                  <c:v>2024</c:v>
                </c:pt>
                <c:pt idx="6">
                  <c:v>2025</c:v>
                </c:pt>
              </c:numCache>
            </c:numRef>
          </c:cat>
          <c:val>
            <c:numRef>
              <c:f>Report!$BI$210:$BO$210</c:f>
              <c:numCache>
                <c:formatCode>0</c:formatCode>
                <c:ptCount val="7"/>
                <c:pt idx="0">
                  <c:v>1234.05</c:v>
                </c:pt>
                <c:pt idx="1">
                  <c:v>1007.8199999999999</c:v>
                </c:pt>
                <c:pt idx="2">
                  <c:v>1513.23</c:v>
                </c:pt>
                <c:pt idx="3">
                  <c:v>1788.09</c:v>
                </c:pt>
                <c:pt idx="4">
                  <c:v>1810.44</c:v>
                </c:pt>
                <c:pt idx="5">
                  <c:v>2090.1299999999997</c:v>
                </c:pt>
                <c:pt idx="6">
                  <c:v>2529.75</c:v>
                </c:pt>
              </c:numCache>
            </c:numRef>
          </c:val>
          <c:extLst>
            <c:ext xmlns:c16="http://schemas.microsoft.com/office/drawing/2014/chart" uri="{C3380CC4-5D6E-409C-BE32-E72D297353CC}">
              <c16:uniqueId val="{00000000-AEAD-4460-B42B-2C01B3578F15}"/>
            </c:ext>
          </c:extLst>
        </c:ser>
        <c:dLbls>
          <c:showLegendKey val="0"/>
          <c:showVal val="0"/>
          <c:showCatName val="0"/>
          <c:showSerName val="0"/>
          <c:showPercent val="0"/>
          <c:showBubbleSize val="0"/>
        </c:dLbls>
        <c:gapWidth val="219"/>
        <c:axId val="1645648255"/>
        <c:axId val="1645653055"/>
      </c:barChart>
      <c:lineChart>
        <c:grouping val="standard"/>
        <c:varyColors val="0"/>
        <c:ser>
          <c:idx val="1"/>
          <c:order val="1"/>
          <c:tx>
            <c:strRef>
              <c:f>Report!$BH$211</c:f>
              <c:strCache>
                <c:ptCount val="1"/>
                <c:pt idx="0">
                  <c:v>Trade Payables Days</c:v>
                </c:pt>
              </c:strCache>
            </c:strRef>
          </c:tx>
          <c:spPr>
            <a:ln w="28575" cap="rnd">
              <a:solidFill>
                <a:schemeClr val="bg1">
                  <a:lumMod val="75000"/>
                </a:schemeClr>
              </a:solidFill>
              <a:round/>
            </a:ln>
            <a:effectLst/>
          </c:spPr>
          <c:marker>
            <c:symbol val="circle"/>
            <c:size val="5"/>
            <c:spPr>
              <a:solidFill>
                <a:schemeClr val="bg1">
                  <a:lumMod val="7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Report!$BI$209:$BO$209</c:f>
              <c:numCache>
                <c:formatCode>0"A"</c:formatCode>
                <c:ptCount val="7"/>
                <c:pt idx="0">
                  <c:v>2019</c:v>
                </c:pt>
                <c:pt idx="1">
                  <c:v>2020</c:v>
                </c:pt>
                <c:pt idx="2">
                  <c:v>2021</c:v>
                </c:pt>
                <c:pt idx="3">
                  <c:v>2022</c:v>
                </c:pt>
                <c:pt idx="4">
                  <c:v>2023</c:v>
                </c:pt>
                <c:pt idx="5">
                  <c:v>2024</c:v>
                </c:pt>
                <c:pt idx="6">
                  <c:v>2025</c:v>
                </c:pt>
              </c:numCache>
            </c:numRef>
          </c:cat>
          <c:val>
            <c:numRef>
              <c:f>Report!$BI$211:$BO$211</c:f>
              <c:numCache>
                <c:formatCode>0</c:formatCode>
                <c:ptCount val="7"/>
                <c:pt idx="0">
                  <c:v>89.06355662418089</c:v>
                </c:pt>
                <c:pt idx="1">
                  <c:v>73.630648086246026</c:v>
                </c:pt>
                <c:pt idx="2">
                  <c:v>108.03986291803835</c:v>
                </c:pt>
                <c:pt idx="3">
                  <c:v>109.58494244150123</c:v>
                </c:pt>
                <c:pt idx="4">
                  <c:v>80.469879077923508</c:v>
                </c:pt>
                <c:pt idx="5">
                  <c:v>84.9490237343622</c:v>
                </c:pt>
                <c:pt idx="6">
                  <c:v>89.671902131478049</c:v>
                </c:pt>
              </c:numCache>
            </c:numRef>
          </c:val>
          <c:smooth val="0"/>
          <c:extLst>
            <c:ext xmlns:c16="http://schemas.microsoft.com/office/drawing/2014/chart" uri="{C3380CC4-5D6E-409C-BE32-E72D297353CC}">
              <c16:uniqueId val="{00000001-AEAD-4460-B42B-2C01B3578F15}"/>
            </c:ext>
          </c:extLst>
        </c:ser>
        <c:dLbls>
          <c:showLegendKey val="0"/>
          <c:showVal val="0"/>
          <c:showCatName val="0"/>
          <c:showSerName val="0"/>
          <c:showPercent val="0"/>
          <c:showBubbleSize val="0"/>
        </c:dLbls>
        <c:marker val="1"/>
        <c:smooth val="0"/>
        <c:axId val="1645661695"/>
        <c:axId val="1645668895"/>
      </c:lineChart>
      <c:catAx>
        <c:axId val="164564825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53055"/>
        <c:crosses val="autoZero"/>
        <c:auto val="1"/>
        <c:lblAlgn val="ctr"/>
        <c:lblOffset val="100"/>
        <c:noMultiLvlLbl val="0"/>
      </c:catAx>
      <c:valAx>
        <c:axId val="1645653055"/>
        <c:scaling>
          <c:orientation val="minMax"/>
          <c:min val="5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48255"/>
        <c:crosses val="autoZero"/>
        <c:crossBetween val="between"/>
      </c:valAx>
      <c:valAx>
        <c:axId val="16456688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61695"/>
        <c:crosses val="max"/>
        <c:crossBetween val="between"/>
      </c:valAx>
      <c:catAx>
        <c:axId val="1645661695"/>
        <c:scaling>
          <c:orientation val="minMax"/>
        </c:scaling>
        <c:delete val="1"/>
        <c:axPos val="b"/>
        <c:numFmt formatCode="0&quot;A&quot;" sourceLinked="1"/>
        <c:majorTickMark val="out"/>
        <c:minorTickMark val="none"/>
        <c:tickLblPos val="nextTo"/>
        <c:crossAx val="1645668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Long Term and Short Term Borrowings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Report!$BH$234</c:f>
              <c:strCache>
                <c:ptCount val="1"/>
                <c:pt idx="0">
                  <c:v>LTB%TB</c:v>
                </c:pt>
              </c:strCache>
            </c:strRef>
          </c:tx>
          <c:spPr>
            <a:solidFill>
              <a:schemeClr val="bg1">
                <a:lumMod val="75000"/>
              </a:schemeClr>
            </a:solidFill>
            <a:ln>
              <a:noFill/>
            </a:ln>
            <a:effectLst/>
          </c:spPr>
          <c:invertIfNegative val="0"/>
          <c:dLbls>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45-4216-833F-86FCBFF802BC}"/>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645-4216-833F-86FCBFF802BC}"/>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645-4216-833F-86FCBFF802B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Report!$BI$233:$BO$233</c:f>
              <c:numCache>
                <c:formatCode>0"A"</c:formatCode>
                <c:ptCount val="7"/>
                <c:pt idx="0">
                  <c:v>2019</c:v>
                </c:pt>
                <c:pt idx="1">
                  <c:v>2020</c:v>
                </c:pt>
                <c:pt idx="2">
                  <c:v>2021</c:v>
                </c:pt>
                <c:pt idx="3">
                  <c:v>2022</c:v>
                </c:pt>
                <c:pt idx="4">
                  <c:v>2023</c:v>
                </c:pt>
                <c:pt idx="5">
                  <c:v>2024</c:v>
                </c:pt>
                <c:pt idx="6">
                  <c:v>2025</c:v>
                </c:pt>
              </c:numCache>
            </c:numRef>
          </c:cat>
          <c:val>
            <c:numRef>
              <c:f>Report!$BI$234:$BO$234</c:f>
              <c:numCache>
                <c:formatCode>0%</c:formatCode>
                <c:ptCount val="7"/>
                <c:pt idx="0">
                  <c:v>0</c:v>
                </c:pt>
                <c:pt idx="1">
                  <c:v>0</c:v>
                </c:pt>
                <c:pt idx="2">
                  <c:v>0</c:v>
                </c:pt>
                <c:pt idx="3">
                  <c:v>0</c:v>
                </c:pt>
                <c:pt idx="4">
                  <c:v>0.3217169136433316</c:v>
                </c:pt>
                <c:pt idx="5">
                  <c:v>0.59314899484723127</c:v>
                </c:pt>
                <c:pt idx="6">
                  <c:v>0.69186024693211245</c:v>
                </c:pt>
              </c:numCache>
            </c:numRef>
          </c:val>
          <c:extLst>
            <c:ext xmlns:c16="http://schemas.microsoft.com/office/drawing/2014/chart" uri="{C3380CC4-5D6E-409C-BE32-E72D297353CC}">
              <c16:uniqueId val="{00000000-0645-4216-833F-86FCBFF802BC}"/>
            </c:ext>
          </c:extLst>
        </c:ser>
        <c:ser>
          <c:idx val="1"/>
          <c:order val="1"/>
          <c:tx>
            <c:strRef>
              <c:f>Report!$BH$235</c:f>
              <c:strCache>
                <c:ptCount val="1"/>
                <c:pt idx="0">
                  <c:v>STB%TB</c:v>
                </c:pt>
              </c:strCache>
            </c:strRef>
          </c:tx>
          <c:spPr>
            <a:solidFill>
              <a:srgbClr val="EE2941"/>
            </a:solidFill>
            <a:ln>
              <a:noFill/>
            </a:ln>
            <a:effectLst/>
          </c:spPr>
          <c:invertIfNegative val="0"/>
          <c:cat>
            <c:numRef>
              <c:f>Report!$BI$233:$BO$233</c:f>
              <c:numCache>
                <c:formatCode>0"A"</c:formatCode>
                <c:ptCount val="7"/>
                <c:pt idx="0">
                  <c:v>2019</c:v>
                </c:pt>
                <c:pt idx="1">
                  <c:v>2020</c:v>
                </c:pt>
                <c:pt idx="2">
                  <c:v>2021</c:v>
                </c:pt>
                <c:pt idx="3">
                  <c:v>2022</c:v>
                </c:pt>
                <c:pt idx="4">
                  <c:v>2023</c:v>
                </c:pt>
                <c:pt idx="5">
                  <c:v>2024</c:v>
                </c:pt>
                <c:pt idx="6">
                  <c:v>2025</c:v>
                </c:pt>
              </c:numCache>
            </c:numRef>
          </c:cat>
          <c:val>
            <c:numRef>
              <c:f>Report!$BI$235:$BO$235</c:f>
              <c:numCache>
                <c:formatCode>0%</c:formatCode>
                <c:ptCount val="7"/>
                <c:pt idx="0">
                  <c:v>1</c:v>
                </c:pt>
                <c:pt idx="1">
                  <c:v>1</c:v>
                </c:pt>
                <c:pt idx="2">
                  <c:v>1</c:v>
                </c:pt>
                <c:pt idx="3">
                  <c:v>1</c:v>
                </c:pt>
                <c:pt idx="4">
                  <c:v>0.67828308635666834</c:v>
                </c:pt>
                <c:pt idx="5">
                  <c:v>0.40685100515276867</c:v>
                </c:pt>
                <c:pt idx="6">
                  <c:v>0.30813975306788755</c:v>
                </c:pt>
              </c:numCache>
            </c:numRef>
          </c:val>
          <c:extLst>
            <c:ext xmlns:c16="http://schemas.microsoft.com/office/drawing/2014/chart" uri="{C3380CC4-5D6E-409C-BE32-E72D297353CC}">
              <c16:uniqueId val="{00000001-0645-4216-833F-86FCBFF802BC}"/>
            </c:ext>
          </c:extLst>
        </c:ser>
        <c:dLbls>
          <c:showLegendKey val="0"/>
          <c:showVal val="0"/>
          <c:showCatName val="0"/>
          <c:showSerName val="0"/>
          <c:showPercent val="0"/>
          <c:showBubbleSize val="0"/>
        </c:dLbls>
        <c:gapWidth val="150"/>
        <c:overlap val="100"/>
        <c:axId val="1645616095"/>
        <c:axId val="1645619455"/>
      </c:barChart>
      <c:catAx>
        <c:axId val="164561609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19455"/>
        <c:crosses val="autoZero"/>
        <c:auto val="1"/>
        <c:lblAlgn val="ctr"/>
        <c:lblOffset val="100"/>
        <c:noMultiLvlLbl val="0"/>
      </c:catAx>
      <c:valAx>
        <c:axId val="1645619455"/>
        <c:scaling>
          <c:orientation val="minMax"/>
          <c:min val="0.2"/>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1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G$4" fmlaRange="$Q$3:$Q$5" noThreeD="1" sel="2" val="0"/>
</file>

<file path=xl/ctrlProps/ctrlProp2.xml><?xml version="1.0" encoding="utf-8"?>
<formControlPr xmlns="http://schemas.microsoft.com/office/spreadsheetml/2009/9/main" objectType="Drop" dropStyle="combo" dx="26" fmlaLink="Controlsheet!$G$4" fmlaRange="Controlsheet!$Q$3:$Q$5" noThreeD="1" sel="2" val="0"/>
</file>

<file path=xl/ctrlProps/ctrlProp3.xml><?xml version="1.0" encoding="utf-8"?>
<formControlPr xmlns="http://schemas.microsoft.com/office/spreadsheetml/2009/9/main" objectType="Drop" dropStyle="combo" dx="26" fmlaLink="Controlsheet!$G$4" fmlaRange="Controlsheet!$Q$3:$Q$5" noThreeD="1" sel="2" val="0"/>
</file>

<file path=xl/ctrlProps/ctrlProp4.xml><?xml version="1.0" encoding="utf-8"?>
<formControlPr xmlns="http://schemas.microsoft.com/office/spreadsheetml/2009/9/main" objectType="Drop" dropStyle="combo" dx="26" fmlaLink="Controlsheet!$G$4" fmlaRange="Controlsheet!$Q$3:$Q$5" noThreeD="1" sel="2" val="0"/>
</file>

<file path=xl/ctrlProps/ctrlProp5.xml><?xml version="1.0" encoding="utf-8"?>
<formControlPr xmlns="http://schemas.microsoft.com/office/spreadsheetml/2009/9/main" objectType="Drop" dropStyle="combo" dx="26" fmlaLink="Controlsheet!$G$4" fmlaRange="Controlsheet!$Q$3:$Q$5" noThreeD="1" sel="2" val="0"/>
</file>

<file path=xl/ctrlProps/ctrlProp6.xml><?xml version="1.0" encoding="utf-8"?>
<formControlPr xmlns="http://schemas.microsoft.com/office/spreadsheetml/2009/9/main" objectType="Drop" dropStyle="combo" dx="26" fmlaLink="Controlsheet!$G$4" fmlaRange="Controlsheet!$Q$3:$Q$5" noThreeD="1" sel="2"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19.png"/><Relationship Id="rId26" Type="http://schemas.openxmlformats.org/officeDocument/2006/relationships/image" Target="../media/image26.png"/><Relationship Id="rId3" Type="http://schemas.openxmlformats.org/officeDocument/2006/relationships/image" Target="../media/image5.png"/><Relationship Id="rId21" Type="http://schemas.openxmlformats.org/officeDocument/2006/relationships/image" Target="../media/image21.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8.png"/><Relationship Id="rId25" Type="http://schemas.openxmlformats.org/officeDocument/2006/relationships/image" Target="../media/image25.png"/><Relationship Id="rId2" Type="http://schemas.openxmlformats.org/officeDocument/2006/relationships/image" Target="../media/image4.png"/><Relationship Id="rId16" Type="http://schemas.openxmlformats.org/officeDocument/2006/relationships/chart" Target="../charts/chart1.xml"/><Relationship Id="rId20" Type="http://schemas.openxmlformats.org/officeDocument/2006/relationships/chart" Target="../charts/chart2.xml"/><Relationship Id="rId29" Type="http://schemas.openxmlformats.org/officeDocument/2006/relationships/chart" Target="../charts/chart3.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4.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2.png"/><Relationship Id="rId19" Type="http://schemas.openxmlformats.org/officeDocument/2006/relationships/image" Target="../media/image20.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3" Type="http://schemas.openxmlformats.org/officeDocument/2006/relationships/image" Target="../media/image32.png"/><Relationship Id="rId18" Type="http://schemas.openxmlformats.org/officeDocument/2006/relationships/image" Target="../media/image35.png"/><Relationship Id="rId26" Type="http://schemas.openxmlformats.org/officeDocument/2006/relationships/chart" Target="../charts/chart13.xml"/><Relationship Id="rId3" Type="http://schemas.openxmlformats.org/officeDocument/2006/relationships/image" Target="../media/image5.png"/><Relationship Id="rId21" Type="http://schemas.openxmlformats.org/officeDocument/2006/relationships/image" Target="../media/image38.png"/><Relationship Id="rId34" Type="http://schemas.openxmlformats.org/officeDocument/2006/relationships/chart" Target="../charts/chart21.xml"/><Relationship Id="rId7" Type="http://schemas.openxmlformats.org/officeDocument/2006/relationships/chart" Target="../charts/chart8.xml"/><Relationship Id="rId12" Type="http://schemas.openxmlformats.org/officeDocument/2006/relationships/image" Target="../media/image31.png"/><Relationship Id="rId17" Type="http://schemas.openxmlformats.org/officeDocument/2006/relationships/image" Target="../media/image34.png"/><Relationship Id="rId25" Type="http://schemas.openxmlformats.org/officeDocument/2006/relationships/image" Target="../media/image42.png"/><Relationship Id="rId33" Type="http://schemas.openxmlformats.org/officeDocument/2006/relationships/chart" Target="../charts/chart20.xml"/><Relationship Id="rId2" Type="http://schemas.openxmlformats.org/officeDocument/2006/relationships/image" Target="../media/image4.png"/><Relationship Id="rId16" Type="http://schemas.openxmlformats.org/officeDocument/2006/relationships/image" Target="../media/image33.png"/><Relationship Id="rId20" Type="http://schemas.openxmlformats.org/officeDocument/2006/relationships/image" Target="../media/image37.png"/><Relationship Id="rId29" Type="http://schemas.openxmlformats.org/officeDocument/2006/relationships/chart" Target="../charts/chart16.xml"/><Relationship Id="rId1" Type="http://schemas.openxmlformats.org/officeDocument/2006/relationships/image" Target="../media/image3.png"/><Relationship Id="rId6" Type="http://schemas.openxmlformats.org/officeDocument/2006/relationships/chart" Target="../charts/chart7.xml"/><Relationship Id="rId11" Type="http://schemas.openxmlformats.org/officeDocument/2006/relationships/image" Target="../media/image30.png"/><Relationship Id="rId24" Type="http://schemas.openxmlformats.org/officeDocument/2006/relationships/image" Target="../media/image41.png"/><Relationship Id="rId32" Type="http://schemas.openxmlformats.org/officeDocument/2006/relationships/chart" Target="../charts/chart19.xml"/><Relationship Id="rId5" Type="http://schemas.openxmlformats.org/officeDocument/2006/relationships/chart" Target="../charts/chart6.xml"/><Relationship Id="rId15" Type="http://schemas.openxmlformats.org/officeDocument/2006/relationships/chart" Target="../charts/chart12.xml"/><Relationship Id="rId23" Type="http://schemas.openxmlformats.org/officeDocument/2006/relationships/image" Target="../media/image40.png"/><Relationship Id="rId28" Type="http://schemas.openxmlformats.org/officeDocument/2006/relationships/chart" Target="../charts/chart15.xml"/><Relationship Id="rId10" Type="http://schemas.openxmlformats.org/officeDocument/2006/relationships/image" Target="../media/image29.png"/><Relationship Id="rId19" Type="http://schemas.openxmlformats.org/officeDocument/2006/relationships/image" Target="../media/image36.png"/><Relationship Id="rId31" Type="http://schemas.openxmlformats.org/officeDocument/2006/relationships/chart" Target="../charts/chart18.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1.xml"/><Relationship Id="rId22" Type="http://schemas.openxmlformats.org/officeDocument/2006/relationships/image" Target="../media/image39.png"/><Relationship Id="rId27" Type="http://schemas.openxmlformats.org/officeDocument/2006/relationships/chart" Target="../charts/chart14.xml"/><Relationship Id="rId30" Type="http://schemas.openxmlformats.org/officeDocument/2006/relationships/chart" Target="../charts/chart17.xml"/><Relationship Id="rId8"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17" Type="http://schemas.openxmlformats.org/officeDocument/2006/relationships/image" Target="../media/image154.png"/><Relationship Id="rId21" Type="http://schemas.openxmlformats.org/officeDocument/2006/relationships/image" Target="../media/image61.png"/><Relationship Id="rId42" Type="http://schemas.openxmlformats.org/officeDocument/2006/relationships/image" Target="../media/image82.png"/><Relationship Id="rId63" Type="http://schemas.openxmlformats.org/officeDocument/2006/relationships/image" Target="../media/image103.png"/><Relationship Id="rId84" Type="http://schemas.openxmlformats.org/officeDocument/2006/relationships/image" Target="../media/image121.png"/><Relationship Id="rId138" Type="http://schemas.openxmlformats.org/officeDocument/2006/relationships/image" Target="../media/image174.png"/><Relationship Id="rId159" Type="http://schemas.openxmlformats.org/officeDocument/2006/relationships/image" Target="../media/image192.png"/><Relationship Id="rId170" Type="http://schemas.openxmlformats.org/officeDocument/2006/relationships/image" Target="../media/image203.png"/><Relationship Id="rId107" Type="http://schemas.openxmlformats.org/officeDocument/2006/relationships/image" Target="../media/image144.png"/><Relationship Id="rId11" Type="http://schemas.openxmlformats.org/officeDocument/2006/relationships/image" Target="../media/image53.png"/><Relationship Id="rId32" Type="http://schemas.openxmlformats.org/officeDocument/2006/relationships/image" Target="../media/image72.png"/><Relationship Id="rId53" Type="http://schemas.openxmlformats.org/officeDocument/2006/relationships/image" Target="../media/image93.png"/><Relationship Id="rId74" Type="http://schemas.openxmlformats.org/officeDocument/2006/relationships/image" Target="../media/image112.png"/><Relationship Id="rId128" Type="http://schemas.openxmlformats.org/officeDocument/2006/relationships/image" Target="../media/image165.png"/><Relationship Id="rId149" Type="http://schemas.openxmlformats.org/officeDocument/2006/relationships/image" Target="../media/image182.png"/><Relationship Id="rId5" Type="http://schemas.openxmlformats.org/officeDocument/2006/relationships/image" Target="../media/image47.png"/><Relationship Id="rId95" Type="http://schemas.openxmlformats.org/officeDocument/2006/relationships/image" Target="../media/image132.png"/><Relationship Id="rId160" Type="http://schemas.openxmlformats.org/officeDocument/2006/relationships/image" Target="../media/image193.png"/><Relationship Id="rId181" Type="http://schemas.openxmlformats.org/officeDocument/2006/relationships/image" Target="../media/image214.png"/><Relationship Id="rId22" Type="http://schemas.openxmlformats.org/officeDocument/2006/relationships/image" Target="../media/image62.png"/><Relationship Id="rId43" Type="http://schemas.openxmlformats.org/officeDocument/2006/relationships/image" Target="../media/image83.png"/><Relationship Id="rId64" Type="http://schemas.openxmlformats.org/officeDocument/2006/relationships/image" Target="../media/image18.png"/><Relationship Id="rId118" Type="http://schemas.openxmlformats.org/officeDocument/2006/relationships/image" Target="../media/image155.png"/><Relationship Id="rId139" Type="http://schemas.openxmlformats.org/officeDocument/2006/relationships/image" Target="../media/image13.png"/><Relationship Id="rId85" Type="http://schemas.openxmlformats.org/officeDocument/2006/relationships/image" Target="../media/image122.png"/><Relationship Id="rId150" Type="http://schemas.openxmlformats.org/officeDocument/2006/relationships/image" Target="../media/image183.png"/><Relationship Id="rId171" Type="http://schemas.openxmlformats.org/officeDocument/2006/relationships/image" Target="../media/image204.png"/><Relationship Id="rId12" Type="http://schemas.openxmlformats.org/officeDocument/2006/relationships/image" Target="../media/image54.png"/><Relationship Id="rId33" Type="http://schemas.openxmlformats.org/officeDocument/2006/relationships/image" Target="../media/image73.png"/><Relationship Id="rId108" Type="http://schemas.openxmlformats.org/officeDocument/2006/relationships/image" Target="../media/image145.png"/><Relationship Id="rId129" Type="http://schemas.openxmlformats.org/officeDocument/2006/relationships/image" Target="../media/image166.png"/><Relationship Id="rId54" Type="http://schemas.openxmlformats.org/officeDocument/2006/relationships/image" Target="../media/image94.png"/><Relationship Id="rId75" Type="http://schemas.openxmlformats.org/officeDocument/2006/relationships/image" Target="../media/image20.png"/><Relationship Id="rId96" Type="http://schemas.openxmlformats.org/officeDocument/2006/relationships/image" Target="../media/image133.png"/><Relationship Id="rId140" Type="http://schemas.openxmlformats.org/officeDocument/2006/relationships/image" Target="../media/image14.png"/><Relationship Id="rId161" Type="http://schemas.openxmlformats.org/officeDocument/2006/relationships/image" Target="../media/image194.png"/><Relationship Id="rId182" Type="http://schemas.openxmlformats.org/officeDocument/2006/relationships/image" Target="../media/image215.png"/><Relationship Id="rId6" Type="http://schemas.openxmlformats.org/officeDocument/2006/relationships/image" Target="../media/image48.png"/><Relationship Id="rId23" Type="http://schemas.openxmlformats.org/officeDocument/2006/relationships/image" Target="../media/image63.png"/><Relationship Id="rId119" Type="http://schemas.openxmlformats.org/officeDocument/2006/relationships/image" Target="../media/image156.png"/><Relationship Id="rId44" Type="http://schemas.openxmlformats.org/officeDocument/2006/relationships/image" Target="../media/image84.png"/><Relationship Id="rId60" Type="http://schemas.openxmlformats.org/officeDocument/2006/relationships/image" Target="../media/image100.png"/><Relationship Id="rId65" Type="http://schemas.openxmlformats.org/officeDocument/2006/relationships/image" Target="../media/image104.png"/><Relationship Id="rId81" Type="http://schemas.openxmlformats.org/officeDocument/2006/relationships/image" Target="../media/image118.png"/><Relationship Id="rId86" Type="http://schemas.openxmlformats.org/officeDocument/2006/relationships/image" Target="../media/image123.png"/><Relationship Id="rId130" Type="http://schemas.openxmlformats.org/officeDocument/2006/relationships/image" Target="../media/image167.png"/><Relationship Id="rId135" Type="http://schemas.openxmlformats.org/officeDocument/2006/relationships/image" Target="../media/image172.png"/><Relationship Id="rId151" Type="http://schemas.openxmlformats.org/officeDocument/2006/relationships/image" Target="../media/image184.png"/><Relationship Id="rId156" Type="http://schemas.openxmlformats.org/officeDocument/2006/relationships/image" Target="../media/image189.png"/><Relationship Id="rId177" Type="http://schemas.openxmlformats.org/officeDocument/2006/relationships/image" Target="../media/image210.png"/><Relationship Id="rId172" Type="http://schemas.openxmlformats.org/officeDocument/2006/relationships/image" Target="../media/image205.png"/><Relationship Id="rId13" Type="http://schemas.openxmlformats.org/officeDocument/2006/relationships/image" Target="../media/image55.png"/><Relationship Id="rId18" Type="http://schemas.openxmlformats.org/officeDocument/2006/relationships/image" Target="../media/image27.png"/><Relationship Id="rId39" Type="http://schemas.openxmlformats.org/officeDocument/2006/relationships/image" Target="../media/image79.png"/><Relationship Id="rId109" Type="http://schemas.openxmlformats.org/officeDocument/2006/relationships/image" Target="../media/image146.png"/><Relationship Id="rId34" Type="http://schemas.openxmlformats.org/officeDocument/2006/relationships/image" Target="../media/image74.png"/><Relationship Id="rId50" Type="http://schemas.openxmlformats.org/officeDocument/2006/relationships/image" Target="../media/image90.png"/><Relationship Id="rId55" Type="http://schemas.openxmlformats.org/officeDocument/2006/relationships/image" Target="../media/image95.png"/><Relationship Id="rId76" Type="http://schemas.openxmlformats.org/officeDocument/2006/relationships/image" Target="../media/image113.png"/><Relationship Id="rId97" Type="http://schemas.openxmlformats.org/officeDocument/2006/relationships/image" Target="../media/image134.png"/><Relationship Id="rId104" Type="http://schemas.openxmlformats.org/officeDocument/2006/relationships/image" Target="../media/image141.png"/><Relationship Id="rId120" Type="http://schemas.openxmlformats.org/officeDocument/2006/relationships/image" Target="../media/image157.png"/><Relationship Id="rId125" Type="http://schemas.openxmlformats.org/officeDocument/2006/relationships/image" Target="../media/image162.png"/><Relationship Id="rId141" Type="http://schemas.openxmlformats.org/officeDocument/2006/relationships/image" Target="../media/image175.png"/><Relationship Id="rId146" Type="http://schemas.openxmlformats.org/officeDocument/2006/relationships/image" Target="../media/image179.png"/><Relationship Id="rId167" Type="http://schemas.openxmlformats.org/officeDocument/2006/relationships/image" Target="../media/image200.png"/><Relationship Id="rId7" Type="http://schemas.openxmlformats.org/officeDocument/2006/relationships/image" Target="../media/image49.png"/><Relationship Id="rId71" Type="http://schemas.openxmlformats.org/officeDocument/2006/relationships/image" Target="../media/image110.png"/><Relationship Id="rId92" Type="http://schemas.openxmlformats.org/officeDocument/2006/relationships/image" Target="../media/image129.png"/><Relationship Id="rId162" Type="http://schemas.openxmlformats.org/officeDocument/2006/relationships/image" Target="../media/image195.png"/><Relationship Id="rId183" Type="http://schemas.openxmlformats.org/officeDocument/2006/relationships/image" Target="../media/image216.png"/><Relationship Id="rId2" Type="http://schemas.openxmlformats.org/officeDocument/2006/relationships/image" Target="../media/image44.png"/><Relationship Id="rId29" Type="http://schemas.openxmlformats.org/officeDocument/2006/relationships/image" Target="../media/image69.png"/><Relationship Id="rId24" Type="http://schemas.openxmlformats.org/officeDocument/2006/relationships/image" Target="../media/image64.png"/><Relationship Id="rId40" Type="http://schemas.openxmlformats.org/officeDocument/2006/relationships/image" Target="../media/image80.png"/><Relationship Id="rId45" Type="http://schemas.openxmlformats.org/officeDocument/2006/relationships/image" Target="../media/image85.png"/><Relationship Id="rId66" Type="http://schemas.openxmlformats.org/officeDocument/2006/relationships/image" Target="../media/image105.png"/><Relationship Id="rId87" Type="http://schemas.openxmlformats.org/officeDocument/2006/relationships/image" Target="../media/image124.png"/><Relationship Id="rId110" Type="http://schemas.openxmlformats.org/officeDocument/2006/relationships/image" Target="../media/image147.png"/><Relationship Id="rId115" Type="http://schemas.openxmlformats.org/officeDocument/2006/relationships/image" Target="../media/image152.png"/><Relationship Id="rId131" Type="http://schemas.openxmlformats.org/officeDocument/2006/relationships/image" Target="../media/image168.png"/><Relationship Id="rId136" Type="http://schemas.openxmlformats.org/officeDocument/2006/relationships/image" Target="../media/image12.png"/><Relationship Id="rId157" Type="http://schemas.openxmlformats.org/officeDocument/2006/relationships/image" Target="../media/image190.png"/><Relationship Id="rId178" Type="http://schemas.openxmlformats.org/officeDocument/2006/relationships/image" Target="../media/image211.png"/><Relationship Id="rId61" Type="http://schemas.openxmlformats.org/officeDocument/2006/relationships/image" Target="../media/image101.png"/><Relationship Id="rId82" Type="http://schemas.openxmlformats.org/officeDocument/2006/relationships/image" Target="../media/image119.png"/><Relationship Id="rId152" Type="http://schemas.openxmlformats.org/officeDocument/2006/relationships/image" Target="../media/image185.png"/><Relationship Id="rId173" Type="http://schemas.openxmlformats.org/officeDocument/2006/relationships/image" Target="../media/image206.png"/><Relationship Id="rId19" Type="http://schemas.openxmlformats.org/officeDocument/2006/relationships/image" Target="../media/image28.png"/><Relationship Id="rId14" Type="http://schemas.openxmlformats.org/officeDocument/2006/relationships/image" Target="../media/image56.png"/><Relationship Id="rId30" Type="http://schemas.openxmlformats.org/officeDocument/2006/relationships/image" Target="../media/image70.png"/><Relationship Id="rId35" Type="http://schemas.openxmlformats.org/officeDocument/2006/relationships/image" Target="../media/image75.png"/><Relationship Id="rId56" Type="http://schemas.openxmlformats.org/officeDocument/2006/relationships/image" Target="../media/image96.png"/><Relationship Id="rId77" Type="http://schemas.openxmlformats.org/officeDocument/2006/relationships/image" Target="../media/image114.png"/><Relationship Id="rId100" Type="http://schemas.openxmlformats.org/officeDocument/2006/relationships/image" Target="../media/image137.png"/><Relationship Id="rId105" Type="http://schemas.openxmlformats.org/officeDocument/2006/relationships/image" Target="../media/image142.png"/><Relationship Id="rId126" Type="http://schemas.openxmlformats.org/officeDocument/2006/relationships/image" Target="../media/image163.png"/><Relationship Id="rId147" Type="http://schemas.openxmlformats.org/officeDocument/2006/relationships/image" Target="../media/image180.png"/><Relationship Id="rId168" Type="http://schemas.openxmlformats.org/officeDocument/2006/relationships/image" Target="../media/image201.png"/><Relationship Id="rId8" Type="http://schemas.openxmlformats.org/officeDocument/2006/relationships/image" Target="../media/image50.png"/><Relationship Id="rId51" Type="http://schemas.openxmlformats.org/officeDocument/2006/relationships/image" Target="../media/image91.png"/><Relationship Id="rId72" Type="http://schemas.openxmlformats.org/officeDocument/2006/relationships/image" Target="../media/image19.png"/><Relationship Id="rId93" Type="http://schemas.openxmlformats.org/officeDocument/2006/relationships/image" Target="../media/image130.png"/><Relationship Id="rId98" Type="http://schemas.openxmlformats.org/officeDocument/2006/relationships/image" Target="../media/image135.png"/><Relationship Id="rId121" Type="http://schemas.openxmlformats.org/officeDocument/2006/relationships/image" Target="../media/image158.png"/><Relationship Id="rId142" Type="http://schemas.openxmlformats.org/officeDocument/2006/relationships/image" Target="../media/image176.png"/><Relationship Id="rId163" Type="http://schemas.openxmlformats.org/officeDocument/2006/relationships/image" Target="../media/image196.png"/><Relationship Id="rId3" Type="http://schemas.openxmlformats.org/officeDocument/2006/relationships/image" Target="../media/image45.png"/><Relationship Id="rId25" Type="http://schemas.openxmlformats.org/officeDocument/2006/relationships/image" Target="../media/image65.png"/><Relationship Id="rId46" Type="http://schemas.openxmlformats.org/officeDocument/2006/relationships/image" Target="../media/image86.png"/><Relationship Id="rId67" Type="http://schemas.openxmlformats.org/officeDocument/2006/relationships/image" Target="../media/image106.png"/><Relationship Id="rId116" Type="http://schemas.openxmlformats.org/officeDocument/2006/relationships/image" Target="../media/image153.png"/><Relationship Id="rId137" Type="http://schemas.openxmlformats.org/officeDocument/2006/relationships/image" Target="../media/image173.png"/><Relationship Id="rId158" Type="http://schemas.openxmlformats.org/officeDocument/2006/relationships/image" Target="../media/image191.png"/><Relationship Id="rId20" Type="http://schemas.openxmlformats.org/officeDocument/2006/relationships/image" Target="../media/image60.png"/><Relationship Id="rId41" Type="http://schemas.openxmlformats.org/officeDocument/2006/relationships/image" Target="../media/image81.png"/><Relationship Id="rId62" Type="http://schemas.openxmlformats.org/officeDocument/2006/relationships/image" Target="../media/image102.png"/><Relationship Id="rId83" Type="http://schemas.openxmlformats.org/officeDocument/2006/relationships/image" Target="../media/image120.png"/><Relationship Id="rId88" Type="http://schemas.openxmlformats.org/officeDocument/2006/relationships/image" Target="../media/image125.png"/><Relationship Id="rId111" Type="http://schemas.openxmlformats.org/officeDocument/2006/relationships/image" Target="../media/image148.png"/><Relationship Id="rId132" Type="http://schemas.openxmlformats.org/officeDocument/2006/relationships/image" Target="../media/image169.png"/><Relationship Id="rId153" Type="http://schemas.openxmlformats.org/officeDocument/2006/relationships/image" Target="../media/image186.png"/><Relationship Id="rId174" Type="http://schemas.openxmlformats.org/officeDocument/2006/relationships/image" Target="../media/image207.png"/><Relationship Id="rId179" Type="http://schemas.openxmlformats.org/officeDocument/2006/relationships/image" Target="../media/image212.png"/><Relationship Id="rId15" Type="http://schemas.openxmlformats.org/officeDocument/2006/relationships/image" Target="../media/image57.png"/><Relationship Id="rId36" Type="http://schemas.openxmlformats.org/officeDocument/2006/relationships/image" Target="../media/image76.png"/><Relationship Id="rId57" Type="http://schemas.openxmlformats.org/officeDocument/2006/relationships/image" Target="../media/image97.png"/><Relationship Id="rId106" Type="http://schemas.openxmlformats.org/officeDocument/2006/relationships/image" Target="../media/image143.png"/><Relationship Id="rId127" Type="http://schemas.openxmlformats.org/officeDocument/2006/relationships/image" Target="../media/image164.png"/><Relationship Id="rId10" Type="http://schemas.openxmlformats.org/officeDocument/2006/relationships/image" Target="../media/image52.png"/><Relationship Id="rId31" Type="http://schemas.openxmlformats.org/officeDocument/2006/relationships/image" Target="../media/image71.png"/><Relationship Id="rId52" Type="http://schemas.openxmlformats.org/officeDocument/2006/relationships/image" Target="../media/image92.png"/><Relationship Id="rId73" Type="http://schemas.openxmlformats.org/officeDocument/2006/relationships/image" Target="../media/image111.png"/><Relationship Id="rId78" Type="http://schemas.openxmlformats.org/officeDocument/2006/relationships/image" Target="../media/image115.png"/><Relationship Id="rId94" Type="http://schemas.openxmlformats.org/officeDocument/2006/relationships/image" Target="../media/image131.png"/><Relationship Id="rId99" Type="http://schemas.openxmlformats.org/officeDocument/2006/relationships/image" Target="../media/image136.png"/><Relationship Id="rId101" Type="http://schemas.openxmlformats.org/officeDocument/2006/relationships/image" Target="../media/image138.png"/><Relationship Id="rId122" Type="http://schemas.openxmlformats.org/officeDocument/2006/relationships/image" Target="../media/image159.png"/><Relationship Id="rId143" Type="http://schemas.openxmlformats.org/officeDocument/2006/relationships/image" Target="../media/image177.png"/><Relationship Id="rId148" Type="http://schemas.openxmlformats.org/officeDocument/2006/relationships/image" Target="../media/image181.png"/><Relationship Id="rId164" Type="http://schemas.openxmlformats.org/officeDocument/2006/relationships/image" Target="../media/image197.png"/><Relationship Id="rId169" Type="http://schemas.openxmlformats.org/officeDocument/2006/relationships/image" Target="../media/image202.png"/><Relationship Id="rId4" Type="http://schemas.openxmlformats.org/officeDocument/2006/relationships/image" Target="../media/image46.png"/><Relationship Id="rId9" Type="http://schemas.openxmlformats.org/officeDocument/2006/relationships/image" Target="../media/image51.png"/><Relationship Id="rId180" Type="http://schemas.openxmlformats.org/officeDocument/2006/relationships/image" Target="../media/image213.png"/><Relationship Id="rId26" Type="http://schemas.openxmlformats.org/officeDocument/2006/relationships/image" Target="../media/image66.png"/><Relationship Id="rId47" Type="http://schemas.openxmlformats.org/officeDocument/2006/relationships/image" Target="../media/image87.png"/><Relationship Id="rId68" Type="http://schemas.openxmlformats.org/officeDocument/2006/relationships/image" Target="../media/image107.png"/><Relationship Id="rId89" Type="http://schemas.openxmlformats.org/officeDocument/2006/relationships/image" Target="../media/image126.png"/><Relationship Id="rId112" Type="http://schemas.openxmlformats.org/officeDocument/2006/relationships/image" Target="../media/image149.png"/><Relationship Id="rId133" Type="http://schemas.openxmlformats.org/officeDocument/2006/relationships/image" Target="../media/image170.png"/><Relationship Id="rId154" Type="http://schemas.openxmlformats.org/officeDocument/2006/relationships/image" Target="../media/image187.png"/><Relationship Id="rId175" Type="http://schemas.openxmlformats.org/officeDocument/2006/relationships/image" Target="../media/image208.png"/><Relationship Id="rId16" Type="http://schemas.openxmlformats.org/officeDocument/2006/relationships/image" Target="../media/image58.png"/><Relationship Id="rId37" Type="http://schemas.openxmlformats.org/officeDocument/2006/relationships/image" Target="../media/image77.png"/><Relationship Id="rId58" Type="http://schemas.openxmlformats.org/officeDocument/2006/relationships/image" Target="../media/image98.png"/><Relationship Id="rId79" Type="http://schemas.openxmlformats.org/officeDocument/2006/relationships/image" Target="../media/image116.png"/><Relationship Id="rId102" Type="http://schemas.openxmlformats.org/officeDocument/2006/relationships/image" Target="../media/image139.png"/><Relationship Id="rId123" Type="http://schemas.openxmlformats.org/officeDocument/2006/relationships/image" Target="../media/image160.png"/><Relationship Id="rId144" Type="http://schemas.openxmlformats.org/officeDocument/2006/relationships/image" Target="../media/image178.png"/><Relationship Id="rId90" Type="http://schemas.openxmlformats.org/officeDocument/2006/relationships/image" Target="../media/image127.png"/><Relationship Id="rId165" Type="http://schemas.openxmlformats.org/officeDocument/2006/relationships/image" Target="../media/image198.png"/><Relationship Id="rId27" Type="http://schemas.openxmlformats.org/officeDocument/2006/relationships/image" Target="../media/image67.png"/><Relationship Id="rId48" Type="http://schemas.openxmlformats.org/officeDocument/2006/relationships/image" Target="../media/image88.png"/><Relationship Id="rId69" Type="http://schemas.openxmlformats.org/officeDocument/2006/relationships/image" Target="../media/image108.png"/><Relationship Id="rId113" Type="http://schemas.openxmlformats.org/officeDocument/2006/relationships/image" Target="../media/image150.png"/><Relationship Id="rId134" Type="http://schemas.openxmlformats.org/officeDocument/2006/relationships/image" Target="../media/image171.png"/><Relationship Id="rId80" Type="http://schemas.openxmlformats.org/officeDocument/2006/relationships/image" Target="../media/image117.png"/><Relationship Id="rId155" Type="http://schemas.openxmlformats.org/officeDocument/2006/relationships/image" Target="../media/image188.png"/><Relationship Id="rId176" Type="http://schemas.openxmlformats.org/officeDocument/2006/relationships/image" Target="../media/image209.png"/><Relationship Id="rId17" Type="http://schemas.openxmlformats.org/officeDocument/2006/relationships/image" Target="../media/image59.png"/><Relationship Id="rId38" Type="http://schemas.openxmlformats.org/officeDocument/2006/relationships/image" Target="../media/image78.png"/><Relationship Id="rId59" Type="http://schemas.openxmlformats.org/officeDocument/2006/relationships/image" Target="../media/image99.png"/><Relationship Id="rId103" Type="http://schemas.openxmlformats.org/officeDocument/2006/relationships/image" Target="../media/image140.png"/><Relationship Id="rId124" Type="http://schemas.openxmlformats.org/officeDocument/2006/relationships/image" Target="../media/image161.png"/><Relationship Id="rId70" Type="http://schemas.openxmlformats.org/officeDocument/2006/relationships/image" Target="../media/image109.png"/><Relationship Id="rId91" Type="http://schemas.openxmlformats.org/officeDocument/2006/relationships/image" Target="../media/image128.png"/><Relationship Id="rId145" Type="http://schemas.openxmlformats.org/officeDocument/2006/relationships/image" Target="../media/image17.png"/><Relationship Id="rId166" Type="http://schemas.openxmlformats.org/officeDocument/2006/relationships/image" Target="../media/image199.png"/><Relationship Id="rId1" Type="http://schemas.openxmlformats.org/officeDocument/2006/relationships/image" Target="../media/image43.png"/><Relationship Id="rId28" Type="http://schemas.openxmlformats.org/officeDocument/2006/relationships/image" Target="../media/image68.png"/><Relationship Id="rId49" Type="http://schemas.openxmlformats.org/officeDocument/2006/relationships/image" Target="../media/image89.png"/><Relationship Id="rId114" Type="http://schemas.openxmlformats.org/officeDocument/2006/relationships/image" Target="../media/image151.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3.png"/><Relationship Id="rId3" Type="http://schemas.openxmlformats.org/officeDocument/2006/relationships/image" Target="../media/image59.png"/><Relationship Id="rId7" Type="http://schemas.openxmlformats.org/officeDocument/2006/relationships/image" Target="../media/image222.png"/><Relationship Id="rId2" Type="http://schemas.openxmlformats.org/officeDocument/2006/relationships/image" Target="../media/image218.png"/><Relationship Id="rId1" Type="http://schemas.openxmlformats.org/officeDocument/2006/relationships/image" Target="../media/image217.png"/><Relationship Id="rId6" Type="http://schemas.openxmlformats.org/officeDocument/2006/relationships/image" Target="../media/image221.png"/><Relationship Id="rId11" Type="http://schemas.openxmlformats.org/officeDocument/2006/relationships/image" Target="../media/image80.png"/><Relationship Id="rId5" Type="http://schemas.openxmlformats.org/officeDocument/2006/relationships/image" Target="../media/image220.png"/><Relationship Id="rId10" Type="http://schemas.openxmlformats.org/officeDocument/2006/relationships/image" Target="../media/image129.png"/><Relationship Id="rId4" Type="http://schemas.openxmlformats.org/officeDocument/2006/relationships/image" Target="../media/image219.png"/><Relationship Id="rId9" Type="http://schemas.openxmlformats.org/officeDocument/2006/relationships/image" Target="../media/image224.png"/></Relationships>
</file>

<file path=xl/drawings/drawing1.xml><?xml version="1.0" encoding="utf-8"?>
<xdr:wsDr xmlns:xdr="http://schemas.openxmlformats.org/drawingml/2006/spreadsheetDrawing" xmlns:a="http://schemas.openxmlformats.org/drawingml/2006/main">
  <xdr:twoCellAnchor editAs="oneCell">
    <xdr:from>
      <xdr:col>16</xdr:col>
      <xdr:colOff>185057</xdr:colOff>
      <xdr:row>4</xdr:row>
      <xdr:rowOff>119743</xdr:rowOff>
    </xdr:from>
    <xdr:to>
      <xdr:col>26</xdr:col>
      <xdr:colOff>468923</xdr:colOff>
      <xdr:row>25</xdr:row>
      <xdr:rowOff>105033</xdr:rowOff>
    </xdr:to>
    <xdr:pic>
      <xdr:nvPicPr>
        <xdr:cNvPr id="2" name="Picture 1">
          <a:extLst>
            <a:ext uri="{FF2B5EF4-FFF2-40B4-BE49-F238E27FC236}">
              <a16:creationId xmlns:a16="http://schemas.microsoft.com/office/drawing/2014/main" id="{57ED7216-6770-FD55-D8F3-42D79CADC2D6}"/>
            </a:ext>
          </a:extLst>
        </xdr:cNvPr>
        <xdr:cNvPicPr>
          <a:picLocks noChangeAspect="1"/>
        </xdr:cNvPicPr>
      </xdr:nvPicPr>
      <xdr:blipFill>
        <a:blip xmlns:r="http://schemas.openxmlformats.org/officeDocument/2006/relationships" r:embed="rId1"/>
        <a:stretch>
          <a:fillRect/>
        </a:stretch>
      </xdr:blipFill>
      <xdr:spPr>
        <a:xfrm>
          <a:off x="13490749" y="940358"/>
          <a:ext cx="6340789" cy="3676431"/>
        </a:xfrm>
        <a:prstGeom prst="rect">
          <a:avLst/>
        </a:prstGeom>
      </xdr:spPr>
    </xdr:pic>
    <xdr:clientData/>
  </xdr:twoCellAnchor>
  <xdr:twoCellAnchor editAs="oneCell">
    <xdr:from>
      <xdr:col>16</xdr:col>
      <xdr:colOff>297657</xdr:colOff>
      <xdr:row>25</xdr:row>
      <xdr:rowOff>154781</xdr:rowOff>
    </xdr:from>
    <xdr:to>
      <xdr:col>19</xdr:col>
      <xdr:colOff>524162</xdr:colOff>
      <xdr:row>36</xdr:row>
      <xdr:rowOff>162200</xdr:rowOff>
    </xdr:to>
    <xdr:pic>
      <xdr:nvPicPr>
        <xdr:cNvPr id="3" name="Picture 2">
          <a:extLst>
            <a:ext uri="{FF2B5EF4-FFF2-40B4-BE49-F238E27FC236}">
              <a16:creationId xmlns:a16="http://schemas.microsoft.com/office/drawing/2014/main" id="{4C7A8005-FB3F-9B3B-A853-4438DD3D973F}"/>
            </a:ext>
          </a:extLst>
        </xdr:cNvPr>
        <xdr:cNvPicPr>
          <a:picLocks noChangeAspect="1"/>
        </xdr:cNvPicPr>
      </xdr:nvPicPr>
      <xdr:blipFill>
        <a:blip xmlns:r="http://schemas.openxmlformats.org/officeDocument/2006/relationships" r:embed="rId2"/>
        <a:stretch>
          <a:fillRect/>
        </a:stretch>
      </xdr:blipFill>
      <xdr:spPr>
        <a:xfrm>
          <a:off x="13608845" y="4750594"/>
          <a:ext cx="2048161" cy="197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7620</xdr:colOff>
          <xdr:row>2</xdr:row>
          <xdr:rowOff>182880</xdr:rowOff>
        </xdr:from>
        <xdr:to>
          <xdr:col>7</xdr:col>
          <xdr:colOff>403860</xdr:colOff>
          <xdr:row>4</xdr:row>
          <xdr:rowOff>7620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2</xdr:row>
          <xdr:rowOff>182880</xdr:rowOff>
        </xdr:from>
        <xdr:to>
          <xdr:col>9</xdr:col>
          <xdr:colOff>289560</xdr:colOff>
          <xdr:row>4</xdr:row>
          <xdr:rowOff>7620</xdr:rowOff>
        </xdr:to>
        <xdr:sp macro="" textlink="">
          <xdr:nvSpPr>
            <xdr:cNvPr id="11265" name="Drop Down 1" hidden="1">
              <a:extLst>
                <a:ext uri="{63B3BB69-23CF-44E3-9099-C40C66FF867C}">
                  <a14:compatExt spid="_x0000_s11265"/>
                </a:ext>
                <a:ext uri="{FF2B5EF4-FFF2-40B4-BE49-F238E27FC236}">
                  <a16:creationId xmlns:a16="http://schemas.microsoft.com/office/drawing/2014/main" id="{00000000-0008-0000-04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2</xdr:row>
          <xdr:rowOff>182880</xdr:rowOff>
        </xdr:from>
        <xdr:to>
          <xdr:col>9</xdr:col>
          <xdr:colOff>396240</xdr:colOff>
          <xdr:row>4</xdr:row>
          <xdr:rowOff>7620</xdr:rowOff>
        </xdr:to>
        <xdr:sp macro="" textlink="">
          <xdr:nvSpPr>
            <xdr:cNvPr id="20481" name="Drop Down 1" hidden="1">
              <a:extLst>
                <a:ext uri="{63B3BB69-23CF-44E3-9099-C40C66FF867C}">
                  <a14:compatExt spid="_x0000_s20481"/>
                </a:ext>
                <a:ext uri="{FF2B5EF4-FFF2-40B4-BE49-F238E27FC236}">
                  <a16:creationId xmlns:a16="http://schemas.microsoft.com/office/drawing/2014/main" id="{00000000-0008-0000-05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25</xdr:col>
      <xdr:colOff>455341</xdr:colOff>
      <xdr:row>99</xdr:row>
      <xdr:rowOff>130097</xdr:rowOff>
    </xdr:from>
    <xdr:to>
      <xdr:col>29</xdr:col>
      <xdr:colOff>576147</xdr:colOff>
      <xdr:row>109</xdr:row>
      <xdr:rowOff>27877</xdr:rowOff>
    </xdr:to>
    <xdr:sp macro="" textlink="">
      <xdr:nvSpPr>
        <xdr:cNvPr id="2" name="TextBox 1">
          <a:extLst>
            <a:ext uri="{FF2B5EF4-FFF2-40B4-BE49-F238E27FC236}">
              <a16:creationId xmlns:a16="http://schemas.microsoft.com/office/drawing/2014/main" id="{E0B0D805-3DE8-3C67-589C-B6F213A365AB}"/>
            </a:ext>
          </a:extLst>
        </xdr:cNvPr>
        <xdr:cNvSpPr txBox="1"/>
      </xdr:nvSpPr>
      <xdr:spPr>
        <a:xfrm>
          <a:off x="14877585" y="18576073"/>
          <a:ext cx="2574074" cy="1765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Balance sheet ko check</a:t>
          </a:r>
          <a:r>
            <a:rPr lang="en-IN" sz="1100" baseline="0"/>
            <a:t> kaise krte hai woh tally ho rhi yaa nhi ek baar usko yaha par wapas check krana aur usko waise he chodh dena aur sir ko submit krte time iss file ka copied version dena jisse aage kabhi dikkat aaye financial model banane mein toh isme sab kuch detailed mein milega - </a:t>
          </a:r>
          <a:r>
            <a:rPr lang="en-IN" sz="2000" b="1" baseline="0"/>
            <a:t>NOTE</a:t>
          </a:r>
          <a:endParaRPr lang="en-IN" sz="1100" b="1"/>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2</xdr:row>
          <xdr:rowOff>182880</xdr:rowOff>
        </xdr:from>
        <xdr:to>
          <xdr:col>9</xdr:col>
          <xdr:colOff>396240</xdr:colOff>
          <xdr:row>4</xdr:row>
          <xdr:rowOff>7620</xdr:rowOff>
        </xdr:to>
        <xdr:sp macro="" textlink="">
          <xdr:nvSpPr>
            <xdr:cNvPr id="40961" name="Drop Down 1" hidden="1">
              <a:extLst>
                <a:ext uri="{63B3BB69-23CF-44E3-9099-C40C66FF867C}">
                  <a14:compatExt spid="_x0000_s40961"/>
                </a:ext>
                <a:ext uri="{FF2B5EF4-FFF2-40B4-BE49-F238E27FC236}">
                  <a16:creationId xmlns:a16="http://schemas.microsoft.com/office/drawing/2014/main" id="{00000000-0008-0000-0600-000001A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2</xdr:row>
          <xdr:rowOff>182880</xdr:rowOff>
        </xdr:from>
        <xdr:to>
          <xdr:col>9</xdr:col>
          <xdr:colOff>403860</xdr:colOff>
          <xdr:row>4</xdr:row>
          <xdr:rowOff>7620</xdr:rowOff>
        </xdr:to>
        <xdr:sp macro="" textlink="">
          <xdr:nvSpPr>
            <xdr:cNvPr id="29697" name="Drop Down 1"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7620</xdr:colOff>
          <xdr:row>2</xdr:row>
          <xdr:rowOff>182880</xdr:rowOff>
        </xdr:from>
        <xdr:to>
          <xdr:col>9</xdr:col>
          <xdr:colOff>358140</xdr:colOff>
          <xdr:row>4</xdr:row>
          <xdr:rowOff>7620</xdr:rowOff>
        </xdr:to>
        <xdr:sp macro="" textlink="">
          <xdr:nvSpPr>
            <xdr:cNvPr id="30721" name="Drop Down 1" hidden="1">
              <a:extLst>
                <a:ext uri="{63B3BB69-23CF-44E3-9099-C40C66FF867C}">
                  <a14:compatExt spid="_x0000_s30721"/>
                </a:ext>
                <a:ext uri="{FF2B5EF4-FFF2-40B4-BE49-F238E27FC236}">
                  <a16:creationId xmlns:a16="http://schemas.microsoft.com/office/drawing/2014/main" id="{00000000-0008-0000-0900-0000017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13</xdr:col>
      <xdr:colOff>586740</xdr:colOff>
      <xdr:row>3</xdr:row>
      <xdr:rowOff>173787</xdr:rowOff>
    </xdr:from>
    <xdr:to>
      <xdr:col>19</xdr:col>
      <xdr:colOff>118799</xdr:colOff>
      <xdr:row>15</xdr:row>
      <xdr:rowOff>162627</xdr:rowOff>
    </xdr:to>
    <xdr:pic>
      <xdr:nvPicPr>
        <xdr:cNvPr id="2" name="Picture 1">
          <a:extLst>
            <a:ext uri="{FF2B5EF4-FFF2-40B4-BE49-F238E27FC236}">
              <a16:creationId xmlns:a16="http://schemas.microsoft.com/office/drawing/2014/main" id="{E59E5CA4-E317-69FD-20D2-401056D08F30}"/>
            </a:ext>
          </a:extLst>
        </xdr:cNvPr>
        <xdr:cNvPicPr>
          <a:picLocks noChangeAspect="1"/>
        </xdr:cNvPicPr>
      </xdr:nvPicPr>
      <xdr:blipFill>
        <a:blip xmlns:r="http://schemas.openxmlformats.org/officeDocument/2006/relationships" r:embed="rId1"/>
        <a:stretch>
          <a:fillRect/>
        </a:stretch>
      </xdr:blipFill>
      <xdr:spPr>
        <a:xfrm>
          <a:off x="8755380" y="737667"/>
          <a:ext cx="3420569" cy="2198640"/>
        </a:xfrm>
        <a:prstGeom prst="rect">
          <a:avLst/>
        </a:prstGeom>
      </xdr:spPr>
    </xdr:pic>
    <xdr:clientData/>
  </xdr:twoCellAnchor>
  <xdr:twoCellAnchor editAs="oneCell">
    <xdr:from>
      <xdr:col>14</xdr:col>
      <xdr:colOff>99060</xdr:colOff>
      <xdr:row>17</xdr:row>
      <xdr:rowOff>80005</xdr:rowOff>
    </xdr:from>
    <xdr:to>
      <xdr:col>19</xdr:col>
      <xdr:colOff>178285</xdr:colOff>
      <xdr:row>23</xdr:row>
      <xdr:rowOff>30480</xdr:rowOff>
    </xdr:to>
    <xdr:pic>
      <xdr:nvPicPr>
        <xdr:cNvPr id="4" name="Picture 3">
          <a:extLst>
            <a:ext uri="{FF2B5EF4-FFF2-40B4-BE49-F238E27FC236}">
              <a16:creationId xmlns:a16="http://schemas.microsoft.com/office/drawing/2014/main" id="{20E20AA4-57BD-0CB0-72C8-6C56C178EBF5}"/>
            </a:ext>
          </a:extLst>
        </xdr:cNvPr>
        <xdr:cNvPicPr>
          <a:picLocks noChangeAspect="1"/>
        </xdr:cNvPicPr>
      </xdr:nvPicPr>
      <xdr:blipFill>
        <a:blip xmlns:r="http://schemas.openxmlformats.org/officeDocument/2006/relationships" r:embed="rId2"/>
        <a:stretch>
          <a:fillRect/>
        </a:stretch>
      </xdr:blipFill>
      <xdr:spPr>
        <a:xfrm>
          <a:off x="8877300" y="3219445"/>
          <a:ext cx="3242679" cy="1779275"/>
        </a:xfrm>
        <a:prstGeom prst="rect">
          <a:avLst/>
        </a:prstGeom>
      </xdr:spPr>
    </xdr:pic>
    <xdr:clientData/>
  </xdr:twoCellAnchor>
  <xdr:twoCellAnchor editAs="oneCell">
    <xdr:from>
      <xdr:col>14</xdr:col>
      <xdr:colOff>76199</xdr:colOff>
      <xdr:row>29</xdr:row>
      <xdr:rowOff>70914</xdr:rowOff>
    </xdr:from>
    <xdr:to>
      <xdr:col>19</xdr:col>
      <xdr:colOff>148528</xdr:colOff>
      <xdr:row>38</xdr:row>
      <xdr:rowOff>149170</xdr:rowOff>
    </xdr:to>
    <xdr:pic>
      <xdr:nvPicPr>
        <xdr:cNvPr id="5" name="Picture 4">
          <a:extLst>
            <a:ext uri="{FF2B5EF4-FFF2-40B4-BE49-F238E27FC236}">
              <a16:creationId xmlns:a16="http://schemas.microsoft.com/office/drawing/2014/main" id="{AC9450A9-F6CA-36AF-DAF5-E3ACE8546AD6}"/>
            </a:ext>
          </a:extLst>
        </xdr:cNvPr>
        <xdr:cNvPicPr>
          <a:picLocks noChangeAspect="1"/>
        </xdr:cNvPicPr>
      </xdr:nvPicPr>
      <xdr:blipFill>
        <a:blip xmlns:r="http://schemas.openxmlformats.org/officeDocument/2006/relationships" r:embed="rId3"/>
        <a:stretch>
          <a:fillRect/>
        </a:stretch>
      </xdr:blipFill>
      <xdr:spPr>
        <a:xfrm>
          <a:off x="8854439" y="5404914"/>
          <a:ext cx="3235783" cy="1724176"/>
        </a:xfrm>
        <a:prstGeom prst="rect">
          <a:avLst/>
        </a:prstGeom>
      </xdr:spPr>
    </xdr:pic>
    <xdr:clientData/>
  </xdr:twoCellAnchor>
  <xdr:twoCellAnchor>
    <xdr:from>
      <xdr:col>1</xdr:col>
      <xdr:colOff>310444</xdr:colOff>
      <xdr:row>14</xdr:row>
      <xdr:rowOff>159926</xdr:rowOff>
    </xdr:from>
    <xdr:to>
      <xdr:col>13</xdr:col>
      <xdr:colOff>376297</xdr:colOff>
      <xdr:row>25</xdr:row>
      <xdr:rowOff>18815</xdr:rowOff>
    </xdr:to>
    <xdr:sp macro="" textlink="">
      <xdr:nvSpPr>
        <xdr:cNvPr id="3" name="TextBox 2">
          <a:extLst>
            <a:ext uri="{FF2B5EF4-FFF2-40B4-BE49-F238E27FC236}">
              <a16:creationId xmlns:a16="http://schemas.microsoft.com/office/drawing/2014/main" id="{55D5D138-58EE-983E-E485-D9C3597C2ACF}"/>
            </a:ext>
          </a:extLst>
        </xdr:cNvPr>
        <xdr:cNvSpPr txBox="1"/>
      </xdr:nvSpPr>
      <xdr:spPr>
        <a:xfrm>
          <a:off x="442148" y="2699926"/>
          <a:ext cx="8118593" cy="270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has posted revenue</a:t>
          </a:r>
          <a:r>
            <a:rPr lang="en-IN" sz="1100" baseline="0"/>
            <a:t> of INR 18,870 crores in FY2025. The revenue has been grown at a CAGR of 22.4% and 15.6% during the last 3 and 5 years respectively. Despite the muted growth in motorcyle industry, the company has been able to post a decent growth. The management is committed to outgrow the motorcyle industry in the long run and as a result, the company has been launching new motorcycle models from time to time. The company has also been spending a decent amount on its marketing activites in order to attract younger generations. Apart from this motorcylce segment, the company's VECV segment has been showing strong growth both in domestic and international markets. The company is planning to accelerate growth in its HD truck business and is thus aiming to acheive 15% market share in next three years. Further, it is aiming for operating profit of 10% in VECV segment in FY26.</a:t>
          </a:r>
        </a:p>
        <a:p>
          <a:endParaRPr lang="en-IN" sz="1100" baseline="0"/>
        </a:p>
        <a:p>
          <a:r>
            <a:rPr lang="en-IN" sz="1100" baseline="0"/>
            <a:t>The analyst's consensus growth for FY26 is INR 21,915 crores which is 16% growth over the FY2025 revenues of INR 18,870 crores.</a:t>
          </a:r>
        </a:p>
        <a:p>
          <a:endParaRPr lang="en-IN" sz="1100" baseline="0"/>
        </a:p>
        <a:p>
          <a:r>
            <a:rPr lang="en-IN" sz="1100" baseline="0"/>
            <a:t>Considering the muted growth in motorcyle industry and fluctuating commodity prices, we assume that the company would maintain growth around mid teens, that is, around 13-15%, due to the measures it has taken to boost its growth like marketing activites and further the company has planned capex of around INR 1200 - 1300 crores for FY26 which is mostly toward investment in its EV business.</a:t>
          </a:r>
        </a:p>
        <a:p>
          <a:endParaRPr lang="en-IN" sz="1100"/>
        </a:p>
        <a:p>
          <a:r>
            <a:rPr lang="en-IN" sz="1100"/>
            <a:t>Managment</a:t>
          </a:r>
          <a:r>
            <a:rPr lang="en-IN" sz="1100" baseline="0"/>
            <a:t> gave no guidance on revenue.</a:t>
          </a:r>
          <a:endParaRPr lang="en-IN" sz="1100"/>
        </a:p>
      </xdr:txBody>
    </xdr:sp>
    <xdr:clientData/>
  </xdr:twoCellAnchor>
  <xdr:twoCellAnchor editAs="oneCell">
    <xdr:from>
      <xdr:col>1</xdr:col>
      <xdr:colOff>65852</xdr:colOff>
      <xdr:row>63</xdr:row>
      <xdr:rowOff>131703</xdr:rowOff>
    </xdr:from>
    <xdr:to>
      <xdr:col>3</xdr:col>
      <xdr:colOff>66781</xdr:colOff>
      <xdr:row>69</xdr:row>
      <xdr:rowOff>62759</xdr:rowOff>
    </xdr:to>
    <xdr:pic>
      <xdr:nvPicPr>
        <xdr:cNvPr id="6" name="Picture 5">
          <a:extLst>
            <a:ext uri="{FF2B5EF4-FFF2-40B4-BE49-F238E27FC236}">
              <a16:creationId xmlns:a16="http://schemas.microsoft.com/office/drawing/2014/main" id="{981E7F17-816B-84BA-0F1E-EE54DAAF7C91}"/>
            </a:ext>
          </a:extLst>
        </xdr:cNvPr>
        <xdr:cNvPicPr>
          <a:picLocks noChangeAspect="1"/>
        </xdr:cNvPicPr>
      </xdr:nvPicPr>
      <xdr:blipFill>
        <a:blip xmlns:r="http://schemas.openxmlformats.org/officeDocument/2006/relationships" r:embed="rId4"/>
        <a:stretch>
          <a:fillRect/>
        </a:stretch>
      </xdr:blipFill>
      <xdr:spPr>
        <a:xfrm>
          <a:off x="197556" y="12351925"/>
          <a:ext cx="3697111" cy="1003501"/>
        </a:xfrm>
        <a:prstGeom prst="rect">
          <a:avLst/>
        </a:prstGeom>
      </xdr:spPr>
    </xdr:pic>
    <xdr:clientData/>
  </xdr:twoCellAnchor>
  <xdr:twoCellAnchor editAs="oneCell">
    <xdr:from>
      <xdr:col>6</xdr:col>
      <xdr:colOff>197554</xdr:colOff>
      <xdr:row>64</xdr:row>
      <xdr:rowOff>0</xdr:rowOff>
    </xdr:from>
    <xdr:to>
      <xdr:col>11</xdr:col>
      <xdr:colOff>152357</xdr:colOff>
      <xdr:row>69</xdr:row>
      <xdr:rowOff>159925</xdr:rowOff>
    </xdr:to>
    <xdr:pic>
      <xdr:nvPicPr>
        <xdr:cNvPr id="7" name="Picture 6">
          <a:extLst>
            <a:ext uri="{FF2B5EF4-FFF2-40B4-BE49-F238E27FC236}">
              <a16:creationId xmlns:a16="http://schemas.microsoft.com/office/drawing/2014/main" id="{5097BE94-561F-FDA5-01B5-7762EA5AED0D}"/>
            </a:ext>
          </a:extLst>
        </xdr:cNvPr>
        <xdr:cNvPicPr>
          <a:picLocks noChangeAspect="1"/>
        </xdr:cNvPicPr>
      </xdr:nvPicPr>
      <xdr:blipFill>
        <a:blip xmlns:r="http://schemas.openxmlformats.org/officeDocument/2006/relationships" r:embed="rId5"/>
        <a:stretch>
          <a:fillRect/>
        </a:stretch>
      </xdr:blipFill>
      <xdr:spPr>
        <a:xfrm>
          <a:off x="4101628" y="12398963"/>
          <a:ext cx="3589054" cy="1053629"/>
        </a:xfrm>
        <a:prstGeom prst="rect">
          <a:avLst/>
        </a:prstGeom>
      </xdr:spPr>
    </xdr:pic>
    <xdr:clientData/>
  </xdr:twoCellAnchor>
  <xdr:twoCellAnchor editAs="oneCell">
    <xdr:from>
      <xdr:col>1</xdr:col>
      <xdr:colOff>122295</xdr:colOff>
      <xdr:row>71</xdr:row>
      <xdr:rowOff>37628</xdr:rowOff>
    </xdr:from>
    <xdr:to>
      <xdr:col>3</xdr:col>
      <xdr:colOff>606372</xdr:colOff>
      <xdr:row>80</xdr:row>
      <xdr:rowOff>160064</xdr:rowOff>
    </xdr:to>
    <xdr:pic>
      <xdr:nvPicPr>
        <xdr:cNvPr id="8" name="Picture 7">
          <a:extLst>
            <a:ext uri="{FF2B5EF4-FFF2-40B4-BE49-F238E27FC236}">
              <a16:creationId xmlns:a16="http://schemas.microsoft.com/office/drawing/2014/main" id="{8C968C77-F057-7FB6-CB62-9F33E8DFCCE7}"/>
            </a:ext>
          </a:extLst>
        </xdr:cNvPr>
        <xdr:cNvPicPr>
          <a:picLocks noChangeAspect="1"/>
        </xdr:cNvPicPr>
      </xdr:nvPicPr>
      <xdr:blipFill>
        <a:blip xmlns:r="http://schemas.openxmlformats.org/officeDocument/2006/relationships" r:embed="rId6"/>
        <a:stretch>
          <a:fillRect/>
        </a:stretch>
      </xdr:blipFill>
      <xdr:spPr>
        <a:xfrm>
          <a:off x="253999" y="13687776"/>
          <a:ext cx="4186297" cy="1731103"/>
        </a:xfrm>
        <a:prstGeom prst="rect">
          <a:avLst/>
        </a:prstGeom>
      </xdr:spPr>
    </xdr:pic>
    <xdr:clientData/>
  </xdr:twoCellAnchor>
  <xdr:twoCellAnchor editAs="oneCell">
    <xdr:from>
      <xdr:col>7</xdr:col>
      <xdr:colOff>507999</xdr:colOff>
      <xdr:row>73</xdr:row>
      <xdr:rowOff>37630</xdr:rowOff>
    </xdr:from>
    <xdr:to>
      <xdr:col>11</xdr:col>
      <xdr:colOff>554608</xdr:colOff>
      <xdr:row>81</xdr:row>
      <xdr:rowOff>113625</xdr:rowOff>
    </xdr:to>
    <xdr:pic>
      <xdr:nvPicPr>
        <xdr:cNvPr id="9" name="Picture 8">
          <a:extLst>
            <a:ext uri="{FF2B5EF4-FFF2-40B4-BE49-F238E27FC236}">
              <a16:creationId xmlns:a16="http://schemas.microsoft.com/office/drawing/2014/main" id="{395331C3-335F-101B-B0A1-C925B0FA7137}"/>
            </a:ext>
          </a:extLst>
        </xdr:cNvPr>
        <xdr:cNvPicPr>
          <a:picLocks noChangeAspect="1"/>
        </xdr:cNvPicPr>
      </xdr:nvPicPr>
      <xdr:blipFill>
        <a:blip xmlns:r="http://schemas.openxmlformats.org/officeDocument/2006/relationships" r:embed="rId7"/>
        <a:stretch>
          <a:fillRect/>
        </a:stretch>
      </xdr:blipFill>
      <xdr:spPr>
        <a:xfrm>
          <a:off x="5023555" y="14045260"/>
          <a:ext cx="2953925" cy="1505922"/>
        </a:xfrm>
        <a:prstGeom prst="rect">
          <a:avLst/>
        </a:prstGeom>
      </xdr:spPr>
    </xdr:pic>
    <xdr:clientData/>
  </xdr:twoCellAnchor>
  <xdr:twoCellAnchor editAs="oneCell">
    <xdr:from>
      <xdr:col>1</xdr:col>
      <xdr:colOff>265043</xdr:colOff>
      <xdr:row>81</xdr:row>
      <xdr:rowOff>143565</xdr:rowOff>
    </xdr:from>
    <xdr:to>
      <xdr:col>3</xdr:col>
      <xdr:colOff>434584</xdr:colOff>
      <xdr:row>87</xdr:row>
      <xdr:rowOff>146548</xdr:rowOff>
    </xdr:to>
    <xdr:pic>
      <xdr:nvPicPr>
        <xdr:cNvPr id="10" name="Picture 9">
          <a:extLst>
            <a:ext uri="{FF2B5EF4-FFF2-40B4-BE49-F238E27FC236}">
              <a16:creationId xmlns:a16="http://schemas.microsoft.com/office/drawing/2014/main" id="{708B445C-F706-3745-D2EF-6A59E7B2EE18}"/>
            </a:ext>
          </a:extLst>
        </xdr:cNvPr>
        <xdr:cNvPicPr>
          <a:picLocks noChangeAspect="1"/>
        </xdr:cNvPicPr>
      </xdr:nvPicPr>
      <xdr:blipFill>
        <a:blip xmlns:r="http://schemas.openxmlformats.org/officeDocument/2006/relationships" r:embed="rId8"/>
        <a:stretch>
          <a:fillRect/>
        </a:stretch>
      </xdr:blipFill>
      <xdr:spPr>
        <a:xfrm>
          <a:off x="397565" y="16222869"/>
          <a:ext cx="3865217" cy="1129417"/>
        </a:xfrm>
        <a:prstGeom prst="rect">
          <a:avLst/>
        </a:prstGeom>
      </xdr:spPr>
    </xdr:pic>
    <xdr:clientData/>
  </xdr:twoCellAnchor>
  <xdr:twoCellAnchor editAs="oneCell">
    <xdr:from>
      <xdr:col>7</xdr:col>
      <xdr:colOff>309217</xdr:colOff>
      <xdr:row>82</xdr:row>
      <xdr:rowOff>33130</xdr:rowOff>
    </xdr:from>
    <xdr:to>
      <xdr:col>10</xdr:col>
      <xdr:colOff>364833</xdr:colOff>
      <xdr:row>91</xdr:row>
      <xdr:rowOff>115374</xdr:rowOff>
    </xdr:to>
    <xdr:pic>
      <xdr:nvPicPr>
        <xdr:cNvPr id="11" name="Picture 10">
          <a:extLst>
            <a:ext uri="{FF2B5EF4-FFF2-40B4-BE49-F238E27FC236}">
              <a16:creationId xmlns:a16="http://schemas.microsoft.com/office/drawing/2014/main" id="{E4560AC1-6D1B-4ADA-FED9-1682BC98C897}"/>
            </a:ext>
          </a:extLst>
        </xdr:cNvPr>
        <xdr:cNvPicPr>
          <a:picLocks noChangeAspect="1"/>
        </xdr:cNvPicPr>
      </xdr:nvPicPr>
      <xdr:blipFill>
        <a:blip xmlns:r="http://schemas.openxmlformats.org/officeDocument/2006/relationships" r:embed="rId9"/>
        <a:stretch>
          <a:fillRect/>
        </a:stretch>
      </xdr:blipFill>
      <xdr:spPr>
        <a:xfrm>
          <a:off x="4814956" y="16300173"/>
          <a:ext cx="2219635" cy="1771897"/>
        </a:xfrm>
        <a:prstGeom prst="rect">
          <a:avLst/>
        </a:prstGeom>
      </xdr:spPr>
    </xdr:pic>
    <xdr:clientData/>
  </xdr:twoCellAnchor>
  <xdr:twoCellAnchor editAs="oneCell">
    <xdr:from>
      <xdr:col>1</xdr:col>
      <xdr:colOff>0</xdr:colOff>
      <xdr:row>91</xdr:row>
      <xdr:rowOff>3134</xdr:rowOff>
    </xdr:from>
    <xdr:to>
      <xdr:col>4</xdr:col>
      <xdr:colOff>575388</xdr:colOff>
      <xdr:row>113</xdr:row>
      <xdr:rowOff>122168</xdr:rowOff>
    </xdr:to>
    <xdr:pic>
      <xdr:nvPicPr>
        <xdr:cNvPr id="12" name="Picture 11">
          <a:extLst>
            <a:ext uri="{FF2B5EF4-FFF2-40B4-BE49-F238E27FC236}">
              <a16:creationId xmlns:a16="http://schemas.microsoft.com/office/drawing/2014/main" id="{BFD3D7CE-82A0-4A7E-A495-DB5B3DAC3314}"/>
            </a:ext>
          </a:extLst>
        </xdr:cNvPr>
        <xdr:cNvPicPr>
          <a:picLocks noChangeAspect="1"/>
        </xdr:cNvPicPr>
      </xdr:nvPicPr>
      <xdr:blipFill>
        <a:blip xmlns:r="http://schemas.openxmlformats.org/officeDocument/2006/relationships" r:embed="rId10"/>
        <a:stretch>
          <a:fillRect/>
        </a:stretch>
      </xdr:blipFill>
      <xdr:spPr>
        <a:xfrm>
          <a:off x="132522" y="17545699"/>
          <a:ext cx="5334000" cy="4127817"/>
        </a:xfrm>
        <a:prstGeom prst="rect">
          <a:avLst/>
        </a:prstGeom>
      </xdr:spPr>
    </xdr:pic>
    <xdr:clientData/>
  </xdr:twoCellAnchor>
  <xdr:twoCellAnchor editAs="oneCell">
    <xdr:from>
      <xdr:col>9</xdr:col>
      <xdr:colOff>0</xdr:colOff>
      <xdr:row>92</xdr:row>
      <xdr:rowOff>1</xdr:rowOff>
    </xdr:from>
    <xdr:to>
      <xdr:col>16</xdr:col>
      <xdr:colOff>124075</xdr:colOff>
      <xdr:row>110</xdr:row>
      <xdr:rowOff>149088</xdr:rowOff>
    </xdr:to>
    <xdr:pic>
      <xdr:nvPicPr>
        <xdr:cNvPr id="13" name="Picture 12">
          <a:extLst>
            <a:ext uri="{FF2B5EF4-FFF2-40B4-BE49-F238E27FC236}">
              <a16:creationId xmlns:a16="http://schemas.microsoft.com/office/drawing/2014/main" id="{0B313ADA-DF64-4394-A8C3-CA8F564740CB}"/>
            </a:ext>
          </a:extLst>
        </xdr:cNvPr>
        <xdr:cNvPicPr>
          <a:picLocks noChangeAspect="1"/>
        </xdr:cNvPicPr>
      </xdr:nvPicPr>
      <xdr:blipFill>
        <a:blip xmlns:r="http://schemas.openxmlformats.org/officeDocument/2006/relationships" r:embed="rId11"/>
        <a:stretch>
          <a:fillRect/>
        </a:stretch>
      </xdr:blipFill>
      <xdr:spPr>
        <a:xfrm>
          <a:off x="5764696" y="17724784"/>
          <a:ext cx="5108197" cy="3429000"/>
        </a:xfrm>
        <a:prstGeom prst="rect">
          <a:avLst/>
        </a:prstGeom>
      </xdr:spPr>
    </xdr:pic>
    <xdr:clientData/>
  </xdr:twoCellAnchor>
  <xdr:twoCellAnchor editAs="oneCell">
    <xdr:from>
      <xdr:col>9</xdr:col>
      <xdr:colOff>513522</xdr:colOff>
      <xdr:row>111</xdr:row>
      <xdr:rowOff>0</xdr:rowOff>
    </xdr:from>
    <xdr:to>
      <xdr:col>15</xdr:col>
      <xdr:colOff>498967</xdr:colOff>
      <xdr:row>119</xdr:row>
      <xdr:rowOff>97941</xdr:rowOff>
    </xdr:to>
    <xdr:pic>
      <xdr:nvPicPr>
        <xdr:cNvPr id="14" name="Picture 13">
          <a:extLst>
            <a:ext uri="{FF2B5EF4-FFF2-40B4-BE49-F238E27FC236}">
              <a16:creationId xmlns:a16="http://schemas.microsoft.com/office/drawing/2014/main" id="{401B0680-90B1-4818-9053-F172147EC325}"/>
            </a:ext>
          </a:extLst>
        </xdr:cNvPr>
        <xdr:cNvPicPr>
          <a:picLocks noChangeAspect="1"/>
        </xdr:cNvPicPr>
      </xdr:nvPicPr>
      <xdr:blipFill>
        <a:blip xmlns:r="http://schemas.openxmlformats.org/officeDocument/2006/relationships" r:embed="rId12"/>
        <a:stretch>
          <a:fillRect/>
        </a:stretch>
      </xdr:blipFill>
      <xdr:spPr>
        <a:xfrm>
          <a:off x="6278218" y="21186913"/>
          <a:ext cx="4356652" cy="1555680"/>
        </a:xfrm>
        <a:prstGeom prst="rect">
          <a:avLst/>
        </a:prstGeom>
      </xdr:spPr>
    </xdr:pic>
    <xdr:clientData/>
  </xdr:twoCellAnchor>
  <xdr:twoCellAnchor editAs="oneCell">
    <xdr:from>
      <xdr:col>1</xdr:col>
      <xdr:colOff>0</xdr:colOff>
      <xdr:row>124</xdr:row>
      <xdr:rowOff>0</xdr:rowOff>
    </xdr:from>
    <xdr:to>
      <xdr:col>9</xdr:col>
      <xdr:colOff>54079</xdr:colOff>
      <xdr:row>145</xdr:row>
      <xdr:rowOff>23073</xdr:rowOff>
    </xdr:to>
    <xdr:pic>
      <xdr:nvPicPr>
        <xdr:cNvPr id="15" name="Picture 14">
          <a:extLst>
            <a:ext uri="{FF2B5EF4-FFF2-40B4-BE49-F238E27FC236}">
              <a16:creationId xmlns:a16="http://schemas.microsoft.com/office/drawing/2014/main" id="{932FBCE5-4B5A-F75E-53EF-633BC4E49A23}"/>
            </a:ext>
          </a:extLst>
        </xdr:cNvPr>
        <xdr:cNvPicPr>
          <a:picLocks noChangeAspect="1"/>
        </xdr:cNvPicPr>
      </xdr:nvPicPr>
      <xdr:blipFill>
        <a:blip xmlns:r="http://schemas.openxmlformats.org/officeDocument/2006/relationships" r:embed="rId13"/>
        <a:stretch>
          <a:fillRect/>
        </a:stretch>
      </xdr:blipFill>
      <xdr:spPr>
        <a:xfrm>
          <a:off x="123568" y="24054486"/>
          <a:ext cx="8505567" cy="3915452"/>
        </a:xfrm>
        <a:prstGeom prst="rect">
          <a:avLst/>
        </a:prstGeom>
      </xdr:spPr>
    </xdr:pic>
    <xdr:clientData/>
  </xdr:twoCellAnchor>
  <xdr:twoCellAnchor editAs="oneCell">
    <xdr:from>
      <xdr:col>13</xdr:col>
      <xdr:colOff>0</xdr:colOff>
      <xdr:row>64</xdr:row>
      <xdr:rowOff>0</xdr:rowOff>
    </xdr:from>
    <xdr:to>
      <xdr:col>26</xdr:col>
      <xdr:colOff>482474</xdr:colOff>
      <xdr:row>73</xdr:row>
      <xdr:rowOff>115996</xdr:rowOff>
    </xdr:to>
    <xdr:pic>
      <xdr:nvPicPr>
        <xdr:cNvPr id="16" name="Picture 15">
          <a:extLst>
            <a:ext uri="{FF2B5EF4-FFF2-40B4-BE49-F238E27FC236}">
              <a16:creationId xmlns:a16="http://schemas.microsoft.com/office/drawing/2014/main" id="{640BD7D0-319B-B700-F86D-B427F448F7A6}"/>
            </a:ext>
          </a:extLst>
        </xdr:cNvPr>
        <xdr:cNvPicPr>
          <a:picLocks noChangeAspect="1"/>
        </xdr:cNvPicPr>
      </xdr:nvPicPr>
      <xdr:blipFill>
        <a:blip xmlns:r="http://schemas.openxmlformats.org/officeDocument/2006/relationships" r:embed="rId14"/>
        <a:stretch>
          <a:fillRect/>
        </a:stretch>
      </xdr:blipFill>
      <xdr:spPr>
        <a:xfrm>
          <a:off x="8149525" y="12605288"/>
          <a:ext cx="8754697" cy="1743318"/>
        </a:xfrm>
        <a:prstGeom prst="rect">
          <a:avLst/>
        </a:prstGeom>
      </xdr:spPr>
    </xdr:pic>
    <xdr:clientData/>
  </xdr:twoCellAnchor>
  <xdr:twoCellAnchor>
    <xdr:from>
      <xdr:col>1</xdr:col>
      <xdr:colOff>116632</xdr:colOff>
      <xdr:row>160</xdr:row>
      <xdr:rowOff>116632</xdr:rowOff>
    </xdr:from>
    <xdr:to>
      <xdr:col>12</xdr:col>
      <xdr:colOff>544286</xdr:colOff>
      <xdr:row>178</xdr:row>
      <xdr:rowOff>101080</xdr:rowOff>
    </xdr:to>
    <xdr:sp macro="" textlink="">
      <xdr:nvSpPr>
        <xdr:cNvPr id="17" name="TextBox 16">
          <a:extLst>
            <a:ext uri="{FF2B5EF4-FFF2-40B4-BE49-F238E27FC236}">
              <a16:creationId xmlns:a16="http://schemas.microsoft.com/office/drawing/2014/main" id="{C046E2D8-81B6-306D-5592-696633DABD20}"/>
            </a:ext>
          </a:extLst>
        </xdr:cNvPr>
        <xdr:cNvSpPr txBox="1"/>
      </xdr:nvSpPr>
      <xdr:spPr>
        <a:xfrm>
          <a:off x="248816" y="31086489"/>
          <a:ext cx="7829939" cy="3343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During FY25, gross margins declined</a:t>
          </a:r>
          <a:r>
            <a:rPr lang="en-IN" sz="1100" baseline="0"/>
            <a:t> by 30 bps to 45.4% due to fluctuations in commodity prices. Despite these fluctuation, gross margins remain stabled around 45% due to initiatives taken by company to mitigate the impact of rising input cost such as value engineering and strategic price adjustments. </a:t>
          </a:r>
        </a:p>
        <a:p>
          <a:endParaRPr lang="en-IN" sz="1100" baseline="0"/>
        </a:p>
        <a:p>
          <a:r>
            <a:rPr lang="en-IN" sz="1100" baseline="0"/>
            <a:t>The raw material constitutes ~ 90%+ of the total cost of goods sold and ~ 50% of the revenue. The cost of raw material is mainly steel prices.</a:t>
          </a:r>
        </a:p>
        <a:p>
          <a:endParaRPr lang="en-IN" sz="1100" baseline="0"/>
        </a:p>
        <a:p>
          <a:r>
            <a:rPr lang="en-IN" sz="1100" b="0" i="0">
              <a:solidFill>
                <a:schemeClr val="dk1"/>
              </a:solidFill>
              <a:effectLst/>
              <a:latin typeface="+mn-lt"/>
              <a:ea typeface="+mn-ea"/>
              <a:cs typeface="+mn-cs"/>
            </a:rPr>
            <a:t>In India, raw material prices are becoming more rigid with the full impact of cumulative rises expected in the third and fourth quarters of this fiscal year. The primary materials used in the automotive industry are steel, aluminum, copper, and rubber. In the past six months, steel has increased by 30%, aluminum by 40%, and copper by 77%. However, during August and October , the cost of main raw materials increased by 9% year over year, with the price of steel and iron increasing the highest.</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While historically, the company has posted gross margin of ~ 45% and ~ 48% with median of 45.4% in the last 7 years. Basis our research, the gross margin posted by auto &amp; truck sector in India was 39.15%, by the sector in global emerging market was 21.05% and global sector margin was 18.34%. </a:t>
          </a:r>
        </a:p>
        <a:p>
          <a:endParaRPr lang="en-IN" sz="1100" b="0" i="0" baseline="0">
            <a:solidFill>
              <a:schemeClr val="dk1"/>
            </a:solidFill>
            <a:effectLst/>
            <a:latin typeface="+mn-lt"/>
            <a:ea typeface="+mn-ea"/>
            <a:cs typeface="+mn-cs"/>
          </a:endParaRPr>
        </a:p>
        <a:p>
          <a:r>
            <a:rPr lang="en-IN" sz="1100" baseline="0"/>
            <a:t>The reduction in margin during FY25 was majorily due to fluctuation in commodity prices , we assume that margin will be ~45% in short term which is also inline with street estimate of ~42.6%.</a:t>
          </a:r>
        </a:p>
        <a:p>
          <a:endParaRPr lang="en-IN" sz="1100"/>
        </a:p>
        <a:p>
          <a:r>
            <a:rPr lang="en-IN" sz="1100"/>
            <a:t>Management</a:t>
          </a:r>
          <a:r>
            <a:rPr lang="en-IN" sz="1100" baseline="0"/>
            <a:t> give no guidance on margins.</a:t>
          </a:r>
          <a:endParaRPr lang="en-IN" sz="1100"/>
        </a:p>
      </xdr:txBody>
    </xdr:sp>
    <xdr:clientData/>
  </xdr:twoCellAnchor>
  <xdr:twoCellAnchor editAs="oneCell">
    <xdr:from>
      <xdr:col>1</xdr:col>
      <xdr:colOff>0</xdr:colOff>
      <xdr:row>265</xdr:row>
      <xdr:rowOff>0</xdr:rowOff>
    </xdr:from>
    <xdr:to>
      <xdr:col>5</xdr:col>
      <xdr:colOff>521344</xdr:colOff>
      <xdr:row>292</xdr:row>
      <xdr:rowOff>34637</xdr:rowOff>
    </xdr:to>
    <xdr:pic>
      <xdr:nvPicPr>
        <xdr:cNvPr id="18" name="Picture 17">
          <a:extLst>
            <a:ext uri="{FF2B5EF4-FFF2-40B4-BE49-F238E27FC236}">
              <a16:creationId xmlns:a16="http://schemas.microsoft.com/office/drawing/2014/main" id="{AF600F0C-2C95-4339-AB55-4CF52812F7BF}"/>
            </a:ext>
          </a:extLst>
        </xdr:cNvPr>
        <xdr:cNvPicPr>
          <a:picLocks noChangeAspect="1"/>
        </xdr:cNvPicPr>
      </xdr:nvPicPr>
      <xdr:blipFill>
        <a:blip xmlns:r="http://schemas.openxmlformats.org/officeDocument/2006/relationships" r:embed="rId15"/>
        <a:stretch>
          <a:fillRect/>
        </a:stretch>
      </xdr:blipFill>
      <xdr:spPr>
        <a:xfrm>
          <a:off x="127000" y="50141909"/>
          <a:ext cx="5998786" cy="5022273"/>
        </a:xfrm>
        <a:prstGeom prst="rect">
          <a:avLst/>
        </a:prstGeom>
      </xdr:spPr>
    </xdr:pic>
    <xdr:clientData/>
  </xdr:twoCellAnchor>
  <xdr:twoCellAnchor>
    <xdr:from>
      <xdr:col>1</xdr:col>
      <xdr:colOff>92364</xdr:colOff>
      <xdr:row>317</xdr:row>
      <xdr:rowOff>34637</xdr:rowOff>
    </xdr:from>
    <xdr:to>
      <xdr:col>14</xdr:col>
      <xdr:colOff>219364</xdr:colOff>
      <xdr:row>326</xdr:row>
      <xdr:rowOff>57727</xdr:rowOff>
    </xdr:to>
    <xdr:sp macro="" textlink="">
      <xdr:nvSpPr>
        <xdr:cNvPr id="19" name="TextBox 18">
          <a:extLst>
            <a:ext uri="{FF2B5EF4-FFF2-40B4-BE49-F238E27FC236}">
              <a16:creationId xmlns:a16="http://schemas.microsoft.com/office/drawing/2014/main" id="{7DDB6E84-3ED3-4B93-B890-15B4D96DC7B1}"/>
            </a:ext>
          </a:extLst>
        </xdr:cNvPr>
        <xdr:cNvSpPr txBox="1"/>
      </xdr:nvSpPr>
      <xdr:spPr>
        <a:xfrm>
          <a:off x="219364" y="59863182"/>
          <a:ext cx="9455727" cy="16856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During FY25, the</a:t>
          </a:r>
          <a:r>
            <a:rPr lang="en-IN" sz="1100" baseline="0"/>
            <a:t> company had reported EBITDA margin of 25% which is a 120 bps decline from FY24 margins. The reason for this decline is the increase price of commodities in the first half of FY25. The management is focusing strongly on cost reduction and value engineering to keep the margins stable. Further, the management do not give any guidance on EBITDA margins and focuses on absolute growth.</a:t>
          </a:r>
        </a:p>
        <a:p>
          <a:endParaRPr lang="en-IN" sz="1100" baseline="0"/>
        </a:p>
        <a:p>
          <a:r>
            <a:rPr lang="en-IN" sz="1100" baseline="0"/>
            <a:t>Basis our research, we have identified that historically, SG&amp;A expenses is 20.5% of revenue where four expenses viz Employee Benefit , Consumption of Stores and machinery spares, Freight and handling charges and Selling and Distribution Expenses constitute 71.1% of total SG&amp;A Expenses. These four key expenses are directly linked with sales.</a:t>
          </a:r>
        </a:p>
        <a:p>
          <a:endParaRPr lang="en-IN" sz="1100" baseline="0"/>
        </a:p>
        <a:p>
          <a:r>
            <a:rPr lang="en-IN" sz="1100" baseline="0"/>
            <a:t>We assume that total SG&amp;A expenses to remain at 19.7% level as a percentage of revenues which is almost aligned with street estimates.</a:t>
          </a:r>
        </a:p>
      </xdr:txBody>
    </xdr:sp>
    <xdr:clientData/>
  </xdr:twoCellAnchor>
  <xdr:twoCellAnchor>
    <xdr:from>
      <xdr:col>16</xdr:col>
      <xdr:colOff>305955</xdr:colOff>
      <xdr:row>357</xdr:row>
      <xdr:rowOff>19628</xdr:rowOff>
    </xdr:from>
    <xdr:to>
      <xdr:col>23</xdr:col>
      <xdr:colOff>594591</xdr:colOff>
      <xdr:row>373</xdr:row>
      <xdr:rowOff>176646</xdr:rowOff>
    </xdr:to>
    <xdr:graphicFrame macro="">
      <xdr:nvGraphicFramePr>
        <xdr:cNvPr id="20" name="Chart 19">
          <a:extLst>
            <a:ext uri="{FF2B5EF4-FFF2-40B4-BE49-F238E27FC236}">
              <a16:creationId xmlns:a16="http://schemas.microsoft.com/office/drawing/2014/main" id="{A8D17103-0CDA-F900-1114-EE32BB869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323272</xdr:colOff>
      <xdr:row>393</xdr:row>
      <xdr:rowOff>23091</xdr:rowOff>
    </xdr:from>
    <xdr:to>
      <xdr:col>6</xdr:col>
      <xdr:colOff>424449</xdr:colOff>
      <xdr:row>423</xdr:row>
      <xdr:rowOff>66453</xdr:rowOff>
    </xdr:to>
    <xdr:pic>
      <xdr:nvPicPr>
        <xdr:cNvPr id="21" name="Picture 20">
          <a:extLst>
            <a:ext uri="{FF2B5EF4-FFF2-40B4-BE49-F238E27FC236}">
              <a16:creationId xmlns:a16="http://schemas.microsoft.com/office/drawing/2014/main" id="{C8DE3371-4458-4028-99B5-B721A5785D56}"/>
            </a:ext>
          </a:extLst>
        </xdr:cNvPr>
        <xdr:cNvPicPr>
          <a:picLocks noChangeAspect="1"/>
        </xdr:cNvPicPr>
      </xdr:nvPicPr>
      <xdr:blipFill>
        <a:blip xmlns:r="http://schemas.openxmlformats.org/officeDocument/2006/relationships" r:embed="rId17"/>
        <a:stretch>
          <a:fillRect/>
        </a:stretch>
      </xdr:blipFill>
      <xdr:spPr>
        <a:xfrm>
          <a:off x="450272" y="74629818"/>
          <a:ext cx="6305983" cy="5585180"/>
        </a:xfrm>
        <a:prstGeom prst="rect">
          <a:avLst/>
        </a:prstGeom>
      </xdr:spPr>
    </xdr:pic>
    <xdr:clientData/>
  </xdr:twoCellAnchor>
  <xdr:twoCellAnchor editAs="oneCell">
    <xdr:from>
      <xdr:col>11</xdr:col>
      <xdr:colOff>232978</xdr:colOff>
      <xdr:row>392</xdr:row>
      <xdr:rowOff>117130</xdr:rowOff>
    </xdr:from>
    <xdr:to>
      <xdr:col>20</xdr:col>
      <xdr:colOff>532146</xdr:colOff>
      <xdr:row>398</xdr:row>
      <xdr:rowOff>115652</xdr:rowOff>
    </xdr:to>
    <xdr:pic>
      <xdr:nvPicPr>
        <xdr:cNvPr id="22" name="Picture 21">
          <a:extLst>
            <a:ext uri="{FF2B5EF4-FFF2-40B4-BE49-F238E27FC236}">
              <a16:creationId xmlns:a16="http://schemas.microsoft.com/office/drawing/2014/main" id="{799B484E-28E7-4BFD-8B58-4611DF629E8D}"/>
            </a:ext>
          </a:extLst>
        </xdr:cNvPr>
        <xdr:cNvPicPr>
          <a:picLocks noChangeAspect="1"/>
        </xdr:cNvPicPr>
      </xdr:nvPicPr>
      <xdr:blipFill>
        <a:blip xmlns:r="http://schemas.openxmlformats.org/officeDocument/2006/relationships" r:embed="rId18"/>
        <a:stretch>
          <a:fillRect/>
        </a:stretch>
      </xdr:blipFill>
      <xdr:spPr>
        <a:xfrm>
          <a:off x="7852978" y="74539130"/>
          <a:ext cx="6268168" cy="1106886"/>
        </a:xfrm>
        <a:prstGeom prst="rect">
          <a:avLst/>
        </a:prstGeom>
      </xdr:spPr>
    </xdr:pic>
    <xdr:clientData/>
  </xdr:twoCellAnchor>
  <xdr:twoCellAnchor editAs="oneCell">
    <xdr:from>
      <xdr:col>11</xdr:col>
      <xdr:colOff>322895</xdr:colOff>
      <xdr:row>402</xdr:row>
      <xdr:rowOff>101149</xdr:rowOff>
    </xdr:from>
    <xdr:to>
      <xdr:col>21</xdr:col>
      <xdr:colOff>77985</xdr:colOff>
      <xdr:row>412</xdr:row>
      <xdr:rowOff>3992</xdr:rowOff>
    </xdr:to>
    <xdr:pic>
      <xdr:nvPicPr>
        <xdr:cNvPr id="23" name="Picture 22">
          <a:extLst>
            <a:ext uri="{FF2B5EF4-FFF2-40B4-BE49-F238E27FC236}">
              <a16:creationId xmlns:a16="http://schemas.microsoft.com/office/drawing/2014/main" id="{3EBF4088-6192-4B5A-8AC5-5DCC611AFB7A}"/>
            </a:ext>
          </a:extLst>
        </xdr:cNvPr>
        <xdr:cNvPicPr>
          <a:picLocks noChangeAspect="1"/>
        </xdr:cNvPicPr>
      </xdr:nvPicPr>
      <xdr:blipFill>
        <a:blip xmlns:r="http://schemas.openxmlformats.org/officeDocument/2006/relationships" r:embed="rId19"/>
        <a:stretch>
          <a:fillRect/>
        </a:stretch>
      </xdr:blipFill>
      <xdr:spPr>
        <a:xfrm>
          <a:off x="7959460" y="75489453"/>
          <a:ext cx="6346039" cy="1725017"/>
        </a:xfrm>
        <a:prstGeom prst="rect">
          <a:avLst/>
        </a:prstGeom>
      </xdr:spPr>
    </xdr:pic>
    <xdr:clientData/>
  </xdr:twoCellAnchor>
  <xdr:twoCellAnchor>
    <xdr:from>
      <xdr:col>1</xdr:col>
      <xdr:colOff>261257</xdr:colOff>
      <xdr:row>425</xdr:row>
      <xdr:rowOff>119743</xdr:rowOff>
    </xdr:from>
    <xdr:to>
      <xdr:col>13</xdr:col>
      <xdr:colOff>119742</xdr:colOff>
      <xdr:row>436</xdr:row>
      <xdr:rowOff>119742</xdr:rowOff>
    </xdr:to>
    <xdr:sp macro="" textlink="">
      <xdr:nvSpPr>
        <xdr:cNvPr id="24" name="TextBox 23">
          <a:extLst>
            <a:ext uri="{FF2B5EF4-FFF2-40B4-BE49-F238E27FC236}">
              <a16:creationId xmlns:a16="http://schemas.microsoft.com/office/drawing/2014/main" id="{A4E2E721-152F-6432-CE08-2D1F3E042866}"/>
            </a:ext>
          </a:extLst>
        </xdr:cNvPr>
        <xdr:cNvSpPr txBox="1"/>
      </xdr:nvSpPr>
      <xdr:spPr>
        <a:xfrm>
          <a:off x="391886" y="80815543"/>
          <a:ext cx="8545285" cy="20356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is</a:t>
          </a:r>
          <a:r>
            <a:rPr lang="en-IN" sz="1100" baseline="0"/>
            <a:t> very cautious regarding the inventory levels and hence</a:t>
          </a:r>
          <a:r>
            <a:rPr lang="en-IN" sz="1100"/>
            <a:t> follows a replenishment</a:t>
          </a:r>
          <a:r>
            <a:rPr lang="en-IN" sz="1100" baseline="0"/>
            <a:t> model instead of stocking up the inventory. In this replenishment model , wherever the inventory is below the replenishment norm level, the company's focus is to build back the inventory to that norm quantity. </a:t>
          </a:r>
        </a:p>
        <a:p>
          <a:endParaRPr lang="en-IN" sz="1100" baseline="0"/>
        </a:p>
        <a:p>
          <a:r>
            <a:rPr lang="en-IN" sz="1100" baseline="0"/>
            <a:t>Historically, the company is mainitaning inventory levels at ~8.2% of revenues with Inventory turnover ratio </a:t>
          </a:r>
          <a:r>
            <a:rPr lang="en-IN" sz="1100" baseline="0">
              <a:solidFill>
                <a:schemeClr val="dk1"/>
              </a:solidFill>
              <a:effectLst/>
              <a:latin typeface="+mn-lt"/>
              <a:ea typeface="+mn-ea"/>
              <a:cs typeface="+mn-cs"/>
            </a:rPr>
            <a:t>(inventory/revenue)</a:t>
          </a:r>
          <a:r>
            <a:rPr lang="en-IN" sz="1100" baseline="0"/>
            <a:t> being consistent around 12.2x and inventory days (inventory/revenue) of 30.  The peer companies in the market maintains inventory of 28 days which is almost in line with the 5 year historical inventory days of the company. Further, the street estimates suggest the inventory levels to remain on a slightly lower side from existing inventory levels, that is, inventory days would be around 26 days as compared to 29 days. </a:t>
          </a:r>
        </a:p>
        <a:p>
          <a:endParaRPr lang="en-IN" sz="1100" baseline="0"/>
        </a:p>
        <a:p>
          <a:r>
            <a:rPr lang="en-IN" sz="1100" baseline="0"/>
            <a:t>We assume inventory levels to be flat going ahead. Though, the company is coming up with new launches on a regular basis, but it does not pile up the inventory instead focuses on replenishment model.</a:t>
          </a:r>
        </a:p>
      </xdr:txBody>
    </xdr:sp>
    <xdr:clientData/>
  </xdr:twoCellAnchor>
  <xdr:twoCellAnchor>
    <xdr:from>
      <xdr:col>14</xdr:col>
      <xdr:colOff>391885</xdr:colOff>
      <xdr:row>438</xdr:row>
      <xdr:rowOff>21772</xdr:rowOff>
    </xdr:from>
    <xdr:to>
      <xdr:col>22</xdr:col>
      <xdr:colOff>87085</xdr:colOff>
      <xdr:row>452</xdr:row>
      <xdr:rowOff>32658</xdr:rowOff>
    </xdr:to>
    <xdr:graphicFrame macro="">
      <xdr:nvGraphicFramePr>
        <xdr:cNvPr id="25" name="Chart 24">
          <a:extLst>
            <a:ext uri="{FF2B5EF4-FFF2-40B4-BE49-F238E27FC236}">
              <a16:creationId xmlns:a16="http://schemas.microsoft.com/office/drawing/2014/main" id="{B9454BB1-C613-151E-16F3-2F40418F7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1</xdr:colOff>
      <xdr:row>479</xdr:row>
      <xdr:rowOff>0</xdr:rowOff>
    </xdr:from>
    <xdr:to>
      <xdr:col>8</xdr:col>
      <xdr:colOff>127382</xdr:colOff>
      <xdr:row>499</xdr:row>
      <xdr:rowOff>95797</xdr:rowOff>
    </xdr:to>
    <xdr:pic>
      <xdr:nvPicPr>
        <xdr:cNvPr id="28" name="Picture 27">
          <a:extLst>
            <a:ext uri="{FF2B5EF4-FFF2-40B4-BE49-F238E27FC236}">
              <a16:creationId xmlns:a16="http://schemas.microsoft.com/office/drawing/2014/main" id="{47F4251B-7A85-A93D-F895-3D123B38CC77}"/>
            </a:ext>
          </a:extLst>
        </xdr:cNvPr>
        <xdr:cNvPicPr>
          <a:picLocks noChangeAspect="1"/>
        </xdr:cNvPicPr>
      </xdr:nvPicPr>
      <xdr:blipFill>
        <a:blip xmlns:r="http://schemas.openxmlformats.org/officeDocument/2006/relationships" r:embed="rId21"/>
        <a:stretch>
          <a:fillRect/>
        </a:stretch>
      </xdr:blipFill>
      <xdr:spPr>
        <a:xfrm>
          <a:off x="130630" y="91037229"/>
          <a:ext cx="7761514" cy="3796939"/>
        </a:xfrm>
        <a:prstGeom prst="rect">
          <a:avLst/>
        </a:prstGeom>
      </xdr:spPr>
    </xdr:pic>
    <xdr:clientData/>
  </xdr:twoCellAnchor>
  <xdr:twoCellAnchor editAs="oneCell">
    <xdr:from>
      <xdr:col>12</xdr:col>
      <xdr:colOff>0</xdr:colOff>
      <xdr:row>481</xdr:row>
      <xdr:rowOff>1</xdr:rowOff>
    </xdr:from>
    <xdr:to>
      <xdr:col>22</xdr:col>
      <xdr:colOff>537688</xdr:colOff>
      <xdr:row>498</xdr:row>
      <xdr:rowOff>141620</xdr:rowOff>
    </xdr:to>
    <xdr:pic>
      <xdr:nvPicPr>
        <xdr:cNvPr id="29" name="Picture 28">
          <a:extLst>
            <a:ext uri="{FF2B5EF4-FFF2-40B4-BE49-F238E27FC236}">
              <a16:creationId xmlns:a16="http://schemas.microsoft.com/office/drawing/2014/main" id="{499D2B7F-6F4C-9781-A44B-872D2AF57029}"/>
            </a:ext>
          </a:extLst>
        </xdr:cNvPr>
        <xdr:cNvPicPr>
          <a:picLocks noChangeAspect="1"/>
        </xdr:cNvPicPr>
      </xdr:nvPicPr>
      <xdr:blipFill>
        <a:blip xmlns:r="http://schemas.openxmlformats.org/officeDocument/2006/relationships" r:embed="rId22"/>
        <a:stretch>
          <a:fillRect/>
        </a:stretch>
      </xdr:blipFill>
      <xdr:spPr>
        <a:xfrm>
          <a:off x="8251371" y="91407344"/>
          <a:ext cx="6977743" cy="3287590"/>
        </a:xfrm>
        <a:prstGeom prst="rect">
          <a:avLst/>
        </a:prstGeom>
      </xdr:spPr>
    </xdr:pic>
    <xdr:clientData/>
  </xdr:twoCellAnchor>
  <xdr:twoCellAnchor editAs="oneCell">
    <xdr:from>
      <xdr:col>13</xdr:col>
      <xdr:colOff>381001</xdr:colOff>
      <xdr:row>518</xdr:row>
      <xdr:rowOff>21772</xdr:rowOff>
    </xdr:from>
    <xdr:to>
      <xdr:col>21</xdr:col>
      <xdr:colOff>419819</xdr:colOff>
      <xdr:row>520</xdr:row>
      <xdr:rowOff>42238</xdr:rowOff>
    </xdr:to>
    <xdr:pic>
      <xdr:nvPicPr>
        <xdr:cNvPr id="30" name="Picture 29">
          <a:extLst>
            <a:ext uri="{FF2B5EF4-FFF2-40B4-BE49-F238E27FC236}">
              <a16:creationId xmlns:a16="http://schemas.microsoft.com/office/drawing/2014/main" id="{0E843AF2-6223-1BA5-65E9-78B962F6598F}"/>
            </a:ext>
          </a:extLst>
        </xdr:cNvPr>
        <xdr:cNvPicPr>
          <a:picLocks noChangeAspect="1"/>
        </xdr:cNvPicPr>
      </xdr:nvPicPr>
      <xdr:blipFill>
        <a:blip xmlns:r="http://schemas.openxmlformats.org/officeDocument/2006/relationships" r:embed="rId23"/>
        <a:stretch>
          <a:fillRect/>
        </a:stretch>
      </xdr:blipFill>
      <xdr:spPr>
        <a:xfrm>
          <a:off x="9241972" y="98276229"/>
          <a:ext cx="5144218" cy="390580"/>
        </a:xfrm>
        <a:prstGeom prst="rect">
          <a:avLst/>
        </a:prstGeom>
      </xdr:spPr>
    </xdr:pic>
    <xdr:clientData/>
  </xdr:twoCellAnchor>
  <xdr:twoCellAnchor editAs="oneCell">
    <xdr:from>
      <xdr:col>1</xdr:col>
      <xdr:colOff>0</xdr:colOff>
      <xdr:row>506</xdr:row>
      <xdr:rowOff>0</xdr:rowOff>
    </xdr:from>
    <xdr:to>
      <xdr:col>9</xdr:col>
      <xdr:colOff>450286</xdr:colOff>
      <xdr:row>521</xdr:row>
      <xdr:rowOff>5830</xdr:rowOff>
    </xdr:to>
    <xdr:pic>
      <xdr:nvPicPr>
        <xdr:cNvPr id="31" name="Picture 30">
          <a:extLst>
            <a:ext uri="{FF2B5EF4-FFF2-40B4-BE49-F238E27FC236}">
              <a16:creationId xmlns:a16="http://schemas.microsoft.com/office/drawing/2014/main" id="{3DE761CA-EAFA-9EB0-7691-88298AC35A75}"/>
            </a:ext>
          </a:extLst>
        </xdr:cNvPr>
        <xdr:cNvPicPr>
          <a:picLocks noChangeAspect="1"/>
        </xdr:cNvPicPr>
      </xdr:nvPicPr>
      <xdr:blipFill>
        <a:blip xmlns:r="http://schemas.openxmlformats.org/officeDocument/2006/relationships" r:embed="rId24"/>
        <a:stretch>
          <a:fillRect/>
        </a:stretch>
      </xdr:blipFill>
      <xdr:spPr>
        <a:xfrm>
          <a:off x="130629" y="96033771"/>
          <a:ext cx="8802328" cy="2781688"/>
        </a:xfrm>
        <a:prstGeom prst="rect">
          <a:avLst/>
        </a:prstGeom>
      </xdr:spPr>
    </xdr:pic>
    <xdr:clientData/>
  </xdr:twoCellAnchor>
  <xdr:twoCellAnchor editAs="oneCell">
    <xdr:from>
      <xdr:col>1</xdr:col>
      <xdr:colOff>0</xdr:colOff>
      <xdr:row>522</xdr:row>
      <xdr:rowOff>174171</xdr:rowOff>
    </xdr:from>
    <xdr:to>
      <xdr:col>9</xdr:col>
      <xdr:colOff>588345</xdr:colOff>
      <xdr:row>549</xdr:row>
      <xdr:rowOff>64635</xdr:rowOff>
    </xdr:to>
    <xdr:pic>
      <xdr:nvPicPr>
        <xdr:cNvPr id="32" name="Picture 31">
          <a:extLst>
            <a:ext uri="{FF2B5EF4-FFF2-40B4-BE49-F238E27FC236}">
              <a16:creationId xmlns:a16="http://schemas.microsoft.com/office/drawing/2014/main" id="{994A7B61-CBFA-9EF3-6184-EC38B7621D38}"/>
            </a:ext>
          </a:extLst>
        </xdr:cNvPr>
        <xdr:cNvPicPr>
          <a:picLocks noChangeAspect="1"/>
        </xdr:cNvPicPr>
      </xdr:nvPicPr>
      <xdr:blipFill>
        <a:blip xmlns:r="http://schemas.openxmlformats.org/officeDocument/2006/relationships" r:embed="rId25"/>
        <a:stretch>
          <a:fillRect/>
        </a:stretch>
      </xdr:blipFill>
      <xdr:spPr>
        <a:xfrm>
          <a:off x="130629" y="99168857"/>
          <a:ext cx="8945223" cy="4887007"/>
        </a:xfrm>
        <a:prstGeom prst="rect">
          <a:avLst/>
        </a:prstGeom>
      </xdr:spPr>
    </xdr:pic>
    <xdr:clientData/>
  </xdr:twoCellAnchor>
  <xdr:twoCellAnchor editAs="oneCell">
    <xdr:from>
      <xdr:col>11</xdr:col>
      <xdr:colOff>0</xdr:colOff>
      <xdr:row>458</xdr:row>
      <xdr:rowOff>0</xdr:rowOff>
    </xdr:from>
    <xdr:to>
      <xdr:col>18</xdr:col>
      <xdr:colOff>417509</xdr:colOff>
      <xdr:row>460</xdr:row>
      <xdr:rowOff>20466</xdr:rowOff>
    </xdr:to>
    <xdr:pic>
      <xdr:nvPicPr>
        <xdr:cNvPr id="33" name="Picture 32">
          <a:extLst>
            <a:ext uri="{FF2B5EF4-FFF2-40B4-BE49-F238E27FC236}">
              <a16:creationId xmlns:a16="http://schemas.microsoft.com/office/drawing/2014/main" id="{53C217BA-50AE-421B-98FA-F90579A54914}"/>
            </a:ext>
          </a:extLst>
        </xdr:cNvPr>
        <xdr:cNvPicPr>
          <a:picLocks noChangeAspect="1"/>
        </xdr:cNvPicPr>
      </xdr:nvPicPr>
      <xdr:blipFill>
        <a:blip xmlns:r="http://schemas.openxmlformats.org/officeDocument/2006/relationships" r:embed="rId23"/>
        <a:stretch>
          <a:fillRect/>
        </a:stretch>
      </xdr:blipFill>
      <xdr:spPr>
        <a:xfrm>
          <a:off x="7641771" y="86944200"/>
          <a:ext cx="5144218" cy="390580"/>
        </a:xfrm>
        <a:prstGeom prst="rect">
          <a:avLst/>
        </a:prstGeom>
      </xdr:spPr>
    </xdr:pic>
    <xdr:clientData/>
  </xdr:twoCellAnchor>
  <xdr:twoCellAnchor>
    <xdr:from>
      <xdr:col>1</xdr:col>
      <xdr:colOff>185057</xdr:colOff>
      <xdr:row>550</xdr:row>
      <xdr:rowOff>65314</xdr:rowOff>
    </xdr:from>
    <xdr:to>
      <xdr:col>13</xdr:col>
      <xdr:colOff>598715</xdr:colOff>
      <xdr:row>560</xdr:row>
      <xdr:rowOff>119743</xdr:rowOff>
    </xdr:to>
    <xdr:sp macro="" textlink="">
      <xdr:nvSpPr>
        <xdr:cNvPr id="34" name="TextBox 33">
          <a:extLst>
            <a:ext uri="{FF2B5EF4-FFF2-40B4-BE49-F238E27FC236}">
              <a16:creationId xmlns:a16="http://schemas.microsoft.com/office/drawing/2014/main" id="{50341006-6765-47E2-0BE1-C7FA4435399D}"/>
            </a:ext>
          </a:extLst>
        </xdr:cNvPr>
        <xdr:cNvSpPr txBox="1"/>
      </xdr:nvSpPr>
      <xdr:spPr>
        <a:xfrm>
          <a:off x="315686" y="104241600"/>
          <a:ext cx="914400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has median</a:t>
          </a:r>
          <a:r>
            <a:rPr lang="en-IN" sz="1100" baseline="0"/>
            <a:t> trade receivable of 9 days which is better amongst all its peers. Hence, this reflects the robust collection mechanism of the company. In FY25, the company saw an increase of 47% in trade receivable due to higher export volumes. </a:t>
          </a:r>
          <a:r>
            <a:rPr lang="en-IN" sz="1100" b="0" i="0" baseline="0">
              <a:solidFill>
                <a:schemeClr val="dk1"/>
              </a:solidFill>
              <a:effectLst/>
              <a:latin typeface="+mn-lt"/>
              <a:ea typeface="+mn-ea"/>
              <a:cs typeface="+mn-cs"/>
            </a:rPr>
            <a:t>E</a:t>
          </a:r>
          <a:r>
            <a:rPr lang="en-IN" sz="1100" b="0" i="0">
              <a:solidFill>
                <a:schemeClr val="dk1"/>
              </a:solidFill>
              <a:effectLst/>
              <a:latin typeface="+mn-lt"/>
              <a:ea typeface="+mn-ea"/>
              <a:cs typeface="+mn-cs"/>
            </a:rPr>
            <a:t>xport sales carry credit periods range from 0 to 270 days</a:t>
          </a:r>
          <a:r>
            <a:rPr lang="en-IN" sz="1100" b="0" i="0" baseline="0">
              <a:solidFill>
                <a:schemeClr val="dk1"/>
              </a:solidFill>
              <a:effectLst/>
              <a:latin typeface="+mn-lt"/>
              <a:ea typeface="+mn-ea"/>
              <a:cs typeface="+mn-cs"/>
            </a:rPr>
            <a:t>.</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Historically, the company is maintaining receivable levels at ~2.2% of the revenues with median receivable turnover ratio of ~41.69x and inventory days at 30. The peer companies in the market maintain receivable of 15 days which is slightly higher than the 5 year historical receivable days of the company. Further, street estimates suggest the receivable levels to remain slightly higher from existing receivable days with consensus estimate of 12.7 days.</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We assume our receivable levels to be slightly high around 12 days for a couple of years and then gradually declining back to 10 days. (maine yeh high krke kam isliye kiya bcoz export volumes badh sakte hai jisse receivable fir badh sakte hai and maybe receivable days bhi badh jaye thode se).</a:t>
          </a:r>
        </a:p>
      </xdr:txBody>
    </xdr:sp>
    <xdr:clientData/>
  </xdr:twoCellAnchor>
  <xdr:twoCellAnchor editAs="oneCell">
    <xdr:from>
      <xdr:col>13</xdr:col>
      <xdr:colOff>292115</xdr:colOff>
      <xdr:row>575</xdr:row>
      <xdr:rowOff>18144</xdr:rowOff>
    </xdr:from>
    <xdr:to>
      <xdr:col>18</xdr:col>
      <xdr:colOff>499474</xdr:colOff>
      <xdr:row>594</xdr:row>
      <xdr:rowOff>172357</xdr:rowOff>
    </xdr:to>
    <xdr:pic>
      <xdr:nvPicPr>
        <xdr:cNvPr id="27" name="Picture 26">
          <a:extLst>
            <a:ext uri="{FF2B5EF4-FFF2-40B4-BE49-F238E27FC236}">
              <a16:creationId xmlns:a16="http://schemas.microsoft.com/office/drawing/2014/main" id="{2E0BF9E9-88DE-603C-8156-05E1DB97E3E2}"/>
            </a:ext>
          </a:extLst>
        </xdr:cNvPr>
        <xdr:cNvPicPr>
          <a:picLocks noChangeAspect="1"/>
        </xdr:cNvPicPr>
      </xdr:nvPicPr>
      <xdr:blipFill>
        <a:blip xmlns:r="http://schemas.openxmlformats.org/officeDocument/2006/relationships" r:embed="rId26"/>
        <a:stretch>
          <a:fillRect/>
        </a:stretch>
      </xdr:blipFill>
      <xdr:spPr>
        <a:xfrm>
          <a:off x="9127686" y="107042858"/>
          <a:ext cx="3473074" cy="3610428"/>
        </a:xfrm>
        <a:prstGeom prst="rect">
          <a:avLst/>
        </a:prstGeom>
      </xdr:spPr>
    </xdr:pic>
    <xdr:clientData/>
  </xdr:twoCellAnchor>
  <xdr:twoCellAnchor editAs="oneCell">
    <xdr:from>
      <xdr:col>19</xdr:col>
      <xdr:colOff>240659</xdr:colOff>
      <xdr:row>577</xdr:row>
      <xdr:rowOff>39490</xdr:rowOff>
    </xdr:from>
    <xdr:to>
      <xdr:col>25</xdr:col>
      <xdr:colOff>253708</xdr:colOff>
      <xdr:row>589</xdr:row>
      <xdr:rowOff>14943</xdr:rowOff>
    </xdr:to>
    <xdr:pic>
      <xdr:nvPicPr>
        <xdr:cNvPr id="35" name="Picture 34">
          <a:extLst>
            <a:ext uri="{FF2B5EF4-FFF2-40B4-BE49-F238E27FC236}">
              <a16:creationId xmlns:a16="http://schemas.microsoft.com/office/drawing/2014/main" id="{16DC12E1-49F6-4097-8D9D-E219E1FD33CD}"/>
            </a:ext>
          </a:extLst>
        </xdr:cNvPr>
        <xdr:cNvPicPr>
          <a:picLocks noChangeAspect="1"/>
        </xdr:cNvPicPr>
      </xdr:nvPicPr>
      <xdr:blipFill>
        <a:blip xmlns:r="http://schemas.openxmlformats.org/officeDocument/2006/relationships" r:embed="rId27"/>
        <a:stretch>
          <a:fillRect/>
        </a:stretch>
      </xdr:blipFill>
      <xdr:spPr>
        <a:xfrm>
          <a:off x="12806188" y="106316078"/>
          <a:ext cx="3748343" cy="2141924"/>
        </a:xfrm>
        <a:prstGeom prst="rect">
          <a:avLst/>
        </a:prstGeom>
      </xdr:spPr>
    </xdr:pic>
    <xdr:clientData/>
  </xdr:twoCellAnchor>
  <xdr:twoCellAnchor editAs="oneCell">
    <xdr:from>
      <xdr:col>20</xdr:col>
      <xdr:colOff>209177</xdr:colOff>
      <xdr:row>590</xdr:row>
      <xdr:rowOff>0</xdr:rowOff>
    </xdr:from>
    <xdr:to>
      <xdr:col>23</xdr:col>
      <xdr:colOff>44824</xdr:colOff>
      <xdr:row>598</xdr:row>
      <xdr:rowOff>100542</xdr:rowOff>
    </xdr:to>
    <xdr:pic>
      <xdr:nvPicPr>
        <xdr:cNvPr id="36" name="Picture 35">
          <a:extLst>
            <a:ext uri="{FF2B5EF4-FFF2-40B4-BE49-F238E27FC236}">
              <a16:creationId xmlns:a16="http://schemas.microsoft.com/office/drawing/2014/main" id="{1B52C5ED-5685-4ED1-89B4-C42074C9D20A}"/>
            </a:ext>
          </a:extLst>
        </xdr:cNvPr>
        <xdr:cNvPicPr>
          <a:picLocks noChangeAspect="1"/>
        </xdr:cNvPicPr>
      </xdr:nvPicPr>
      <xdr:blipFill>
        <a:blip xmlns:r="http://schemas.openxmlformats.org/officeDocument/2006/relationships" r:embed="rId28"/>
        <a:stretch>
          <a:fillRect/>
        </a:stretch>
      </xdr:blipFill>
      <xdr:spPr>
        <a:xfrm>
          <a:off x="13387295" y="108622353"/>
          <a:ext cx="1673411" cy="1534895"/>
        </a:xfrm>
        <a:prstGeom prst="rect">
          <a:avLst/>
        </a:prstGeom>
      </xdr:spPr>
    </xdr:pic>
    <xdr:clientData/>
  </xdr:twoCellAnchor>
  <xdr:twoCellAnchor>
    <xdr:from>
      <xdr:col>1</xdr:col>
      <xdr:colOff>0</xdr:colOff>
      <xdr:row>635</xdr:row>
      <xdr:rowOff>0</xdr:rowOff>
    </xdr:from>
    <xdr:to>
      <xdr:col>12</xdr:col>
      <xdr:colOff>425621</xdr:colOff>
      <xdr:row>643</xdr:row>
      <xdr:rowOff>27460</xdr:rowOff>
    </xdr:to>
    <xdr:sp macro="" textlink="">
      <xdr:nvSpPr>
        <xdr:cNvPr id="37" name="TextBox 36">
          <a:extLst>
            <a:ext uri="{FF2B5EF4-FFF2-40B4-BE49-F238E27FC236}">
              <a16:creationId xmlns:a16="http://schemas.microsoft.com/office/drawing/2014/main" id="{859846F8-8548-4396-93AC-3058DC511FDB}"/>
            </a:ext>
          </a:extLst>
        </xdr:cNvPr>
        <xdr:cNvSpPr txBox="1"/>
      </xdr:nvSpPr>
      <xdr:spPr>
        <a:xfrm>
          <a:off x="130432" y="120361676"/>
          <a:ext cx="8684054" cy="1510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baseline="0">
              <a:solidFill>
                <a:schemeClr val="dk1"/>
              </a:solidFill>
              <a:effectLst/>
              <a:latin typeface="+mn-lt"/>
              <a:ea typeface="+mn-ea"/>
              <a:cs typeface="+mn-cs"/>
            </a:rPr>
            <a:t>Historically, the company has only done maintenance capex. For the year 2025, the company did a capex outflow of ~1000 crores and Asset turnover of 0.7x. Going ahead, for the year 2026, the management has given capex guidance of ~1200 - 1300 crores. The majority of this capex is to be invested towards EV growth. </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We consider the company to conduct capex of INR 1200 crores in FY26 which will fuel company's growth. For the remaining future years, we assume the growth of 9.4% in gross block.</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During the terminal year, capex is benchmarked with depreciation (100% maintenance) for moderate growth.</a:t>
          </a:r>
        </a:p>
      </xdr:txBody>
    </xdr:sp>
    <xdr:clientData/>
  </xdr:twoCellAnchor>
  <xdr:twoCellAnchor>
    <xdr:from>
      <xdr:col>1</xdr:col>
      <xdr:colOff>1</xdr:colOff>
      <xdr:row>694</xdr:row>
      <xdr:rowOff>0</xdr:rowOff>
    </xdr:from>
    <xdr:to>
      <xdr:col>8</xdr:col>
      <xdr:colOff>510541</xdr:colOff>
      <xdr:row>698</xdr:row>
      <xdr:rowOff>68580</xdr:rowOff>
    </xdr:to>
    <xdr:sp macro="" textlink="">
      <xdr:nvSpPr>
        <xdr:cNvPr id="38" name="TextBox 37">
          <a:extLst>
            <a:ext uri="{FF2B5EF4-FFF2-40B4-BE49-F238E27FC236}">
              <a16:creationId xmlns:a16="http://schemas.microsoft.com/office/drawing/2014/main" id="{6E605B2F-A105-454F-9C88-98A653314D2D}"/>
            </a:ext>
          </a:extLst>
        </xdr:cNvPr>
        <xdr:cNvSpPr txBox="1"/>
      </xdr:nvSpPr>
      <xdr:spPr>
        <a:xfrm>
          <a:off x="129541" y="127734060"/>
          <a:ext cx="688848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baseline="0">
              <a:solidFill>
                <a:schemeClr val="dk1"/>
              </a:solidFill>
              <a:effectLst/>
              <a:latin typeface="+mn-lt"/>
              <a:ea typeface="+mn-ea"/>
              <a:cs typeface="+mn-cs"/>
            </a:rPr>
            <a:t>Historically, the company's CWIP shoot up to ~19% of Net Fixed Assets following the years of high growth caoex which will eventually settle down to 4% of Net Fixed Assets. Basis the overall management commentary, the company is foreseeing continued capex in FY26. We assume the CWIP to grow by 10% for the next two years before settling down to 4% of Net Fixed Assets.</a:t>
          </a:r>
        </a:p>
        <a:p>
          <a:endParaRPr lang="en-IN" sz="1100" b="0" i="0" baseline="0">
            <a:solidFill>
              <a:schemeClr val="dk1"/>
            </a:solidFill>
            <a:effectLst/>
            <a:latin typeface="+mn-lt"/>
            <a:ea typeface="+mn-ea"/>
            <a:cs typeface="+mn-cs"/>
          </a:endParaRPr>
        </a:p>
      </xdr:txBody>
    </xdr:sp>
    <xdr:clientData/>
  </xdr:twoCellAnchor>
  <xdr:twoCellAnchor>
    <xdr:from>
      <xdr:col>10</xdr:col>
      <xdr:colOff>373380</xdr:colOff>
      <xdr:row>679</xdr:row>
      <xdr:rowOff>0</xdr:rowOff>
    </xdr:from>
    <xdr:to>
      <xdr:col>18</xdr:col>
      <xdr:colOff>510540</xdr:colOff>
      <xdr:row>684</xdr:row>
      <xdr:rowOff>38100</xdr:rowOff>
    </xdr:to>
    <xdr:sp macro="" textlink="">
      <xdr:nvSpPr>
        <xdr:cNvPr id="39" name="TextBox 38">
          <a:extLst>
            <a:ext uri="{FF2B5EF4-FFF2-40B4-BE49-F238E27FC236}">
              <a16:creationId xmlns:a16="http://schemas.microsoft.com/office/drawing/2014/main" id="{C5BBF7DF-17F3-E660-745F-413C024B8CF2}"/>
            </a:ext>
          </a:extLst>
        </xdr:cNvPr>
        <xdr:cNvSpPr txBox="1"/>
      </xdr:nvSpPr>
      <xdr:spPr>
        <a:xfrm>
          <a:off x="8100060" y="124990860"/>
          <a:ext cx="5013960"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Flying Flea</a:t>
          </a:r>
          <a:r>
            <a:rPr lang="en-IN" sz="1100"/>
            <a:t>, Royal Enfield's electric mobility brand, </a:t>
          </a:r>
          <a:r>
            <a:rPr lang="en-IN" sz="1100" b="1"/>
            <a:t>will open its first company-operated flagship store in Paris in early 2026</a:t>
          </a:r>
          <a:r>
            <a:rPr lang="en-IN" sz="1100"/>
            <a:t>. The announcement was made during Paris Design Week, and came as part of a collaboration with École Duperré design school, where artists and students created interpretations of the brand's "Live Lightly" philosophy. </a:t>
          </a:r>
          <a:r>
            <a:rPr lang="en-IN" sz="1100" b="1"/>
            <a:t>Source - Q2FY26 investor presentation</a:t>
          </a:r>
        </a:p>
      </xdr:txBody>
    </xdr:sp>
    <xdr:clientData/>
  </xdr:twoCellAnchor>
  <xdr:twoCellAnchor>
    <xdr:from>
      <xdr:col>13</xdr:col>
      <xdr:colOff>239486</xdr:colOff>
      <xdr:row>724</xdr:row>
      <xdr:rowOff>152401</xdr:rowOff>
    </xdr:from>
    <xdr:to>
      <xdr:col>20</xdr:col>
      <xdr:colOff>544286</xdr:colOff>
      <xdr:row>739</xdr:row>
      <xdr:rowOff>119744</xdr:rowOff>
    </xdr:to>
    <xdr:graphicFrame macro="">
      <xdr:nvGraphicFramePr>
        <xdr:cNvPr id="40" name="Chart 39">
          <a:extLst>
            <a:ext uri="{FF2B5EF4-FFF2-40B4-BE49-F238E27FC236}">
              <a16:creationId xmlns:a16="http://schemas.microsoft.com/office/drawing/2014/main" id="{8268D98C-D420-2A75-C1E2-55960B8D0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0</xdr:col>
      <xdr:colOff>87086</xdr:colOff>
      <xdr:row>762</xdr:row>
      <xdr:rowOff>130629</xdr:rowOff>
    </xdr:from>
    <xdr:to>
      <xdr:col>12</xdr:col>
      <xdr:colOff>576943</xdr:colOff>
      <xdr:row>770</xdr:row>
      <xdr:rowOff>43543</xdr:rowOff>
    </xdr:to>
    <xdr:sp macro="" textlink="">
      <xdr:nvSpPr>
        <xdr:cNvPr id="42" name="TextBox 41">
          <a:extLst>
            <a:ext uri="{FF2B5EF4-FFF2-40B4-BE49-F238E27FC236}">
              <a16:creationId xmlns:a16="http://schemas.microsoft.com/office/drawing/2014/main" id="{0791E3ED-FBB1-4E15-8735-6158C01A4C36}"/>
            </a:ext>
          </a:extLst>
        </xdr:cNvPr>
        <xdr:cNvSpPr txBox="1"/>
      </xdr:nvSpPr>
      <xdr:spPr>
        <a:xfrm>
          <a:off x="87086" y="144529629"/>
          <a:ext cx="9927771" cy="13933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has median</a:t>
          </a:r>
          <a:r>
            <a:rPr lang="en-IN" sz="1100" baseline="0"/>
            <a:t> trade payable of 89 days</a:t>
          </a:r>
          <a:r>
            <a:rPr lang="en-IN" sz="1100" b="0" i="0" baseline="0">
              <a:solidFill>
                <a:schemeClr val="dk1"/>
              </a:solidFill>
              <a:effectLst/>
              <a:latin typeface="+mn-lt"/>
              <a:ea typeface="+mn-ea"/>
              <a:cs typeface="+mn-cs"/>
            </a:rPr>
            <a:t>. From past three years , company's trade payable days has been rising slowly and are now back at pre covid levels. The trade payable is consistently ~24% of COGS and ~13% of Revenue.</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The peer companies in the market maintain payable of 83 days which is slightly lower than the 6 year historical payable days of the company. Further, street estimates suggest the payable levels to remain flat from existing payable days with consensus estimate of 90 days.</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In absence of management guidance and basis our research, we assume the payable days to remain flat at 90 days.</a:t>
          </a:r>
        </a:p>
      </xdr:txBody>
    </xdr:sp>
    <xdr:clientData/>
  </xdr:twoCellAnchor>
  <xdr:twoCellAnchor>
    <xdr:from>
      <xdr:col>1</xdr:col>
      <xdr:colOff>0</xdr:colOff>
      <xdr:row>826</xdr:row>
      <xdr:rowOff>0</xdr:rowOff>
    </xdr:from>
    <xdr:to>
      <xdr:col>12</xdr:col>
      <xdr:colOff>392546</xdr:colOff>
      <xdr:row>830</xdr:row>
      <xdr:rowOff>115455</xdr:rowOff>
    </xdr:to>
    <xdr:sp macro="" textlink="">
      <xdr:nvSpPr>
        <xdr:cNvPr id="45" name="TextBox 44">
          <a:extLst>
            <a:ext uri="{FF2B5EF4-FFF2-40B4-BE49-F238E27FC236}">
              <a16:creationId xmlns:a16="http://schemas.microsoft.com/office/drawing/2014/main" id="{6A30D024-F6AD-4119-967F-93EAEFFDF26B}"/>
            </a:ext>
          </a:extLst>
        </xdr:cNvPr>
        <xdr:cNvSpPr txBox="1"/>
      </xdr:nvSpPr>
      <xdr:spPr>
        <a:xfrm>
          <a:off x="127000" y="156186909"/>
          <a:ext cx="9721273" cy="854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company is</a:t>
          </a:r>
          <a:r>
            <a:rPr lang="en-IN" sz="1100" baseline="0"/>
            <a:t> a debt free company with Debt to Equity, Debt to Capital and Debt to Asset ratios consistent at 0.01x and Debt to EBITDA ratio at 0.06x. </a:t>
          </a:r>
        </a:p>
        <a:p>
          <a:endParaRPr lang="en-IN" sz="1100" b="0" i="0" baseline="0">
            <a:solidFill>
              <a:schemeClr val="dk1"/>
            </a:solidFill>
            <a:effectLst/>
            <a:latin typeface="+mn-lt"/>
            <a:ea typeface="+mn-ea"/>
            <a:cs typeface="+mn-cs"/>
          </a:endParaRPr>
        </a:p>
        <a:p>
          <a:r>
            <a:rPr lang="en-IN" sz="1100" b="0" i="0" baseline="0">
              <a:solidFill>
                <a:schemeClr val="dk1"/>
              </a:solidFill>
              <a:effectLst/>
              <a:latin typeface="+mn-lt"/>
              <a:ea typeface="+mn-ea"/>
              <a:cs typeface="+mn-cs"/>
            </a:rPr>
            <a:t>In absesnce of management guidance and basis our research, we assume the LT debt to  grow at 1% of the revenue for the next  year and then eventually decline to 0.1% and ST debt to  grow at 0.7% of the revenue respectively.</a:t>
          </a:r>
        </a:p>
      </xdr:txBody>
    </xdr:sp>
    <xdr:clientData/>
  </xdr:twoCellAnchor>
  <xdr:twoCellAnchor>
    <xdr:from>
      <xdr:col>10</xdr:col>
      <xdr:colOff>686955</xdr:colOff>
      <xdr:row>886</xdr:row>
      <xdr:rowOff>19627</xdr:rowOff>
    </xdr:from>
    <xdr:to>
      <xdr:col>17</xdr:col>
      <xdr:colOff>398318</xdr:colOff>
      <xdr:row>900</xdr:row>
      <xdr:rowOff>176645</xdr:rowOff>
    </xdr:to>
    <xdr:graphicFrame macro="">
      <xdr:nvGraphicFramePr>
        <xdr:cNvPr id="41" name="Chart 40">
          <a:extLst>
            <a:ext uri="{FF2B5EF4-FFF2-40B4-BE49-F238E27FC236}">
              <a16:creationId xmlns:a16="http://schemas.microsoft.com/office/drawing/2014/main" id="{5AFDE1D6-4D16-2295-3378-A32B3AF73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38100</xdr:colOff>
      <xdr:row>8</xdr:row>
      <xdr:rowOff>45720</xdr:rowOff>
    </xdr:from>
    <xdr:to>
      <xdr:col>9</xdr:col>
      <xdr:colOff>395659</xdr:colOff>
      <xdr:row>20</xdr:row>
      <xdr:rowOff>23674</xdr:rowOff>
    </xdr:to>
    <xdr:pic>
      <xdr:nvPicPr>
        <xdr:cNvPr id="2" name="Picture 1">
          <a:extLst>
            <a:ext uri="{FF2B5EF4-FFF2-40B4-BE49-F238E27FC236}">
              <a16:creationId xmlns:a16="http://schemas.microsoft.com/office/drawing/2014/main" id="{3A638CAA-E7DA-410F-B939-1B0ECA228539}"/>
            </a:ext>
          </a:extLst>
        </xdr:cNvPr>
        <xdr:cNvPicPr>
          <a:picLocks noChangeAspect="1"/>
        </xdr:cNvPicPr>
      </xdr:nvPicPr>
      <xdr:blipFill>
        <a:blip xmlns:r="http://schemas.openxmlformats.org/officeDocument/2006/relationships" r:embed="rId1"/>
        <a:stretch>
          <a:fillRect/>
        </a:stretch>
      </xdr:blipFill>
      <xdr:spPr>
        <a:xfrm>
          <a:off x="2476500" y="1508760"/>
          <a:ext cx="3405559" cy="2274840"/>
        </a:xfrm>
        <a:prstGeom prst="rect">
          <a:avLst/>
        </a:prstGeom>
      </xdr:spPr>
    </xdr:pic>
    <xdr:clientData/>
  </xdr:twoCellAnchor>
  <xdr:twoCellAnchor editAs="oneCell">
    <xdr:from>
      <xdr:col>11</xdr:col>
      <xdr:colOff>113030</xdr:colOff>
      <xdr:row>10</xdr:row>
      <xdr:rowOff>12898</xdr:rowOff>
    </xdr:from>
    <xdr:to>
      <xdr:col>16</xdr:col>
      <xdr:colOff>188445</xdr:colOff>
      <xdr:row>19</xdr:row>
      <xdr:rowOff>48372</xdr:rowOff>
    </xdr:to>
    <xdr:pic>
      <xdr:nvPicPr>
        <xdr:cNvPr id="3" name="Picture 2">
          <a:extLst>
            <a:ext uri="{FF2B5EF4-FFF2-40B4-BE49-F238E27FC236}">
              <a16:creationId xmlns:a16="http://schemas.microsoft.com/office/drawing/2014/main" id="{7FF92BC9-E7CA-41D2-8EA1-AFD781D0F2A8}"/>
            </a:ext>
          </a:extLst>
        </xdr:cNvPr>
        <xdr:cNvPicPr>
          <a:picLocks noChangeAspect="1"/>
        </xdr:cNvPicPr>
      </xdr:nvPicPr>
      <xdr:blipFill>
        <a:blip xmlns:r="http://schemas.openxmlformats.org/officeDocument/2006/relationships" r:embed="rId2"/>
        <a:stretch>
          <a:fillRect/>
        </a:stretch>
      </xdr:blipFill>
      <xdr:spPr>
        <a:xfrm>
          <a:off x="6818630" y="1841698"/>
          <a:ext cx="3222475" cy="1776100"/>
        </a:xfrm>
        <a:prstGeom prst="rect">
          <a:avLst/>
        </a:prstGeom>
      </xdr:spPr>
    </xdr:pic>
    <xdr:clientData/>
  </xdr:twoCellAnchor>
  <xdr:twoCellAnchor editAs="oneCell">
    <xdr:from>
      <xdr:col>12</xdr:col>
      <xdr:colOff>562609</xdr:colOff>
      <xdr:row>22</xdr:row>
      <xdr:rowOff>75562</xdr:rowOff>
    </xdr:from>
    <xdr:to>
      <xdr:col>18</xdr:col>
      <xdr:colOff>120588</xdr:colOff>
      <xdr:row>32</xdr:row>
      <xdr:rowOff>39518</xdr:rowOff>
    </xdr:to>
    <xdr:pic>
      <xdr:nvPicPr>
        <xdr:cNvPr id="4" name="Picture 3">
          <a:extLst>
            <a:ext uri="{FF2B5EF4-FFF2-40B4-BE49-F238E27FC236}">
              <a16:creationId xmlns:a16="http://schemas.microsoft.com/office/drawing/2014/main" id="{CF24F2B8-D7B8-43B1-ADAB-B5A7C71F8E86}"/>
            </a:ext>
          </a:extLst>
        </xdr:cNvPr>
        <xdr:cNvPicPr>
          <a:picLocks noChangeAspect="1"/>
        </xdr:cNvPicPr>
      </xdr:nvPicPr>
      <xdr:blipFill>
        <a:blip xmlns:r="http://schemas.openxmlformats.org/officeDocument/2006/relationships" r:embed="rId3"/>
        <a:stretch>
          <a:fillRect/>
        </a:stretch>
      </xdr:blipFill>
      <xdr:spPr>
        <a:xfrm>
          <a:off x="7877809" y="4098922"/>
          <a:ext cx="3215579" cy="1792756"/>
        </a:xfrm>
        <a:prstGeom prst="rect">
          <a:avLst/>
        </a:prstGeom>
      </xdr:spPr>
    </xdr:pic>
    <xdr:clientData/>
  </xdr:twoCellAnchor>
  <xdr:twoCellAnchor>
    <xdr:from>
      <xdr:col>1</xdr:col>
      <xdr:colOff>518160</xdr:colOff>
      <xdr:row>28</xdr:row>
      <xdr:rowOff>179070</xdr:rowOff>
    </xdr:from>
    <xdr:to>
      <xdr:col>9</xdr:col>
      <xdr:colOff>213360</xdr:colOff>
      <xdr:row>43</xdr:row>
      <xdr:rowOff>179070</xdr:rowOff>
    </xdr:to>
    <xdr:graphicFrame macro="">
      <xdr:nvGraphicFramePr>
        <xdr:cNvPr id="5" name="Chart 4">
          <a:extLst>
            <a:ext uri="{FF2B5EF4-FFF2-40B4-BE49-F238E27FC236}">
              <a16:creationId xmlns:a16="http://schemas.microsoft.com/office/drawing/2014/main" id="{F2BB5DBA-C9F5-9051-B98A-5DABA2FEE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129540</xdr:colOff>
      <xdr:row>267</xdr:row>
      <xdr:rowOff>102870</xdr:rowOff>
    </xdr:from>
    <xdr:to>
      <xdr:col>21</xdr:col>
      <xdr:colOff>434340</xdr:colOff>
      <xdr:row>282</xdr:row>
      <xdr:rowOff>102870</xdr:rowOff>
    </xdr:to>
    <xdr:graphicFrame macro="">
      <xdr:nvGraphicFramePr>
        <xdr:cNvPr id="6" name="Chart 5">
          <a:extLst>
            <a:ext uri="{FF2B5EF4-FFF2-40B4-BE49-F238E27FC236}">
              <a16:creationId xmlns:a16="http://schemas.microsoft.com/office/drawing/2014/main" id="{B7EC1C1E-D351-F7E8-9A99-12C14A817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358140</xdr:colOff>
      <xdr:row>15</xdr:row>
      <xdr:rowOff>19050</xdr:rowOff>
    </xdr:from>
    <xdr:to>
      <xdr:col>27</xdr:col>
      <xdr:colOff>53340</xdr:colOff>
      <xdr:row>30</xdr:row>
      <xdr:rowOff>19050</xdr:rowOff>
    </xdr:to>
    <xdr:graphicFrame macro="">
      <xdr:nvGraphicFramePr>
        <xdr:cNvPr id="7" name="Chart 6">
          <a:extLst>
            <a:ext uri="{FF2B5EF4-FFF2-40B4-BE49-F238E27FC236}">
              <a16:creationId xmlns:a16="http://schemas.microsoft.com/office/drawing/2014/main" id="{BCCD3BC8-F294-0A1A-729E-EBAAD83C8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492513</xdr:colOff>
      <xdr:row>32</xdr:row>
      <xdr:rowOff>138461</xdr:rowOff>
    </xdr:from>
    <xdr:to>
      <xdr:col>27</xdr:col>
      <xdr:colOff>157976</xdr:colOff>
      <xdr:row>47</xdr:row>
      <xdr:rowOff>93856</xdr:rowOff>
    </xdr:to>
    <xdr:graphicFrame macro="">
      <xdr:nvGraphicFramePr>
        <xdr:cNvPr id="8" name="Chart 7">
          <a:extLst>
            <a:ext uri="{FF2B5EF4-FFF2-40B4-BE49-F238E27FC236}">
              <a16:creationId xmlns:a16="http://schemas.microsoft.com/office/drawing/2014/main" id="{0740A044-9B97-70FF-3B9E-1F3EF026E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93688</xdr:colOff>
      <xdr:row>90</xdr:row>
      <xdr:rowOff>183630</xdr:rowOff>
    </xdr:from>
    <xdr:to>
      <xdr:col>28</xdr:col>
      <xdr:colOff>1605196</xdr:colOff>
      <xdr:row>105</xdr:row>
      <xdr:rowOff>116174</xdr:rowOff>
    </xdr:to>
    <xdr:graphicFrame macro="">
      <xdr:nvGraphicFramePr>
        <xdr:cNvPr id="11" name="Chart 10">
          <a:extLst>
            <a:ext uri="{FF2B5EF4-FFF2-40B4-BE49-F238E27FC236}">
              <a16:creationId xmlns:a16="http://schemas.microsoft.com/office/drawing/2014/main" id="{E720B06F-051D-8F4A-176B-1FDDBAA73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580869</xdr:colOff>
      <xdr:row>108</xdr:row>
      <xdr:rowOff>21236</xdr:rowOff>
    </xdr:from>
    <xdr:to>
      <xdr:col>28</xdr:col>
      <xdr:colOff>1480278</xdr:colOff>
      <xdr:row>122</xdr:row>
      <xdr:rowOff>141157</xdr:rowOff>
    </xdr:to>
    <xdr:graphicFrame macro="">
      <xdr:nvGraphicFramePr>
        <xdr:cNvPr id="12" name="Chart 11">
          <a:extLst>
            <a:ext uri="{FF2B5EF4-FFF2-40B4-BE49-F238E27FC236}">
              <a16:creationId xmlns:a16="http://schemas.microsoft.com/office/drawing/2014/main" id="{0EBD14B3-54B8-FA80-3F1E-C292F6B5A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0</xdr:colOff>
      <xdr:row>126</xdr:row>
      <xdr:rowOff>0</xdr:rowOff>
    </xdr:from>
    <xdr:to>
      <xdr:col>33</xdr:col>
      <xdr:colOff>395184</xdr:colOff>
      <xdr:row>155</xdr:row>
      <xdr:rowOff>3921</xdr:rowOff>
    </xdr:to>
    <xdr:pic>
      <xdr:nvPicPr>
        <xdr:cNvPr id="13" name="Picture 12">
          <a:extLst>
            <a:ext uri="{FF2B5EF4-FFF2-40B4-BE49-F238E27FC236}">
              <a16:creationId xmlns:a16="http://schemas.microsoft.com/office/drawing/2014/main" id="{F0A3A4F3-A142-45E5-A3A2-396FACE5A459}"/>
            </a:ext>
          </a:extLst>
        </xdr:cNvPr>
        <xdr:cNvPicPr>
          <a:picLocks noChangeAspect="1"/>
        </xdr:cNvPicPr>
      </xdr:nvPicPr>
      <xdr:blipFill>
        <a:blip xmlns:r="http://schemas.openxmlformats.org/officeDocument/2006/relationships" r:embed="rId10"/>
        <a:stretch>
          <a:fillRect/>
        </a:stretch>
      </xdr:blipFill>
      <xdr:spPr>
        <a:xfrm>
          <a:off x="14178197" y="23684459"/>
          <a:ext cx="7777839" cy="5433934"/>
        </a:xfrm>
        <a:prstGeom prst="rect">
          <a:avLst/>
        </a:prstGeom>
      </xdr:spPr>
    </xdr:pic>
    <xdr:clientData/>
  </xdr:twoCellAnchor>
  <xdr:twoCellAnchor editAs="oneCell">
    <xdr:from>
      <xdr:col>24</xdr:col>
      <xdr:colOff>0</xdr:colOff>
      <xdr:row>159</xdr:row>
      <xdr:rowOff>0</xdr:rowOff>
    </xdr:from>
    <xdr:to>
      <xdr:col>30</xdr:col>
      <xdr:colOff>533851</xdr:colOff>
      <xdr:row>161</xdr:row>
      <xdr:rowOff>139668</xdr:rowOff>
    </xdr:to>
    <xdr:pic>
      <xdr:nvPicPr>
        <xdr:cNvPr id="14" name="Picture 13">
          <a:extLst>
            <a:ext uri="{FF2B5EF4-FFF2-40B4-BE49-F238E27FC236}">
              <a16:creationId xmlns:a16="http://schemas.microsoft.com/office/drawing/2014/main" id="{6DB2A0E2-C776-49AB-07FC-6D37555C792A}"/>
            </a:ext>
          </a:extLst>
        </xdr:cNvPr>
        <xdr:cNvPicPr>
          <a:picLocks noChangeAspect="1"/>
        </xdr:cNvPicPr>
      </xdr:nvPicPr>
      <xdr:blipFill>
        <a:blip xmlns:r="http://schemas.openxmlformats.org/officeDocument/2006/relationships" r:embed="rId11"/>
        <a:stretch>
          <a:fillRect/>
        </a:stretch>
      </xdr:blipFill>
      <xdr:spPr>
        <a:xfrm>
          <a:off x="14790295" y="29867902"/>
          <a:ext cx="5468113" cy="514422"/>
        </a:xfrm>
        <a:prstGeom prst="rect">
          <a:avLst/>
        </a:prstGeom>
      </xdr:spPr>
    </xdr:pic>
    <xdr:clientData/>
  </xdr:twoCellAnchor>
  <xdr:twoCellAnchor editAs="oneCell">
    <xdr:from>
      <xdr:col>23</xdr:col>
      <xdr:colOff>312294</xdr:colOff>
      <xdr:row>162</xdr:row>
      <xdr:rowOff>37475</xdr:rowOff>
    </xdr:from>
    <xdr:to>
      <xdr:col>28</xdr:col>
      <xdr:colOff>576491</xdr:colOff>
      <xdr:row>177</xdr:row>
      <xdr:rowOff>141876</xdr:rowOff>
    </xdr:to>
    <xdr:pic>
      <xdr:nvPicPr>
        <xdr:cNvPr id="15" name="Picture 14">
          <a:extLst>
            <a:ext uri="{FF2B5EF4-FFF2-40B4-BE49-F238E27FC236}">
              <a16:creationId xmlns:a16="http://schemas.microsoft.com/office/drawing/2014/main" id="{80C9176E-B2A7-0A63-BA98-082B7D13B110}"/>
            </a:ext>
          </a:extLst>
        </xdr:cNvPr>
        <xdr:cNvPicPr>
          <a:picLocks noChangeAspect="1"/>
        </xdr:cNvPicPr>
      </xdr:nvPicPr>
      <xdr:blipFill>
        <a:blip xmlns:r="http://schemas.openxmlformats.org/officeDocument/2006/relationships" r:embed="rId12"/>
        <a:stretch>
          <a:fillRect/>
        </a:stretch>
      </xdr:blipFill>
      <xdr:spPr>
        <a:xfrm>
          <a:off x="14490491" y="30467508"/>
          <a:ext cx="3324689" cy="2915057"/>
        </a:xfrm>
        <a:prstGeom prst="rect">
          <a:avLst/>
        </a:prstGeom>
      </xdr:spPr>
    </xdr:pic>
    <xdr:clientData/>
  </xdr:twoCellAnchor>
  <xdr:twoCellAnchor editAs="oneCell">
    <xdr:from>
      <xdr:col>28</xdr:col>
      <xdr:colOff>712033</xdr:colOff>
      <xdr:row>162</xdr:row>
      <xdr:rowOff>162393</xdr:rowOff>
    </xdr:from>
    <xdr:to>
      <xdr:col>32</xdr:col>
      <xdr:colOff>440973</xdr:colOff>
      <xdr:row>178</xdr:row>
      <xdr:rowOff>2198</xdr:rowOff>
    </xdr:to>
    <xdr:pic>
      <xdr:nvPicPr>
        <xdr:cNvPr id="16" name="Picture 15">
          <a:extLst>
            <a:ext uri="{FF2B5EF4-FFF2-40B4-BE49-F238E27FC236}">
              <a16:creationId xmlns:a16="http://schemas.microsoft.com/office/drawing/2014/main" id="{7B7C854F-433D-CF75-CDA0-3E850705706C}"/>
            </a:ext>
          </a:extLst>
        </xdr:cNvPr>
        <xdr:cNvPicPr>
          <a:picLocks noChangeAspect="1"/>
        </xdr:cNvPicPr>
      </xdr:nvPicPr>
      <xdr:blipFill>
        <a:blip xmlns:r="http://schemas.openxmlformats.org/officeDocument/2006/relationships" r:embed="rId13"/>
        <a:stretch>
          <a:fillRect/>
        </a:stretch>
      </xdr:blipFill>
      <xdr:spPr>
        <a:xfrm>
          <a:off x="17950722" y="30592426"/>
          <a:ext cx="3439005" cy="2819794"/>
        </a:xfrm>
        <a:prstGeom prst="rect">
          <a:avLst/>
        </a:prstGeom>
      </xdr:spPr>
    </xdr:pic>
    <xdr:clientData/>
  </xdr:twoCellAnchor>
  <xdr:twoCellAnchor>
    <xdr:from>
      <xdr:col>37</xdr:col>
      <xdr:colOff>588643</xdr:colOff>
      <xdr:row>157</xdr:row>
      <xdr:rowOff>141346</xdr:rowOff>
    </xdr:from>
    <xdr:to>
      <xdr:col>45</xdr:col>
      <xdr:colOff>291598</xdr:colOff>
      <xdr:row>172</xdr:row>
      <xdr:rowOff>98664</xdr:rowOff>
    </xdr:to>
    <xdr:graphicFrame macro="">
      <xdr:nvGraphicFramePr>
        <xdr:cNvPr id="17" name="Chart 16">
          <a:extLst>
            <a:ext uri="{FF2B5EF4-FFF2-40B4-BE49-F238E27FC236}">
              <a16:creationId xmlns:a16="http://schemas.microsoft.com/office/drawing/2014/main" id="{8C877F0B-59FF-D369-484C-9C4280AAD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39</xdr:col>
      <xdr:colOff>249621</xdr:colOff>
      <xdr:row>164</xdr:row>
      <xdr:rowOff>13138</xdr:rowOff>
    </xdr:from>
    <xdr:to>
      <xdr:col>41</xdr:col>
      <xdr:colOff>39413</xdr:colOff>
      <xdr:row>165</xdr:row>
      <xdr:rowOff>13138</xdr:rowOff>
    </xdr:to>
    <xdr:cxnSp macro="">
      <xdr:nvCxnSpPr>
        <xdr:cNvPr id="19" name="Straight Arrow Connector 18">
          <a:extLst>
            <a:ext uri="{FF2B5EF4-FFF2-40B4-BE49-F238E27FC236}">
              <a16:creationId xmlns:a16="http://schemas.microsoft.com/office/drawing/2014/main" id="{F7854BD1-333B-2D6B-1615-35D9EAC7BA24}"/>
            </a:ext>
          </a:extLst>
        </xdr:cNvPr>
        <xdr:cNvCxnSpPr/>
      </xdr:nvCxnSpPr>
      <xdr:spPr>
        <a:xfrm flipV="1">
          <a:off x="25198552" y="30256655"/>
          <a:ext cx="998482" cy="183931"/>
        </a:xfrm>
        <a:prstGeom prst="straightConnector1">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525516</xdr:colOff>
      <xdr:row>161</xdr:row>
      <xdr:rowOff>105104</xdr:rowOff>
    </xdr:from>
    <xdr:to>
      <xdr:col>44</xdr:col>
      <xdr:colOff>407276</xdr:colOff>
      <xdr:row>162</xdr:row>
      <xdr:rowOff>170792</xdr:rowOff>
    </xdr:to>
    <xdr:cxnSp macro="">
      <xdr:nvCxnSpPr>
        <xdr:cNvPr id="21" name="Straight Arrow Connector 20">
          <a:extLst>
            <a:ext uri="{FF2B5EF4-FFF2-40B4-BE49-F238E27FC236}">
              <a16:creationId xmlns:a16="http://schemas.microsoft.com/office/drawing/2014/main" id="{7E317DFD-AA49-928C-8470-03692D25FE31}"/>
            </a:ext>
          </a:extLst>
        </xdr:cNvPr>
        <xdr:cNvCxnSpPr/>
      </xdr:nvCxnSpPr>
      <xdr:spPr>
        <a:xfrm flipH="1">
          <a:off x="27287482" y="29796828"/>
          <a:ext cx="1090449" cy="249619"/>
        </a:xfrm>
        <a:prstGeom prst="straightConnector1">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139539</xdr:colOff>
      <xdr:row>162</xdr:row>
      <xdr:rowOff>156739</xdr:rowOff>
    </xdr:from>
    <xdr:to>
      <xdr:col>42</xdr:col>
      <xdr:colOff>467987</xdr:colOff>
      <xdr:row>164</xdr:row>
      <xdr:rowOff>464</xdr:rowOff>
    </xdr:to>
    <xdr:sp macro="" textlink="">
      <xdr:nvSpPr>
        <xdr:cNvPr id="23" name="TextBox 22">
          <a:extLst>
            <a:ext uri="{FF2B5EF4-FFF2-40B4-BE49-F238E27FC236}">
              <a16:creationId xmlns:a16="http://schemas.microsoft.com/office/drawing/2014/main" id="{EEEA435D-AF6C-FF26-00CF-EB44FB8B08B9}"/>
            </a:ext>
          </a:extLst>
        </xdr:cNvPr>
        <xdr:cNvSpPr txBox="1"/>
      </xdr:nvSpPr>
      <xdr:spPr>
        <a:xfrm rot="20961666">
          <a:off x="26297160" y="30032394"/>
          <a:ext cx="932793" cy="21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t>CAGR : 6.7%</a:t>
          </a:r>
        </a:p>
      </xdr:txBody>
    </xdr:sp>
    <xdr:clientData/>
  </xdr:twoCellAnchor>
  <xdr:twoCellAnchor>
    <xdr:from>
      <xdr:col>37</xdr:col>
      <xdr:colOff>479535</xdr:colOff>
      <xdr:row>175</xdr:row>
      <xdr:rowOff>14451</xdr:rowOff>
    </xdr:from>
    <xdr:to>
      <xdr:col>45</xdr:col>
      <xdr:colOff>216776</xdr:colOff>
      <xdr:row>189</xdr:row>
      <xdr:rowOff>182617</xdr:rowOff>
    </xdr:to>
    <xdr:graphicFrame macro="">
      <xdr:nvGraphicFramePr>
        <xdr:cNvPr id="24" name="Chart 23">
          <a:extLst>
            <a:ext uri="{FF2B5EF4-FFF2-40B4-BE49-F238E27FC236}">
              <a16:creationId xmlns:a16="http://schemas.microsoft.com/office/drawing/2014/main" id="{896522A8-CBDE-A842-B11A-C0E875111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73573</xdr:colOff>
      <xdr:row>179</xdr:row>
      <xdr:rowOff>170793</xdr:rowOff>
    </xdr:from>
    <xdr:to>
      <xdr:col>41</xdr:col>
      <xdr:colOff>144517</xdr:colOff>
      <xdr:row>181</xdr:row>
      <xdr:rowOff>73572</xdr:rowOff>
    </xdr:to>
    <xdr:cxnSp macro="">
      <xdr:nvCxnSpPr>
        <xdr:cNvPr id="25" name="Straight Arrow Connector 24">
          <a:extLst>
            <a:ext uri="{FF2B5EF4-FFF2-40B4-BE49-F238E27FC236}">
              <a16:creationId xmlns:a16="http://schemas.microsoft.com/office/drawing/2014/main" id="{F8A250E1-03E2-4E74-8E87-19E85BBFB6F8}"/>
            </a:ext>
          </a:extLst>
        </xdr:cNvPr>
        <xdr:cNvCxnSpPr/>
      </xdr:nvCxnSpPr>
      <xdr:spPr>
        <a:xfrm flipV="1">
          <a:off x="25022504" y="33173276"/>
          <a:ext cx="1279634" cy="270641"/>
        </a:xfrm>
        <a:prstGeom prst="straightConnector1">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585949</xdr:colOff>
      <xdr:row>177</xdr:row>
      <xdr:rowOff>118241</xdr:rowOff>
    </xdr:from>
    <xdr:to>
      <xdr:col>44</xdr:col>
      <xdr:colOff>394138</xdr:colOff>
      <xdr:row>178</xdr:row>
      <xdr:rowOff>165535</xdr:rowOff>
    </xdr:to>
    <xdr:cxnSp macro="">
      <xdr:nvCxnSpPr>
        <xdr:cNvPr id="27" name="Straight Arrow Connector 26">
          <a:extLst>
            <a:ext uri="{FF2B5EF4-FFF2-40B4-BE49-F238E27FC236}">
              <a16:creationId xmlns:a16="http://schemas.microsoft.com/office/drawing/2014/main" id="{3CE9A7E7-4B44-4495-9D6B-2E189D8EF231}"/>
            </a:ext>
          </a:extLst>
        </xdr:cNvPr>
        <xdr:cNvCxnSpPr/>
      </xdr:nvCxnSpPr>
      <xdr:spPr>
        <a:xfrm flipH="1">
          <a:off x="27347915" y="32752862"/>
          <a:ext cx="1016878" cy="231225"/>
        </a:xfrm>
        <a:prstGeom prst="straightConnector1">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199972</xdr:colOff>
      <xdr:row>178</xdr:row>
      <xdr:rowOff>151482</xdr:rowOff>
    </xdr:from>
    <xdr:to>
      <xdr:col>42</xdr:col>
      <xdr:colOff>528420</xdr:colOff>
      <xdr:row>179</xdr:row>
      <xdr:rowOff>179138</xdr:rowOff>
    </xdr:to>
    <xdr:sp macro="" textlink="">
      <xdr:nvSpPr>
        <xdr:cNvPr id="28" name="TextBox 27">
          <a:extLst>
            <a:ext uri="{FF2B5EF4-FFF2-40B4-BE49-F238E27FC236}">
              <a16:creationId xmlns:a16="http://schemas.microsoft.com/office/drawing/2014/main" id="{80579E25-D644-4FDB-87F0-D40679F820E4}"/>
            </a:ext>
          </a:extLst>
        </xdr:cNvPr>
        <xdr:cNvSpPr txBox="1"/>
      </xdr:nvSpPr>
      <xdr:spPr>
        <a:xfrm rot="20961666">
          <a:off x="26357593" y="32970034"/>
          <a:ext cx="932793" cy="21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t>CAGR : 6.3%</a:t>
          </a:r>
        </a:p>
      </xdr:txBody>
    </xdr:sp>
    <xdr:clientData/>
  </xdr:twoCellAnchor>
  <xdr:twoCellAnchor editAs="oneCell">
    <xdr:from>
      <xdr:col>36</xdr:col>
      <xdr:colOff>0</xdr:colOff>
      <xdr:row>131</xdr:row>
      <xdr:rowOff>0</xdr:rowOff>
    </xdr:from>
    <xdr:to>
      <xdr:col>40</xdr:col>
      <xdr:colOff>88046</xdr:colOff>
      <xdr:row>153</xdr:row>
      <xdr:rowOff>164155</xdr:rowOff>
    </xdr:to>
    <xdr:pic>
      <xdr:nvPicPr>
        <xdr:cNvPr id="31" name="Picture 30">
          <a:extLst>
            <a:ext uri="{FF2B5EF4-FFF2-40B4-BE49-F238E27FC236}">
              <a16:creationId xmlns:a16="http://schemas.microsoft.com/office/drawing/2014/main" id="{3B7FBBFA-9CC3-3CB0-DEB1-2C43C72D254B}"/>
            </a:ext>
          </a:extLst>
        </xdr:cNvPr>
        <xdr:cNvPicPr>
          <a:picLocks noChangeAspect="1"/>
        </xdr:cNvPicPr>
      </xdr:nvPicPr>
      <xdr:blipFill>
        <a:blip xmlns:r="http://schemas.openxmlformats.org/officeDocument/2006/relationships" r:embed="rId16"/>
        <a:stretch>
          <a:fillRect/>
        </a:stretch>
      </xdr:blipFill>
      <xdr:spPr>
        <a:xfrm>
          <a:off x="23135897" y="24173793"/>
          <a:ext cx="2505425" cy="4210638"/>
        </a:xfrm>
        <a:prstGeom prst="rect">
          <a:avLst/>
        </a:prstGeom>
      </xdr:spPr>
    </xdr:pic>
    <xdr:clientData/>
  </xdr:twoCellAnchor>
  <xdr:twoCellAnchor editAs="oneCell">
    <xdr:from>
      <xdr:col>41</xdr:col>
      <xdr:colOff>289034</xdr:colOff>
      <xdr:row>146</xdr:row>
      <xdr:rowOff>39413</xdr:rowOff>
    </xdr:from>
    <xdr:to>
      <xdr:col>54</xdr:col>
      <xdr:colOff>433036</xdr:colOff>
      <xdr:row>154</xdr:row>
      <xdr:rowOff>84645</xdr:rowOff>
    </xdr:to>
    <xdr:pic>
      <xdr:nvPicPr>
        <xdr:cNvPr id="32" name="Picture 31">
          <a:extLst>
            <a:ext uri="{FF2B5EF4-FFF2-40B4-BE49-F238E27FC236}">
              <a16:creationId xmlns:a16="http://schemas.microsoft.com/office/drawing/2014/main" id="{02621DFE-40DB-4768-9F8A-A32A343A8042}"/>
            </a:ext>
          </a:extLst>
        </xdr:cNvPr>
        <xdr:cNvPicPr>
          <a:picLocks noChangeAspect="1"/>
        </xdr:cNvPicPr>
      </xdr:nvPicPr>
      <xdr:blipFill>
        <a:blip xmlns:r="http://schemas.openxmlformats.org/officeDocument/2006/relationships" r:embed="rId17"/>
        <a:stretch>
          <a:fillRect/>
        </a:stretch>
      </xdr:blipFill>
      <xdr:spPr>
        <a:xfrm>
          <a:off x="26446655" y="26972172"/>
          <a:ext cx="8000484" cy="1516680"/>
        </a:xfrm>
        <a:prstGeom prst="rect">
          <a:avLst/>
        </a:prstGeom>
      </xdr:spPr>
    </xdr:pic>
    <xdr:clientData/>
  </xdr:twoCellAnchor>
  <xdr:twoCellAnchor editAs="oneCell">
    <xdr:from>
      <xdr:col>23</xdr:col>
      <xdr:colOff>525518</xdr:colOff>
      <xdr:row>193</xdr:row>
      <xdr:rowOff>170793</xdr:rowOff>
    </xdr:from>
    <xdr:to>
      <xdr:col>32</xdr:col>
      <xdr:colOff>432834</xdr:colOff>
      <xdr:row>227</xdr:row>
      <xdr:rowOff>7</xdr:rowOff>
    </xdr:to>
    <xdr:pic>
      <xdr:nvPicPr>
        <xdr:cNvPr id="33" name="Picture 32">
          <a:extLst>
            <a:ext uri="{FF2B5EF4-FFF2-40B4-BE49-F238E27FC236}">
              <a16:creationId xmlns:a16="http://schemas.microsoft.com/office/drawing/2014/main" id="{AFBFCFAD-1B0E-BD34-159C-15215DC624F7}"/>
            </a:ext>
          </a:extLst>
        </xdr:cNvPr>
        <xdr:cNvPicPr>
          <a:picLocks noChangeAspect="1"/>
        </xdr:cNvPicPr>
      </xdr:nvPicPr>
      <xdr:blipFill>
        <a:blip xmlns:r="http://schemas.openxmlformats.org/officeDocument/2006/relationships" r:embed="rId18"/>
        <a:stretch>
          <a:fillRect/>
        </a:stretch>
      </xdr:blipFill>
      <xdr:spPr>
        <a:xfrm>
          <a:off x="14530552" y="35748310"/>
          <a:ext cx="6620799" cy="6068272"/>
        </a:xfrm>
        <a:prstGeom prst="rect">
          <a:avLst/>
        </a:prstGeom>
      </xdr:spPr>
    </xdr:pic>
    <xdr:clientData/>
  </xdr:twoCellAnchor>
  <xdr:twoCellAnchor>
    <xdr:from>
      <xdr:col>34</xdr:col>
      <xdr:colOff>591207</xdr:colOff>
      <xdr:row>194</xdr:row>
      <xdr:rowOff>131380</xdr:rowOff>
    </xdr:from>
    <xdr:to>
      <xdr:col>40</xdr:col>
      <xdr:colOff>446690</xdr:colOff>
      <xdr:row>206</xdr:row>
      <xdr:rowOff>170793</xdr:rowOff>
    </xdr:to>
    <xdr:sp macro="" textlink="">
      <xdr:nvSpPr>
        <xdr:cNvPr id="34" name="TextBox 33">
          <a:extLst>
            <a:ext uri="{FF2B5EF4-FFF2-40B4-BE49-F238E27FC236}">
              <a16:creationId xmlns:a16="http://schemas.microsoft.com/office/drawing/2014/main" id="{0426090D-1352-B2CB-8576-24C8ACC4F6B2}"/>
            </a:ext>
          </a:extLst>
        </xdr:cNvPr>
        <xdr:cNvSpPr txBox="1"/>
      </xdr:nvSpPr>
      <xdr:spPr>
        <a:xfrm>
          <a:off x="22518414" y="35892828"/>
          <a:ext cx="3481552" cy="2246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we will aim to achieve faster growth than the industry while maintaining best-in-class margins over the long term. WE’RE NOW #1 IN THE MIDSIZE SEGMENT IN THE UK, #2 IN ARGENTINA, #3 IN BRAZIL, AND #5 IN THE EU. Royal Enfield has been debottlenecking and expanding modular capacity: base capacity was ~1.2m pa, ramped up to ~1.3–1.35m through debottlenecking and interim modules, and management has kicked off an additional module (to come online from Q1 next year) to meet rising 350cc demand</a:t>
          </a:r>
          <a:endParaRPr lang="en-IN" sz="1100"/>
        </a:p>
      </xdr:txBody>
    </xdr:sp>
    <xdr:clientData/>
  </xdr:twoCellAnchor>
  <xdr:twoCellAnchor editAs="oneCell">
    <xdr:from>
      <xdr:col>41</xdr:col>
      <xdr:colOff>564931</xdr:colOff>
      <xdr:row>194</xdr:row>
      <xdr:rowOff>157655</xdr:rowOff>
    </xdr:from>
    <xdr:to>
      <xdr:col>50</xdr:col>
      <xdr:colOff>498677</xdr:colOff>
      <xdr:row>222</xdr:row>
      <xdr:rowOff>3205</xdr:rowOff>
    </xdr:to>
    <xdr:pic>
      <xdr:nvPicPr>
        <xdr:cNvPr id="35" name="Picture 34">
          <a:extLst>
            <a:ext uri="{FF2B5EF4-FFF2-40B4-BE49-F238E27FC236}">
              <a16:creationId xmlns:a16="http://schemas.microsoft.com/office/drawing/2014/main" id="{51570B64-7309-F560-13A5-9F41F9A65B72}"/>
            </a:ext>
          </a:extLst>
        </xdr:cNvPr>
        <xdr:cNvPicPr>
          <a:picLocks noChangeAspect="1"/>
        </xdr:cNvPicPr>
      </xdr:nvPicPr>
      <xdr:blipFill>
        <a:blip xmlns:r="http://schemas.openxmlformats.org/officeDocument/2006/relationships" r:embed="rId19"/>
        <a:stretch>
          <a:fillRect/>
        </a:stretch>
      </xdr:blipFill>
      <xdr:spPr>
        <a:xfrm>
          <a:off x="26722552" y="35919103"/>
          <a:ext cx="5372850" cy="4991797"/>
        </a:xfrm>
        <a:prstGeom prst="rect">
          <a:avLst/>
        </a:prstGeom>
      </xdr:spPr>
    </xdr:pic>
    <xdr:clientData/>
  </xdr:twoCellAnchor>
  <xdr:twoCellAnchor editAs="oneCell">
    <xdr:from>
      <xdr:col>34</xdr:col>
      <xdr:colOff>328448</xdr:colOff>
      <xdr:row>209</xdr:row>
      <xdr:rowOff>13137</xdr:rowOff>
    </xdr:from>
    <xdr:to>
      <xdr:col>38</xdr:col>
      <xdr:colOff>555936</xdr:colOff>
      <xdr:row>243</xdr:row>
      <xdr:rowOff>123070</xdr:rowOff>
    </xdr:to>
    <xdr:pic>
      <xdr:nvPicPr>
        <xdr:cNvPr id="36" name="Picture 35">
          <a:extLst>
            <a:ext uri="{FF2B5EF4-FFF2-40B4-BE49-F238E27FC236}">
              <a16:creationId xmlns:a16="http://schemas.microsoft.com/office/drawing/2014/main" id="{62441B0F-58BE-01B1-D8D2-F56AAAF25D9B}"/>
            </a:ext>
          </a:extLst>
        </xdr:cNvPr>
        <xdr:cNvPicPr>
          <a:picLocks noChangeAspect="1"/>
        </xdr:cNvPicPr>
      </xdr:nvPicPr>
      <xdr:blipFill>
        <a:blip xmlns:r="http://schemas.openxmlformats.org/officeDocument/2006/relationships" r:embed="rId20"/>
        <a:stretch>
          <a:fillRect/>
        </a:stretch>
      </xdr:blipFill>
      <xdr:spPr>
        <a:xfrm>
          <a:off x="22255655" y="38533551"/>
          <a:ext cx="2734057" cy="6363588"/>
        </a:xfrm>
        <a:prstGeom prst="rect">
          <a:avLst/>
        </a:prstGeom>
      </xdr:spPr>
    </xdr:pic>
    <xdr:clientData/>
  </xdr:twoCellAnchor>
  <xdr:twoCellAnchor editAs="oneCell">
    <xdr:from>
      <xdr:col>39</xdr:col>
      <xdr:colOff>433551</xdr:colOff>
      <xdr:row>223</xdr:row>
      <xdr:rowOff>118241</xdr:rowOff>
    </xdr:from>
    <xdr:to>
      <xdr:col>44</xdr:col>
      <xdr:colOff>88725</xdr:colOff>
      <xdr:row>247</xdr:row>
      <xdr:rowOff>105060</xdr:rowOff>
    </xdr:to>
    <xdr:pic>
      <xdr:nvPicPr>
        <xdr:cNvPr id="37" name="Picture 36">
          <a:extLst>
            <a:ext uri="{FF2B5EF4-FFF2-40B4-BE49-F238E27FC236}">
              <a16:creationId xmlns:a16="http://schemas.microsoft.com/office/drawing/2014/main" id="{E3CB45CB-285F-64A8-152E-BF681AF74790}"/>
            </a:ext>
          </a:extLst>
        </xdr:cNvPr>
        <xdr:cNvPicPr>
          <a:picLocks noChangeAspect="1"/>
        </xdr:cNvPicPr>
      </xdr:nvPicPr>
      <xdr:blipFill>
        <a:blip xmlns:r="http://schemas.openxmlformats.org/officeDocument/2006/relationships" r:embed="rId21"/>
        <a:stretch>
          <a:fillRect/>
        </a:stretch>
      </xdr:blipFill>
      <xdr:spPr>
        <a:xfrm>
          <a:off x="25382482" y="41213689"/>
          <a:ext cx="2676899" cy="4401164"/>
        </a:xfrm>
        <a:prstGeom prst="rect">
          <a:avLst/>
        </a:prstGeom>
      </xdr:spPr>
    </xdr:pic>
    <xdr:clientData/>
  </xdr:twoCellAnchor>
  <xdr:twoCellAnchor editAs="oneCell">
    <xdr:from>
      <xdr:col>45</xdr:col>
      <xdr:colOff>433551</xdr:colOff>
      <xdr:row>224</xdr:row>
      <xdr:rowOff>170793</xdr:rowOff>
    </xdr:from>
    <xdr:to>
      <xdr:col>51</xdr:col>
      <xdr:colOff>598961</xdr:colOff>
      <xdr:row>248</xdr:row>
      <xdr:rowOff>5191</xdr:rowOff>
    </xdr:to>
    <xdr:pic>
      <xdr:nvPicPr>
        <xdr:cNvPr id="38" name="Picture 37">
          <a:extLst>
            <a:ext uri="{FF2B5EF4-FFF2-40B4-BE49-F238E27FC236}">
              <a16:creationId xmlns:a16="http://schemas.microsoft.com/office/drawing/2014/main" id="{2CCAC9B6-3EA0-EFC5-1342-A53EEE44A487}"/>
            </a:ext>
          </a:extLst>
        </xdr:cNvPr>
        <xdr:cNvPicPr>
          <a:picLocks noChangeAspect="1"/>
        </xdr:cNvPicPr>
      </xdr:nvPicPr>
      <xdr:blipFill>
        <a:blip xmlns:r="http://schemas.openxmlformats.org/officeDocument/2006/relationships" r:embed="rId22"/>
        <a:stretch>
          <a:fillRect/>
        </a:stretch>
      </xdr:blipFill>
      <xdr:spPr>
        <a:xfrm>
          <a:off x="29008551" y="41450172"/>
          <a:ext cx="3791479" cy="4248743"/>
        </a:xfrm>
        <a:prstGeom prst="rect">
          <a:avLst/>
        </a:prstGeom>
      </xdr:spPr>
    </xdr:pic>
    <xdr:clientData/>
  </xdr:twoCellAnchor>
  <xdr:twoCellAnchor editAs="oneCell">
    <xdr:from>
      <xdr:col>45</xdr:col>
      <xdr:colOff>472966</xdr:colOff>
      <xdr:row>249</xdr:row>
      <xdr:rowOff>105103</xdr:rowOff>
    </xdr:from>
    <xdr:to>
      <xdr:col>52</xdr:col>
      <xdr:colOff>453189</xdr:colOff>
      <xdr:row>275</xdr:row>
      <xdr:rowOff>114640</xdr:rowOff>
    </xdr:to>
    <xdr:pic>
      <xdr:nvPicPr>
        <xdr:cNvPr id="39" name="Picture 38">
          <a:extLst>
            <a:ext uri="{FF2B5EF4-FFF2-40B4-BE49-F238E27FC236}">
              <a16:creationId xmlns:a16="http://schemas.microsoft.com/office/drawing/2014/main" id="{A5973872-2B7C-8662-E520-FC942B8A376E}"/>
            </a:ext>
          </a:extLst>
        </xdr:cNvPr>
        <xdr:cNvPicPr>
          <a:picLocks noChangeAspect="1"/>
        </xdr:cNvPicPr>
      </xdr:nvPicPr>
      <xdr:blipFill>
        <a:blip xmlns:r="http://schemas.openxmlformats.org/officeDocument/2006/relationships" r:embed="rId23"/>
        <a:stretch>
          <a:fillRect/>
        </a:stretch>
      </xdr:blipFill>
      <xdr:spPr>
        <a:xfrm>
          <a:off x="29047966" y="45982758"/>
          <a:ext cx="4210638" cy="4791744"/>
        </a:xfrm>
        <a:prstGeom prst="rect">
          <a:avLst/>
        </a:prstGeom>
      </xdr:spPr>
    </xdr:pic>
    <xdr:clientData/>
  </xdr:twoCellAnchor>
  <xdr:twoCellAnchor editAs="oneCell">
    <xdr:from>
      <xdr:col>30</xdr:col>
      <xdr:colOff>52551</xdr:colOff>
      <xdr:row>249</xdr:row>
      <xdr:rowOff>157656</xdr:rowOff>
    </xdr:from>
    <xdr:to>
      <xdr:col>43</xdr:col>
      <xdr:colOff>501701</xdr:colOff>
      <xdr:row>273</xdr:row>
      <xdr:rowOff>134949</xdr:rowOff>
    </xdr:to>
    <xdr:pic>
      <xdr:nvPicPr>
        <xdr:cNvPr id="40" name="Picture 39">
          <a:extLst>
            <a:ext uri="{FF2B5EF4-FFF2-40B4-BE49-F238E27FC236}">
              <a16:creationId xmlns:a16="http://schemas.microsoft.com/office/drawing/2014/main" id="{FF890F32-97E3-031D-AF23-06AE45846D8A}"/>
            </a:ext>
          </a:extLst>
        </xdr:cNvPr>
        <xdr:cNvPicPr>
          <a:picLocks noChangeAspect="1"/>
        </xdr:cNvPicPr>
      </xdr:nvPicPr>
      <xdr:blipFill>
        <a:blip xmlns:r="http://schemas.openxmlformats.org/officeDocument/2006/relationships" r:embed="rId24"/>
        <a:stretch>
          <a:fillRect/>
        </a:stretch>
      </xdr:blipFill>
      <xdr:spPr>
        <a:xfrm>
          <a:off x="19562379" y="46035311"/>
          <a:ext cx="8402223" cy="4391638"/>
        </a:xfrm>
        <a:prstGeom prst="rect">
          <a:avLst/>
        </a:prstGeom>
      </xdr:spPr>
    </xdr:pic>
    <xdr:clientData/>
  </xdr:twoCellAnchor>
  <xdr:twoCellAnchor editAs="oneCell">
    <xdr:from>
      <xdr:col>16</xdr:col>
      <xdr:colOff>144518</xdr:colOff>
      <xdr:row>255</xdr:row>
      <xdr:rowOff>26276</xdr:rowOff>
    </xdr:from>
    <xdr:to>
      <xdr:col>28</xdr:col>
      <xdr:colOff>1523234</xdr:colOff>
      <xdr:row>275</xdr:row>
      <xdr:rowOff>34344</xdr:rowOff>
    </xdr:to>
    <xdr:pic>
      <xdr:nvPicPr>
        <xdr:cNvPr id="42" name="Picture 41">
          <a:extLst>
            <a:ext uri="{FF2B5EF4-FFF2-40B4-BE49-F238E27FC236}">
              <a16:creationId xmlns:a16="http://schemas.microsoft.com/office/drawing/2014/main" id="{C4BA1325-BB32-995E-8B78-8FADAD992836}"/>
            </a:ext>
          </a:extLst>
        </xdr:cNvPr>
        <xdr:cNvPicPr>
          <a:picLocks noChangeAspect="1"/>
        </xdr:cNvPicPr>
      </xdr:nvPicPr>
      <xdr:blipFill>
        <a:blip xmlns:r="http://schemas.openxmlformats.org/officeDocument/2006/relationships" r:embed="rId25"/>
        <a:stretch>
          <a:fillRect/>
        </a:stretch>
      </xdr:blipFill>
      <xdr:spPr>
        <a:xfrm>
          <a:off x="9919139" y="47007517"/>
          <a:ext cx="8630854" cy="3686689"/>
        </a:xfrm>
        <a:prstGeom prst="rect">
          <a:avLst/>
        </a:prstGeom>
      </xdr:spPr>
    </xdr:pic>
    <xdr:clientData/>
  </xdr:twoCellAnchor>
  <xdr:twoCellAnchor>
    <xdr:from>
      <xdr:col>38</xdr:col>
      <xdr:colOff>118056</xdr:colOff>
      <xdr:row>276</xdr:row>
      <xdr:rowOff>66541</xdr:rowOff>
    </xdr:from>
    <xdr:to>
      <xdr:col>45</xdr:col>
      <xdr:colOff>407831</xdr:colOff>
      <xdr:row>291</xdr:row>
      <xdr:rowOff>72981</xdr:rowOff>
    </xdr:to>
    <xdr:graphicFrame macro="">
      <xdr:nvGraphicFramePr>
        <xdr:cNvPr id="43" name="Chart 42">
          <a:extLst>
            <a:ext uri="{FF2B5EF4-FFF2-40B4-BE49-F238E27FC236}">
              <a16:creationId xmlns:a16="http://schemas.microsoft.com/office/drawing/2014/main" id="{63FBC751-D12B-70E2-82A6-D202F8298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31</xdr:col>
      <xdr:colOff>218605</xdr:colOff>
      <xdr:row>76</xdr:row>
      <xdr:rowOff>183629</xdr:rowOff>
    </xdr:from>
    <xdr:to>
      <xdr:col>38</xdr:col>
      <xdr:colOff>405982</xdr:colOff>
      <xdr:row>91</xdr:row>
      <xdr:rowOff>116174</xdr:rowOff>
    </xdr:to>
    <xdr:graphicFrame macro="">
      <xdr:nvGraphicFramePr>
        <xdr:cNvPr id="44" name="Chart 43">
          <a:extLst>
            <a:ext uri="{FF2B5EF4-FFF2-40B4-BE49-F238E27FC236}">
              <a16:creationId xmlns:a16="http://schemas.microsoft.com/office/drawing/2014/main" id="{78F4483A-6961-E8FB-46C5-6C69677C4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48</xdr:col>
      <xdr:colOff>505918</xdr:colOff>
      <xdr:row>97</xdr:row>
      <xdr:rowOff>33728</xdr:rowOff>
    </xdr:from>
    <xdr:to>
      <xdr:col>56</xdr:col>
      <xdr:colOff>181131</xdr:colOff>
      <xdr:row>111</xdr:row>
      <xdr:rowOff>153650</xdr:rowOff>
    </xdr:to>
    <xdr:graphicFrame macro="">
      <xdr:nvGraphicFramePr>
        <xdr:cNvPr id="46" name="Chart 45">
          <a:extLst>
            <a:ext uri="{FF2B5EF4-FFF2-40B4-BE49-F238E27FC236}">
              <a16:creationId xmlns:a16="http://schemas.microsoft.com/office/drawing/2014/main" id="{6A9B4369-CA9D-2529-9543-7EB2C712F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48</xdr:col>
      <xdr:colOff>518410</xdr:colOff>
      <xdr:row>113</xdr:row>
      <xdr:rowOff>158646</xdr:rowOff>
    </xdr:from>
    <xdr:to>
      <xdr:col>56</xdr:col>
      <xdr:colOff>193623</xdr:colOff>
      <xdr:row>128</xdr:row>
      <xdr:rowOff>91190</xdr:rowOff>
    </xdr:to>
    <xdr:graphicFrame macro="">
      <xdr:nvGraphicFramePr>
        <xdr:cNvPr id="47" name="Chart 46">
          <a:extLst>
            <a:ext uri="{FF2B5EF4-FFF2-40B4-BE49-F238E27FC236}">
              <a16:creationId xmlns:a16="http://schemas.microsoft.com/office/drawing/2014/main" id="{27D49B15-1958-FD20-8250-80E1FCED8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48</xdr:col>
      <xdr:colOff>81197</xdr:colOff>
      <xdr:row>168</xdr:row>
      <xdr:rowOff>108678</xdr:rowOff>
    </xdr:from>
    <xdr:to>
      <xdr:col>55</xdr:col>
      <xdr:colOff>368508</xdr:colOff>
      <xdr:row>183</xdr:row>
      <xdr:rowOff>41222</xdr:rowOff>
    </xdr:to>
    <xdr:graphicFrame macro="">
      <xdr:nvGraphicFramePr>
        <xdr:cNvPr id="50" name="Chart 49">
          <a:extLst>
            <a:ext uri="{FF2B5EF4-FFF2-40B4-BE49-F238E27FC236}">
              <a16:creationId xmlns:a16="http://schemas.microsoft.com/office/drawing/2014/main" id="{BC2AF0F6-B312-5414-1B9A-8819CC688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59</xdr:col>
      <xdr:colOff>284019</xdr:colOff>
      <xdr:row>166</xdr:row>
      <xdr:rowOff>27709</xdr:rowOff>
    </xdr:from>
    <xdr:to>
      <xdr:col>66</xdr:col>
      <xdr:colOff>588819</xdr:colOff>
      <xdr:row>181</xdr:row>
      <xdr:rowOff>69273</xdr:rowOff>
    </xdr:to>
    <xdr:graphicFrame macro="">
      <xdr:nvGraphicFramePr>
        <xdr:cNvPr id="51" name="Chart 50">
          <a:extLst>
            <a:ext uri="{FF2B5EF4-FFF2-40B4-BE49-F238E27FC236}">
              <a16:creationId xmlns:a16="http://schemas.microsoft.com/office/drawing/2014/main" id="{C3C3445B-3500-2F57-5C9A-B922F3902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59</xdr:col>
      <xdr:colOff>312761</xdr:colOff>
      <xdr:row>190</xdr:row>
      <xdr:rowOff>101221</xdr:rowOff>
    </xdr:from>
    <xdr:to>
      <xdr:col>66</xdr:col>
      <xdr:colOff>585716</xdr:colOff>
      <xdr:row>205</xdr:row>
      <xdr:rowOff>114868</xdr:rowOff>
    </xdr:to>
    <xdr:graphicFrame macro="">
      <xdr:nvGraphicFramePr>
        <xdr:cNvPr id="53" name="Chart 52">
          <a:extLst>
            <a:ext uri="{FF2B5EF4-FFF2-40B4-BE49-F238E27FC236}">
              <a16:creationId xmlns:a16="http://schemas.microsoft.com/office/drawing/2014/main" id="{1D9D89BE-718D-7239-DD5E-0329E1CD1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59</xdr:col>
      <xdr:colOff>199030</xdr:colOff>
      <xdr:row>212</xdr:row>
      <xdr:rowOff>180832</xdr:rowOff>
    </xdr:from>
    <xdr:to>
      <xdr:col>66</xdr:col>
      <xdr:colOff>471985</xdr:colOff>
      <xdr:row>228</xdr:row>
      <xdr:rowOff>12510</xdr:rowOff>
    </xdr:to>
    <xdr:graphicFrame macro="">
      <xdr:nvGraphicFramePr>
        <xdr:cNvPr id="54" name="Chart 53">
          <a:extLst>
            <a:ext uri="{FF2B5EF4-FFF2-40B4-BE49-F238E27FC236}">
              <a16:creationId xmlns:a16="http://schemas.microsoft.com/office/drawing/2014/main" id="{1B64A58B-48D5-2BF7-958C-B1786152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59</xdr:col>
      <xdr:colOff>426492</xdr:colOff>
      <xdr:row>236</xdr:row>
      <xdr:rowOff>158086</xdr:rowOff>
    </xdr:from>
    <xdr:to>
      <xdr:col>67</xdr:col>
      <xdr:colOff>85298</xdr:colOff>
      <xdr:row>251</xdr:row>
      <xdr:rowOff>171734</xdr:rowOff>
    </xdr:to>
    <xdr:graphicFrame macro="">
      <xdr:nvGraphicFramePr>
        <xdr:cNvPr id="55" name="Chart 54">
          <a:extLst>
            <a:ext uri="{FF2B5EF4-FFF2-40B4-BE49-F238E27FC236}">
              <a16:creationId xmlns:a16="http://schemas.microsoft.com/office/drawing/2014/main" id="{45CABC40-F433-F9E3-4044-6BF0F84AD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6</xdr:col>
      <xdr:colOff>487180</xdr:colOff>
      <xdr:row>9</xdr:row>
      <xdr:rowOff>99061</xdr:rowOff>
    </xdr:to>
    <xdr:pic>
      <xdr:nvPicPr>
        <xdr:cNvPr id="2" name="Picture 1">
          <a:extLst>
            <a:ext uri="{FF2B5EF4-FFF2-40B4-BE49-F238E27FC236}">
              <a16:creationId xmlns:a16="http://schemas.microsoft.com/office/drawing/2014/main" id="{A6AF46FF-0D5D-4E47-8D47-94894B12DA45}"/>
            </a:ext>
          </a:extLst>
        </xdr:cNvPr>
        <xdr:cNvPicPr>
          <a:picLocks noChangeAspect="1"/>
        </xdr:cNvPicPr>
      </xdr:nvPicPr>
      <xdr:blipFill>
        <a:blip xmlns:r="http://schemas.openxmlformats.org/officeDocument/2006/relationships" r:embed="rId1"/>
        <a:stretch>
          <a:fillRect/>
        </a:stretch>
      </xdr:blipFill>
      <xdr:spPr>
        <a:xfrm>
          <a:off x="129540" y="792481"/>
          <a:ext cx="6994660" cy="1196340"/>
        </a:xfrm>
        <a:prstGeom prst="rect">
          <a:avLst/>
        </a:prstGeom>
      </xdr:spPr>
    </xdr:pic>
    <xdr:clientData/>
  </xdr:twoCellAnchor>
  <xdr:twoCellAnchor editAs="oneCell">
    <xdr:from>
      <xdr:col>1</xdr:col>
      <xdr:colOff>7620</xdr:colOff>
      <xdr:row>10</xdr:row>
      <xdr:rowOff>38100</xdr:rowOff>
    </xdr:from>
    <xdr:to>
      <xdr:col>4</xdr:col>
      <xdr:colOff>568506</xdr:colOff>
      <xdr:row>16</xdr:row>
      <xdr:rowOff>55401</xdr:rowOff>
    </xdr:to>
    <xdr:pic>
      <xdr:nvPicPr>
        <xdr:cNvPr id="3" name="Picture 2">
          <a:extLst>
            <a:ext uri="{FF2B5EF4-FFF2-40B4-BE49-F238E27FC236}">
              <a16:creationId xmlns:a16="http://schemas.microsoft.com/office/drawing/2014/main" id="{0B11F8E2-4DBC-4A51-83D3-33D40C120B5E}"/>
            </a:ext>
          </a:extLst>
        </xdr:cNvPr>
        <xdr:cNvPicPr>
          <a:picLocks noChangeAspect="1"/>
        </xdr:cNvPicPr>
      </xdr:nvPicPr>
      <xdr:blipFill>
        <a:blip xmlns:r="http://schemas.openxmlformats.org/officeDocument/2006/relationships" r:embed="rId2"/>
        <a:stretch>
          <a:fillRect/>
        </a:stretch>
      </xdr:blipFill>
      <xdr:spPr>
        <a:xfrm>
          <a:off x="137160" y="2110740"/>
          <a:ext cx="5849166" cy="1114581"/>
        </a:xfrm>
        <a:prstGeom prst="rect">
          <a:avLst/>
        </a:prstGeom>
      </xdr:spPr>
    </xdr:pic>
    <xdr:clientData/>
  </xdr:twoCellAnchor>
  <xdr:twoCellAnchor editAs="oneCell">
    <xdr:from>
      <xdr:col>0</xdr:col>
      <xdr:colOff>121920</xdr:colOff>
      <xdr:row>17</xdr:row>
      <xdr:rowOff>30480</xdr:rowOff>
    </xdr:from>
    <xdr:to>
      <xdr:col>7</xdr:col>
      <xdr:colOff>76200</xdr:colOff>
      <xdr:row>26</xdr:row>
      <xdr:rowOff>26075</xdr:rowOff>
    </xdr:to>
    <xdr:pic>
      <xdr:nvPicPr>
        <xdr:cNvPr id="4" name="Picture 3">
          <a:extLst>
            <a:ext uri="{FF2B5EF4-FFF2-40B4-BE49-F238E27FC236}">
              <a16:creationId xmlns:a16="http://schemas.microsoft.com/office/drawing/2014/main" id="{AF248F91-6DFD-413D-9987-BC60CEC61A3A}"/>
            </a:ext>
          </a:extLst>
        </xdr:cNvPr>
        <xdr:cNvPicPr>
          <a:picLocks noChangeAspect="1"/>
        </xdr:cNvPicPr>
      </xdr:nvPicPr>
      <xdr:blipFill>
        <a:blip xmlns:r="http://schemas.openxmlformats.org/officeDocument/2006/relationships" r:embed="rId3"/>
        <a:stretch>
          <a:fillRect/>
        </a:stretch>
      </xdr:blipFill>
      <xdr:spPr>
        <a:xfrm>
          <a:off x="121920" y="3383280"/>
          <a:ext cx="7200900" cy="1641515"/>
        </a:xfrm>
        <a:prstGeom prst="rect">
          <a:avLst/>
        </a:prstGeom>
      </xdr:spPr>
    </xdr:pic>
    <xdr:clientData/>
  </xdr:twoCellAnchor>
  <xdr:twoCellAnchor editAs="oneCell">
    <xdr:from>
      <xdr:col>1</xdr:col>
      <xdr:colOff>0</xdr:colOff>
      <xdr:row>27</xdr:row>
      <xdr:rowOff>0</xdr:rowOff>
    </xdr:from>
    <xdr:to>
      <xdr:col>3</xdr:col>
      <xdr:colOff>484591</xdr:colOff>
      <xdr:row>43</xdr:row>
      <xdr:rowOff>141398</xdr:rowOff>
    </xdr:to>
    <xdr:pic>
      <xdr:nvPicPr>
        <xdr:cNvPr id="5" name="Picture 4">
          <a:extLst>
            <a:ext uri="{FF2B5EF4-FFF2-40B4-BE49-F238E27FC236}">
              <a16:creationId xmlns:a16="http://schemas.microsoft.com/office/drawing/2014/main" id="{36D408D5-F08E-4A79-AD7A-F15EA1A9D18B}"/>
            </a:ext>
          </a:extLst>
        </xdr:cNvPr>
        <xdr:cNvPicPr>
          <a:picLocks noChangeAspect="1"/>
        </xdr:cNvPicPr>
      </xdr:nvPicPr>
      <xdr:blipFill>
        <a:blip xmlns:r="http://schemas.openxmlformats.org/officeDocument/2006/relationships" r:embed="rId4"/>
        <a:stretch>
          <a:fillRect/>
        </a:stretch>
      </xdr:blipFill>
      <xdr:spPr>
        <a:xfrm>
          <a:off x="129540" y="5181600"/>
          <a:ext cx="5163271" cy="3067478"/>
        </a:xfrm>
        <a:prstGeom prst="rect">
          <a:avLst/>
        </a:prstGeom>
      </xdr:spPr>
    </xdr:pic>
    <xdr:clientData/>
  </xdr:twoCellAnchor>
  <xdr:twoCellAnchor editAs="oneCell">
    <xdr:from>
      <xdr:col>1</xdr:col>
      <xdr:colOff>0</xdr:colOff>
      <xdr:row>48</xdr:row>
      <xdr:rowOff>0</xdr:rowOff>
    </xdr:from>
    <xdr:to>
      <xdr:col>1</xdr:col>
      <xdr:colOff>3753374</xdr:colOff>
      <xdr:row>57</xdr:row>
      <xdr:rowOff>87872</xdr:rowOff>
    </xdr:to>
    <xdr:pic>
      <xdr:nvPicPr>
        <xdr:cNvPr id="6" name="Picture 5">
          <a:extLst>
            <a:ext uri="{FF2B5EF4-FFF2-40B4-BE49-F238E27FC236}">
              <a16:creationId xmlns:a16="http://schemas.microsoft.com/office/drawing/2014/main" id="{A60DEFC6-721C-4966-8EA5-B0F231339F67}"/>
            </a:ext>
          </a:extLst>
        </xdr:cNvPr>
        <xdr:cNvPicPr>
          <a:picLocks noChangeAspect="1"/>
        </xdr:cNvPicPr>
      </xdr:nvPicPr>
      <xdr:blipFill>
        <a:blip xmlns:r="http://schemas.openxmlformats.org/officeDocument/2006/relationships" r:embed="rId5"/>
        <a:stretch>
          <a:fillRect/>
        </a:stretch>
      </xdr:blipFill>
      <xdr:spPr>
        <a:xfrm>
          <a:off x="129540" y="9265920"/>
          <a:ext cx="3753374" cy="1733792"/>
        </a:xfrm>
        <a:prstGeom prst="rect">
          <a:avLst/>
        </a:prstGeom>
      </xdr:spPr>
    </xdr:pic>
    <xdr:clientData/>
  </xdr:twoCellAnchor>
  <xdr:twoCellAnchor editAs="oneCell">
    <xdr:from>
      <xdr:col>1</xdr:col>
      <xdr:colOff>0</xdr:colOff>
      <xdr:row>59</xdr:row>
      <xdr:rowOff>0</xdr:rowOff>
    </xdr:from>
    <xdr:to>
      <xdr:col>4</xdr:col>
      <xdr:colOff>421663</xdr:colOff>
      <xdr:row>66</xdr:row>
      <xdr:rowOff>76200</xdr:rowOff>
    </xdr:to>
    <xdr:pic>
      <xdr:nvPicPr>
        <xdr:cNvPr id="7" name="Picture 6">
          <a:extLst>
            <a:ext uri="{FF2B5EF4-FFF2-40B4-BE49-F238E27FC236}">
              <a16:creationId xmlns:a16="http://schemas.microsoft.com/office/drawing/2014/main" id="{1F523A7B-4B5E-4E56-880D-2E436D88204A}"/>
            </a:ext>
          </a:extLst>
        </xdr:cNvPr>
        <xdr:cNvPicPr>
          <a:picLocks noChangeAspect="1"/>
        </xdr:cNvPicPr>
      </xdr:nvPicPr>
      <xdr:blipFill>
        <a:blip xmlns:r="http://schemas.openxmlformats.org/officeDocument/2006/relationships" r:embed="rId6"/>
        <a:stretch>
          <a:fillRect/>
        </a:stretch>
      </xdr:blipFill>
      <xdr:spPr>
        <a:xfrm>
          <a:off x="129540" y="11277600"/>
          <a:ext cx="5709943" cy="1356360"/>
        </a:xfrm>
        <a:prstGeom prst="rect">
          <a:avLst/>
        </a:prstGeom>
      </xdr:spPr>
    </xdr:pic>
    <xdr:clientData/>
  </xdr:twoCellAnchor>
  <xdr:twoCellAnchor editAs="oneCell">
    <xdr:from>
      <xdr:col>1</xdr:col>
      <xdr:colOff>281940</xdr:colOff>
      <xdr:row>67</xdr:row>
      <xdr:rowOff>121921</xdr:rowOff>
    </xdr:from>
    <xdr:to>
      <xdr:col>7</xdr:col>
      <xdr:colOff>640535</xdr:colOff>
      <xdr:row>94</xdr:row>
      <xdr:rowOff>106681</xdr:rowOff>
    </xdr:to>
    <xdr:pic>
      <xdr:nvPicPr>
        <xdr:cNvPr id="8" name="Picture 7">
          <a:extLst>
            <a:ext uri="{FF2B5EF4-FFF2-40B4-BE49-F238E27FC236}">
              <a16:creationId xmlns:a16="http://schemas.microsoft.com/office/drawing/2014/main" id="{3BEA353E-348D-49F7-A245-33323091FC41}"/>
            </a:ext>
          </a:extLst>
        </xdr:cNvPr>
        <xdr:cNvPicPr>
          <a:picLocks noChangeAspect="1"/>
        </xdr:cNvPicPr>
      </xdr:nvPicPr>
      <xdr:blipFill>
        <a:blip xmlns:r="http://schemas.openxmlformats.org/officeDocument/2006/relationships" r:embed="rId7"/>
        <a:stretch>
          <a:fillRect/>
        </a:stretch>
      </xdr:blipFill>
      <xdr:spPr>
        <a:xfrm>
          <a:off x="411480" y="12862561"/>
          <a:ext cx="7475675" cy="4922520"/>
        </a:xfrm>
        <a:prstGeom prst="rect">
          <a:avLst/>
        </a:prstGeom>
      </xdr:spPr>
    </xdr:pic>
    <xdr:clientData/>
  </xdr:twoCellAnchor>
  <xdr:twoCellAnchor editAs="oneCell">
    <xdr:from>
      <xdr:col>1</xdr:col>
      <xdr:colOff>228600</xdr:colOff>
      <xdr:row>96</xdr:row>
      <xdr:rowOff>0</xdr:rowOff>
    </xdr:from>
    <xdr:to>
      <xdr:col>7</xdr:col>
      <xdr:colOff>734589</xdr:colOff>
      <xdr:row>115</xdr:row>
      <xdr:rowOff>36686</xdr:rowOff>
    </xdr:to>
    <xdr:pic>
      <xdr:nvPicPr>
        <xdr:cNvPr id="9" name="Picture 8">
          <a:extLst>
            <a:ext uri="{FF2B5EF4-FFF2-40B4-BE49-F238E27FC236}">
              <a16:creationId xmlns:a16="http://schemas.microsoft.com/office/drawing/2014/main" id="{670A586E-E032-4238-94F9-3BA7F03DACE0}"/>
            </a:ext>
          </a:extLst>
        </xdr:cNvPr>
        <xdr:cNvPicPr>
          <a:picLocks noChangeAspect="1"/>
        </xdr:cNvPicPr>
      </xdr:nvPicPr>
      <xdr:blipFill>
        <a:blip xmlns:r="http://schemas.openxmlformats.org/officeDocument/2006/relationships" r:embed="rId8"/>
        <a:stretch>
          <a:fillRect/>
        </a:stretch>
      </xdr:blipFill>
      <xdr:spPr>
        <a:xfrm>
          <a:off x="358140" y="18044160"/>
          <a:ext cx="7623069" cy="3511406"/>
        </a:xfrm>
        <a:prstGeom prst="rect">
          <a:avLst/>
        </a:prstGeom>
      </xdr:spPr>
    </xdr:pic>
    <xdr:clientData/>
  </xdr:twoCellAnchor>
  <xdr:twoCellAnchor editAs="oneCell">
    <xdr:from>
      <xdr:col>10</xdr:col>
      <xdr:colOff>33833</xdr:colOff>
      <xdr:row>48</xdr:row>
      <xdr:rowOff>32657</xdr:rowOff>
    </xdr:from>
    <xdr:to>
      <xdr:col>14</xdr:col>
      <xdr:colOff>799646</xdr:colOff>
      <xdr:row>75</xdr:row>
      <xdr:rowOff>56490</xdr:rowOff>
    </xdr:to>
    <xdr:pic>
      <xdr:nvPicPr>
        <xdr:cNvPr id="10" name="Picture 9">
          <a:extLst>
            <a:ext uri="{FF2B5EF4-FFF2-40B4-BE49-F238E27FC236}">
              <a16:creationId xmlns:a16="http://schemas.microsoft.com/office/drawing/2014/main" id="{0157E177-D56C-462F-AD1C-6E81D4F71DCD}"/>
            </a:ext>
          </a:extLst>
        </xdr:cNvPr>
        <xdr:cNvPicPr>
          <a:picLocks noChangeAspect="1"/>
        </xdr:cNvPicPr>
      </xdr:nvPicPr>
      <xdr:blipFill>
        <a:blip xmlns:r="http://schemas.openxmlformats.org/officeDocument/2006/relationships" r:embed="rId9"/>
        <a:stretch>
          <a:fillRect/>
        </a:stretch>
      </xdr:blipFill>
      <xdr:spPr>
        <a:xfrm>
          <a:off x="10267493" y="9298577"/>
          <a:ext cx="4507233" cy="4961593"/>
        </a:xfrm>
        <a:prstGeom prst="rect">
          <a:avLst/>
        </a:prstGeom>
      </xdr:spPr>
    </xdr:pic>
    <xdr:clientData/>
  </xdr:twoCellAnchor>
  <xdr:twoCellAnchor editAs="oneCell">
    <xdr:from>
      <xdr:col>16</xdr:col>
      <xdr:colOff>0</xdr:colOff>
      <xdr:row>49</xdr:row>
      <xdr:rowOff>0</xdr:rowOff>
    </xdr:from>
    <xdr:to>
      <xdr:col>23</xdr:col>
      <xdr:colOff>29175</xdr:colOff>
      <xdr:row>65</xdr:row>
      <xdr:rowOff>77984</xdr:rowOff>
    </xdr:to>
    <xdr:pic>
      <xdr:nvPicPr>
        <xdr:cNvPr id="11" name="Picture 10">
          <a:extLst>
            <a:ext uri="{FF2B5EF4-FFF2-40B4-BE49-F238E27FC236}">
              <a16:creationId xmlns:a16="http://schemas.microsoft.com/office/drawing/2014/main" id="{0802D8A0-A26F-4D2F-B6A8-7DF3CE151A1A}"/>
            </a:ext>
          </a:extLst>
        </xdr:cNvPr>
        <xdr:cNvPicPr>
          <a:picLocks noChangeAspect="1"/>
        </xdr:cNvPicPr>
      </xdr:nvPicPr>
      <xdr:blipFill>
        <a:blip xmlns:r="http://schemas.openxmlformats.org/officeDocument/2006/relationships" r:embed="rId10"/>
        <a:stretch>
          <a:fillRect/>
        </a:stretch>
      </xdr:blipFill>
      <xdr:spPr>
        <a:xfrm>
          <a:off x="15605760" y="9448800"/>
          <a:ext cx="4296375" cy="3004064"/>
        </a:xfrm>
        <a:prstGeom prst="rect">
          <a:avLst/>
        </a:prstGeom>
      </xdr:spPr>
    </xdr:pic>
    <xdr:clientData/>
  </xdr:twoCellAnchor>
  <xdr:twoCellAnchor editAs="oneCell">
    <xdr:from>
      <xdr:col>9</xdr:col>
      <xdr:colOff>0</xdr:colOff>
      <xdr:row>12</xdr:row>
      <xdr:rowOff>1</xdr:rowOff>
    </xdr:from>
    <xdr:to>
      <xdr:col>19</xdr:col>
      <xdr:colOff>367042</xdr:colOff>
      <xdr:row>38</xdr:row>
      <xdr:rowOff>136364</xdr:rowOff>
    </xdr:to>
    <xdr:pic>
      <xdr:nvPicPr>
        <xdr:cNvPr id="12" name="Picture 11">
          <a:extLst>
            <a:ext uri="{FF2B5EF4-FFF2-40B4-BE49-F238E27FC236}">
              <a16:creationId xmlns:a16="http://schemas.microsoft.com/office/drawing/2014/main" id="{BAE12760-F7F5-4057-A5D5-45CF4A5D3280}"/>
            </a:ext>
          </a:extLst>
        </xdr:cNvPr>
        <xdr:cNvPicPr>
          <a:picLocks noChangeAspect="1"/>
        </xdr:cNvPicPr>
      </xdr:nvPicPr>
      <xdr:blipFill>
        <a:blip xmlns:r="http://schemas.openxmlformats.org/officeDocument/2006/relationships" r:embed="rId11"/>
        <a:stretch>
          <a:fillRect/>
        </a:stretch>
      </xdr:blipFill>
      <xdr:spPr>
        <a:xfrm>
          <a:off x="9273540" y="2438401"/>
          <a:ext cx="8528062" cy="4891243"/>
        </a:xfrm>
        <a:prstGeom prst="rect">
          <a:avLst/>
        </a:prstGeom>
      </xdr:spPr>
    </xdr:pic>
    <xdr:clientData/>
  </xdr:twoCellAnchor>
  <xdr:twoCellAnchor>
    <xdr:from>
      <xdr:col>24</xdr:col>
      <xdr:colOff>463175</xdr:colOff>
      <xdr:row>11</xdr:row>
      <xdr:rowOff>134472</xdr:rowOff>
    </xdr:from>
    <xdr:to>
      <xdr:col>32</xdr:col>
      <xdr:colOff>44822</xdr:colOff>
      <xdr:row>21</xdr:row>
      <xdr:rowOff>149413</xdr:rowOff>
    </xdr:to>
    <xdr:sp macro="" textlink="">
      <xdr:nvSpPr>
        <xdr:cNvPr id="13" name="TextBox 12">
          <a:extLst>
            <a:ext uri="{FF2B5EF4-FFF2-40B4-BE49-F238E27FC236}">
              <a16:creationId xmlns:a16="http://schemas.microsoft.com/office/drawing/2014/main" id="{0D391A8D-4DA1-45FF-A35E-97BE520DA458}"/>
            </a:ext>
          </a:extLst>
        </xdr:cNvPr>
        <xdr:cNvSpPr txBox="1"/>
      </xdr:nvSpPr>
      <xdr:spPr>
        <a:xfrm>
          <a:off x="20945735" y="2389992"/>
          <a:ext cx="4458447" cy="1843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For more info.</a:t>
          </a:r>
          <a:r>
            <a:rPr lang="en-IN" sz="2400" baseline="0"/>
            <a:t> about company in terms of numbers, you can  see its investor presentation ppt's from screener</a:t>
          </a:r>
          <a:endParaRPr lang="en-IN" sz="2400"/>
        </a:p>
      </xdr:txBody>
    </xdr:sp>
    <xdr:clientData/>
  </xdr:twoCellAnchor>
  <xdr:twoCellAnchor editAs="oneCell">
    <xdr:from>
      <xdr:col>24</xdr:col>
      <xdr:colOff>0</xdr:colOff>
      <xdr:row>25</xdr:row>
      <xdr:rowOff>0</xdr:rowOff>
    </xdr:from>
    <xdr:to>
      <xdr:col>28</xdr:col>
      <xdr:colOff>333761</xdr:colOff>
      <xdr:row>37</xdr:row>
      <xdr:rowOff>76510</xdr:rowOff>
    </xdr:to>
    <xdr:pic>
      <xdr:nvPicPr>
        <xdr:cNvPr id="14" name="Picture 13">
          <a:extLst>
            <a:ext uri="{FF2B5EF4-FFF2-40B4-BE49-F238E27FC236}">
              <a16:creationId xmlns:a16="http://schemas.microsoft.com/office/drawing/2014/main" id="{2542D8CB-4DF2-4ACF-8D5C-DAEF84C385B4}"/>
            </a:ext>
          </a:extLst>
        </xdr:cNvPr>
        <xdr:cNvPicPr>
          <a:picLocks noChangeAspect="1"/>
        </xdr:cNvPicPr>
      </xdr:nvPicPr>
      <xdr:blipFill>
        <a:blip xmlns:r="http://schemas.openxmlformats.org/officeDocument/2006/relationships" r:embed="rId12"/>
        <a:stretch>
          <a:fillRect/>
        </a:stretch>
      </xdr:blipFill>
      <xdr:spPr>
        <a:xfrm>
          <a:off x="20482560" y="4815840"/>
          <a:ext cx="2772161" cy="2271070"/>
        </a:xfrm>
        <a:prstGeom prst="rect">
          <a:avLst/>
        </a:prstGeom>
      </xdr:spPr>
    </xdr:pic>
    <xdr:clientData/>
  </xdr:twoCellAnchor>
  <xdr:twoCellAnchor editAs="oneCell">
    <xdr:from>
      <xdr:col>10</xdr:col>
      <xdr:colOff>0</xdr:colOff>
      <xdr:row>78</xdr:row>
      <xdr:rowOff>0</xdr:rowOff>
    </xdr:from>
    <xdr:to>
      <xdr:col>21</xdr:col>
      <xdr:colOff>583529</xdr:colOff>
      <xdr:row>110</xdr:row>
      <xdr:rowOff>57956</xdr:rowOff>
    </xdr:to>
    <xdr:pic>
      <xdr:nvPicPr>
        <xdr:cNvPr id="15" name="Picture 14">
          <a:extLst>
            <a:ext uri="{FF2B5EF4-FFF2-40B4-BE49-F238E27FC236}">
              <a16:creationId xmlns:a16="http://schemas.microsoft.com/office/drawing/2014/main" id="{EE8D2A3E-BA35-44F0-B833-E645F12C5D0F}"/>
            </a:ext>
          </a:extLst>
        </xdr:cNvPr>
        <xdr:cNvPicPr>
          <a:picLocks noChangeAspect="1"/>
        </xdr:cNvPicPr>
      </xdr:nvPicPr>
      <xdr:blipFill>
        <a:blip xmlns:r="http://schemas.openxmlformats.org/officeDocument/2006/relationships" r:embed="rId13"/>
        <a:stretch>
          <a:fillRect/>
        </a:stretch>
      </xdr:blipFill>
      <xdr:spPr>
        <a:xfrm>
          <a:off x="10233660" y="14752320"/>
          <a:ext cx="9003629" cy="5910116"/>
        </a:xfrm>
        <a:prstGeom prst="rect">
          <a:avLst/>
        </a:prstGeom>
      </xdr:spPr>
    </xdr:pic>
    <xdr:clientData/>
  </xdr:twoCellAnchor>
  <xdr:twoCellAnchor editAs="oneCell">
    <xdr:from>
      <xdr:col>25</xdr:col>
      <xdr:colOff>0</xdr:colOff>
      <xdr:row>87</xdr:row>
      <xdr:rowOff>0</xdr:rowOff>
    </xdr:from>
    <xdr:to>
      <xdr:col>29</xdr:col>
      <xdr:colOff>143234</xdr:colOff>
      <xdr:row>94</xdr:row>
      <xdr:rowOff>35898</xdr:rowOff>
    </xdr:to>
    <xdr:pic>
      <xdr:nvPicPr>
        <xdr:cNvPr id="16" name="Picture 15">
          <a:extLst>
            <a:ext uri="{FF2B5EF4-FFF2-40B4-BE49-F238E27FC236}">
              <a16:creationId xmlns:a16="http://schemas.microsoft.com/office/drawing/2014/main" id="{D8D28E4D-379A-456A-A0E0-E1D18A712710}"/>
            </a:ext>
          </a:extLst>
        </xdr:cNvPr>
        <xdr:cNvPicPr>
          <a:picLocks noChangeAspect="1"/>
        </xdr:cNvPicPr>
      </xdr:nvPicPr>
      <xdr:blipFill>
        <a:blip xmlns:r="http://schemas.openxmlformats.org/officeDocument/2006/relationships" r:embed="rId14"/>
        <a:stretch>
          <a:fillRect/>
        </a:stretch>
      </xdr:blipFill>
      <xdr:spPr>
        <a:xfrm>
          <a:off x="21092160" y="16398240"/>
          <a:ext cx="2581634" cy="1316058"/>
        </a:xfrm>
        <a:prstGeom prst="rect">
          <a:avLst/>
        </a:prstGeom>
      </xdr:spPr>
    </xdr:pic>
    <xdr:clientData/>
  </xdr:twoCellAnchor>
  <xdr:twoCellAnchor editAs="oneCell">
    <xdr:from>
      <xdr:col>25</xdr:col>
      <xdr:colOff>0</xdr:colOff>
      <xdr:row>95</xdr:row>
      <xdr:rowOff>0</xdr:rowOff>
    </xdr:from>
    <xdr:to>
      <xdr:col>29</xdr:col>
      <xdr:colOff>248024</xdr:colOff>
      <xdr:row>114</xdr:row>
      <xdr:rowOff>84305</xdr:rowOff>
    </xdr:to>
    <xdr:pic>
      <xdr:nvPicPr>
        <xdr:cNvPr id="17" name="Picture 16">
          <a:extLst>
            <a:ext uri="{FF2B5EF4-FFF2-40B4-BE49-F238E27FC236}">
              <a16:creationId xmlns:a16="http://schemas.microsoft.com/office/drawing/2014/main" id="{7D2F9F74-AD58-4FA5-8BE5-92EEF5A940B8}"/>
            </a:ext>
          </a:extLst>
        </xdr:cNvPr>
        <xdr:cNvPicPr>
          <a:picLocks noChangeAspect="1"/>
        </xdr:cNvPicPr>
      </xdr:nvPicPr>
      <xdr:blipFill>
        <a:blip xmlns:r="http://schemas.openxmlformats.org/officeDocument/2006/relationships" r:embed="rId15"/>
        <a:stretch>
          <a:fillRect/>
        </a:stretch>
      </xdr:blipFill>
      <xdr:spPr>
        <a:xfrm>
          <a:off x="21092160" y="17861280"/>
          <a:ext cx="2686424" cy="3559025"/>
        </a:xfrm>
        <a:prstGeom prst="rect">
          <a:avLst/>
        </a:prstGeom>
      </xdr:spPr>
    </xdr:pic>
    <xdr:clientData/>
  </xdr:twoCellAnchor>
  <xdr:twoCellAnchor editAs="oneCell">
    <xdr:from>
      <xdr:col>24</xdr:col>
      <xdr:colOff>254000</xdr:colOff>
      <xdr:row>41</xdr:row>
      <xdr:rowOff>0</xdr:rowOff>
    </xdr:from>
    <xdr:to>
      <xdr:col>38</xdr:col>
      <xdr:colOff>589960</xdr:colOff>
      <xdr:row>60</xdr:row>
      <xdr:rowOff>18611</xdr:rowOff>
    </xdr:to>
    <xdr:pic>
      <xdr:nvPicPr>
        <xdr:cNvPr id="18" name="Picture 17">
          <a:extLst>
            <a:ext uri="{FF2B5EF4-FFF2-40B4-BE49-F238E27FC236}">
              <a16:creationId xmlns:a16="http://schemas.microsoft.com/office/drawing/2014/main" id="{FBC04B38-EEBE-457B-B248-78FC5744C98D}"/>
            </a:ext>
          </a:extLst>
        </xdr:cNvPr>
        <xdr:cNvPicPr>
          <a:picLocks noChangeAspect="1"/>
        </xdr:cNvPicPr>
      </xdr:nvPicPr>
      <xdr:blipFill>
        <a:blip xmlns:r="http://schemas.openxmlformats.org/officeDocument/2006/relationships" r:embed="rId16"/>
        <a:stretch>
          <a:fillRect/>
        </a:stretch>
      </xdr:blipFill>
      <xdr:spPr>
        <a:xfrm>
          <a:off x="20736560" y="7741920"/>
          <a:ext cx="8870360" cy="3493331"/>
        </a:xfrm>
        <a:prstGeom prst="rect">
          <a:avLst/>
        </a:prstGeom>
      </xdr:spPr>
    </xdr:pic>
    <xdr:clientData/>
  </xdr:twoCellAnchor>
  <xdr:twoCellAnchor editAs="oneCell">
    <xdr:from>
      <xdr:col>33</xdr:col>
      <xdr:colOff>0</xdr:colOff>
      <xdr:row>65</xdr:row>
      <xdr:rowOff>0</xdr:rowOff>
    </xdr:from>
    <xdr:to>
      <xdr:col>47</xdr:col>
      <xdr:colOff>534667</xdr:colOff>
      <xdr:row>91</xdr:row>
      <xdr:rowOff>46390</xdr:rowOff>
    </xdr:to>
    <xdr:pic>
      <xdr:nvPicPr>
        <xdr:cNvPr id="19" name="Picture 18">
          <a:extLst>
            <a:ext uri="{FF2B5EF4-FFF2-40B4-BE49-F238E27FC236}">
              <a16:creationId xmlns:a16="http://schemas.microsoft.com/office/drawing/2014/main" id="{10E79D75-A50A-436A-9B90-1F674E0828BC}"/>
            </a:ext>
          </a:extLst>
        </xdr:cNvPr>
        <xdr:cNvPicPr>
          <a:picLocks noChangeAspect="1"/>
        </xdr:cNvPicPr>
      </xdr:nvPicPr>
      <xdr:blipFill>
        <a:blip xmlns:r="http://schemas.openxmlformats.org/officeDocument/2006/relationships" r:embed="rId17"/>
        <a:stretch>
          <a:fillRect/>
        </a:stretch>
      </xdr:blipFill>
      <xdr:spPr>
        <a:xfrm>
          <a:off x="25968960" y="12374880"/>
          <a:ext cx="9069067" cy="4801270"/>
        </a:xfrm>
        <a:prstGeom prst="rect">
          <a:avLst/>
        </a:prstGeom>
      </xdr:spPr>
    </xdr:pic>
    <xdr:clientData/>
  </xdr:twoCellAnchor>
  <xdr:twoCellAnchor editAs="oneCell">
    <xdr:from>
      <xdr:col>32</xdr:col>
      <xdr:colOff>0</xdr:colOff>
      <xdr:row>95</xdr:row>
      <xdr:rowOff>0</xdr:rowOff>
    </xdr:from>
    <xdr:to>
      <xdr:col>43</xdr:col>
      <xdr:colOff>1</xdr:colOff>
      <xdr:row>116</xdr:row>
      <xdr:rowOff>115024</xdr:rowOff>
    </xdr:to>
    <xdr:pic>
      <xdr:nvPicPr>
        <xdr:cNvPr id="20" name="Picture 19">
          <a:extLst>
            <a:ext uri="{FF2B5EF4-FFF2-40B4-BE49-F238E27FC236}">
              <a16:creationId xmlns:a16="http://schemas.microsoft.com/office/drawing/2014/main" id="{C3F784BE-554F-4AB2-B094-501A5B38B2AE}"/>
            </a:ext>
          </a:extLst>
        </xdr:cNvPr>
        <xdr:cNvPicPr>
          <a:picLocks noChangeAspect="1"/>
        </xdr:cNvPicPr>
      </xdr:nvPicPr>
      <xdr:blipFill>
        <a:blip xmlns:r="http://schemas.openxmlformats.org/officeDocument/2006/relationships" r:embed="rId18"/>
        <a:stretch>
          <a:fillRect/>
        </a:stretch>
      </xdr:blipFill>
      <xdr:spPr>
        <a:xfrm>
          <a:off x="25359360" y="17861280"/>
          <a:ext cx="6705601" cy="3955504"/>
        </a:xfrm>
        <a:prstGeom prst="rect">
          <a:avLst/>
        </a:prstGeom>
      </xdr:spPr>
    </xdr:pic>
    <xdr:clientData/>
  </xdr:twoCellAnchor>
  <xdr:twoCellAnchor editAs="oneCell">
    <xdr:from>
      <xdr:col>43</xdr:col>
      <xdr:colOff>587828</xdr:colOff>
      <xdr:row>96</xdr:row>
      <xdr:rowOff>152400</xdr:rowOff>
    </xdr:from>
    <xdr:to>
      <xdr:col>49</xdr:col>
      <xdr:colOff>578812</xdr:colOff>
      <xdr:row>114</xdr:row>
      <xdr:rowOff>100579</xdr:rowOff>
    </xdr:to>
    <xdr:pic>
      <xdr:nvPicPr>
        <xdr:cNvPr id="21" name="Picture 20">
          <a:extLst>
            <a:ext uri="{FF2B5EF4-FFF2-40B4-BE49-F238E27FC236}">
              <a16:creationId xmlns:a16="http://schemas.microsoft.com/office/drawing/2014/main" id="{F7EC7014-01A0-465C-8CE9-F834A7A57B10}"/>
            </a:ext>
          </a:extLst>
        </xdr:cNvPr>
        <xdr:cNvPicPr>
          <a:picLocks noChangeAspect="1"/>
        </xdr:cNvPicPr>
      </xdr:nvPicPr>
      <xdr:blipFill>
        <a:blip xmlns:r="http://schemas.openxmlformats.org/officeDocument/2006/relationships" r:embed="rId19"/>
        <a:stretch>
          <a:fillRect/>
        </a:stretch>
      </xdr:blipFill>
      <xdr:spPr>
        <a:xfrm>
          <a:off x="32652788" y="18196560"/>
          <a:ext cx="3648584" cy="3240019"/>
        </a:xfrm>
        <a:prstGeom prst="rect">
          <a:avLst/>
        </a:prstGeom>
      </xdr:spPr>
    </xdr:pic>
    <xdr:clientData/>
  </xdr:twoCellAnchor>
  <xdr:twoCellAnchor editAs="oneCell">
    <xdr:from>
      <xdr:col>35</xdr:col>
      <xdr:colOff>370114</xdr:colOff>
      <xdr:row>7</xdr:row>
      <xdr:rowOff>1</xdr:rowOff>
    </xdr:from>
    <xdr:to>
      <xdr:col>51</xdr:col>
      <xdr:colOff>266685</xdr:colOff>
      <xdr:row>38</xdr:row>
      <xdr:rowOff>40221</xdr:rowOff>
    </xdr:to>
    <xdr:pic>
      <xdr:nvPicPr>
        <xdr:cNvPr id="22" name="Picture 21">
          <a:extLst>
            <a:ext uri="{FF2B5EF4-FFF2-40B4-BE49-F238E27FC236}">
              <a16:creationId xmlns:a16="http://schemas.microsoft.com/office/drawing/2014/main" id="{9BD002FB-7A25-4D3B-B362-E745A8B4CF89}"/>
            </a:ext>
          </a:extLst>
        </xdr:cNvPr>
        <xdr:cNvPicPr>
          <a:picLocks noChangeAspect="1"/>
        </xdr:cNvPicPr>
      </xdr:nvPicPr>
      <xdr:blipFill>
        <a:blip xmlns:r="http://schemas.openxmlformats.org/officeDocument/2006/relationships" r:embed="rId20"/>
        <a:stretch>
          <a:fillRect/>
        </a:stretch>
      </xdr:blipFill>
      <xdr:spPr>
        <a:xfrm>
          <a:off x="27558274" y="1524001"/>
          <a:ext cx="9650171" cy="5709500"/>
        </a:xfrm>
        <a:prstGeom prst="rect">
          <a:avLst/>
        </a:prstGeom>
      </xdr:spPr>
    </xdr:pic>
    <xdr:clientData/>
  </xdr:twoCellAnchor>
  <xdr:twoCellAnchor editAs="oneCell">
    <xdr:from>
      <xdr:col>52</xdr:col>
      <xdr:colOff>0</xdr:colOff>
      <xdr:row>7</xdr:row>
      <xdr:rowOff>0</xdr:rowOff>
    </xdr:from>
    <xdr:to>
      <xdr:col>67</xdr:col>
      <xdr:colOff>153698</xdr:colOff>
      <xdr:row>28</xdr:row>
      <xdr:rowOff>86247</xdr:rowOff>
    </xdr:to>
    <xdr:pic>
      <xdr:nvPicPr>
        <xdr:cNvPr id="23" name="Picture 22">
          <a:extLst>
            <a:ext uri="{FF2B5EF4-FFF2-40B4-BE49-F238E27FC236}">
              <a16:creationId xmlns:a16="http://schemas.microsoft.com/office/drawing/2014/main" id="{CFCB14C1-DE85-4EF5-8274-92B3921809CF}"/>
            </a:ext>
          </a:extLst>
        </xdr:cNvPr>
        <xdr:cNvPicPr>
          <a:picLocks noChangeAspect="1"/>
        </xdr:cNvPicPr>
      </xdr:nvPicPr>
      <xdr:blipFill>
        <a:blip xmlns:r="http://schemas.openxmlformats.org/officeDocument/2006/relationships" r:embed="rId21"/>
        <a:stretch>
          <a:fillRect/>
        </a:stretch>
      </xdr:blipFill>
      <xdr:spPr>
        <a:xfrm>
          <a:off x="37551360" y="1524000"/>
          <a:ext cx="9297698" cy="3926727"/>
        </a:xfrm>
        <a:prstGeom prst="rect">
          <a:avLst/>
        </a:prstGeom>
      </xdr:spPr>
    </xdr:pic>
    <xdr:clientData/>
  </xdr:twoCellAnchor>
  <xdr:twoCellAnchor editAs="oneCell">
    <xdr:from>
      <xdr:col>41</xdr:col>
      <xdr:colOff>43542</xdr:colOff>
      <xdr:row>39</xdr:row>
      <xdr:rowOff>131945</xdr:rowOff>
    </xdr:from>
    <xdr:to>
      <xdr:col>53</xdr:col>
      <xdr:colOff>405428</xdr:colOff>
      <xdr:row>64</xdr:row>
      <xdr:rowOff>2623</xdr:rowOff>
    </xdr:to>
    <xdr:pic>
      <xdr:nvPicPr>
        <xdr:cNvPr id="24" name="Picture 23">
          <a:extLst>
            <a:ext uri="{FF2B5EF4-FFF2-40B4-BE49-F238E27FC236}">
              <a16:creationId xmlns:a16="http://schemas.microsoft.com/office/drawing/2014/main" id="{D1390A55-ED5D-4107-B995-F9F560BD0645}"/>
            </a:ext>
          </a:extLst>
        </xdr:cNvPr>
        <xdr:cNvPicPr>
          <a:picLocks noChangeAspect="1"/>
        </xdr:cNvPicPr>
      </xdr:nvPicPr>
      <xdr:blipFill>
        <a:blip xmlns:r="http://schemas.openxmlformats.org/officeDocument/2006/relationships" r:embed="rId22"/>
        <a:stretch>
          <a:fillRect/>
        </a:stretch>
      </xdr:blipFill>
      <xdr:spPr>
        <a:xfrm>
          <a:off x="30889302" y="7508105"/>
          <a:ext cx="7677086" cy="4442678"/>
        </a:xfrm>
        <a:prstGeom prst="rect">
          <a:avLst/>
        </a:prstGeom>
      </xdr:spPr>
    </xdr:pic>
    <xdr:clientData/>
  </xdr:twoCellAnchor>
  <xdr:twoCellAnchor editAs="oneCell">
    <xdr:from>
      <xdr:col>54</xdr:col>
      <xdr:colOff>0</xdr:colOff>
      <xdr:row>41</xdr:row>
      <xdr:rowOff>0</xdr:rowOff>
    </xdr:from>
    <xdr:to>
      <xdr:col>68</xdr:col>
      <xdr:colOff>458455</xdr:colOff>
      <xdr:row>63</xdr:row>
      <xdr:rowOff>162214</xdr:rowOff>
    </xdr:to>
    <xdr:pic>
      <xdr:nvPicPr>
        <xdr:cNvPr id="25" name="Picture 24">
          <a:extLst>
            <a:ext uri="{FF2B5EF4-FFF2-40B4-BE49-F238E27FC236}">
              <a16:creationId xmlns:a16="http://schemas.microsoft.com/office/drawing/2014/main" id="{A02E7008-D1FD-4C80-8A66-31866C101D79}"/>
            </a:ext>
          </a:extLst>
        </xdr:cNvPr>
        <xdr:cNvPicPr>
          <a:picLocks noChangeAspect="1"/>
        </xdr:cNvPicPr>
      </xdr:nvPicPr>
      <xdr:blipFill>
        <a:blip xmlns:r="http://schemas.openxmlformats.org/officeDocument/2006/relationships" r:embed="rId23"/>
        <a:stretch>
          <a:fillRect/>
        </a:stretch>
      </xdr:blipFill>
      <xdr:spPr>
        <a:xfrm>
          <a:off x="38770560" y="7741920"/>
          <a:ext cx="8992855" cy="4185574"/>
        </a:xfrm>
        <a:prstGeom prst="rect">
          <a:avLst/>
        </a:prstGeom>
      </xdr:spPr>
    </xdr:pic>
    <xdr:clientData/>
  </xdr:twoCellAnchor>
  <xdr:twoCellAnchor editAs="oneCell">
    <xdr:from>
      <xdr:col>52</xdr:col>
      <xdr:colOff>0</xdr:colOff>
      <xdr:row>73</xdr:row>
      <xdr:rowOff>0</xdr:rowOff>
    </xdr:from>
    <xdr:to>
      <xdr:col>63</xdr:col>
      <xdr:colOff>647</xdr:colOff>
      <xdr:row>117</xdr:row>
      <xdr:rowOff>97968</xdr:rowOff>
    </xdr:to>
    <xdr:pic>
      <xdr:nvPicPr>
        <xdr:cNvPr id="26" name="Picture 25">
          <a:extLst>
            <a:ext uri="{FF2B5EF4-FFF2-40B4-BE49-F238E27FC236}">
              <a16:creationId xmlns:a16="http://schemas.microsoft.com/office/drawing/2014/main" id="{51F9600A-12B6-451A-9BF0-0FBBF6890D3D}"/>
            </a:ext>
          </a:extLst>
        </xdr:cNvPr>
        <xdr:cNvPicPr>
          <a:picLocks noChangeAspect="1"/>
        </xdr:cNvPicPr>
      </xdr:nvPicPr>
      <xdr:blipFill>
        <a:blip xmlns:r="http://schemas.openxmlformats.org/officeDocument/2006/relationships" r:embed="rId24"/>
        <a:stretch>
          <a:fillRect/>
        </a:stretch>
      </xdr:blipFill>
      <xdr:spPr>
        <a:xfrm>
          <a:off x="37551360" y="13837920"/>
          <a:ext cx="6706247" cy="8144688"/>
        </a:xfrm>
        <a:prstGeom prst="rect">
          <a:avLst/>
        </a:prstGeom>
      </xdr:spPr>
    </xdr:pic>
    <xdr:clientData/>
  </xdr:twoCellAnchor>
  <xdr:twoCellAnchor editAs="oneCell">
    <xdr:from>
      <xdr:col>64</xdr:col>
      <xdr:colOff>0</xdr:colOff>
      <xdr:row>74</xdr:row>
      <xdr:rowOff>0</xdr:rowOff>
    </xdr:from>
    <xdr:to>
      <xdr:col>74</xdr:col>
      <xdr:colOff>375735</xdr:colOff>
      <xdr:row>109</xdr:row>
      <xdr:rowOff>132</xdr:rowOff>
    </xdr:to>
    <xdr:pic>
      <xdr:nvPicPr>
        <xdr:cNvPr id="27" name="Picture 26">
          <a:extLst>
            <a:ext uri="{FF2B5EF4-FFF2-40B4-BE49-F238E27FC236}">
              <a16:creationId xmlns:a16="http://schemas.microsoft.com/office/drawing/2014/main" id="{523EF854-1F91-49C8-951A-1527950195C5}"/>
            </a:ext>
          </a:extLst>
        </xdr:cNvPr>
        <xdr:cNvPicPr>
          <a:picLocks noChangeAspect="1"/>
        </xdr:cNvPicPr>
      </xdr:nvPicPr>
      <xdr:blipFill>
        <a:blip xmlns:r="http://schemas.openxmlformats.org/officeDocument/2006/relationships" r:embed="rId25"/>
        <a:stretch>
          <a:fillRect/>
        </a:stretch>
      </xdr:blipFill>
      <xdr:spPr>
        <a:xfrm>
          <a:off x="44866560" y="14020800"/>
          <a:ext cx="6471735" cy="6400932"/>
        </a:xfrm>
        <a:prstGeom prst="rect">
          <a:avLst/>
        </a:prstGeom>
      </xdr:spPr>
    </xdr:pic>
    <xdr:clientData/>
  </xdr:twoCellAnchor>
  <xdr:twoCellAnchor editAs="oneCell">
    <xdr:from>
      <xdr:col>0</xdr:col>
      <xdr:colOff>121920</xdr:colOff>
      <xdr:row>132</xdr:row>
      <xdr:rowOff>81280</xdr:rowOff>
    </xdr:from>
    <xdr:to>
      <xdr:col>9</xdr:col>
      <xdr:colOff>98446</xdr:colOff>
      <xdr:row>139</xdr:row>
      <xdr:rowOff>106227</xdr:rowOff>
    </xdr:to>
    <xdr:pic>
      <xdr:nvPicPr>
        <xdr:cNvPr id="28" name="Picture 27">
          <a:extLst>
            <a:ext uri="{FF2B5EF4-FFF2-40B4-BE49-F238E27FC236}">
              <a16:creationId xmlns:a16="http://schemas.microsoft.com/office/drawing/2014/main" id="{59833406-6B55-40EA-A1DB-EFDCBC39220A}"/>
            </a:ext>
          </a:extLst>
        </xdr:cNvPr>
        <xdr:cNvPicPr>
          <a:picLocks noChangeAspect="1"/>
        </xdr:cNvPicPr>
      </xdr:nvPicPr>
      <xdr:blipFill>
        <a:blip xmlns:r="http://schemas.openxmlformats.org/officeDocument/2006/relationships" r:embed="rId26"/>
        <a:stretch>
          <a:fillRect/>
        </a:stretch>
      </xdr:blipFill>
      <xdr:spPr>
        <a:xfrm>
          <a:off x="121920" y="25379680"/>
          <a:ext cx="9250066" cy="1305107"/>
        </a:xfrm>
        <a:prstGeom prst="rect">
          <a:avLst/>
        </a:prstGeom>
      </xdr:spPr>
    </xdr:pic>
    <xdr:clientData/>
  </xdr:twoCellAnchor>
  <xdr:twoCellAnchor editAs="oneCell">
    <xdr:from>
      <xdr:col>1</xdr:col>
      <xdr:colOff>71120</xdr:colOff>
      <xdr:row>143</xdr:row>
      <xdr:rowOff>152400</xdr:rowOff>
    </xdr:from>
    <xdr:to>
      <xdr:col>5</xdr:col>
      <xdr:colOff>293590</xdr:colOff>
      <xdr:row>150</xdr:row>
      <xdr:rowOff>72558</xdr:rowOff>
    </xdr:to>
    <xdr:pic>
      <xdr:nvPicPr>
        <xdr:cNvPr id="29" name="Picture 28">
          <a:extLst>
            <a:ext uri="{FF2B5EF4-FFF2-40B4-BE49-F238E27FC236}">
              <a16:creationId xmlns:a16="http://schemas.microsoft.com/office/drawing/2014/main" id="{74403042-588E-4875-83C3-9D97D22A0AAB}"/>
            </a:ext>
          </a:extLst>
        </xdr:cNvPr>
        <xdr:cNvPicPr>
          <a:picLocks noChangeAspect="1"/>
        </xdr:cNvPicPr>
      </xdr:nvPicPr>
      <xdr:blipFill>
        <a:blip xmlns:r="http://schemas.openxmlformats.org/officeDocument/2006/relationships" r:embed="rId27"/>
        <a:stretch>
          <a:fillRect/>
        </a:stretch>
      </xdr:blipFill>
      <xdr:spPr>
        <a:xfrm>
          <a:off x="200660" y="27576780"/>
          <a:ext cx="6120350" cy="1200318"/>
        </a:xfrm>
        <a:prstGeom prst="rect">
          <a:avLst/>
        </a:prstGeom>
      </xdr:spPr>
    </xdr:pic>
    <xdr:clientData/>
  </xdr:twoCellAnchor>
  <xdr:twoCellAnchor editAs="oneCell">
    <xdr:from>
      <xdr:col>1</xdr:col>
      <xdr:colOff>243840</xdr:colOff>
      <xdr:row>151</xdr:row>
      <xdr:rowOff>0</xdr:rowOff>
    </xdr:from>
    <xdr:to>
      <xdr:col>5</xdr:col>
      <xdr:colOff>390099</xdr:colOff>
      <xdr:row>154</xdr:row>
      <xdr:rowOff>89624</xdr:rowOff>
    </xdr:to>
    <xdr:pic>
      <xdr:nvPicPr>
        <xdr:cNvPr id="30" name="Picture 29">
          <a:extLst>
            <a:ext uri="{FF2B5EF4-FFF2-40B4-BE49-F238E27FC236}">
              <a16:creationId xmlns:a16="http://schemas.microsoft.com/office/drawing/2014/main" id="{8C0F2474-C295-4158-A30E-450E6B1F46D0}"/>
            </a:ext>
          </a:extLst>
        </xdr:cNvPr>
        <xdr:cNvPicPr>
          <a:picLocks noChangeAspect="1"/>
        </xdr:cNvPicPr>
      </xdr:nvPicPr>
      <xdr:blipFill>
        <a:blip xmlns:r="http://schemas.openxmlformats.org/officeDocument/2006/relationships" r:embed="rId28"/>
        <a:stretch>
          <a:fillRect/>
        </a:stretch>
      </xdr:blipFill>
      <xdr:spPr>
        <a:xfrm>
          <a:off x="373380" y="28887420"/>
          <a:ext cx="6044139" cy="638264"/>
        </a:xfrm>
        <a:prstGeom prst="rect">
          <a:avLst/>
        </a:prstGeom>
      </xdr:spPr>
    </xdr:pic>
    <xdr:clientData/>
  </xdr:twoCellAnchor>
  <xdr:twoCellAnchor editAs="oneCell">
    <xdr:from>
      <xdr:col>1</xdr:col>
      <xdr:colOff>254000</xdr:colOff>
      <xdr:row>155</xdr:row>
      <xdr:rowOff>121920</xdr:rowOff>
    </xdr:from>
    <xdr:to>
      <xdr:col>5</xdr:col>
      <xdr:colOff>476470</xdr:colOff>
      <xdr:row>177</xdr:row>
      <xdr:rowOff>17102</xdr:rowOff>
    </xdr:to>
    <xdr:pic>
      <xdr:nvPicPr>
        <xdr:cNvPr id="31" name="Picture 30">
          <a:extLst>
            <a:ext uri="{FF2B5EF4-FFF2-40B4-BE49-F238E27FC236}">
              <a16:creationId xmlns:a16="http://schemas.microsoft.com/office/drawing/2014/main" id="{6E958104-623B-4528-B5BF-5F553AB89853}"/>
            </a:ext>
          </a:extLst>
        </xdr:cNvPr>
        <xdr:cNvPicPr>
          <a:picLocks noChangeAspect="1"/>
        </xdr:cNvPicPr>
      </xdr:nvPicPr>
      <xdr:blipFill>
        <a:blip xmlns:r="http://schemas.openxmlformats.org/officeDocument/2006/relationships" r:embed="rId29"/>
        <a:stretch>
          <a:fillRect/>
        </a:stretch>
      </xdr:blipFill>
      <xdr:spPr>
        <a:xfrm>
          <a:off x="383540" y="29740860"/>
          <a:ext cx="6120350" cy="3918542"/>
        </a:xfrm>
        <a:prstGeom prst="rect">
          <a:avLst/>
        </a:prstGeom>
      </xdr:spPr>
    </xdr:pic>
    <xdr:clientData/>
  </xdr:twoCellAnchor>
  <xdr:twoCellAnchor editAs="oneCell">
    <xdr:from>
      <xdr:col>1</xdr:col>
      <xdr:colOff>365760</xdr:colOff>
      <xdr:row>178</xdr:row>
      <xdr:rowOff>0</xdr:rowOff>
    </xdr:from>
    <xdr:to>
      <xdr:col>5</xdr:col>
      <xdr:colOff>540598</xdr:colOff>
      <xdr:row>189</xdr:row>
      <xdr:rowOff>174201</xdr:rowOff>
    </xdr:to>
    <xdr:pic>
      <xdr:nvPicPr>
        <xdr:cNvPr id="32" name="Picture 31">
          <a:extLst>
            <a:ext uri="{FF2B5EF4-FFF2-40B4-BE49-F238E27FC236}">
              <a16:creationId xmlns:a16="http://schemas.microsoft.com/office/drawing/2014/main" id="{8267DAE5-18B1-491F-B372-0EA9F44E1E2F}"/>
            </a:ext>
          </a:extLst>
        </xdr:cNvPr>
        <xdr:cNvPicPr>
          <a:picLocks noChangeAspect="1"/>
        </xdr:cNvPicPr>
      </xdr:nvPicPr>
      <xdr:blipFill>
        <a:blip xmlns:r="http://schemas.openxmlformats.org/officeDocument/2006/relationships" r:embed="rId30"/>
        <a:stretch>
          <a:fillRect/>
        </a:stretch>
      </xdr:blipFill>
      <xdr:spPr>
        <a:xfrm>
          <a:off x="495300" y="34023300"/>
          <a:ext cx="6072718" cy="2185881"/>
        </a:xfrm>
        <a:prstGeom prst="rect">
          <a:avLst/>
        </a:prstGeom>
      </xdr:spPr>
    </xdr:pic>
    <xdr:clientData/>
  </xdr:twoCellAnchor>
  <xdr:twoCellAnchor editAs="oneCell">
    <xdr:from>
      <xdr:col>13</xdr:col>
      <xdr:colOff>43961</xdr:colOff>
      <xdr:row>142</xdr:row>
      <xdr:rowOff>29309</xdr:rowOff>
    </xdr:from>
    <xdr:to>
      <xdr:col>23</xdr:col>
      <xdr:colOff>222083</xdr:colOff>
      <xdr:row>169</xdr:row>
      <xdr:rowOff>4104</xdr:rowOff>
    </xdr:to>
    <xdr:pic>
      <xdr:nvPicPr>
        <xdr:cNvPr id="33" name="Picture 32">
          <a:extLst>
            <a:ext uri="{FF2B5EF4-FFF2-40B4-BE49-F238E27FC236}">
              <a16:creationId xmlns:a16="http://schemas.microsoft.com/office/drawing/2014/main" id="{CDA653D0-7900-4FBA-87FC-FE1F1C8EBED9}"/>
            </a:ext>
          </a:extLst>
        </xdr:cNvPr>
        <xdr:cNvPicPr>
          <a:picLocks noChangeAspect="1"/>
        </xdr:cNvPicPr>
      </xdr:nvPicPr>
      <xdr:blipFill>
        <a:blip xmlns:r="http://schemas.openxmlformats.org/officeDocument/2006/relationships" r:embed="rId7"/>
        <a:stretch>
          <a:fillRect/>
        </a:stretch>
      </xdr:blipFill>
      <xdr:spPr>
        <a:xfrm>
          <a:off x="12647441" y="27156509"/>
          <a:ext cx="7447602" cy="4912555"/>
        </a:xfrm>
        <a:prstGeom prst="rect">
          <a:avLst/>
        </a:prstGeom>
      </xdr:spPr>
    </xdr:pic>
    <xdr:clientData/>
  </xdr:twoCellAnchor>
  <xdr:twoCellAnchor editAs="oneCell">
    <xdr:from>
      <xdr:col>1</xdr:col>
      <xdr:colOff>161192</xdr:colOff>
      <xdr:row>198</xdr:row>
      <xdr:rowOff>161192</xdr:rowOff>
    </xdr:from>
    <xdr:to>
      <xdr:col>5</xdr:col>
      <xdr:colOff>537943</xdr:colOff>
      <xdr:row>232</xdr:row>
      <xdr:rowOff>88747</xdr:rowOff>
    </xdr:to>
    <xdr:pic>
      <xdr:nvPicPr>
        <xdr:cNvPr id="34" name="Picture 33">
          <a:extLst>
            <a:ext uri="{FF2B5EF4-FFF2-40B4-BE49-F238E27FC236}">
              <a16:creationId xmlns:a16="http://schemas.microsoft.com/office/drawing/2014/main" id="{370AF6B8-6F46-4FF3-8752-8224E3590479}"/>
            </a:ext>
          </a:extLst>
        </xdr:cNvPr>
        <xdr:cNvPicPr>
          <a:picLocks noChangeAspect="1"/>
        </xdr:cNvPicPr>
      </xdr:nvPicPr>
      <xdr:blipFill>
        <a:blip xmlns:r="http://schemas.openxmlformats.org/officeDocument/2006/relationships" r:embed="rId31"/>
        <a:stretch>
          <a:fillRect/>
        </a:stretch>
      </xdr:blipFill>
      <xdr:spPr>
        <a:xfrm>
          <a:off x="290732" y="38200232"/>
          <a:ext cx="6274631" cy="6145475"/>
        </a:xfrm>
        <a:prstGeom prst="rect">
          <a:avLst/>
        </a:prstGeom>
      </xdr:spPr>
    </xdr:pic>
    <xdr:clientData/>
  </xdr:twoCellAnchor>
  <xdr:twoCellAnchor editAs="oneCell">
    <xdr:from>
      <xdr:col>7</xdr:col>
      <xdr:colOff>0</xdr:colOff>
      <xdr:row>199</xdr:row>
      <xdr:rowOff>0</xdr:rowOff>
    </xdr:from>
    <xdr:to>
      <xdr:col>13</xdr:col>
      <xdr:colOff>803490</xdr:colOff>
      <xdr:row>207</xdr:row>
      <xdr:rowOff>117563</xdr:rowOff>
    </xdr:to>
    <xdr:pic>
      <xdr:nvPicPr>
        <xdr:cNvPr id="35" name="Picture 34">
          <a:extLst>
            <a:ext uri="{FF2B5EF4-FFF2-40B4-BE49-F238E27FC236}">
              <a16:creationId xmlns:a16="http://schemas.microsoft.com/office/drawing/2014/main" id="{C17F5411-0611-452A-8875-11D4C5484CA7}"/>
            </a:ext>
          </a:extLst>
        </xdr:cNvPr>
        <xdr:cNvPicPr>
          <a:picLocks noChangeAspect="1"/>
        </xdr:cNvPicPr>
      </xdr:nvPicPr>
      <xdr:blipFill>
        <a:blip xmlns:r="http://schemas.openxmlformats.org/officeDocument/2006/relationships" r:embed="rId32"/>
        <a:stretch>
          <a:fillRect/>
        </a:stretch>
      </xdr:blipFill>
      <xdr:spPr>
        <a:xfrm>
          <a:off x="7246620" y="38221920"/>
          <a:ext cx="6160350" cy="1580603"/>
        </a:xfrm>
        <a:prstGeom prst="rect">
          <a:avLst/>
        </a:prstGeom>
      </xdr:spPr>
    </xdr:pic>
    <xdr:clientData/>
  </xdr:twoCellAnchor>
  <xdr:twoCellAnchor editAs="oneCell">
    <xdr:from>
      <xdr:col>7</xdr:col>
      <xdr:colOff>0</xdr:colOff>
      <xdr:row>213</xdr:row>
      <xdr:rowOff>0</xdr:rowOff>
    </xdr:from>
    <xdr:to>
      <xdr:col>13</xdr:col>
      <xdr:colOff>822542</xdr:colOff>
      <xdr:row>223</xdr:row>
      <xdr:rowOff>299</xdr:rowOff>
    </xdr:to>
    <xdr:pic>
      <xdr:nvPicPr>
        <xdr:cNvPr id="36" name="Picture 35">
          <a:extLst>
            <a:ext uri="{FF2B5EF4-FFF2-40B4-BE49-F238E27FC236}">
              <a16:creationId xmlns:a16="http://schemas.microsoft.com/office/drawing/2014/main" id="{7A2FDAE8-10FC-43BC-B5BC-13AE81FBC27B}"/>
            </a:ext>
          </a:extLst>
        </xdr:cNvPr>
        <xdr:cNvPicPr>
          <a:picLocks noChangeAspect="1"/>
        </xdr:cNvPicPr>
      </xdr:nvPicPr>
      <xdr:blipFill>
        <a:blip xmlns:r="http://schemas.openxmlformats.org/officeDocument/2006/relationships" r:embed="rId33"/>
        <a:stretch>
          <a:fillRect/>
        </a:stretch>
      </xdr:blipFill>
      <xdr:spPr>
        <a:xfrm>
          <a:off x="7246620" y="40782240"/>
          <a:ext cx="6179402" cy="1829099"/>
        </a:xfrm>
        <a:prstGeom prst="rect">
          <a:avLst/>
        </a:prstGeom>
      </xdr:spPr>
    </xdr:pic>
    <xdr:clientData/>
  </xdr:twoCellAnchor>
  <xdr:twoCellAnchor editAs="oneCell">
    <xdr:from>
      <xdr:col>7</xdr:col>
      <xdr:colOff>0</xdr:colOff>
      <xdr:row>225</xdr:row>
      <xdr:rowOff>0</xdr:rowOff>
    </xdr:from>
    <xdr:to>
      <xdr:col>13</xdr:col>
      <xdr:colOff>917806</xdr:colOff>
      <xdr:row>231</xdr:row>
      <xdr:rowOff>64356</xdr:rowOff>
    </xdr:to>
    <xdr:pic>
      <xdr:nvPicPr>
        <xdr:cNvPr id="37" name="Picture 36">
          <a:extLst>
            <a:ext uri="{FF2B5EF4-FFF2-40B4-BE49-F238E27FC236}">
              <a16:creationId xmlns:a16="http://schemas.microsoft.com/office/drawing/2014/main" id="{B09D0568-E4B9-4D3D-99B9-C1F0C550CCC2}"/>
            </a:ext>
          </a:extLst>
        </xdr:cNvPr>
        <xdr:cNvPicPr>
          <a:picLocks noChangeAspect="1"/>
        </xdr:cNvPicPr>
      </xdr:nvPicPr>
      <xdr:blipFill>
        <a:blip xmlns:r="http://schemas.openxmlformats.org/officeDocument/2006/relationships" r:embed="rId34"/>
        <a:stretch>
          <a:fillRect/>
        </a:stretch>
      </xdr:blipFill>
      <xdr:spPr>
        <a:xfrm>
          <a:off x="7246620" y="42976800"/>
          <a:ext cx="6274666" cy="1161636"/>
        </a:xfrm>
        <a:prstGeom prst="rect">
          <a:avLst/>
        </a:prstGeom>
      </xdr:spPr>
    </xdr:pic>
    <xdr:clientData/>
  </xdr:twoCellAnchor>
  <xdr:twoCellAnchor editAs="oneCell">
    <xdr:from>
      <xdr:col>1</xdr:col>
      <xdr:colOff>375478</xdr:colOff>
      <xdr:row>234</xdr:row>
      <xdr:rowOff>66260</xdr:rowOff>
    </xdr:from>
    <xdr:to>
      <xdr:col>6</xdr:col>
      <xdr:colOff>140711</xdr:colOff>
      <xdr:row>261</xdr:row>
      <xdr:rowOff>119926</xdr:rowOff>
    </xdr:to>
    <xdr:pic>
      <xdr:nvPicPr>
        <xdr:cNvPr id="38" name="Picture 37">
          <a:extLst>
            <a:ext uri="{FF2B5EF4-FFF2-40B4-BE49-F238E27FC236}">
              <a16:creationId xmlns:a16="http://schemas.microsoft.com/office/drawing/2014/main" id="{99D39492-274E-4E20-8A3E-9AFF7F777FCC}"/>
            </a:ext>
          </a:extLst>
        </xdr:cNvPr>
        <xdr:cNvPicPr>
          <a:picLocks noChangeAspect="1"/>
        </xdr:cNvPicPr>
      </xdr:nvPicPr>
      <xdr:blipFill>
        <a:blip xmlns:r="http://schemas.openxmlformats.org/officeDocument/2006/relationships" r:embed="rId35"/>
        <a:stretch>
          <a:fillRect/>
        </a:stretch>
      </xdr:blipFill>
      <xdr:spPr>
        <a:xfrm>
          <a:off x="505018" y="44688980"/>
          <a:ext cx="6272713" cy="4991426"/>
        </a:xfrm>
        <a:prstGeom prst="rect">
          <a:avLst/>
        </a:prstGeom>
      </xdr:spPr>
    </xdr:pic>
    <xdr:clientData/>
  </xdr:twoCellAnchor>
  <xdr:twoCellAnchor editAs="oneCell">
    <xdr:from>
      <xdr:col>7</xdr:col>
      <xdr:colOff>0</xdr:colOff>
      <xdr:row>247</xdr:row>
      <xdr:rowOff>0</xdr:rowOff>
    </xdr:from>
    <xdr:to>
      <xdr:col>8</xdr:col>
      <xdr:colOff>812131</xdr:colOff>
      <xdr:row>253</xdr:row>
      <xdr:rowOff>144896</xdr:rowOff>
    </xdr:to>
    <xdr:pic>
      <xdr:nvPicPr>
        <xdr:cNvPr id="39" name="Picture 38">
          <a:extLst>
            <a:ext uri="{FF2B5EF4-FFF2-40B4-BE49-F238E27FC236}">
              <a16:creationId xmlns:a16="http://schemas.microsoft.com/office/drawing/2014/main" id="{127DF8F5-A9FD-4240-B93E-0F68EF2DBBF7}"/>
            </a:ext>
          </a:extLst>
        </xdr:cNvPr>
        <xdr:cNvPicPr>
          <a:picLocks noChangeAspect="1"/>
        </xdr:cNvPicPr>
      </xdr:nvPicPr>
      <xdr:blipFill>
        <a:blip xmlns:r="http://schemas.openxmlformats.org/officeDocument/2006/relationships" r:embed="rId36"/>
        <a:stretch>
          <a:fillRect/>
        </a:stretch>
      </xdr:blipFill>
      <xdr:spPr>
        <a:xfrm>
          <a:off x="7246620" y="48988980"/>
          <a:ext cx="1825591" cy="1242176"/>
        </a:xfrm>
        <a:prstGeom prst="rect">
          <a:avLst/>
        </a:prstGeom>
      </xdr:spPr>
    </xdr:pic>
    <xdr:clientData/>
  </xdr:twoCellAnchor>
  <xdr:twoCellAnchor editAs="oneCell">
    <xdr:from>
      <xdr:col>1</xdr:col>
      <xdr:colOff>561474</xdr:colOff>
      <xdr:row>252</xdr:row>
      <xdr:rowOff>130341</xdr:rowOff>
    </xdr:from>
    <xdr:to>
      <xdr:col>4</xdr:col>
      <xdr:colOff>520518</xdr:colOff>
      <xdr:row>267</xdr:row>
      <xdr:rowOff>128926</xdr:rowOff>
    </xdr:to>
    <xdr:pic>
      <xdr:nvPicPr>
        <xdr:cNvPr id="40" name="Picture 39">
          <a:extLst>
            <a:ext uri="{FF2B5EF4-FFF2-40B4-BE49-F238E27FC236}">
              <a16:creationId xmlns:a16="http://schemas.microsoft.com/office/drawing/2014/main" id="{90135304-2C84-4196-82BE-D5B8C7D23D5A}"/>
            </a:ext>
          </a:extLst>
        </xdr:cNvPr>
        <xdr:cNvPicPr>
          <a:picLocks noChangeAspect="1"/>
        </xdr:cNvPicPr>
      </xdr:nvPicPr>
      <xdr:blipFill>
        <a:blip xmlns:r="http://schemas.openxmlformats.org/officeDocument/2006/relationships" r:embed="rId37"/>
        <a:stretch>
          <a:fillRect/>
        </a:stretch>
      </xdr:blipFill>
      <xdr:spPr>
        <a:xfrm>
          <a:off x="691014" y="50033721"/>
          <a:ext cx="5247324" cy="2741785"/>
        </a:xfrm>
        <a:prstGeom prst="rect">
          <a:avLst/>
        </a:prstGeom>
      </xdr:spPr>
    </xdr:pic>
    <xdr:clientData/>
  </xdr:twoCellAnchor>
  <xdr:twoCellAnchor editAs="oneCell">
    <xdr:from>
      <xdr:col>1</xdr:col>
      <xdr:colOff>718560</xdr:colOff>
      <xdr:row>269</xdr:row>
      <xdr:rowOff>10026</xdr:rowOff>
    </xdr:from>
    <xdr:to>
      <xdr:col>4</xdr:col>
      <xdr:colOff>83907</xdr:colOff>
      <xdr:row>281</xdr:row>
      <xdr:rowOff>67242</xdr:rowOff>
    </xdr:to>
    <xdr:pic>
      <xdr:nvPicPr>
        <xdr:cNvPr id="41" name="Picture 40">
          <a:extLst>
            <a:ext uri="{FF2B5EF4-FFF2-40B4-BE49-F238E27FC236}">
              <a16:creationId xmlns:a16="http://schemas.microsoft.com/office/drawing/2014/main" id="{58321AB1-A6D1-4688-B852-FAE4233F246C}"/>
            </a:ext>
          </a:extLst>
        </xdr:cNvPr>
        <xdr:cNvPicPr>
          <a:picLocks noChangeAspect="1"/>
        </xdr:cNvPicPr>
      </xdr:nvPicPr>
      <xdr:blipFill>
        <a:blip xmlns:r="http://schemas.openxmlformats.org/officeDocument/2006/relationships" r:embed="rId38"/>
        <a:stretch>
          <a:fillRect/>
        </a:stretch>
      </xdr:blipFill>
      <xdr:spPr>
        <a:xfrm>
          <a:off x="848100" y="53022366"/>
          <a:ext cx="4653627" cy="2251776"/>
        </a:xfrm>
        <a:prstGeom prst="rect">
          <a:avLst/>
        </a:prstGeom>
      </xdr:spPr>
    </xdr:pic>
    <xdr:clientData/>
  </xdr:twoCellAnchor>
  <xdr:twoCellAnchor editAs="oneCell">
    <xdr:from>
      <xdr:col>4</xdr:col>
      <xdr:colOff>501315</xdr:colOff>
      <xdr:row>269</xdr:row>
      <xdr:rowOff>0</xdr:rowOff>
    </xdr:from>
    <xdr:to>
      <xdr:col>14</xdr:col>
      <xdr:colOff>226248</xdr:colOff>
      <xdr:row>280</xdr:row>
      <xdr:rowOff>894</xdr:rowOff>
    </xdr:to>
    <xdr:pic>
      <xdr:nvPicPr>
        <xdr:cNvPr id="42" name="Picture 41">
          <a:extLst>
            <a:ext uri="{FF2B5EF4-FFF2-40B4-BE49-F238E27FC236}">
              <a16:creationId xmlns:a16="http://schemas.microsoft.com/office/drawing/2014/main" id="{FE8C2C65-8D02-4473-B720-D54BA6D7306A}"/>
            </a:ext>
          </a:extLst>
        </xdr:cNvPr>
        <xdr:cNvPicPr>
          <a:picLocks noChangeAspect="1"/>
        </xdr:cNvPicPr>
      </xdr:nvPicPr>
      <xdr:blipFill>
        <a:blip xmlns:r="http://schemas.openxmlformats.org/officeDocument/2006/relationships" r:embed="rId39"/>
        <a:stretch>
          <a:fillRect/>
        </a:stretch>
      </xdr:blipFill>
      <xdr:spPr>
        <a:xfrm>
          <a:off x="5919135" y="53012340"/>
          <a:ext cx="8282193" cy="2012574"/>
        </a:xfrm>
        <a:prstGeom prst="rect">
          <a:avLst/>
        </a:prstGeom>
      </xdr:spPr>
    </xdr:pic>
    <xdr:clientData/>
  </xdr:twoCellAnchor>
  <xdr:twoCellAnchor editAs="oneCell">
    <xdr:from>
      <xdr:col>1</xdr:col>
      <xdr:colOff>601579</xdr:colOff>
      <xdr:row>283</xdr:row>
      <xdr:rowOff>100711</xdr:rowOff>
    </xdr:from>
    <xdr:to>
      <xdr:col>4</xdr:col>
      <xdr:colOff>294959</xdr:colOff>
      <xdr:row>295</xdr:row>
      <xdr:rowOff>32583</xdr:rowOff>
    </xdr:to>
    <xdr:pic>
      <xdr:nvPicPr>
        <xdr:cNvPr id="43" name="Picture 42">
          <a:extLst>
            <a:ext uri="{FF2B5EF4-FFF2-40B4-BE49-F238E27FC236}">
              <a16:creationId xmlns:a16="http://schemas.microsoft.com/office/drawing/2014/main" id="{9A5A8FCE-CD91-41B3-8689-ED6ACC28AE6E}"/>
            </a:ext>
          </a:extLst>
        </xdr:cNvPr>
        <xdr:cNvPicPr>
          <a:picLocks noChangeAspect="1"/>
        </xdr:cNvPicPr>
      </xdr:nvPicPr>
      <xdr:blipFill>
        <a:blip xmlns:r="http://schemas.openxmlformats.org/officeDocument/2006/relationships" r:embed="rId40"/>
        <a:stretch>
          <a:fillRect/>
        </a:stretch>
      </xdr:blipFill>
      <xdr:spPr>
        <a:xfrm>
          <a:off x="731119" y="55673371"/>
          <a:ext cx="4981660" cy="2126432"/>
        </a:xfrm>
        <a:prstGeom prst="rect">
          <a:avLst/>
        </a:prstGeom>
      </xdr:spPr>
    </xdr:pic>
    <xdr:clientData/>
  </xdr:twoCellAnchor>
  <xdr:twoCellAnchor editAs="oneCell">
    <xdr:from>
      <xdr:col>5</xdr:col>
      <xdr:colOff>129702</xdr:colOff>
      <xdr:row>281</xdr:row>
      <xdr:rowOff>64852</xdr:rowOff>
    </xdr:from>
    <xdr:to>
      <xdr:col>12</xdr:col>
      <xdr:colOff>645515</xdr:colOff>
      <xdr:row>294</xdr:row>
      <xdr:rowOff>128008</xdr:rowOff>
    </xdr:to>
    <xdr:pic>
      <xdr:nvPicPr>
        <xdr:cNvPr id="44" name="Picture 43">
          <a:extLst>
            <a:ext uri="{FF2B5EF4-FFF2-40B4-BE49-F238E27FC236}">
              <a16:creationId xmlns:a16="http://schemas.microsoft.com/office/drawing/2014/main" id="{6AE01B3B-3825-43F5-B7C9-B4F3A6D1BF42}"/>
            </a:ext>
          </a:extLst>
        </xdr:cNvPr>
        <xdr:cNvPicPr>
          <a:picLocks noChangeAspect="1"/>
        </xdr:cNvPicPr>
      </xdr:nvPicPr>
      <xdr:blipFill>
        <a:blip xmlns:r="http://schemas.openxmlformats.org/officeDocument/2006/relationships" r:embed="rId41"/>
        <a:stretch>
          <a:fillRect/>
        </a:stretch>
      </xdr:blipFill>
      <xdr:spPr>
        <a:xfrm>
          <a:off x="6157122" y="55271752"/>
          <a:ext cx="6101273" cy="2440596"/>
        </a:xfrm>
        <a:prstGeom prst="rect">
          <a:avLst/>
        </a:prstGeom>
      </xdr:spPr>
    </xdr:pic>
    <xdr:clientData/>
  </xdr:twoCellAnchor>
  <xdr:twoCellAnchor editAs="oneCell">
    <xdr:from>
      <xdr:col>1</xdr:col>
      <xdr:colOff>0</xdr:colOff>
      <xdr:row>297</xdr:row>
      <xdr:rowOff>64851</xdr:rowOff>
    </xdr:from>
    <xdr:to>
      <xdr:col>8</xdr:col>
      <xdr:colOff>316726</xdr:colOff>
      <xdr:row>318</xdr:row>
      <xdr:rowOff>6391</xdr:rowOff>
    </xdr:to>
    <xdr:pic>
      <xdr:nvPicPr>
        <xdr:cNvPr id="45" name="Picture 44">
          <a:extLst>
            <a:ext uri="{FF2B5EF4-FFF2-40B4-BE49-F238E27FC236}">
              <a16:creationId xmlns:a16="http://schemas.microsoft.com/office/drawing/2014/main" id="{90036122-5756-406C-AC16-42A29466BF88}"/>
            </a:ext>
          </a:extLst>
        </xdr:cNvPr>
        <xdr:cNvPicPr>
          <a:picLocks noChangeAspect="1"/>
        </xdr:cNvPicPr>
      </xdr:nvPicPr>
      <xdr:blipFill>
        <a:blip xmlns:r="http://schemas.openxmlformats.org/officeDocument/2006/relationships" r:embed="rId42"/>
        <a:stretch>
          <a:fillRect/>
        </a:stretch>
      </xdr:blipFill>
      <xdr:spPr>
        <a:xfrm>
          <a:off x="129540" y="58197831"/>
          <a:ext cx="8447266" cy="3782020"/>
        </a:xfrm>
        <a:prstGeom prst="rect">
          <a:avLst/>
        </a:prstGeom>
      </xdr:spPr>
    </xdr:pic>
    <xdr:clientData/>
  </xdr:twoCellAnchor>
  <xdr:twoCellAnchor editAs="oneCell">
    <xdr:from>
      <xdr:col>9</xdr:col>
      <xdr:colOff>0</xdr:colOff>
      <xdr:row>298</xdr:row>
      <xdr:rowOff>0</xdr:rowOff>
    </xdr:from>
    <xdr:to>
      <xdr:col>16</xdr:col>
      <xdr:colOff>486383</xdr:colOff>
      <xdr:row>319</xdr:row>
      <xdr:rowOff>143033</xdr:rowOff>
    </xdr:to>
    <xdr:pic>
      <xdr:nvPicPr>
        <xdr:cNvPr id="46" name="Picture 45">
          <a:extLst>
            <a:ext uri="{FF2B5EF4-FFF2-40B4-BE49-F238E27FC236}">
              <a16:creationId xmlns:a16="http://schemas.microsoft.com/office/drawing/2014/main" id="{6AB97DF1-1F3B-445D-8A48-7402042C328F}"/>
            </a:ext>
          </a:extLst>
        </xdr:cNvPr>
        <xdr:cNvPicPr>
          <a:picLocks noChangeAspect="1"/>
        </xdr:cNvPicPr>
      </xdr:nvPicPr>
      <xdr:blipFill>
        <a:blip xmlns:r="http://schemas.openxmlformats.org/officeDocument/2006/relationships" r:embed="rId43"/>
        <a:stretch>
          <a:fillRect/>
        </a:stretch>
      </xdr:blipFill>
      <xdr:spPr>
        <a:xfrm>
          <a:off x="9273540" y="58315860"/>
          <a:ext cx="6818603" cy="3983513"/>
        </a:xfrm>
        <a:prstGeom prst="rect">
          <a:avLst/>
        </a:prstGeom>
      </xdr:spPr>
    </xdr:pic>
    <xdr:clientData/>
  </xdr:twoCellAnchor>
  <xdr:twoCellAnchor editAs="oneCell">
    <xdr:from>
      <xdr:col>1</xdr:col>
      <xdr:colOff>486383</xdr:colOff>
      <xdr:row>327</xdr:row>
      <xdr:rowOff>129702</xdr:rowOff>
    </xdr:from>
    <xdr:to>
      <xdr:col>8</xdr:col>
      <xdr:colOff>574477</xdr:colOff>
      <xdr:row>349</xdr:row>
      <xdr:rowOff>159640</xdr:rowOff>
    </xdr:to>
    <xdr:pic>
      <xdr:nvPicPr>
        <xdr:cNvPr id="47" name="Picture 46">
          <a:extLst>
            <a:ext uri="{FF2B5EF4-FFF2-40B4-BE49-F238E27FC236}">
              <a16:creationId xmlns:a16="http://schemas.microsoft.com/office/drawing/2014/main" id="{8B3CBEEC-76E5-4666-96A2-0BBF4B80C2B7}"/>
            </a:ext>
          </a:extLst>
        </xdr:cNvPr>
        <xdr:cNvPicPr>
          <a:picLocks noChangeAspect="1"/>
        </xdr:cNvPicPr>
      </xdr:nvPicPr>
      <xdr:blipFill>
        <a:blip xmlns:r="http://schemas.openxmlformats.org/officeDocument/2006/relationships" r:embed="rId44"/>
        <a:stretch>
          <a:fillRect/>
        </a:stretch>
      </xdr:blipFill>
      <xdr:spPr>
        <a:xfrm>
          <a:off x="615923" y="63893862"/>
          <a:ext cx="8218634" cy="4053298"/>
        </a:xfrm>
        <a:prstGeom prst="rect">
          <a:avLst/>
        </a:prstGeom>
      </xdr:spPr>
    </xdr:pic>
    <xdr:clientData/>
  </xdr:twoCellAnchor>
  <xdr:twoCellAnchor editAs="oneCell">
    <xdr:from>
      <xdr:col>1</xdr:col>
      <xdr:colOff>0</xdr:colOff>
      <xdr:row>354</xdr:row>
      <xdr:rowOff>0</xdr:rowOff>
    </xdr:from>
    <xdr:to>
      <xdr:col>6</xdr:col>
      <xdr:colOff>48536</xdr:colOff>
      <xdr:row>363</xdr:row>
      <xdr:rowOff>85976</xdr:rowOff>
    </xdr:to>
    <xdr:pic>
      <xdr:nvPicPr>
        <xdr:cNvPr id="48" name="Picture 47">
          <a:extLst>
            <a:ext uri="{FF2B5EF4-FFF2-40B4-BE49-F238E27FC236}">
              <a16:creationId xmlns:a16="http://schemas.microsoft.com/office/drawing/2014/main" id="{3163EE0A-004A-4704-B0B0-718A2BF124DC}"/>
            </a:ext>
          </a:extLst>
        </xdr:cNvPr>
        <xdr:cNvPicPr>
          <a:picLocks noChangeAspect="1"/>
        </xdr:cNvPicPr>
      </xdr:nvPicPr>
      <xdr:blipFill>
        <a:blip xmlns:r="http://schemas.openxmlformats.org/officeDocument/2006/relationships" r:embed="rId45"/>
        <a:stretch>
          <a:fillRect/>
        </a:stretch>
      </xdr:blipFill>
      <xdr:spPr>
        <a:xfrm>
          <a:off x="129540" y="68816220"/>
          <a:ext cx="6556016" cy="1731896"/>
        </a:xfrm>
        <a:prstGeom prst="rect">
          <a:avLst/>
        </a:prstGeom>
      </xdr:spPr>
    </xdr:pic>
    <xdr:clientData/>
  </xdr:twoCellAnchor>
  <xdr:twoCellAnchor editAs="oneCell">
    <xdr:from>
      <xdr:col>7</xdr:col>
      <xdr:colOff>0</xdr:colOff>
      <xdr:row>354</xdr:row>
      <xdr:rowOff>0</xdr:rowOff>
    </xdr:from>
    <xdr:to>
      <xdr:col>13</xdr:col>
      <xdr:colOff>921409</xdr:colOff>
      <xdr:row>367</xdr:row>
      <xdr:rowOff>11954</xdr:rowOff>
    </xdr:to>
    <xdr:pic>
      <xdr:nvPicPr>
        <xdr:cNvPr id="49" name="Picture 48">
          <a:extLst>
            <a:ext uri="{FF2B5EF4-FFF2-40B4-BE49-F238E27FC236}">
              <a16:creationId xmlns:a16="http://schemas.microsoft.com/office/drawing/2014/main" id="{A4640637-A58B-424D-B1B4-DF350A9CCB78}"/>
            </a:ext>
          </a:extLst>
        </xdr:cNvPr>
        <xdr:cNvPicPr>
          <a:picLocks noChangeAspect="1"/>
        </xdr:cNvPicPr>
      </xdr:nvPicPr>
      <xdr:blipFill>
        <a:blip xmlns:r="http://schemas.openxmlformats.org/officeDocument/2006/relationships" r:embed="rId46"/>
        <a:stretch>
          <a:fillRect/>
        </a:stretch>
      </xdr:blipFill>
      <xdr:spPr>
        <a:xfrm>
          <a:off x="7246620" y="68816220"/>
          <a:ext cx="6278269" cy="2389394"/>
        </a:xfrm>
        <a:prstGeom prst="rect">
          <a:avLst/>
        </a:prstGeom>
      </xdr:spPr>
    </xdr:pic>
    <xdr:clientData/>
  </xdr:twoCellAnchor>
  <xdr:twoCellAnchor editAs="oneCell">
    <xdr:from>
      <xdr:col>1</xdr:col>
      <xdr:colOff>258305</xdr:colOff>
      <xdr:row>367</xdr:row>
      <xdr:rowOff>38746</xdr:rowOff>
    </xdr:from>
    <xdr:to>
      <xdr:col>8</xdr:col>
      <xdr:colOff>244906</xdr:colOff>
      <xdr:row>373</xdr:row>
      <xdr:rowOff>58918</xdr:rowOff>
    </xdr:to>
    <xdr:pic>
      <xdr:nvPicPr>
        <xdr:cNvPr id="50" name="Picture 49">
          <a:extLst>
            <a:ext uri="{FF2B5EF4-FFF2-40B4-BE49-F238E27FC236}">
              <a16:creationId xmlns:a16="http://schemas.microsoft.com/office/drawing/2014/main" id="{1B6C4107-B3A5-4A27-8381-DCEF18BDC195}"/>
            </a:ext>
          </a:extLst>
        </xdr:cNvPr>
        <xdr:cNvPicPr>
          <a:picLocks noChangeAspect="1"/>
        </xdr:cNvPicPr>
      </xdr:nvPicPr>
      <xdr:blipFill>
        <a:blip xmlns:r="http://schemas.openxmlformats.org/officeDocument/2006/relationships" r:embed="rId47"/>
        <a:stretch>
          <a:fillRect/>
        </a:stretch>
      </xdr:blipFill>
      <xdr:spPr>
        <a:xfrm>
          <a:off x="387845" y="71232406"/>
          <a:ext cx="8117141" cy="1117452"/>
        </a:xfrm>
        <a:prstGeom prst="rect">
          <a:avLst/>
        </a:prstGeom>
      </xdr:spPr>
    </xdr:pic>
    <xdr:clientData/>
  </xdr:twoCellAnchor>
  <xdr:twoCellAnchor editAs="oneCell">
    <xdr:from>
      <xdr:col>1</xdr:col>
      <xdr:colOff>322385</xdr:colOff>
      <xdr:row>376</xdr:row>
      <xdr:rowOff>87924</xdr:rowOff>
    </xdr:from>
    <xdr:to>
      <xdr:col>7</xdr:col>
      <xdr:colOff>801898</xdr:colOff>
      <xdr:row>418</xdr:row>
      <xdr:rowOff>85290</xdr:rowOff>
    </xdr:to>
    <xdr:pic>
      <xdr:nvPicPr>
        <xdr:cNvPr id="51" name="Picture 50">
          <a:extLst>
            <a:ext uri="{FF2B5EF4-FFF2-40B4-BE49-F238E27FC236}">
              <a16:creationId xmlns:a16="http://schemas.microsoft.com/office/drawing/2014/main" id="{B7F9065B-683E-4899-ADEA-7ACAD40FDB64}"/>
            </a:ext>
          </a:extLst>
        </xdr:cNvPr>
        <xdr:cNvPicPr>
          <a:picLocks noChangeAspect="1"/>
        </xdr:cNvPicPr>
      </xdr:nvPicPr>
      <xdr:blipFill>
        <a:blip xmlns:r="http://schemas.openxmlformats.org/officeDocument/2006/relationships" r:embed="rId48"/>
        <a:stretch>
          <a:fillRect/>
        </a:stretch>
      </xdr:blipFill>
      <xdr:spPr>
        <a:xfrm>
          <a:off x="451925" y="73110384"/>
          <a:ext cx="7596593" cy="7678326"/>
        </a:xfrm>
        <a:prstGeom prst="rect">
          <a:avLst/>
        </a:prstGeom>
      </xdr:spPr>
    </xdr:pic>
    <xdr:clientData/>
  </xdr:twoCellAnchor>
  <xdr:twoCellAnchor editAs="oneCell">
    <xdr:from>
      <xdr:col>1</xdr:col>
      <xdr:colOff>1216270</xdr:colOff>
      <xdr:row>419</xdr:row>
      <xdr:rowOff>102577</xdr:rowOff>
    </xdr:from>
    <xdr:to>
      <xdr:col>4</xdr:col>
      <xdr:colOff>249116</xdr:colOff>
      <xdr:row>441</xdr:row>
      <xdr:rowOff>143101</xdr:rowOff>
    </xdr:to>
    <xdr:pic>
      <xdr:nvPicPr>
        <xdr:cNvPr id="52" name="Picture 51">
          <a:extLst>
            <a:ext uri="{FF2B5EF4-FFF2-40B4-BE49-F238E27FC236}">
              <a16:creationId xmlns:a16="http://schemas.microsoft.com/office/drawing/2014/main" id="{99856F82-5AF0-4D5F-863A-3578AD8FE106}"/>
            </a:ext>
          </a:extLst>
        </xdr:cNvPr>
        <xdr:cNvPicPr>
          <a:picLocks noChangeAspect="1"/>
        </xdr:cNvPicPr>
      </xdr:nvPicPr>
      <xdr:blipFill>
        <a:blip xmlns:r="http://schemas.openxmlformats.org/officeDocument/2006/relationships" r:embed="rId49"/>
        <a:stretch>
          <a:fillRect/>
        </a:stretch>
      </xdr:blipFill>
      <xdr:spPr>
        <a:xfrm>
          <a:off x="1345810" y="80988877"/>
          <a:ext cx="4321126" cy="4063884"/>
        </a:xfrm>
        <a:prstGeom prst="rect">
          <a:avLst/>
        </a:prstGeom>
      </xdr:spPr>
    </xdr:pic>
    <xdr:clientData/>
  </xdr:twoCellAnchor>
  <xdr:twoCellAnchor editAs="oneCell">
    <xdr:from>
      <xdr:col>8</xdr:col>
      <xdr:colOff>0</xdr:colOff>
      <xdr:row>322</xdr:row>
      <xdr:rowOff>0</xdr:rowOff>
    </xdr:from>
    <xdr:to>
      <xdr:col>13</xdr:col>
      <xdr:colOff>585525</xdr:colOff>
      <xdr:row>324</xdr:row>
      <xdr:rowOff>780</xdr:rowOff>
    </xdr:to>
    <xdr:pic>
      <xdr:nvPicPr>
        <xdr:cNvPr id="53" name="Picture 52">
          <a:extLst>
            <a:ext uri="{FF2B5EF4-FFF2-40B4-BE49-F238E27FC236}">
              <a16:creationId xmlns:a16="http://schemas.microsoft.com/office/drawing/2014/main" id="{B9C7E6E6-6775-4839-9C58-B4A1A20D5848}"/>
            </a:ext>
          </a:extLst>
        </xdr:cNvPr>
        <xdr:cNvPicPr>
          <a:picLocks noChangeAspect="1"/>
        </xdr:cNvPicPr>
      </xdr:nvPicPr>
      <xdr:blipFill>
        <a:blip xmlns:r="http://schemas.openxmlformats.org/officeDocument/2006/relationships" r:embed="rId50"/>
        <a:stretch>
          <a:fillRect/>
        </a:stretch>
      </xdr:blipFill>
      <xdr:spPr>
        <a:xfrm>
          <a:off x="8260080" y="62849760"/>
          <a:ext cx="4928925" cy="366540"/>
        </a:xfrm>
        <a:prstGeom prst="rect">
          <a:avLst/>
        </a:prstGeom>
      </xdr:spPr>
    </xdr:pic>
    <xdr:clientData/>
  </xdr:twoCellAnchor>
  <xdr:twoCellAnchor editAs="oneCell">
    <xdr:from>
      <xdr:col>9</xdr:col>
      <xdr:colOff>14653</xdr:colOff>
      <xdr:row>374</xdr:row>
      <xdr:rowOff>337039</xdr:rowOff>
    </xdr:from>
    <xdr:to>
      <xdr:col>14</xdr:col>
      <xdr:colOff>625731</xdr:colOff>
      <xdr:row>387</xdr:row>
      <xdr:rowOff>8356</xdr:rowOff>
    </xdr:to>
    <xdr:pic>
      <xdr:nvPicPr>
        <xdr:cNvPr id="54" name="Picture 53">
          <a:extLst>
            <a:ext uri="{FF2B5EF4-FFF2-40B4-BE49-F238E27FC236}">
              <a16:creationId xmlns:a16="http://schemas.microsoft.com/office/drawing/2014/main" id="{30E12395-1CAB-464A-9E4D-37BD978E4367}"/>
            </a:ext>
          </a:extLst>
        </xdr:cNvPr>
        <xdr:cNvPicPr>
          <a:picLocks noChangeAspect="1"/>
        </xdr:cNvPicPr>
      </xdr:nvPicPr>
      <xdr:blipFill>
        <a:blip xmlns:r="http://schemas.openxmlformats.org/officeDocument/2006/relationships" r:embed="rId51"/>
        <a:stretch>
          <a:fillRect/>
        </a:stretch>
      </xdr:blipFill>
      <xdr:spPr>
        <a:xfrm>
          <a:off x="9288193" y="72810859"/>
          <a:ext cx="5312618" cy="2201157"/>
        </a:xfrm>
        <a:prstGeom prst="rect">
          <a:avLst/>
        </a:prstGeom>
      </xdr:spPr>
    </xdr:pic>
    <xdr:clientData/>
  </xdr:twoCellAnchor>
  <xdr:twoCellAnchor editAs="oneCell">
    <xdr:from>
      <xdr:col>4</xdr:col>
      <xdr:colOff>348075</xdr:colOff>
      <xdr:row>419</xdr:row>
      <xdr:rowOff>122297</xdr:rowOff>
    </xdr:from>
    <xdr:to>
      <xdr:col>13</xdr:col>
      <xdr:colOff>315208</xdr:colOff>
      <xdr:row>432</xdr:row>
      <xdr:rowOff>94512</xdr:rowOff>
    </xdr:to>
    <xdr:pic>
      <xdr:nvPicPr>
        <xdr:cNvPr id="55" name="Picture 54">
          <a:extLst>
            <a:ext uri="{FF2B5EF4-FFF2-40B4-BE49-F238E27FC236}">
              <a16:creationId xmlns:a16="http://schemas.microsoft.com/office/drawing/2014/main" id="{1B690810-5EF8-43AD-8A2C-052A36129FDC}"/>
            </a:ext>
          </a:extLst>
        </xdr:cNvPr>
        <xdr:cNvPicPr>
          <a:picLocks noChangeAspect="1"/>
        </xdr:cNvPicPr>
      </xdr:nvPicPr>
      <xdr:blipFill>
        <a:blip xmlns:r="http://schemas.openxmlformats.org/officeDocument/2006/relationships" r:embed="rId52"/>
        <a:stretch>
          <a:fillRect/>
        </a:stretch>
      </xdr:blipFill>
      <xdr:spPr>
        <a:xfrm>
          <a:off x="5765895" y="81008597"/>
          <a:ext cx="7152793" cy="2349655"/>
        </a:xfrm>
        <a:prstGeom prst="rect">
          <a:avLst/>
        </a:prstGeom>
      </xdr:spPr>
    </xdr:pic>
    <xdr:clientData/>
  </xdr:twoCellAnchor>
  <xdr:twoCellAnchor editAs="oneCell">
    <xdr:from>
      <xdr:col>5</xdr:col>
      <xdr:colOff>401051</xdr:colOff>
      <xdr:row>434</xdr:row>
      <xdr:rowOff>140369</xdr:rowOff>
    </xdr:from>
    <xdr:to>
      <xdr:col>12</xdr:col>
      <xdr:colOff>134409</xdr:colOff>
      <xdr:row>449</xdr:row>
      <xdr:rowOff>40106</xdr:rowOff>
    </xdr:to>
    <xdr:pic>
      <xdr:nvPicPr>
        <xdr:cNvPr id="56" name="Picture 55">
          <a:extLst>
            <a:ext uri="{FF2B5EF4-FFF2-40B4-BE49-F238E27FC236}">
              <a16:creationId xmlns:a16="http://schemas.microsoft.com/office/drawing/2014/main" id="{B3817FB0-12BE-41F4-8C7E-27F5D087119F}"/>
            </a:ext>
          </a:extLst>
        </xdr:cNvPr>
        <xdr:cNvPicPr>
          <a:picLocks noChangeAspect="1"/>
        </xdr:cNvPicPr>
      </xdr:nvPicPr>
      <xdr:blipFill>
        <a:blip xmlns:r="http://schemas.openxmlformats.org/officeDocument/2006/relationships" r:embed="rId53"/>
        <a:stretch>
          <a:fillRect/>
        </a:stretch>
      </xdr:blipFill>
      <xdr:spPr>
        <a:xfrm>
          <a:off x="6428471" y="83769869"/>
          <a:ext cx="5318818" cy="2642937"/>
        </a:xfrm>
        <a:prstGeom prst="rect">
          <a:avLst/>
        </a:prstGeom>
      </xdr:spPr>
    </xdr:pic>
    <xdr:clientData/>
  </xdr:twoCellAnchor>
  <xdr:twoCellAnchor editAs="oneCell">
    <xdr:from>
      <xdr:col>4</xdr:col>
      <xdr:colOff>541422</xdr:colOff>
      <xdr:row>450</xdr:row>
      <xdr:rowOff>100262</xdr:rowOff>
    </xdr:from>
    <xdr:to>
      <xdr:col>12</xdr:col>
      <xdr:colOff>203740</xdr:colOff>
      <xdr:row>457</xdr:row>
      <xdr:rowOff>1171</xdr:rowOff>
    </xdr:to>
    <xdr:pic>
      <xdr:nvPicPr>
        <xdr:cNvPr id="57" name="Picture 56">
          <a:extLst>
            <a:ext uri="{FF2B5EF4-FFF2-40B4-BE49-F238E27FC236}">
              <a16:creationId xmlns:a16="http://schemas.microsoft.com/office/drawing/2014/main" id="{99F43FDB-780C-49DA-BD45-D4F45C44249C}"/>
            </a:ext>
          </a:extLst>
        </xdr:cNvPr>
        <xdr:cNvPicPr>
          <a:picLocks noChangeAspect="1"/>
        </xdr:cNvPicPr>
      </xdr:nvPicPr>
      <xdr:blipFill>
        <a:blip xmlns:r="http://schemas.openxmlformats.org/officeDocument/2006/relationships" r:embed="rId54"/>
        <a:stretch>
          <a:fillRect/>
        </a:stretch>
      </xdr:blipFill>
      <xdr:spPr>
        <a:xfrm>
          <a:off x="5959242" y="86655842"/>
          <a:ext cx="5857378" cy="1181069"/>
        </a:xfrm>
        <a:prstGeom prst="rect">
          <a:avLst/>
        </a:prstGeom>
      </xdr:spPr>
    </xdr:pic>
    <xdr:clientData/>
  </xdr:twoCellAnchor>
  <xdr:twoCellAnchor editAs="oneCell">
    <xdr:from>
      <xdr:col>9</xdr:col>
      <xdr:colOff>0</xdr:colOff>
      <xdr:row>391</xdr:row>
      <xdr:rowOff>0</xdr:rowOff>
    </xdr:from>
    <xdr:to>
      <xdr:col>17</xdr:col>
      <xdr:colOff>284747</xdr:colOff>
      <xdr:row>398</xdr:row>
      <xdr:rowOff>108475</xdr:rowOff>
    </xdr:to>
    <xdr:pic>
      <xdr:nvPicPr>
        <xdr:cNvPr id="58" name="Picture 57">
          <a:extLst>
            <a:ext uri="{FF2B5EF4-FFF2-40B4-BE49-F238E27FC236}">
              <a16:creationId xmlns:a16="http://schemas.microsoft.com/office/drawing/2014/main" id="{8DCB2038-C941-440B-AAA8-51A61EDF4ACA}"/>
            </a:ext>
          </a:extLst>
        </xdr:cNvPr>
        <xdr:cNvPicPr>
          <a:picLocks noChangeAspect="1"/>
        </xdr:cNvPicPr>
      </xdr:nvPicPr>
      <xdr:blipFill>
        <a:blip xmlns:r="http://schemas.openxmlformats.org/officeDocument/2006/relationships" r:embed="rId55"/>
        <a:stretch>
          <a:fillRect/>
        </a:stretch>
      </xdr:blipFill>
      <xdr:spPr>
        <a:xfrm>
          <a:off x="9273540" y="75765660"/>
          <a:ext cx="7226567" cy="1388635"/>
        </a:xfrm>
        <a:prstGeom prst="rect">
          <a:avLst/>
        </a:prstGeom>
      </xdr:spPr>
    </xdr:pic>
    <xdr:clientData/>
  </xdr:twoCellAnchor>
  <xdr:twoCellAnchor editAs="oneCell">
    <xdr:from>
      <xdr:col>13</xdr:col>
      <xdr:colOff>782053</xdr:colOff>
      <xdr:row>404</xdr:row>
      <xdr:rowOff>20052</xdr:rowOff>
    </xdr:from>
    <xdr:to>
      <xdr:col>25</xdr:col>
      <xdr:colOff>143958</xdr:colOff>
      <xdr:row>428</xdr:row>
      <xdr:rowOff>127954</xdr:rowOff>
    </xdr:to>
    <xdr:pic>
      <xdr:nvPicPr>
        <xdr:cNvPr id="59" name="Picture 58">
          <a:extLst>
            <a:ext uri="{FF2B5EF4-FFF2-40B4-BE49-F238E27FC236}">
              <a16:creationId xmlns:a16="http://schemas.microsoft.com/office/drawing/2014/main" id="{FFEFB1CF-103E-4606-B92F-9BF67C557F99}"/>
            </a:ext>
          </a:extLst>
        </xdr:cNvPr>
        <xdr:cNvPicPr>
          <a:picLocks noChangeAspect="1"/>
        </xdr:cNvPicPr>
      </xdr:nvPicPr>
      <xdr:blipFill>
        <a:blip xmlns:r="http://schemas.openxmlformats.org/officeDocument/2006/relationships" r:embed="rId56"/>
        <a:stretch>
          <a:fillRect/>
        </a:stretch>
      </xdr:blipFill>
      <xdr:spPr>
        <a:xfrm>
          <a:off x="13385533" y="78163152"/>
          <a:ext cx="7850585" cy="4497022"/>
        </a:xfrm>
        <a:prstGeom prst="rect">
          <a:avLst/>
        </a:prstGeom>
      </xdr:spPr>
    </xdr:pic>
    <xdr:clientData/>
  </xdr:twoCellAnchor>
  <xdr:twoCellAnchor editAs="oneCell">
    <xdr:from>
      <xdr:col>14</xdr:col>
      <xdr:colOff>0</xdr:colOff>
      <xdr:row>432</xdr:row>
      <xdr:rowOff>0</xdr:rowOff>
    </xdr:from>
    <xdr:to>
      <xdr:col>21</xdr:col>
      <xdr:colOff>597797</xdr:colOff>
      <xdr:row>439</xdr:row>
      <xdr:rowOff>41791</xdr:rowOff>
    </xdr:to>
    <xdr:pic>
      <xdr:nvPicPr>
        <xdr:cNvPr id="60" name="Picture 59">
          <a:extLst>
            <a:ext uri="{FF2B5EF4-FFF2-40B4-BE49-F238E27FC236}">
              <a16:creationId xmlns:a16="http://schemas.microsoft.com/office/drawing/2014/main" id="{D2E00513-6028-4AE8-943B-707713A7D0E3}"/>
            </a:ext>
          </a:extLst>
        </xdr:cNvPr>
        <xdr:cNvPicPr>
          <a:picLocks noChangeAspect="1"/>
        </xdr:cNvPicPr>
      </xdr:nvPicPr>
      <xdr:blipFill>
        <a:blip xmlns:r="http://schemas.openxmlformats.org/officeDocument/2006/relationships" r:embed="rId57"/>
        <a:stretch>
          <a:fillRect/>
        </a:stretch>
      </xdr:blipFill>
      <xdr:spPr>
        <a:xfrm>
          <a:off x="13975080" y="83263740"/>
          <a:ext cx="5276477" cy="1321951"/>
        </a:xfrm>
        <a:prstGeom prst="rect">
          <a:avLst/>
        </a:prstGeom>
      </xdr:spPr>
    </xdr:pic>
    <xdr:clientData/>
  </xdr:twoCellAnchor>
  <xdr:twoCellAnchor editAs="oneCell">
    <xdr:from>
      <xdr:col>14</xdr:col>
      <xdr:colOff>0</xdr:colOff>
      <xdr:row>441</xdr:row>
      <xdr:rowOff>0</xdr:rowOff>
    </xdr:from>
    <xdr:to>
      <xdr:col>22</xdr:col>
      <xdr:colOff>5744</xdr:colOff>
      <xdr:row>459</xdr:row>
      <xdr:rowOff>38057</xdr:rowOff>
    </xdr:to>
    <xdr:pic>
      <xdr:nvPicPr>
        <xdr:cNvPr id="61" name="Picture 60">
          <a:extLst>
            <a:ext uri="{FF2B5EF4-FFF2-40B4-BE49-F238E27FC236}">
              <a16:creationId xmlns:a16="http://schemas.microsoft.com/office/drawing/2014/main" id="{8044292A-54F5-49EA-8695-45E85222237A}"/>
            </a:ext>
          </a:extLst>
        </xdr:cNvPr>
        <xdr:cNvPicPr>
          <a:picLocks noChangeAspect="1"/>
        </xdr:cNvPicPr>
      </xdr:nvPicPr>
      <xdr:blipFill>
        <a:blip xmlns:r="http://schemas.openxmlformats.org/officeDocument/2006/relationships" r:embed="rId58"/>
        <a:stretch>
          <a:fillRect/>
        </a:stretch>
      </xdr:blipFill>
      <xdr:spPr>
        <a:xfrm>
          <a:off x="13975080" y="84909660"/>
          <a:ext cx="5294024" cy="3329897"/>
        </a:xfrm>
        <a:prstGeom prst="rect">
          <a:avLst/>
        </a:prstGeom>
      </xdr:spPr>
    </xdr:pic>
    <xdr:clientData/>
  </xdr:twoCellAnchor>
  <xdr:twoCellAnchor editAs="oneCell">
    <xdr:from>
      <xdr:col>1</xdr:col>
      <xdr:colOff>140369</xdr:colOff>
      <xdr:row>465</xdr:row>
      <xdr:rowOff>160420</xdr:rowOff>
    </xdr:from>
    <xdr:to>
      <xdr:col>7</xdr:col>
      <xdr:colOff>197011</xdr:colOff>
      <xdr:row>489</xdr:row>
      <xdr:rowOff>58742</xdr:rowOff>
    </xdr:to>
    <xdr:pic>
      <xdr:nvPicPr>
        <xdr:cNvPr id="62" name="Picture 61">
          <a:extLst>
            <a:ext uri="{FF2B5EF4-FFF2-40B4-BE49-F238E27FC236}">
              <a16:creationId xmlns:a16="http://schemas.microsoft.com/office/drawing/2014/main" id="{D62C8480-1923-44FE-8DA2-4E71777BCFB6}"/>
            </a:ext>
          </a:extLst>
        </xdr:cNvPr>
        <xdr:cNvPicPr>
          <a:picLocks noChangeAspect="1"/>
        </xdr:cNvPicPr>
      </xdr:nvPicPr>
      <xdr:blipFill>
        <a:blip xmlns:r="http://schemas.openxmlformats.org/officeDocument/2006/relationships" r:embed="rId59"/>
        <a:stretch>
          <a:fillRect/>
        </a:stretch>
      </xdr:blipFill>
      <xdr:spPr>
        <a:xfrm>
          <a:off x="269909" y="89847820"/>
          <a:ext cx="7173722" cy="4287442"/>
        </a:xfrm>
        <a:prstGeom prst="rect">
          <a:avLst/>
        </a:prstGeom>
      </xdr:spPr>
    </xdr:pic>
    <xdr:clientData/>
  </xdr:twoCellAnchor>
  <xdr:twoCellAnchor editAs="oneCell">
    <xdr:from>
      <xdr:col>8</xdr:col>
      <xdr:colOff>0</xdr:colOff>
      <xdr:row>468</xdr:row>
      <xdr:rowOff>0</xdr:rowOff>
    </xdr:from>
    <xdr:to>
      <xdr:col>13</xdr:col>
      <xdr:colOff>88849</xdr:colOff>
      <xdr:row>504</xdr:row>
      <xdr:rowOff>85642</xdr:rowOff>
    </xdr:to>
    <xdr:pic>
      <xdr:nvPicPr>
        <xdr:cNvPr id="63" name="Picture 62">
          <a:extLst>
            <a:ext uri="{FF2B5EF4-FFF2-40B4-BE49-F238E27FC236}">
              <a16:creationId xmlns:a16="http://schemas.microsoft.com/office/drawing/2014/main" id="{81959A35-4E27-4D0D-9EBA-96E89BFF69D3}"/>
            </a:ext>
          </a:extLst>
        </xdr:cNvPr>
        <xdr:cNvPicPr>
          <a:picLocks noChangeAspect="1"/>
        </xdr:cNvPicPr>
      </xdr:nvPicPr>
      <xdr:blipFill>
        <a:blip xmlns:r="http://schemas.openxmlformats.org/officeDocument/2006/relationships" r:embed="rId60"/>
        <a:stretch>
          <a:fillRect/>
        </a:stretch>
      </xdr:blipFill>
      <xdr:spPr>
        <a:xfrm>
          <a:off x="8260080" y="90236040"/>
          <a:ext cx="4432249" cy="6669322"/>
        </a:xfrm>
        <a:prstGeom prst="rect">
          <a:avLst/>
        </a:prstGeom>
      </xdr:spPr>
    </xdr:pic>
    <xdr:clientData/>
  </xdr:twoCellAnchor>
  <xdr:twoCellAnchor editAs="oneCell">
    <xdr:from>
      <xdr:col>1</xdr:col>
      <xdr:colOff>432955</xdr:colOff>
      <xdr:row>509</xdr:row>
      <xdr:rowOff>34637</xdr:rowOff>
    </xdr:from>
    <xdr:to>
      <xdr:col>5</xdr:col>
      <xdr:colOff>460624</xdr:colOff>
      <xdr:row>535</xdr:row>
      <xdr:rowOff>155878</xdr:rowOff>
    </xdr:to>
    <xdr:pic>
      <xdr:nvPicPr>
        <xdr:cNvPr id="64" name="Picture 63">
          <a:extLst>
            <a:ext uri="{FF2B5EF4-FFF2-40B4-BE49-F238E27FC236}">
              <a16:creationId xmlns:a16="http://schemas.microsoft.com/office/drawing/2014/main" id="{95DD6F90-B034-429D-A6B6-CB7942363F48}"/>
            </a:ext>
          </a:extLst>
        </xdr:cNvPr>
        <xdr:cNvPicPr>
          <a:picLocks noChangeAspect="1"/>
        </xdr:cNvPicPr>
      </xdr:nvPicPr>
      <xdr:blipFill>
        <a:blip xmlns:r="http://schemas.openxmlformats.org/officeDocument/2006/relationships" r:embed="rId61"/>
        <a:stretch>
          <a:fillRect/>
        </a:stretch>
      </xdr:blipFill>
      <xdr:spPr>
        <a:xfrm>
          <a:off x="562495" y="97883057"/>
          <a:ext cx="5925549" cy="4876121"/>
        </a:xfrm>
        <a:prstGeom prst="rect">
          <a:avLst/>
        </a:prstGeom>
      </xdr:spPr>
    </xdr:pic>
    <xdr:clientData/>
  </xdr:twoCellAnchor>
  <xdr:twoCellAnchor editAs="oneCell">
    <xdr:from>
      <xdr:col>7</xdr:col>
      <xdr:colOff>0</xdr:colOff>
      <xdr:row>509</xdr:row>
      <xdr:rowOff>0</xdr:rowOff>
    </xdr:from>
    <xdr:to>
      <xdr:col>14</xdr:col>
      <xdr:colOff>949241</xdr:colOff>
      <xdr:row>516</xdr:row>
      <xdr:rowOff>2300</xdr:rowOff>
    </xdr:to>
    <xdr:pic>
      <xdr:nvPicPr>
        <xdr:cNvPr id="65" name="Picture 64">
          <a:extLst>
            <a:ext uri="{FF2B5EF4-FFF2-40B4-BE49-F238E27FC236}">
              <a16:creationId xmlns:a16="http://schemas.microsoft.com/office/drawing/2014/main" id="{64008124-1049-4833-B2C9-75A4B2677807}"/>
            </a:ext>
          </a:extLst>
        </xdr:cNvPr>
        <xdr:cNvPicPr>
          <a:picLocks noChangeAspect="1"/>
        </xdr:cNvPicPr>
      </xdr:nvPicPr>
      <xdr:blipFill>
        <a:blip xmlns:r="http://schemas.openxmlformats.org/officeDocument/2006/relationships" r:embed="rId62"/>
        <a:stretch>
          <a:fillRect/>
        </a:stretch>
      </xdr:blipFill>
      <xdr:spPr>
        <a:xfrm>
          <a:off x="7246620" y="97848420"/>
          <a:ext cx="7677701" cy="1282460"/>
        </a:xfrm>
        <a:prstGeom prst="rect">
          <a:avLst/>
        </a:prstGeom>
      </xdr:spPr>
    </xdr:pic>
    <xdr:clientData/>
  </xdr:twoCellAnchor>
  <xdr:twoCellAnchor editAs="oneCell">
    <xdr:from>
      <xdr:col>7</xdr:col>
      <xdr:colOff>813955</xdr:colOff>
      <xdr:row>518</xdr:row>
      <xdr:rowOff>17318</xdr:rowOff>
    </xdr:from>
    <xdr:to>
      <xdr:col>14</xdr:col>
      <xdr:colOff>258036</xdr:colOff>
      <xdr:row>529</xdr:row>
      <xdr:rowOff>141453</xdr:rowOff>
    </xdr:to>
    <xdr:pic>
      <xdr:nvPicPr>
        <xdr:cNvPr id="66" name="Picture 65">
          <a:extLst>
            <a:ext uri="{FF2B5EF4-FFF2-40B4-BE49-F238E27FC236}">
              <a16:creationId xmlns:a16="http://schemas.microsoft.com/office/drawing/2014/main" id="{A430EF5D-0CE9-462E-AED1-27C67CF08316}"/>
            </a:ext>
          </a:extLst>
        </xdr:cNvPr>
        <xdr:cNvPicPr>
          <a:picLocks noChangeAspect="1"/>
        </xdr:cNvPicPr>
      </xdr:nvPicPr>
      <xdr:blipFill>
        <a:blip xmlns:r="http://schemas.openxmlformats.org/officeDocument/2006/relationships" r:embed="rId63"/>
        <a:stretch>
          <a:fillRect/>
        </a:stretch>
      </xdr:blipFill>
      <xdr:spPr>
        <a:xfrm>
          <a:off x="8060575" y="99511658"/>
          <a:ext cx="6172541" cy="2135815"/>
        </a:xfrm>
        <a:prstGeom prst="rect">
          <a:avLst/>
        </a:prstGeom>
      </xdr:spPr>
    </xdr:pic>
    <xdr:clientData/>
  </xdr:twoCellAnchor>
  <xdr:twoCellAnchor editAs="oneCell">
    <xdr:from>
      <xdr:col>1</xdr:col>
      <xdr:colOff>467592</xdr:colOff>
      <xdr:row>536</xdr:row>
      <xdr:rowOff>86591</xdr:rowOff>
    </xdr:from>
    <xdr:to>
      <xdr:col>6</xdr:col>
      <xdr:colOff>225138</xdr:colOff>
      <xdr:row>565</xdr:row>
      <xdr:rowOff>149176</xdr:rowOff>
    </xdr:to>
    <xdr:pic>
      <xdr:nvPicPr>
        <xdr:cNvPr id="67" name="Picture 66">
          <a:extLst>
            <a:ext uri="{FF2B5EF4-FFF2-40B4-BE49-F238E27FC236}">
              <a16:creationId xmlns:a16="http://schemas.microsoft.com/office/drawing/2014/main" id="{9E852A07-F02F-4ED2-B277-709E8C769E57}"/>
            </a:ext>
          </a:extLst>
        </xdr:cNvPr>
        <xdr:cNvPicPr>
          <a:picLocks noChangeAspect="1"/>
        </xdr:cNvPicPr>
      </xdr:nvPicPr>
      <xdr:blipFill>
        <a:blip xmlns:r="http://schemas.openxmlformats.org/officeDocument/2006/relationships" r:embed="rId64"/>
        <a:stretch>
          <a:fillRect/>
        </a:stretch>
      </xdr:blipFill>
      <xdr:spPr>
        <a:xfrm>
          <a:off x="597132" y="103017551"/>
          <a:ext cx="6265026" cy="5366105"/>
        </a:xfrm>
        <a:prstGeom prst="rect">
          <a:avLst/>
        </a:prstGeom>
      </xdr:spPr>
    </xdr:pic>
    <xdr:clientData/>
  </xdr:twoCellAnchor>
  <xdr:twoCellAnchor editAs="oneCell">
    <xdr:from>
      <xdr:col>7</xdr:col>
      <xdr:colOff>55193</xdr:colOff>
      <xdr:row>548</xdr:row>
      <xdr:rowOff>98961</xdr:rowOff>
    </xdr:from>
    <xdr:to>
      <xdr:col>13</xdr:col>
      <xdr:colOff>504587</xdr:colOff>
      <xdr:row>572</xdr:row>
      <xdr:rowOff>2345</xdr:rowOff>
    </xdr:to>
    <xdr:pic>
      <xdr:nvPicPr>
        <xdr:cNvPr id="68" name="Picture 67">
          <a:extLst>
            <a:ext uri="{FF2B5EF4-FFF2-40B4-BE49-F238E27FC236}">
              <a16:creationId xmlns:a16="http://schemas.microsoft.com/office/drawing/2014/main" id="{7888F446-B923-47DC-A107-234D3D20FE67}"/>
            </a:ext>
          </a:extLst>
        </xdr:cNvPr>
        <xdr:cNvPicPr>
          <a:picLocks noChangeAspect="1"/>
        </xdr:cNvPicPr>
      </xdr:nvPicPr>
      <xdr:blipFill>
        <a:blip xmlns:r="http://schemas.openxmlformats.org/officeDocument/2006/relationships" r:embed="rId65"/>
        <a:stretch>
          <a:fillRect/>
        </a:stretch>
      </xdr:blipFill>
      <xdr:spPr>
        <a:xfrm>
          <a:off x="7301813" y="105369261"/>
          <a:ext cx="5806254" cy="4292504"/>
        </a:xfrm>
        <a:prstGeom prst="rect">
          <a:avLst/>
        </a:prstGeom>
      </xdr:spPr>
    </xdr:pic>
    <xdr:clientData/>
  </xdr:twoCellAnchor>
  <xdr:twoCellAnchor editAs="oneCell">
    <xdr:from>
      <xdr:col>1</xdr:col>
      <xdr:colOff>517478</xdr:colOff>
      <xdr:row>577</xdr:row>
      <xdr:rowOff>111511</xdr:rowOff>
    </xdr:from>
    <xdr:to>
      <xdr:col>6</xdr:col>
      <xdr:colOff>375786</xdr:colOff>
      <xdr:row>604</xdr:row>
      <xdr:rowOff>1874</xdr:rowOff>
    </xdr:to>
    <xdr:pic>
      <xdr:nvPicPr>
        <xdr:cNvPr id="69" name="Picture 68">
          <a:extLst>
            <a:ext uri="{FF2B5EF4-FFF2-40B4-BE49-F238E27FC236}">
              <a16:creationId xmlns:a16="http://schemas.microsoft.com/office/drawing/2014/main" id="{F5B284E0-CF0C-40BB-8C6F-8C27C8E2656E}"/>
            </a:ext>
          </a:extLst>
        </xdr:cNvPr>
        <xdr:cNvPicPr>
          <a:picLocks noChangeAspect="1"/>
        </xdr:cNvPicPr>
      </xdr:nvPicPr>
      <xdr:blipFill>
        <a:blip xmlns:r="http://schemas.openxmlformats.org/officeDocument/2006/relationships" r:embed="rId66"/>
        <a:stretch>
          <a:fillRect/>
        </a:stretch>
      </xdr:blipFill>
      <xdr:spPr>
        <a:xfrm>
          <a:off x="647018" y="111538771"/>
          <a:ext cx="6365788" cy="4828123"/>
        </a:xfrm>
        <a:prstGeom prst="rect">
          <a:avLst/>
        </a:prstGeom>
      </xdr:spPr>
    </xdr:pic>
    <xdr:clientData/>
  </xdr:twoCellAnchor>
  <xdr:twoCellAnchor editAs="oneCell">
    <xdr:from>
      <xdr:col>8</xdr:col>
      <xdr:colOff>0</xdr:colOff>
      <xdr:row>586</xdr:row>
      <xdr:rowOff>0</xdr:rowOff>
    </xdr:from>
    <xdr:to>
      <xdr:col>19</xdr:col>
      <xdr:colOff>583784</xdr:colOff>
      <xdr:row>595</xdr:row>
      <xdr:rowOff>156372</xdr:rowOff>
    </xdr:to>
    <xdr:pic>
      <xdr:nvPicPr>
        <xdr:cNvPr id="70" name="Picture 69">
          <a:extLst>
            <a:ext uri="{FF2B5EF4-FFF2-40B4-BE49-F238E27FC236}">
              <a16:creationId xmlns:a16="http://schemas.microsoft.com/office/drawing/2014/main" id="{46640671-C3B3-4DD9-AD2A-355511E7BEA6}"/>
            </a:ext>
          </a:extLst>
        </xdr:cNvPr>
        <xdr:cNvPicPr>
          <a:picLocks noChangeAspect="1"/>
        </xdr:cNvPicPr>
      </xdr:nvPicPr>
      <xdr:blipFill>
        <a:blip xmlns:r="http://schemas.openxmlformats.org/officeDocument/2006/relationships" r:embed="rId67"/>
        <a:stretch>
          <a:fillRect/>
        </a:stretch>
      </xdr:blipFill>
      <xdr:spPr>
        <a:xfrm>
          <a:off x="8260080" y="113477040"/>
          <a:ext cx="9758264" cy="1802292"/>
        </a:xfrm>
        <a:prstGeom prst="rect">
          <a:avLst/>
        </a:prstGeom>
      </xdr:spPr>
    </xdr:pic>
    <xdr:clientData/>
  </xdr:twoCellAnchor>
  <xdr:twoCellAnchor editAs="oneCell">
    <xdr:from>
      <xdr:col>1</xdr:col>
      <xdr:colOff>0</xdr:colOff>
      <xdr:row>605</xdr:row>
      <xdr:rowOff>0</xdr:rowOff>
    </xdr:from>
    <xdr:to>
      <xdr:col>6</xdr:col>
      <xdr:colOff>91873</xdr:colOff>
      <xdr:row>611</xdr:row>
      <xdr:rowOff>101618</xdr:rowOff>
    </xdr:to>
    <xdr:pic>
      <xdr:nvPicPr>
        <xdr:cNvPr id="71" name="Picture 70">
          <a:extLst>
            <a:ext uri="{FF2B5EF4-FFF2-40B4-BE49-F238E27FC236}">
              <a16:creationId xmlns:a16="http://schemas.microsoft.com/office/drawing/2014/main" id="{F2B1F16C-344E-4298-B416-F55B2913212F}"/>
            </a:ext>
          </a:extLst>
        </xdr:cNvPr>
        <xdr:cNvPicPr>
          <a:picLocks noChangeAspect="1"/>
        </xdr:cNvPicPr>
      </xdr:nvPicPr>
      <xdr:blipFill>
        <a:blip xmlns:r="http://schemas.openxmlformats.org/officeDocument/2006/relationships" r:embed="rId68"/>
        <a:stretch>
          <a:fillRect/>
        </a:stretch>
      </xdr:blipFill>
      <xdr:spPr>
        <a:xfrm>
          <a:off x="129540" y="116951760"/>
          <a:ext cx="6599353" cy="1198898"/>
        </a:xfrm>
        <a:prstGeom prst="rect">
          <a:avLst/>
        </a:prstGeom>
      </xdr:spPr>
    </xdr:pic>
    <xdr:clientData/>
  </xdr:twoCellAnchor>
  <xdr:twoCellAnchor editAs="oneCell">
    <xdr:from>
      <xdr:col>1</xdr:col>
      <xdr:colOff>762000</xdr:colOff>
      <xdr:row>612</xdr:row>
      <xdr:rowOff>24581</xdr:rowOff>
    </xdr:from>
    <xdr:to>
      <xdr:col>9</xdr:col>
      <xdr:colOff>948275</xdr:colOff>
      <xdr:row>643</xdr:row>
      <xdr:rowOff>111062</xdr:rowOff>
    </xdr:to>
    <xdr:pic>
      <xdr:nvPicPr>
        <xdr:cNvPr id="72" name="Picture 71">
          <a:extLst>
            <a:ext uri="{FF2B5EF4-FFF2-40B4-BE49-F238E27FC236}">
              <a16:creationId xmlns:a16="http://schemas.microsoft.com/office/drawing/2014/main" id="{A8BA3C57-DDC3-4244-A907-B2CFC3DF5AA6}"/>
            </a:ext>
          </a:extLst>
        </xdr:cNvPr>
        <xdr:cNvPicPr>
          <a:picLocks noChangeAspect="1"/>
        </xdr:cNvPicPr>
      </xdr:nvPicPr>
      <xdr:blipFill>
        <a:blip xmlns:r="http://schemas.openxmlformats.org/officeDocument/2006/relationships" r:embed="rId69"/>
        <a:stretch>
          <a:fillRect/>
        </a:stretch>
      </xdr:blipFill>
      <xdr:spPr>
        <a:xfrm>
          <a:off x="891540" y="118469861"/>
          <a:ext cx="9330275" cy="5755761"/>
        </a:xfrm>
        <a:prstGeom prst="rect">
          <a:avLst/>
        </a:prstGeom>
      </xdr:spPr>
    </xdr:pic>
    <xdr:clientData/>
  </xdr:twoCellAnchor>
  <xdr:twoCellAnchor editAs="oneCell">
    <xdr:from>
      <xdr:col>11</xdr:col>
      <xdr:colOff>73742</xdr:colOff>
      <xdr:row>609</xdr:row>
      <xdr:rowOff>122903</xdr:rowOff>
    </xdr:from>
    <xdr:to>
      <xdr:col>21</xdr:col>
      <xdr:colOff>216499</xdr:colOff>
      <xdr:row>645</xdr:row>
      <xdr:rowOff>122904</xdr:rowOff>
    </xdr:to>
    <xdr:pic>
      <xdr:nvPicPr>
        <xdr:cNvPr id="73" name="Picture 72">
          <a:extLst>
            <a:ext uri="{FF2B5EF4-FFF2-40B4-BE49-F238E27FC236}">
              <a16:creationId xmlns:a16="http://schemas.microsoft.com/office/drawing/2014/main" id="{FE6423E6-8B3C-4C0E-A927-446C6DA96DD1}"/>
            </a:ext>
          </a:extLst>
        </xdr:cNvPr>
        <xdr:cNvPicPr>
          <a:picLocks noChangeAspect="1"/>
        </xdr:cNvPicPr>
      </xdr:nvPicPr>
      <xdr:blipFill>
        <a:blip xmlns:r="http://schemas.openxmlformats.org/officeDocument/2006/relationships" r:embed="rId70"/>
        <a:stretch>
          <a:fillRect/>
        </a:stretch>
      </xdr:blipFill>
      <xdr:spPr>
        <a:xfrm>
          <a:off x="11077022" y="118019543"/>
          <a:ext cx="7793237" cy="6583681"/>
        </a:xfrm>
        <a:prstGeom prst="rect">
          <a:avLst/>
        </a:prstGeom>
      </xdr:spPr>
    </xdr:pic>
    <xdr:clientData/>
  </xdr:twoCellAnchor>
  <xdr:twoCellAnchor editAs="oneCell">
    <xdr:from>
      <xdr:col>11</xdr:col>
      <xdr:colOff>0</xdr:colOff>
      <xdr:row>648</xdr:row>
      <xdr:rowOff>0</xdr:rowOff>
    </xdr:from>
    <xdr:to>
      <xdr:col>22</xdr:col>
      <xdr:colOff>441</xdr:colOff>
      <xdr:row>658</xdr:row>
      <xdr:rowOff>127463</xdr:rowOff>
    </xdr:to>
    <xdr:pic>
      <xdr:nvPicPr>
        <xdr:cNvPr id="74" name="Picture 73">
          <a:extLst>
            <a:ext uri="{FF2B5EF4-FFF2-40B4-BE49-F238E27FC236}">
              <a16:creationId xmlns:a16="http://schemas.microsoft.com/office/drawing/2014/main" id="{A0DBFA32-39FE-4971-8DB4-3EDE9E56E009}"/>
            </a:ext>
          </a:extLst>
        </xdr:cNvPr>
        <xdr:cNvPicPr>
          <a:picLocks noChangeAspect="1"/>
        </xdr:cNvPicPr>
      </xdr:nvPicPr>
      <xdr:blipFill>
        <a:blip xmlns:r="http://schemas.openxmlformats.org/officeDocument/2006/relationships" r:embed="rId71"/>
        <a:stretch>
          <a:fillRect/>
        </a:stretch>
      </xdr:blipFill>
      <xdr:spPr>
        <a:xfrm>
          <a:off x="11003280" y="125028960"/>
          <a:ext cx="8260521" cy="1956263"/>
        </a:xfrm>
        <a:prstGeom prst="rect">
          <a:avLst/>
        </a:prstGeom>
      </xdr:spPr>
    </xdr:pic>
    <xdr:clientData/>
  </xdr:twoCellAnchor>
  <xdr:twoCellAnchor editAs="oneCell">
    <xdr:from>
      <xdr:col>13</xdr:col>
      <xdr:colOff>712838</xdr:colOff>
      <xdr:row>544</xdr:row>
      <xdr:rowOff>122903</xdr:rowOff>
    </xdr:from>
    <xdr:to>
      <xdr:col>22</xdr:col>
      <xdr:colOff>242068</xdr:colOff>
      <xdr:row>550</xdr:row>
      <xdr:rowOff>96314</xdr:rowOff>
    </xdr:to>
    <xdr:pic>
      <xdr:nvPicPr>
        <xdr:cNvPr id="75" name="Picture 74">
          <a:extLst>
            <a:ext uri="{FF2B5EF4-FFF2-40B4-BE49-F238E27FC236}">
              <a16:creationId xmlns:a16="http://schemas.microsoft.com/office/drawing/2014/main" id="{8B3B871C-80EC-4CE9-B332-042795F74427}"/>
            </a:ext>
          </a:extLst>
        </xdr:cNvPr>
        <xdr:cNvPicPr>
          <a:picLocks noChangeAspect="1"/>
        </xdr:cNvPicPr>
      </xdr:nvPicPr>
      <xdr:blipFill>
        <a:blip xmlns:r="http://schemas.openxmlformats.org/officeDocument/2006/relationships" r:embed="rId72"/>
        <a:stretch>
          <a:fillRect/>
        </a:stretch>
      </xdr:blipFill>
      <xdr:spPr>
        <a:xfrm>
          <a:off x="13316318" y="104516903"/>
          <a:ext cx="6189110" cy="1070691"/>
        </a:xfrm>
        <a:prstGeom prst="rect">
          <a:avLst/>
        </a:prstGeom>
      </xdr:spPr>
    </xdr:pic>
    <xdr:clientData/>
  </xdr:twoCellAnchor>
  <xdr:twoCellAnchor editAs="oneCell">
    <xdr:from>
      <xdr:col>1</xdr:col>
      <xdr:colOff>417871</xdr:colOff>
      <xdr:row>647</xdr:row>
      <xdr:rowOff>147485</xdr:rowOff>
    </xdr:from>
    <xdr:to>
      <xdr:col>8</xdr:col>
      <xdr:colOff>706951</xdr:colOff>
      <xdr:row>661</xdr:row>
      <xdr:rowOff>15374</xdr:rowOff>
    </xdr:to>
    <xdr:pic>
      <xdr:nvPicPr>
        <xdr:cNvPr id="76" name="Picture 75">
          <a:extLst>
            <a:ext uri="{FF2B5EF4-FFF2-40B4-BE49-F238E27FC236}">
              <a16:creationId xmlns:a16="http://schemas.microsoft.com/office/drawing/2014/main" id="{A7059403-EC88-4D7E-9FD2-A3694A03B0F2}"/>
            </a:ext>
          </a:extLst>
        </xdr:cNvPr>
        <xdr:cNvPicPr>
          <a:picLocks noChangeAspect="1"/>
        </xdr:cNvPicPr>
      </xdr:nvPicPr>
      <xdr:blipFill>
        <a:blip xmlns:r="http://schemas.openxmlformats.org/officeDocument/2006/relationships" r:embed="rId73"/>
        <a:stretch>
          <a:fillRect/>
        </a:stretch>
      </xdr:blipFill>
      <xdr:spPr>
        <a:xfrm>
          <a:off x="547411" y="124993565"/>
          <a:ext cx="8419620" cy="2428209"/>
        </a:xfrm>
        <a:prstGeom prst="rect">
          <a:avLst/>
        </a:prstGeom>
      </xdr:spPr>
    </xdr:pic>
    <xdr:clientData/>
  </xdr:twoCellAnchor>
  <xdr:twoCellAnchor editAs="oneCell">
    <xdr:from>
      <xdr:col>1</xdr:col>
      <xdr:colOff>393290</xdr:colOff>
      <xdr:row>663</xdr:row>
      <xdr:rowOff>147483</xdr:rowOff>
    </xdr:from>
    <xdr:to>
      <xdr:col>8</xdr:col>
      <xdr:colOff>815739</xdr:colOff>
      <xdr:row>686</xdr:row>
      <xdr:rowOff>1587</xdr:rowOff>
    </xdr:to>
    <xdr:pic>
      <xdr:nvPicPr>
        <xdr:cNvPr id="77" name="Picture 76">
          <a:extLst>
            <a:ext uri="{FF2B5EF4-FFF2-40B4-BE49-F238E27FC236}">
              <a16:creationId xmlns:a16="http://schemas.microsoft.com/office/drawing/2014/main" id="{050404B9-96F1-475D-B3EF-B1768336E98F}"/>
            </a:ext>
          </a:extLst>
        </xdr:cNvPr>
        <xdr:cNvPicPr>
          <a:picLocks noChangeAspect="1"/>
        </xdr:cNvPicPr>
      </xdr:nvPicPr>
      <xdr:blipFill>
        <a:blip xmlns:r="http://schemas.openxmlformats.org/officeDocument/2006/relationships" r:embed="rId74"/>
        <a:stretch>
          <a:fillRect/>
        </a:stretch>
      </xdr:blipFill>
      <xdr:spPr>
        <a:xfrm>
          <a:off x="522830" y="127919643"/>
          <a:ext cx="8552989" cy="4057573"/>
        </a:xfrm>
        <a:prstGeom prst="rect">
          <a:avLst/>
        </a:prstGeom>
      </xdr:spPr>
    </xdr:pic>
    <xdr:clientData/>
  </xdr:twoCellAnchor>
  <xdr:twoCellAnchor editAs="oneCell">
    <xdr:from>
      <xdr:col>23</xdr:col>
      <xdr:colOff>0</xdr:colOff>
      <xdr:row>544</xdr:row>
      <xdr:rowOff>0</xdr:rowOff>
    </xdr:from>
    <xdr:to>
      <xdr:col>33</xdr:col>
      <xdr:colOff>143746</xdr:colOff>
      <xdr:row>553</xdr:row>
      <xdr:rowOff>45142</xdr:rowOff>
    </xdr:to>
    <xdr:pic>
      <xdr:nvPicPr>
        <xdr:cNvPr id="78" name="Picture 77">
          <a:extLst>
            <a:ext uri="{FF2B5EF4-FFF2-40B4-BE49-F238E27FC236}">
              <a16:creationId xmlns:a16="http://schemas.microsoft.com/office/drawing/2014/main" id="{52F6AAE5-9D17-4DC7-BD38-111121B9BE38}"/>
            </a:ext>
          </a:extLst>
        </xdr:cNvPr>
        <xdr:cNvPicPr>
          <a:picLocks noChangeAspect="1"/>
        </xdr:cNvPicPr>
      </xdr:nvPicPr>
      <xdr:blipFill>
        <a:blip xmlns:r="http://schemas.openxmlformats.org/officeDocument/2006/relationships" r:embed="rId75"/>
        <a:stretch>
          <a:fillRect/>
        </a:stretch>
      </xdr:blipFill>
      <xdr:spPr>
        <a:xfrm>
          <a:off x="19872960" y="104394000"/>
          <a:ext cx="6239746" cy="1691062"/>
        </a:xfrm>
        <a:prstGeom prst="rect">
          <a:avLst/>
        </a:prstGeom>
      </xdr:spPr>
    </xdr:pic>
    <xdr:clientData/>
  </xdr:twoCellAnchor>
  <xdr:twoCellAnchor editAs="oneCell">
    <xdr:from>
      <xdr:col>1</xdr:col>
      <xdr:colOff>0</xdr:colOff>
      <xdr:row>689</xdr:row>
      <xdr:rowOff>0</xdr:rowOff>
    </xdr:from>
    <xdr:to>
      <xdr:col>7</xdr:col>
      <xdr:colOff>992792</xdr:colOff>
      <xdr:row>704</xdr:row>
      <xdr:rowOff>124241</xdr:rowOff>
    </xdr:to>
    <xdr:pic>
      <xdr:nvPicPr>
        <xdr:cNvPr id="79" name="Picture 78">
          <a:extLst>
            <a:ext uri="{FF2B5EF4-FFF2-40B4-BE49-F238E27FC236}">
              <a16:creationId xmlns:a16="http://schemas.microsoft.com/office/drawing/2014/main" id="{61DDC59E-E8B7-4AFD-B398-FCF1D1B820CC}"/>
            </a:ext>
          </a:extLst>
        </xdr:cNvPr>
        <xdr:cNvPicPr>
          <a:picLocks noChangeAspect="1"/>
        </xdr:cNvPicPr>
      </xdr:nvPicPr>
      <xdr:blipFill>
        <a:blip xmlns:r="http://schemas.openxmlformats.org/officeDocument/2006/relationships" r:embed="rId76"/>
        <a:stretch>
          <a:fillRect/>
        </a:stretch>
      </xdr:blipFill>
      <xdr:spPr>
        <a:xfrm>
          <a:off x="129540" y="132770880"/>
          <a:ext cx="8109872" cy="2867441"/>
        </a:xfrm>
        <a:prstGeom prst="rect">
          <a:avLst/>
        </a:prstGeom>
      </xdr:spPr>
    </xdr:pic>
    <xdr:clientData/>
  </xdr:twoCellAnchor>
  <xdr:twoCellAnchor editAs="oneCell">
    <xdr:from>
      <xdr:col>9</xdr:col>
      <xdr:colOff>0</xdr:colOff>
      <xdr:row>668</xdr:row>
      <xdr:rowOff>0</xdr:rowOff>
    </xdr:from>
    <xdr:to>
      <xdr:col>16</xdr:col>
      <xdr:colOff>231244</xdr:colOff>
      <xdr:row>705</xdr:row>
      <xdr:rowOff>4996</xdr:rowOff>
    </xdr:to>
    <xdr:pic>
      <xdr:nvPicPr>
        <xdr:cNvPr id="80" name="Picture 79">
          <a:extLst>
            <a:ext uri="{FF2B5EF4-FFF2-40B4-BE49-F238E27FC236}">
              <a16:creationId xmlns:a16="http://schemas.microsoft.com/office/drawing/2014/main" id="{358C724A-EA2C-4385-8013-A9B37480F6AC}"/>
            </a:ext>
          </a:extLst>
        </xdr:cNvPr>
        <xdr:cNvPicPr>
          <a:picLocks noChangeAspect="1"/>
        </xdr:cNvPicPr>
      </xdr:nvPicPr>
      <xdr:blipFill>
        <a:blip xmlns:r="http://schemas.openxmlformats.org/officeDocument/2006/relationships" r:embed="rId77"/>
        <a:stretch>
          <a:fillRect/>
        </a:stretch>
      </xdr:blipFill>
      <xdr:spPr>
        <a:xfrm>
          <a:off x="9273540" y="128930400"/>
          <a:ext cx="6563464" cy="6771556"/>
        </a:xfrm>
        <a:prstGeom prst="rect">
          <a:avLst/>
        </a:prstGeom>
      </xdr:spPr>
    </xdr:pic>
    <xdr:clientData/>
  </xdr:twoCellAnchor>
  <xdr:twoCellAnchor editAs="oneCell">
    <xdr:from>
      <xdr:col>9</xdr:col>
      <xdr:colOff>0</xdr:colOff>
      <xdr:row>706</xdr:row>
      <xdr:rowOff>0</xdr:rowOff>
    </xdr:from>
    <xdr:to>
      <xdr:col>14</xdr:col>
      <xdr:colOff>66184</xdr:colOff>
      <xdr:row>709</xdr:row>
      <xdr:rowOff>45977</xdr:rowOff>
    </xdr:to>
    <xdr:pic>
      <xdr:nvPicPr>
        <xdr:cNvPr id="81" name="Picture 80">
          <a:extLst>
            <a:ext uri="{FF2B5EF4-FFF2-40B4-BE49-F238E27FC236}">
              <a16:creationId xmlns:a16="http://schemas.microsoft.com/office/drawing/2014/main" id="{1B2275EA-4D95-4D10-8C41-0458EC562546}"/>
            </a:ext>
          </a:extLst>
        </xdr:cNvPr>
        <xdr:cNvPicPr>
          <a:picLocks noChangeAspect="1"/>
        </xdr:cNvPicPr>
      </xdr:nvPicPr>
      <xdr:blipFill>
        <a:blip xmlns:r="http://schemas.openxmlformats.org/officeDocument/2006/relationships" r:embed="rId78"/>
        <a:stretch>
          <a:fillRect/>
        </a:stretch>
      </xdr:blipFill>
      <xdr:spPr>
        <a:xfrm>
          <a:off x="9273540" y="135879840"/>
          <a:ext cx="4767724" cy="594617"/>
        </a:xfrm>
        <a:prstGeom prst="rect">
          <a:avLst/>
        </a:prstGeom>
      </xdr:spPr>
    </xdr:pic>
    <xdr:clientData/>
  </xdr:twoCellAnchor>
  <xdr:twoCellAnchor editAs="oneCell">
    <xdr:from>
      <xdr:col>9</xdr:col>
      <xdr:colOff>138546</xdr:colOff>
      <xdr:row>710</xdr:row>
      <xdr:rowOff>138546</xdr:rowOff>
    </xdr:from>
    <xdr:to>
      <xdr:col>16</xdr:col>
      <xdr:colOff>93526</xdr:colOff>
      <xdr:row>721</xdr:row>
      <xdr:rowOff>30865</xdr:rowOff>
    </xdr:to>
    <xdr:pic>
      <xdr:nvPicPr>
        <xdr:cNvPr id="82" name="Picture 81">
          <a:extLst>
            <a:ext uri="{FF2B5EF4-FFF2-40B4-BE49-F238E27FC236}">
              <a16:creationId xmlns:a16="http://schemas.microsoft.com/office/drawing/2014/main" id="{29D75199-CEDE-4F80-BD05-023525FF30FE}"/>
            </a:ext>
          </a:extLst>
        </xdr:cNvPr>
        <xdr:cNvPicPr>
          <a:picLocks noChangeAspect="1"/>
        </xdr:cNvPicPr>
      </xdr:nvPicPr>
      <xdr:blipFill>
        <a:blip xmlns:r="http://schemas.openxmlformats.org/officeDocument/2006/relationships" r:embed="rId79"/>
        <a:stretch>
          <a:fillRect/>
        </a:stretch>
      </xdr:blipFill>
      <xdr:spPr>
        <a:xfrm>
          <a:off x="9412086" y="136749906"/>
          <a:ext cx="6287200" cy="1903999"/>
        </a:xfrm>
        <a:prstGeom prst="rect">
          <a:avLst/>
        </a:prstGeom>
      </xdr:spPr>
    </xdr:pic>
    <xdr:clientData/>
  </xdr:twoCellAnchor>
  <xdr:twoCellAnchor editAs="oneCell">
    <xdr:from>
      <xdr:col>1</xdr:col>
      <xdr:colOff>0</xdr:colOff>
      <xdr:row>708</xdr:row>
      <xdr:rowOff>0</xdr:rowOff>
    </xdr:from>
    <xdr:to>
      <xdr:col>2</xdr:col>
      <xdr:colOff>584849</xdr:colOff>
      <xdr:row>716</xdr:row>
      <xdr:rowOff>27342</xdr:rowOff>
    </xdr:to>
    <xdr:pic>
      <xdr:nvPicPr>
        <xdr:cNvPr id="83" name="Picture 82">
          <a:extLst>
            <a:ext uri="{FF2B5EF4-FFF2-40B4-BE49-F238E27FC236}">
              <a16:creationId xmlns:a16="http://schemas.microsoft.com/office/drawing/2014/main" id="{DD8FFFCB-ED41-4C92-B113-10B053948BAC}"/>
            </a:ext>
          </a:extLst>
        </xdr:cNvPr>
        <xdr:cNvPicPr>
          <a:picLocks noChangeAspect="1"/>
        </xdr:cNvPicPr>
      </xdr:nvPicPr>
      <xdr:blipFill>
        <a:blip xmlns:r="http://schemas.openxmlformats.org/officeDocument/2006/relationships" r:embed="rId80"/>
        <a:stretch>
          <a:fillRect/>
        </a:stretch>
      </xdr:blipFill>
      <xdr:spPr>
        <a:xfrm>
          <a:off x="129540" y="136245600"/>
          <a:ext cx="4653929" cy="1490382"/>
        </a:xfrm>
        <a:prstGeom prst="rect">
          <a:avLst/>
        </a:prstGeom>
      </xdr:spPr>
    </xdr:pic>
    <xdr:clientData/>
  </xdr:twoCellAnchor>
  <xdr:twoCellAnchor editAs="oneCell">
    <xdr:from>
      <xdr:col>1</xdr:col>
      <xdr:colOff>0</xdr:colOff>
      <xdr:row>722</xdr:row>
      <xdr:rowOff>0</xdr:rowOff>
    </xdr:from>
    <xdr:to>
      <xdr:col>5</xdr:col>
      <xdr:colOff>593760</xdr:colOff>
      <xdr:row>753</xdr:row>
      <xdr:rowOff>1914</xdr:rowOff>
    </xdr:to>
    <xdr:pic>
      <xdr:nvPicPr>
        <xdr:cNvPr id="84" name="Picture 83">
          <a:extLst>
            <a:ext uri="{FF2B5EF4-FFF2-40B4-BE49-F238E27FC236}">
              <a16:creationId xmlns:a16="http://schemas.microsoft.com/office/drawing/2014/main" id="{EA294222-6394-488C-B77B-0F25E3B5577E}"/>
            </a:ext>
          </a:extLst>
        </xdr:cNvPr>
        <xdr:cNvPicPr>
          <a:picLocks noChangeAspect="1"/>
        </xdr:cNvPicPr>
      </xdr:nvPicPr>
      <xdr:blipFill>
        <a:blip xmlns:r="http://schemas.openxmlformats.org/officeDocument/2006/relationships" r:embed="rId81"/>
        <a:stretch>
          <a:fillRect/>
        </a:stretch>
      </xdr:blipFill>
      <xdr:spPr>
        <a:xfrm>
          <a:off x="129540" y="138805920"/>
          <a:ext cx="6491640" cy="5671194"/>
        </a:xfrm>
        <a:prstGeom prst="rect">
          <a:avLst/>
        </a:prstGeom>
      </xdr:spPr>
    </xdr:pic>
    <xdr:clientData/>
  </xdr:twoCellAnchor>
  <xdr:twoCellAnchor editAs="oneCell">
    <xdr:from>
      <xdr:col>7</xdr:col>
      <xdr:colOff>0</xdr:colOff>
      <xdr:row>723</xdr:row>
      <xdr:rowOff>0</xdr:rowOff>
    </xdr:from>
    <xdr:to>
      <xdr:col>13</xdr:col>
      <xdr:colOff>1025550</xdr:colOff>
      <xdr:row>734</xdr:row>
      <xdr:rowOff>111424</xdr:rowOff>
    </xdr:to>
    <xdr:pic>
      <xdr:nvPicPr>
        <xdr:cNvPr id="85" name="Picture 84">
          <a:extLst>
            <a:ext uri="{FF2B5EF4-FFF2-40B4-BE49-F238E27FC236}">
              <a16:creationId xmlns:a16="http://schemas.microsoft.com/office/drawing/2014/main" id="{E9F7A110-F5ED-4448-90F1-D726C0276AF3}"/>
            </a:ext>
          </a:extLst>
        </xdr:cNvPr>
        <xdr:cNvPicPr>
          <a:picLocks noChangeAspect="1"/>
        </xdr:cNvPicPr>
      </xdr:nvPicPr>
      <xdr:blipFill>
        <a:blip xmlns:r="http://schemas.openxmlformats.org/officeDocument/2006/relationships" r:embed="rId82"/>
        <a:stretch>
          <a:fillRect/>
        </a:stretch>
      </xdr:blipFill>
      <xdr:spPr>
        <a:xfrm>
          <a:off x="7246620" y="138988800"/>
          <a:ext cx="6382410" cy="2123104"/>
        </a:xfrm>
        <a:prstGeom prst="rect">
          <a:avLst/>
        </a:prstGeom>
      </xdr:spPr>
    </xdr:pic>
    <xdr:clientData/>
  </xdr:twoCellAnchor>
  <xdr:twoCellAnchor editAs="oneCell">
    <xdr:from>
      <xdr:col>1</xdr:col>
      <xdr:colOff>0</xdr:colOff>
      <xdr:row>760</xdr:row>
      <xdr:rowOff>0</xdr:rowOff>
    </xdr:from>
    <xdr:to>
      <xdr:col>7</xdr:col>
      <xdr:colOff>311280</xdr:colOff>
      <xdr:row>793</xdr:row>
      <xdr:rowOff>44351</xdr:rowOff>
    </xdr:to>
    <xdr:pic>
      <xdr:nvPicPr>
        <xdr:cNvPr id="86" name="Picture 85">
          <a:extLst>
            <a:ext uri="{FF2B5EF4-FFF2-40B4-BE49-F238E27FC236}">
              <a16:creationId xmlns:a16="http://schemas.microsoft.com/office/drawing/2014/main" id="{B8C149B2-F033-4F28-BFE9-E0ACA748A061}"/>
            </a:ext>
          </a:extLst>
        </xdr:cNvPr>
        <xdr:cNvPicPr>
          <a:picLocks noChangeAspect="1"/>
        </xdr:cNvPicPr>
      </xdr:nvPicPr>
      <xdr:blipFill>
        <a:blip xmlns:r="http://schemas.openxmlformats.org/officeDocument/2006/relationships" r:embed="rId83"/>
        <a:stretch>
          <a:fillRect/>
        </a:stretch>
      </xdr:blipFill>
      <xdr:spPr>
        <a:xfrm>
          <a:off x="129540" y="145869660"/>
          <a:ext cx="7428360" cy="6079391"/>
        </a:xfrm>
        <a:prstGeom prst="rect">
          <a:avLst/>
        </a:prstGeom>
      </xdr:spPr>
    </xdr:pic>
    <xdr:clientData/>
  </xdr:twoCellAnchor>
  <xdr:twoCellAnchor editAs="oneCell">
    <xdr:from>
      <xdr:col>8</xdr:col>
      <xdr:colOff>0</xdr:colOff>
      <xdr:row>761</xdr:row>
      <xdr:rowOff>0</xdr:rowOff>
    </xdr:from>
    <xdr:to>
      <xdr:col>13</xdr:col>
      <xdr:colOff>507811</xdr:colOff>
      <xdr:row>775</xdr:row>
      <xdr:rowOff>138349</xdr:rowOff>
    </xdr:to>
    <xdr:pic>
      <xdr:nvPicPr>
        <xdr:cNvPr id="87" name="Picture 86">
          <a:extLst>
            <a:ext uri="{FF2B5EF4-FFF2-40B4-BE49-F238E27FC236}">
              <a16:creationId xmlns:a16="http://schemas.microsoft.com/office/drawing/2014/main" id="{F4954FD4-2F52-4568-8DF0-4D233E242083}"/>
            </a:ext>
          </a:extLst>
        </xdr:cNvPr>
        <xdr:cNvPicPr>
          <a:picLocks noChangeAspect="1"/>
        </xdr:cNvPicPr>
      </xdr:nvPicPr>
      <xdr:blipFill>
        <a:blip xmlns:r="http://schemas.openxmlformats.org/officeDocument/2006/relationships" r:embed="rId84"/>
        <a:stretch>
          <a:fillRect/>
        </a:stretch>
      </xdr:blipFill>
      <xdr:spPr>
        <a:xfrm>
          <a:off x="8260080" y="146052540"/>
          <a:ext cx="4851211" cy="2698669"/>
        </a:xfrm>
        <a:prstGeom prst="rect">
          <a:avLst/>
        </a:prstGeom>
      </xdr:spPr>
    </xdr:pic>
    <xdr:clientData/>
  </xdr:twoCellAnchor>
  <xdr:twoCellAnchor editAs="oneCell">
    <xdr:from>
      <xdr:col>8</xdr:col>
      <xdr:colOff>0</xdr:colOff>
      <xdr:row>780</xdr:row>
      <xdr:rowOff>0</xdr:rowOff>
    </xdr:from>
    <xdr:to>
      <xdr:col>13</xdr:col>
      <xdr:colOff>507811</xdr:colOff>
      <xdr:row>786</xdr:row>
      <xdr:rowOff>130060</xdr:rowOff>
    </xdr:to>
    <xdr:pic>
      <xdr:nvPicPr>
        <xdr:cNvPr id="88" name="Picture 87">
          <a:extLst>
            <a:ext uri="{FF2B5EF4-FFF2-40B4-BE49-F238E27FC236}">
              <a16:creationId xmlns:a16="http://schemas.microsoft.com/office/drawing/2014/main" id="{3A9A4A65-15A4-48E0-A757-E65B47DB33E5}"/>
            </a:ext>
          </a:extLst>
        </xdr:cNvPr>
        <xdr:cNvPicPr>
          <a:picLocks noChangeAspect="1"/>
        </xdr:cNvPicPr>
      </xdr:nvPicPr>
      <xdr:blipFill>
        <a:blip xmlns:r="http://schemas.openxmlformats.org/officeDocument/2006/relationships" r:embed="rId85"/>
        <a:stretch>
          <a:fillRect/>
        </a:stretch>
      </xdr:blipFill>
      <xdr:spPr>
        <a:xfrm>
          <a:off x="8260080" y="149527260"/>
          <a:ext cx="4851211" cy="1227340"/>
        </a:xfrm>
        <a:prstGeom prst="rect">
          <a:avLst/>
        </a:prstGeom>
      </xdr:spPr>
    </xdr:pic>
    <xdr:clientData/>
  </xdr:twoCellAnchor>
  <xdr:twoCellAnchor editAs="oneCell">
    <xdr:from>
      <xdr:col>23</xdr:col>
      <xdr:colOff>0</xdr:colOff>
      <xdr:row>118</xdr:row>
      <xdr:rowOff>0</xdr:rowOff>
    </xdr:from>
    <xdr:to>
      <xdr:col>33</xdr:col>
      <xdr:colOff>519272</xdr:colOff>
      <xdr:row>137</xdr:row>
      <xdr:rowOff>130040</xdr:rowOff>
    </xdr:to>
    <xdr:pic>
      <xdr:nvPicPr>
        <xdr:cNvPr id="89" name="Picture 88">
          <a:extLst>
            <a:ext uri="{FF2B5EF4-FFF2-40B4-BE49-F238E27FC236}">
              <a16:creationId xmlns:a16="http://schemas.microsoft.com/office/drawing/2014/main" id="{6A535992-B1DF-47E4-9A18-B4AF09F5DD9D}"/>
            </a:ext>
          </a:extLst>
        </xdr:cNvPr>
        <xdr:cNvPicPr>
          <a:picLocks noChangeAspect="1"/>
        </xdr:cNvPicPr>
      </xdr:nvPicPr>
      <xdr:blipFill>
        <a:blip xmlns:r="http://schemas.openxmlformats.org/officeDocument/2006/relationships" r:embed="rId86"/>
        <a:stretch>
          <a:fillRect/>
        </a:stretch>
      </xdr:blipFill>
      <xdr:spPr>
        <a:xfrm>
          <a:off x="19872960" y="22395180"/>
          <a:ext cx="6615272" cy="3604760"/>
        </a:xfrm>
        <a:prstGeom prst="rect">
          <a:avLst/>
        </a:prstGeom>
      </xdr:spPr>
    </xdr:pic>
    <xdr:clientData/>
  </xdr:twoCellAnchor>
  <xdr:twoCellAnchor editAs="oneCell">
    <xdr:from>
      <xdr:col>34</xdr:col>
      <xdr:colOff>0</xdr:colOff>
      <xdr:row>118</xdr:row>
      <xdr:rowOff>0</xdr:rowOff>
    </xdr:from>
    <xdr:to>
      <xdr:col>44</xdr:col>
      <xdr:colOff>424010</xdr:colOff>
      <xdr:row>137</xdr:row>
      <xdr:rowOff>139566</xdr:rowOff>
    </xdr:to>
    <xdr:pic>
      <xdr:nvPicPr>
        <xdr:cNvPr id="90" name="Picture 89">
          <a:extLst>
            <a:ext uri="{FF2B5EF4-FFF2-40B4-BE49-F238E27FC236}">
              <a16:creationId xmlns:a16="http://schemas.microsoft.com/office/drawing/2014/main" id="{D6B267FD-F7E4-4F46-BFF8-B5B9963CC6FE}"/>
            </a:ext>
          </a:extLst>
        </xdr:cNvPr>
        <xdr:cNvPicPr>
          <a:picLocks noChangeAspect="1"/>
        </xdr:cNvPicPr>
      </xdr:nvPicPr>
      <xdr:blipFill>
        <a:blip xmlns:r="http://schemas.openxmlformats.org/officeDocument/2006/relationships" r:embed="rId87"/>
        <a:stretch>
          <a:fillRect/>
        </a:stretch>
      </xdr:blipFill>
      <xdr:spPr>
        <a:xfrm>
          <a:off x="26578560" y="22395180"/>
          <a:ext cx="6520010" cy="3614286"/>
        </a:xfrm>
        <a:prstGeom prst="rect">
          <a:avLst/>
        </a:prstGeom>
      </xdr:spPr>
    </xdr:pic>
    <xdr:clientData/>
  </xdr:twoCellAnchor>
  <xdr:twoCellAnchor editAs="oneCell">
    <xdr:from>
      <xdr:col>45</xdr:col>
      <xdr:colOff>0</xdr:colOff>
      <xdr:row>118</xdr:row>
      <xdr:rowOff>0</xdr:rowOff>
    </xdr:from>
    <xdr:to>
      <xdr:col>56</xdr:col>
      <xdr:colOff>136800</xdr:colOff>
      <xdr:row>151</xdr:row>
      <xdr:rowOff>140923</xdr:rowOff>
    </xdr:to>
    <xdr:pic>
      <xdr:nvPicPr>
        <xdr:cNvPr id="91" name="Picture 90">
          <a:extLst>
            <a:ext uri="{FF2B5EF4-FFF2-40B4-BE49-F238E27FC236}">
              <a16:creationId xmlns:a16="http://schemas.microsoft.com/office/drawing/2014/main" id="{81C64FE3-29FB-43EF-BD64-330B1B5E44F2}"/>
            </a:ext>
          </a:extLst>
        </xdr:cNvPr>
        <xdr:cNvPicPr>
          <a:picLocks noChangeAspect="1"/>
        </xdr:cNvPicPr>
      </xdr:nvPicPr>
      <xdr:blipFill>
        <a:blip xmlns:r="http://schemas.openxmlformats.org/officeDocument/2006/relationships" r:embed="rId88"/>
        <a:stretch>
          <a:fillRect/>
        </a:stretch>
      </xdr:blipFill>
      <xdr:spPr>
        <a:xfrm>
          <a:off x="33284160" y="22395180"/>
          <a:ext cx="6842400" cy="6175963"/>
        </a:xfrm>
        <a:prstGeom prst="rect">
          <a:avLst/>
        </a:prstGeom>
      </xdr:spPr>
    </xdr:pic>
    <xdr:clientData/>
  </xdr:twoCellAnchor>
  <xdr:twoCellAnchor editAs="oneCell">
    <xdr:from>
      <xdr:col>24</xdr:col>
      <xdr:colOff>521368</xdr:colOff>
      <xdr:row>139</xdr:row>
      <xdr:rowOff>80210</xdr:rowOff>
    </xdr:from>
    <xdr:to>
      <xdr:col>35</xdr:col>
      <xdr:colOff>496220</xdr:colOff>
      <xdr:row>156</xdr:row>
      <xdr:rowOff>42635</xdr:rowOff>
    </xdr:to>
    <xdr:pic>
      <xdr:nvPicPr>
        <xdr:cNvPr id="92" name="Picture 91">
          <a:extLst>
            <a:ext uri="{FF2B5EF4-FFF2-40B4-BE49-F238E27FC236}">
              <a16:creationId xmlns:a16="http://schemas.microsoft.com/office/drawing/2014/main" id="{A251EFDA-20C5-41B0-8024-1CC7AB63C3DB}"/>
            </a:ext>
          </a:extLst>
        </xdr:cNvPr>
        <xdr:cNvPicPr>
          <a:picLocks noChangeAspect="1"/>
        </xdr:cNvPicPr>
      </xdr:nvPicPr>
      <xdr:blipFill>
        <a:blip xmlns:r="http://schemas.openxmlformats.org/officeDocument/2006/relationships" r:embed="rId89"/>
        <a:stretch>
          <a:fillRect/>
        </a:stretch>
      </xdr:blipFill>
      <xdr:spPr>
        <a:xfrm>
          <a:off x="21003928" y="26658770"/>
          <a:ext cx="6680452" cy="3071385"/>
        </a:xfrm>
        <a:prstGeom prst="rect">
          <a:avLst/>
        </a:prstGeom>
      </xdr:spPr>
    </xdr:pic>
    <xdr:clientData/>
  </xdr:twoCellAnchor>
  <xdr:twoCellAnchor editAs="oneCell">
    <xdr:from>
      <xdr:col>1</xdr:col>
      <xdr:colOff>1042737</xdr:colOff>
      <xdr:row>795</xdr:row>
      <xdr:rowOff>100263</xdr:rowOff>
    </xdr:from>
    <xdr:to>
      <xdr:col>5</xdr:col>
      <xdr:colOff>559218</xdr:colOff>
      <xdr:row>840</xdr:row>
      <xdr:rowOff>33630</xdr:rowOff>
    </xdr:to>
    <xdr:pic>
      <xdr:nvPicPr>
        <xdr:cNvPr id="93" name="Picture 92">
          <a:extLst>
            <a:ext uri="{FF2B5EF4-FFF2-40B4-BE49-F238E27FC236}">
              <a16:creationId xmlns:a16="http://schemas.microsoft.com/office/drawing/2014/main" id="{C2BE5F39-B8BD-45F7-9F75-CA89CBE165FA}"/>
            </a:ext>
          </a:extLst>
        </xdr:cNvPr>
        <xdr:cNvPicPr>
          <a:picLocks noChangeAspect="1"/>
        </xdr:cNvPicPr>
      </xdr:nvPicPr>
      <xdr:blipFill>
        <a:blip xmlns:r="http://schemas.openxmlformats.org/officeDocument/2006/relationships" r:embed="rId90"/>
        <a:stretch>
          <a:fillRect/>
        </a:stretch>
      </xdr:blipFill>
      <xdr:spPr>
        <a:xfrm>
          <a:off x="1172277" y="152370723"/>
          <a:ext cx="5414361" cy="8162967"/>
        </a:xfrm>
        <a:prstGeom prst="rect">
          <a:avLst/>
        </a:prstGeom>
      </xdr:spPr>
    </xdr:pic>
    <xdr:clientData/>
  </xdr:twoCellAnchor>
  <xdr:twoCellAnchor editAs="oneCell">
    <xdr:from>
      <xdr:col>7</xdr:col>
      <xdr:colOff>902368</xdr:colOff>
      <xdr:row>790</xdr:row>
      <xdr:rowOff>100263</xdr:rowOff>
    </xdr:from>
    <xdr:to>
      <xdr:col>14</xdr:col>
      <xdr:colOff>14851</xdr:colOff>
      <xdr:row>794</xdr:row>
      <xdr:rowOff>54737</xdr:rowOff>
    </xdr:to>
    <xdr:pic>
      <xdr:nvPicPr>
        <xdr:cNvPr id="94" name="Picture 93">
          <a:extLst>
            <a:ext uri="{FF2B5EF4-FFF2-40B4-BE49-F238E27FC236}">
              <a16:creationId xmlns:a16="http://schemas.microsoft.com/office/drawing/2014/main" id="{2C5538F4-D2AE-49D0-892D-24CD954F1B6C}"/>
            </a:ext>
          </a:extLst>
        </xdr:cNvPr>
        <xdr:cNvPicPr>
          <a:picLocks noChangeAspect="1"/>
        </xdr:cNvPicPr>
      </xdr:nvPicPr>
      <xdr:blipFill>
        <a:blip xmlns:r="http://schemas.openxmlformats.org/officeDocument/2006/relationships" r:embed="rId91"/>
        <a:stretch>
          <a:fillRect/>
        </a:stretch>
      </xdr:blipFill>
      <xdr:spPr>
        <a:xfrm>
          <a:off x="8148988" y="151456323"/>
          <a:ext cx="5840943" cy="685994"/>
        </a:xfrm>
        <a:prstGeom prst="rect">
          <a:avLst/>
        </a:prstGeom>
      </xdr:spPr>
    </xdr:pic>
    <xdr:clientData/>
  </xdr:twoCellAnchor>
  <xdr:twoCellAnchor editAs="oneCell">
    <xdr:from>
      <xdr:col>7</xdr:col>
      <xdr:colOff>421106</xdr:colOff>
      <xdr:row>798</xdr:row>
      <xdr:rowOff>20053</xdr:rowOff>
    </xdr:from>
    <xdr:to>
      <xdr:col>13</xdr:col>
      <xdr:colOff>1173431</xdr:colOff>
      <xdr:row>812</xdr:row>
      <xdr:rowOff>160794</xdr:rowOff>
    </xdr:to>
    <xdr:pic>
      <xdr:nvPicPr>
        <xdr:cNvPr id="95" name="Picture 94">
          <a:extLst>
            <a:ext uri="{FF2B5EF4-FFF2-40B4-BE49-F238E27FC236}">
              <a16:creationId xmlns:a16="http://schemas.microsoft.com/office/drawing/2014/main" id="{15FFF122-D547-47A4-978D-EB2051DE6FE7}"/>
            </a:ext>
          </a:extLst>
        </xdr:cNvPr>
        <xdr:cNvPicPr>
          <a:picLocks noChangeAspect="1"/>
        </xdr:cNvPicPr>
      </xdr:nvPicPr>
      <xdr:blipFill>
        <a:blip xmlns:r="http://schemas.openxmlformats.org/officeDocument/2006/relationships" r:embed="rId92"/>
        <a:stretch>
          <a:fillRect/>
        </a:stretch>
      </xdr:blipFill>
      <xdr:spPr>
        <a:xfrm>
          <a:off x="7667726" y="152839153"/>
          <a:ext cx="6109185" cy="2701061"/>
        </a:xfrm>
        <a:prstGeom prst="rect">
          <a:avLst/>
        </a:prstGeom>
      </xdr:spPr>
    </xdr:pic>
    <xdr:clientData/>
  </xdr:twoCellAnchor>
  <xdr:twoCellAnchor editAs="oneCell">
    <xdr:from>
      <xdr:col>7</xdr:col>
      <xdr:colOff>0</xdr:colOff>
      <xdr:row>814</xdr:row>
      <xdr:rowOff>0</xdr:rowOff>
    </xdr:from>
    <xdr:to>
      <xdr:col>13</xdr:col>
      <xdr:colOff>1329580</xdr:colOff>
      <xdr:row>848</xdr:row>
      <xdr:rowOff>48626</xdr:rowOff>
    </xdr:to>
    <xdr:pic>
      <xdr:nvPicPr>
        <xdr:cNvPr id="96" name="Picture 95">
          <a:extLst>
            <a:ext uri="{FF2B5EF4-FFF2-40B4-BE49-F238E27FC236}">
              <a16:creationId xmlns:a16="http://schemas.microsoft.com/office/drawing/2014/main" id="{F4126035-71AE-41C1-87B9-5392D1E9C5E3}"/>
            </a:ext>
          </a:extLst>
        </xdr:cNvPr>
        <xdr:cNvPicPr>
          <a:picLocks noChangeAspect="1"/>
        </xdr:cNvPicPr>
      </xdr:nvPicPr>
      <xdr:blipFill>
        <a:blip xmlns:r="http://schemas.openxmlformats.org/officeDocument/2006/relationships" r:embed="rId93"/>
        <a:stretch>
          <a:fillRect/>
        </a:stretch>
      </xdr:blipFill>
      <xdr:spPr>
        <a:xfrm>
          <a:off x="7246620" y="155745180"/>
          <a:ext cx="6686440" cy="6266546"/>
        </a:xfrm>
        <a:prstGeom prst="rect">
          <a:avLst/>
        </a:prstGeom>
      </xdr:spPr>
    </xdr:pic>
    <xdr:clientData/>
  </xdr:twoCellAnchor>
  <xdr:twoCellAnchor editAs="oneCell">
    <xdr:from>
      <xdr:col>7</xdr:col>
      <xdr:colOff>0</xdr:colOff>
      <xdr:row>849</xdr:row>
      <xdr:rowOff>0</xdr:rowOff>
    </xdr:from>
    <xdr:to>
      <xdr:col>13</xdr:col>
      <xdr:colOff>1129527</xdr:colOff>
      <xdr:row>876</xdr:row>
      <xdr:rowOff>587</xdr:rowOff>
    </xdr:to>
    <xdr:pic>
      <xdr:nvPicPr>
        <xdr:cNvPr id="97" name="Picture 96">
          <a:extLst>
            <a:ext uri="{FF2B5EF4-FFF2-40B4-BE49-F238E27FC236}">
              <a16:creationId xmlns:a16="http://schemas.microsoft.com/office/drawing/2014/main" id="{27EB60DF-FFD0-45FF-8880-DE60ECDF6C5B}"/>
            </a:ext>
          </a:extLst>
        </xdr:cNvPr>
        <xdr:cNvPicPr>
          <a:picLocks noChangeAspect="1"/>
        </xdr:cNvPicPr>
      </xdr:nvPicPr>
      <xdr:blipFill>
        <a:blip xmlns:r="http://schemas.openxmlformats.org/officeDocument/2006/relationships" r:embed="rId94"/>
        <a:stretch>
          <a:fillRect/>
        </a:stretch>
      </xdr:blipFill>
      <xdr:spPr>
        <a:xfrm>
          <a:off x="7246620" y="162359340"/>
          <a:ext cx="6486387" cy="4938347"/>
        </a:xfrm>
        <a:prstGeom prst="rect">
          <a:avLst/>
        </a:prstGeom>
      </xdr:spPr>
    </xdr:pic>
    <xdr:clientData/>
  </xdr:twoCellAnchor>
  <xdr:twoCellAnchor editAs="oneCell">
    <xdr:from>
      <xdr:col>1</xdr:col>
      <xdr:colOff>215660</xdr:colOff>
      <xdr:row>842</xdr:row>
      <xdr:rowOff>0</xdr:rowOff>
    </xdr:from>
    <xdr:to>
      <xdr:col>4</xdr:col>
      <xdr:colOff>416314</xdr:colOff>
      <xdr:row>847</xdr:row>
      <xdr:rowOff>115019</xdr:rowOff>
    </xdr:to>
    <xdr:pic>
      <xdr:nvPicPr>
        <xdr:cNvPr id="98" name="Picture 97">
          <a:extLst>
            <a:ext uri="{FF2B5EF4-FFF2-40B4-BE49-F238E27FC236}">
              <a16:creationId xmlns:a16="http://schemas.microsoft.com/office/drawing/2014/main" id="{5361F9C5-96B1-4009-8E82-86AD92A72EF0}"/>
            </a:ext>
          </a:extLst>
        </xdr:cNvPr>
        <xdr:cNvPicPr>
          <a:picLocks noChangeAspect="1"/>
        </xdr:cNvPicPr>
      </xdr:nvPicPr>
      <xdr:blipFill>
        <a:blip xmlns:r="http://schemas.openxmlformats.org/officeDocument/2006/relationships" r:embed="rId95"/>
        <a:stretch>
          <a:fillRect/>
        </a:stretch>
      </xdr:blipFill>
      <xdr:spPr>
        <a:xfrm>
          <a:off x="345200" y="161079180"/>
          <a:ext cx="5488934" cy="1029419"/>
        </a:xfrm>
        <a:prstGeom prst="rect">
          <a:avLst/>
        </a:prstGeom>
      </xdr:spPr>
    </xdr:pic>
    <xdr:clientData/>
  </xdr:twoCellAnchor>
  <xdr:twoCellAnchor editAs="oneCell">
    <xdr:from>
      <xdr:col>1</xdr:col>
      <xdr:colOff>0</xdr:colOff>
      <xdr:row>850</xdr:row>
      <xdr:rowOff>1</xdr:rowOff>
    </xdr:from>
    <xdr:to>
      <xdr:col>5</xdr:col>
      <xdr:colOff>200585</xdr:colOff>
      <xdr:row>875</xdr:row>
      <xdr:rowOff>1</xdr:rowOff>
    </xdr:to>
    <xdr:pic>
      <xdr:nvPicPr>
        <xdr:cNvPr id="99" name="Picture 98">
          <a:extLst>
            <a:ext uri="{FF2B5EF4-FFF2-40B4-BE49-F238E27FC236}">
              <a16:creationId xmlns:a16="http://schemas.microsoft.com/office/drawing/2014/main" id="{6EAA438F-AC6E-41D7-BD98-E12EF4B76403}"/>
            </a:ext>
          </a:extLst>
        </xdr:cNvPr>
        <xdr:cNvPicPr>
          <a:picLocks noChangeAspect="1"/>
        </xdr:cNvPicPr>
      </xdr:nvPicPr>
      <xdr:blipFill>
        <a:blip xmlns:r="http://schemas.openxmlformats.org/officeDocument/2006/relationships" r:embed="rId96"/>
        <a:stretch>
          <a:fillRect/>
        </a:stretch>
      </xdr:blipFill>
      <xdr:spPr>
        <a:xfrm>
          <a:off x="129540" y="162542221"/>
          <a:ext cx="6098465" cy="4572000"/>
        </a:xfrm>
        <a:prstGeom prst="rect">
          <a:avLst/>
        </a:prstGeom>
      </xdr:spPr>
    </xdr:pic>
    <xdr:clientData/>
  </xdr:twoCellAnchor>
  <xdr:twoCellAnchor editAs="oneCell">
    <xdr:from>
      <xdr:col>1</xdr:col>
      <xdr:colOff>1</xdr:colOff>
      <xdr:row>877</xdr:row>
      <xdr:rowOff>0</xdr:rowOff>
    </xdr:from>
    <xdr:to>
      <xdr:col>4</xdr:col>
      <xdr:colOff>560718</xdr:colOff>
      <xdr:row>888</xdr:row>
      <xdr:rowOff>17863</xdr:rowOff>
    </xdr:to>
    <xdr:pic>
      <xdr:nvPicPr>
        <xdr:cNvPr id="100" name="Picture 99">
          <a:extLst>
            <a:ext uri="{FF2B5EF4-FFF2-40B4-BE49-F238E27FC236}">
              <a16:creationId xmlns:a16="http://schemas.microsoft.com/office/drawing/2014/main" id="{ACD00DC1-E9F8-42D7-973F-57EF22D20B59}"/>
            </a:ext>
          </a:extLst>
        </xdr:cNvPr>
        <xdr:cNvPicPr>
          <a:picLocks noChangeAspect="1"/>
        </xdr:cNvPicPr>
      </xdr:nvPicPr>
      <xdr:blipFill>
        <a:blip xmlns:r="http://schemas.openxmlformats.org/officeDocument/2006/relationships" r:embed="rId97"/>
        <a:stretch>
          <a:fillRect/>
        </a:stretch>
      </xdr:blipFill>
      <xdr:spPr>
        <a:xfrm>
          <a:off x="129541" y="167479980"/>
          <a:ext cx="5848997" cy="2029543"/>
        </a:xfrm>
        <a:prstGeom prst="rect">
          <a:avLst/>
        </a:prstGeom>
      </xdr:spPr>
    </xdr:pic>
    <xdr:clientData/>
  </xdr:twoCellAnchor>
  <xdr:twoCellAnchor editAs="oneCell">
    <xdr:from>
      <xdr:col>6</xdr:col>
      <xdr:colOff>0</xdr:colOff>
      <xdr:row>878</xdr:row>
      <xdr:rowOff>0</xdr:rowOff>
    </xdr:from>
    <xdr:to>
      <xdr:col>16</xdr:col>
      <xdr:colOff>335928</xdr:colOff>
      <xdr:row>896</xdr:row>
      <xdr:rowOff>74703</xdr:rowOff>
    </xdr:to>
    <xdr:pic>
      <xdr:nvPicPr>
        <xdr:cNvPr id="101" name="Picture 100">
          <a:extLst>
            <a:ext uri="{FF2B5EF4-FFF2-40B4-BE49-F238E27FC236}">
              <a16:creationId xmlns:a16="http://schemas.microsoft.com/office/drawing/2014/main" id="{211D0DBE-51A0-4CA5-8E8B-5AD2EE2FD406}"/>
            </a:ext>
          </a:extLst>
        </xdr:cNvPr>
        <xdr:cNvPicPr>
          <a:picLocks noChangeAspect="1"/>
        </xdr:cNvPicPr>
      </xdr:nvPicPr>
      <xdr:blipFill>
        <a:blip xmlns:r="http://schemas.openxmlformats.org/officeDocument/2006/relationships" r:embed="rId98"/>
        <a:stretch>
          <a:fillRect/>
        </a:stretch>
      </xdr:blipFill>
      <xdr:spPr>
        <a:xfrm>
          <a:off x="6637020" y="167662860"/>
          <a:ext cx="9304668" cy="3366543"/>
        </a:xfrm>
        <a:prstGeom prst="rect">
          <a:avLst/>
        </a:prstGeom>
      </xdr:spPr>
    </xdr:pic>
    <xdr:clientData/>
  </xdr:twoCellAnchor>
  <xdr:twoCellAnchor editAs="oneCell">
    <xdr:from>
      <xdr:col>6</xdr:col>
      <xdr:colOff>0</xdr:colOff>
      <xdr:row>899</xdr:row>
      <xdr:rowOff>0</xdr:rowOff>
    </xdr:from>
    <xdr:to>
      <xdr:col>15</xdr:col>
      <xdr:colOff>568250</xdr:colOff>
      <xdr:row>916</xdr:row>
      <xdr:rowOff>42503</xdr:rowOff>
    </xdr:to>
    <xdr:pic>
      <xdr:nvPicPr>
        <xdr:cNvPr id="102" name="Picture 101">
          <a:extLst>
            <a:ext uri="{FF2B5EF4-FFF2-40B4-BE49-F238E27FC236}">
              <a16:creationId xmlns:a16="http://schemas.microsoft.com/office/drawing/2014/main" id="{1651D649-6B23-46B8-8F1C-07CD8708E715}"/>
            </a:ext>
          </a:extLst>
        </xdr:cNvPr>
        <xdr:cNvPicPr>
          <a:picLocks noChangeAspect="1"/>
        </xdr:cNvPicPr>
      </xdr:nvPicPr>
      <xdr:blipFill>
        <a:blip xmlns:r="http://schemas.openxmlformats.org/officeDocument/2006/relationships" r:embed="rId99"/>
        <a:stretch>
          <a:fillRect/>
        </a:stretch>
      </xdr:blipFill>
      <xdr:spPr>
        <a:xfrm>
          <a:off x="6637020" y="171503340"/>
          <a:ext cx="8927390" cy="3151463"/>
        </a:xfrm>
        <a:prstGeom prst="rect">
          <a:avLst/>
        </a:prstGeom>
      </xdr:spPr>
    </xdr:pic>
    <xdr:clientData/>
  </xdr:twoCellAnchor>
  <xdr:twoCellAnchor editAs="oneCell">
    <xdr:from>
      <xdr:col>1</xdr:col>
      <xdr:colOff>0</xdr:colOff>
      <xdr:row>890</xdr:row>
      <xdr:rowOff>1</xdr:rowOff>
    </xdr:from>
    <xdr:to>
      <xdr:col>3</xdr:col>
      <xdr:colOff>67091</xdr:colOff>
      <xdr:row>896</xdr:row>
      <xdr:rowOff>115019</xdr:rowOff>
    </xdr:to>
    <xdr:pic>
      <xdr:nvPicPr>
        <xdr:cNvPr id="103" name="Picture 102">
          <a:extLst>
            <a:ext uri="{FF2B5EF4-FFF2-40B4-BE49-F238E27FC236}">
              <a16:creationId xmlns:a16="http://schemas.microsoft.com/office/drawing/2014/main" id="{D3BCA5DC-B5A4-4334-8CAE-B251A954D69D}"/>
            </a:ext>
          </a:extLst>
        </xdr:cNvPr>
        <xdr:cNvPicPr>
          <a:picLocks noChangeAspect="1"/>
        </xdr:cNvPicPr>
      </xdr:nvPicPr>
      <xdr:blipFill>
        <a:blip xmlns:r="http://schemas.openxmlformats.org/officeDocument/2006/relationships" r:embed="rId100"/>
        <a:stretch>
          <a:fillRect/>
        </a:stretch>
      </xdr:blipFill>
      <xdr:spPr>
        <a:xfrm>
          <a:off x="129540" y="169857421"/>
          <a:ext cx="4745771" cy="1212298"/>
        </a:xfrm>
        <a:prstGeom prst="rect">
          <a:avLst/>
        </a:prstGeom>
      </xdr:spPr>
    </xdr:pic>
    <xdr:clientData/>
  </xdr:twoCellAnchor>
  <xdr:twoCellAnchor editAs="oneCell">
    <xdr:from>
      <xdr:col>1</xdr:col>
      <xdr:colOff>0</xdr:colOff>
      <xdr:row>899</xdr:row>
      <xdr:rowOff>0</xdr:rowOff>
    </xdr:from>
    <xdr:to>
      <xdr:col>4</xdr:col>
      <xdr:colOff>403171</xdr:colOff>
      <xdr:row>905</xdr:row>
      <xdr:rowOff>158150</xdr:rowOff>
    </xdr:to>
    <xdr:pic>
      <xdr:nvPicPr>
        <xdr:cNvPr id="104" name="Picture 103">
          <a:extLst>
            <a:ext uri="{FF2B5EF4-FFF2-40B4-BE49-F238E27FC236}">
              <a16:creationId xmlns:a16="http://schemas.microsoft.com/office/drawing/2014/main" id="{E2A44D6D-4DA0-44C3-AD40-7B9B6B3C5874}"/>
            </a:ext>
          </a:extLst>
        </xdr:cNvPr>
        <xdr:cNvPicPr>
          <a:picLocks noChangeAspect="1"/>
        </xdr:cNvPicPr>
      </xdr:nvPicPr>
      <xdr:blipFill>
        <a:blip xmlns:r="http://schemas.openxmlformats.org/officeDocument/2006/relationships" r:embed="rId101"/>
        <a:stretch>
          <a:fillRect/>
        </a:stretch>
      </xdr:blipFill>
      <xdr:spPr>
        <a:xfrm>
          <a:off x="129540" y="171503340"/>
          <a:ext cx="5691451" cy="1255430"/>
        </a:xfrm>
        <a:prstGeom prst="rect">
          <a:avLst/>
        </a:prstGeom>
      </xdr:spPr>
    </xdr:pic>
    <xdr:clientData/>
  </xdr:twoCellAnchor>
  <xdr:twoCellAnchor editAs="oneCell">
    <xdr:from>
      <xdr:col>1</xdr:col>
      <xdr:colOff>0</xdr:colOff>
      <xdr:row>909</xdr:row>
      <xdr:rowOff>0</xdr:rowOff>
    </xdr:from>
    <xdr:to>
      <xdr:col>7</xdr:col>
      <xdr:colOff>352025</xdr:colOff>
      <xdr:row>940</xdr:row>
      <xdr:rowOff>74143</xdr:rowOff>
    </xdr:to>
    <xdr:pic>
      <xdr:nvPicPr>
        <xdr:cNvPr id="105" name="Picture 104">
          <a:extLst>
            <a:ext uri="{FF2B5EF4-FFF2-40B4-BE49-F238E27FC236}">
              <a16:creationId xmlns:a16="http://schemas.microsoft.com/office/drawing/2014/main" id="{02DCDF9A-9E30-449E-8C87-F1D0790C6EF5}"/>
            </a:ext>
          </a:extLst>
        </xdr:cNvPr>
        <xdr:cNvPicPr>
          <a:picLocks noChangeAspect="1"/>
        </xdr:cNvPicPr>
      </xdr:nvPicPr>
      <xdr:blipFill>
        <a:blip xmlns:r="http://schemas.openxmlformats.org/officeDocument/2006/relationships" r:embed="rId102"/>
        <a:stretch>
          <a:fillRect/>
        </a:stretch>
      </xdr:blipFill>
      <xdr:spPr>
        <a:xfrm>
          <a:off x="129540" y="173332140"/>
          <a:ext cx="7469105" cy="5743423"/>
        </a:xfrm>
        <a:prstGeom prst="rect">
          <a:avLst/>
        </a:prstGeom>
      </xdr:spPr>
    </xdr:pic>
    <xdr:clientData/>
  </xdr:twoCellAnchor>
  <xdr:twoCellAnchor editAs="oneCell">
    <xdr:from>
      <xdr:col>8</xdr:col>
      <xdr:colOff>0</xdr:colOff>
      <xdr:row>919</xdr:row>
      <xdr:rowOff>0</xdr:rowOff>
    </xdr:from>
    <xdr:to>
      <xdr:col>14</xdr:col>
      <xdr:colOff>998725</xdr:colOff>
      <xdr:row>924</xdr:row>
      <xdr:rowOff>56210</xdr:rowOff>
    </xdr:to>
    <xdr:pic>
      <xdr:nvPicPr>
        <xdr:cNvPr id="106" name="Picture 105">
          <a:extLst>
            <a:ext uri="{FF2B5EF4-FFF2-40B4-BE49-F238E27FC236}">
              <a16:creationId xmlns:a16="http://schemas.microsoft.com/office/drawing/2014/main" id="{75372DA9-D176-4A08-A224-71576E546876}"/>
            </a:ext>
          </a:extLst>
        </xdr:cNvPr>
        <xdr:cNvPicPr>
          <a:picLocks noChangeAspect="1"/>
        </xdr:cNvPicPr>
      </xdr:nvPicPr>
      <xdr:blipFill>
        <a:blip xmlns:r="http://schemas.openxmlformats.org/officeDocument/2006/relationships" r:embed="rId103"/>
        <a:stretch>
          <a:fillRect/>
        </a:stretch>
      </xdr:blipFill>
      <xdr:spPr>
        <a:xfrm>
          <a:off x="8260080" y="175160940"/>
          <a:ext cx="6713725" cy="970610"/>
        </a:xfrm>
        <a:prstGeom prst="rect">
          <a:avLst/>
        </a:prstGeom>
      </xdr:spPr>
    </xdr:pic>
    <xdr:clientData/>
  </xdr:twoCellAnchor>
  <xdr:twoCellAnchor editAs="oneCell">
    <xdr:from>
      <xdr:col>8</xdr:col>
      <xdr:colOff>0</xdr:colOff>
      <xdr:row>926</xdr:row>
      <xdr:rowOff>0</xdr:rowOff>
    </xdr:from>
    <xdr:to>
      <xdr:col>13</xdr:col>
      <xdr:colOff>868940</xdr:colOff>
      <xdr:row>930</xdr:row>
      <xdr:rowOff>71641</xdr:rowOff>
    </xdr:to>
    <xdr:pic>
      <xdr:nvPicPr>
        <xdr:cNvPr id="107" name="Picture 106">
          <a:extLst>
            <a:ext uri="{FF2B5EF4-FFF2-40B4-BE49-F238E27FC236}">
              <a16:creationId xmlns:a16="http://schemas.microsoft.com/office/drawing/2014/main" id="{2CBD8AB3-D294-4881-925B-EB76B0E479A6}"/>
            </a:ext>
          </a:extLst>
        </xdr:cNvPr>
        <xdr:cNvPicPr>
          <a:picLocks noChangeAspect="1"/>
        </xdr:cNvPicPr>
      </xdr:nvPicPr>
      <xdr:blipFill>
        <a:blip xmlns:r="http://schemas.openxmlformats.org/officeDocument/2006/relationships" r:embed="rId104"/>
        <a:stretch>
          <a:fillRect/>
        </a:stretch>
      </xdr:blipFill>
      <xdr:spPr>
        <a:xfrm>
          <a:off x="8260080" y="176441100"/>
          <a:ext cx="5212340" cy="803161"/>
        </a:xfrm>
        <a:prstGeom prst="rect">
          <a:avLst/>
        </a:prstGeom>
      </xdr:spPr>
    </xdr:pic>
    <xdr:clientData/>
  </xdr:twoCellAnchor>
  <xdr:twoCellAnchor editAs="oneCell">
    <xdr:from>
      <xdr:col>8</xdr:col>
      <xdr:colOff>0</xdr:colOff>
      <xdr:row>932</xdr:row>
      <xdr:rowOff>0</xdr:rowOff>
    </xdr:from>
    <xdr:to>
      <xdr:col>13</xdr:col>
      <xdr:colOff>1211888</xdr:colOff>
      <xdr:row>951</xdr:row>
      <xdr:rowOff>135481</xdr:rowOff>
    </xdr:to>
    <xdr:pic>
      <xdr:nvPicPr>
        <xdr:cNvPr id="108" name="Picture 107">
          <a:extLst>
            <a:ext uri="{FF2B5EF4-FFF2-40B4-BE49-F238E27FC236}">
              <a16:creationId xmlns:a16="http://schemas.microsoft.com/office/drawing/2014/main" id="{365BCEA9-6FEA-4D1E-89E4-E2FB5ECC4768}"/>
            </a:ext>
          </a:extLst>
        </xdr:cNvPr>
        <xdr:cNvPicPr>
          <a:picLocks noChangeAspect="1"/>
        </xdr:cNvPicPr>
      </xdr:nvPicPr>
      <xdr:blipFill>
        <a:blip xmlns:r="http://schemas.openxmlformats.org/officeDocument/2006/relationships" r:embed="rId105"/>
        <a:stretch>
          <a:fillRect/>
        </a:stretch>
      </xdr:blipFill>
      <xdr:spPr>
        <a:xfrm>
          <a:off x="8260080" y="177538380"/>
          <a:ext cx="5555288" cy="3610201"/>
        </a:xfrm>
        <a:prstGeom prst="rect">
          <a:avLst/>
        </a:prstGeom>
      </xdr:spPr>
    </xdr:pic>
    <xdr:clientData/>
  </xdr:twoCellAnchor>
  <xdr:twoCellAnchor editAs="oneCell">
    <xdr:from>
      <xdr:col>1</xdr:col>
      <xdr:colOff>0</xdr:colOff>
      <xdr:row>942</xdr:row>
      <xdr:rowOff>0</xdr:rowOff>
    </xdr:from>
    <xdr:to>
      <xdr:col>6</xdr:col>
      <xdr:colOff>346189</xdr:colOff>
      <xdr:row>958</xdr:row>
      <xdr:rowOff>48408</xdr:rowOff>
    </xdr:to>
    <xdr:pic>
      <xdr:nvPicPr>
        <xdr:cNvPr id="109" name="Picture 108">
          <a:extLst>
            <a:ext uri="{FF2B5EF4-FFF2-40B4-BE49-F238E27FC236}">
              <a16:creationId xmlns:a16="http://schemas.microsoft.com/office/drawing/2014/main" id="{62AB5E03-C193-437A-89DA-4B45B3C271A2}"/>
            </a:ext>
          </a:extLst>
        </xdr:cNvPr>
        <xdr:cNvPicPr>
          <a:picLocks noChangeAspect="1"/>
        </xdr:cNvPicPr>
      </xdr:nvPicPr>
      <xdr:blipFill>
        <a:blip xmlns:r="http://schemas.openxmlformats.org/officeDocument/2006/relationships" r:embed="rId106"/>
        <a:stretch>
          <a:fillRect/>
        </a:stretch>
      </xdr:blipFill>
      <xdr:spPr>
        <a:xfrm>
          <a:off x="129540" y="179367180"/>
          <a:ext cx="6853669" cy="2974488"/>
        </a:xfrm>
        <a:prstGeom prst="rect">
          <a:avLst/>
        </a:prstGeom>
      </xdr:spPr>
    </xdr:pic>
    <xdr:clientData/>
  </xdr:twoCellAnchor>
  <xdr:twoCellAnchor editAs="oneCell">
    <xdr:from>
      <xdr:col>1</xdr:col>
      <xdr:colOff>1024759</xdr:colOff>
      <xdr:row>962</xdr:row>
      <xdr:rowOff>131380</xdr:rowOff>
    </xdr:from>
    <xdr:to>
      <xdr:col>7</xdr:col>
      <xdr:colOff>408180</xdr:colOff>
      <xdr:row>998</xdr:row>
      <xdr:rowOff>25872</xdr:rowOff>
    </xdr:to>
    <xdr:pic>
      <xdr:nvPicPr>
        <xdr:cNvPr id="110" name="Picture 109">
          <a:extLst>
            <a:ext uri="{FF2B5EF4-FFF2-40B4-BE49-F238E27FC236}">
              <a16:creationId xmlns:a16="http://schemas.microsoft.com/office/drawing/2014/main" id="{5921675E-B32B-4CDF-9FCA-B0566442F4A0}"/>
            </a:ext>
          </a:extLst>
        </xdr:cNvPr>
        <xdr:cNvPicPr>
          <a:picLocks noChangeAspect="1"/>
        </xdr:cNvPicPr>
      </xdr:nvPicPr>
      <xdr:blipFill>
        <a:blip xmlns:r="http://schemas.openxmlformats.org/officeDocument/2006/relationships" r:embed="rId107"/>
        <a:stretch>
          <a:fillRect/>
        </a:stretch>
      </xdr:blipFill>
      <xdr:spPr>
        <a:xfrm>
          <a:off x="1154299" y="183156160"/>
          <a:ext cx="6500501" cy="6478172"/>
        </a:xfrm>
        <a:prstGeom prst="rect">
          <a:avLst/>
        </a:prstGeom>
      </xdr:spPr>
    </xdr:pic>
    <xdr:clientData/>
  </xdr:twoCellAnchor>
  <xdr:twoCellAnchor editAs="oneCell">
    <xdr:from>
      <xdr:col>8</xdr:col>
      <xdr:colOff>0</xdr:colOff>
      <xdr:row>961</xdr:row>
      <xdr:rowOff>52551</xdr:rowOff>
    </xdr:from>
    <xdr:to>
      <xdr:col>14</xdr:col>
      <xdr:colOff>664029</xdr:colOff>
      <xdr:row>998</xdr:row>
      <xdr:rowOff>106060</xdr:rowOff>
    </xdr:to>
    <xdr:pic>
      <xdr:nvPicPr>
        <xdr:cNvPr id="111" name="Picture 110">
          <a:extLst>
            <a:ext uri="{FF2B5EF4-FFF2-40B4-BE49-F238E27FC236}">
              <a16:creationId xmlns:a16="http://schemas.microsoft.com/office/drawing/2014/main" id="{BF27D3B5-249D-460E-A4AD-9BC4A2F9F641}"/>
            </a:ext>
          </a:extLst>
        </xdr:cNvPr>
        <xdr:cNvPicPr>
          <a:picLocks noChangeAspect="1"/>
        </xdr:cNvPicPr>
      </xdr:nvPicPr>
      <xdr:blipFill>
        <a:blip xmlns:r="http://schemas.openxmlformats.org/officeDocument/2006/relationships" r:embed="rId108"/>
        <a:stretch>
          <a:fillRect/>
        </a:stretch>
      </xdr:blipFill>
      <xdr:spPr>
        <a:xfrm>
          <a:off x="8260080" y="182894451"/>
          <a:ext cx="6379029" cy="6820069"/>
        </a:xfrm>
        <a:prstGeom prst="rect">
          <a:avLst/>
        </a:prstGeom>
      </xdr:spPr>
    </xdr:pic>
    <xdr:clientData/>
  </xdr:twoCellAnchor>
  <xdr:twoCellAnchor editAs="oneCell">
    <xdr:from>
      <xdr:col>2</xdr:col>
      <xdr:colOff>115455</xdr:colOff>
      <xdr:row>1000</xdr:row>
      <xdr:rowOff>69273</xdr:rowOff>
    </xdr:from>
    <xdr:to>
      <xdr:col>11</xdr:col>
      <xdr:colOff>37301</xdr:colOff>
      <xdr:row>1013</xdr:row>
      <xdr:rowOff>77979</xdr:rowOff>
    </xdr:to>
    <xdr:pic>
      <xdr:nvPicPr>
        <xdr:cNvPr id="112" name="Picture 111">
          <a:extLst>
            <a:ext uri="{FF2B5EF4-FFF2-40B4-BE49-F238E27FC236}">
              <a16:creationId xmlns:a16="http://schemas.microsoft.com/office/drawing/2014/main" id="{EE6AF178-CF0B-4BD7-9DE2-81CB25E677FA}"/>
            </a:ext>
          </a:extLst>
        </xdr:cNvPr>
        <xdr:cNvPicPr>
          <a:picLocks noChangeAspect="1"/>
        </xdr:cNvPicPr>
      </xdr:nvPicPr>
      <xdr:blipFill>
        <a:blip xmlns:r="http://schemas.openxmlformats.org/officeDocument/2006/relationships" r:embed="rId109"/>
        <a:stretch>
          <a:fillRect/>
        </a:stretch>
      </xdr:blipFill>
      <xdr:spPr>
        <a:xfrm>
          <a:off x="4314075" y="190043493"/>
          <a:ext cx="6726506" cy="2386146"/>
        </a:xfrm>
        <a:prstGeom prst="rect">
          <a:avLst/>
        </a:prstGeom>
      </xdr:spPr>
    </xdr:pic>
    <xdr:clientData/>
  </xdr:twoCellAnchor>
  <xdr:twoCellAnchor editAs="oneCell">
    <xdr:from>
      <xdr:col>1</xdr:col>
      <xdr:colOff>138545</xdr:colOff>
      <xdr:row>1018</xdr:row>
      <xdr:rowOff>69273</xdr:rowOff>
    </xdr:from>
    <xdr:to>
      <xdr:col>5</xdr:col>
      <xdr:colOff>570358</xdr:colOff>
      <xdr:row>1023</xdr:row>
      <xdr:rowOff>4034</xdr:rowOff>
    </xdr:to>
    <xdr:pic>
      <xdr:nvPicPr>
        <xdr:cNvPr id="113" name="Picture 112">
          <a:extLst>
            <a:ext uri="{FF2B5EF4-FFF2-40B4-BE49-F238E27FC236}">
              <a16:creationId xmlns:a16="http://schemas.microsoft.com/office/drawing/2014/main" id="{1D4CF05E-1432-4EF5-9BF5-4065F19CCA7B}"/>
            </a:ext>
          </a:extLst>
        </xdr:cNvPr>
        <xdr:cNvPicPr>
          <a:picLocks noChangeAspect="1"/>
        </xdr:cNvPicPr>
      </xdr:nvPicPr>
      <xdr:blipFill>
        <a:blip xmlns:r="http://schemas.openxmlformats.org/officeDocument/2006/relationships" r:embed="rId110"/>
        <a:stretch>
          <a:fillRect/>
        </a:stretch>
      </xdr:blipFill>
      <xdr:spPr>
        <a:xfrm>
          <a:off x="268085" y="193449633"/>
          <a:ext cx="6329693" cy="849161"/>
        </a:xfrm>
        <a:prstGeom prst="rect">
          <a:avLst/>
        </a:prstGeom>
      </xdr:spPr>
    </xdr:pic>
    <xdr:clientData/>
  </xdr:twoCellAnchor>
  <xdr:twoCellAnchor editAs="oneCell">
    <xdr:from>
      <xdr:col>7</xdr:col>
      <xdr:colOff>46182</xdr:colOff>
      <xdr:row>1017</xdr:row>
      <xdr:rowOff>161637</xdr:rowOff>
    </xdr:from>
    <xdr:to>
      <xdr:col>13</xdr:col>
      <xdr:colOff>862152</xdr:colOff>
      <xdr:row>1027</xdr:row>
      <xdr:rowOff>29103</xdr:rowOff>
    </xdr:to>
    <xdr:pic>
      <xdr:nvPicPr>
        <xdr:cNvPr id="114" name="Picture 113">
          <a:extLst>
            <a:ext uri="{FF2B5EF4-FFF2-40B4-BE49-F238E27FC236}">
              <a16:creationId xmlns:a16="http://schemas.microsoft.com/office/drawing/2014/main" id="{09A9AC70-5F8D-491D-9514-A69E4E186BF3}"/>
            </a:ext>
          </a:extLst>
        </xdr:cNvPr>
        <xdr:cNvPicPr>
          <a:picLocks noChangeAspect="1"/>
        </xdr:cNvPicPr>
      </xdr:nvPicPr>
      <xdr:blipFill>
        <a:blip xmlns:r="http://schemas.openxmlformats.org/officeDocument/2006/relationships" r:embed="rId111"/>
        <a:stretch>
          <a:fillRect/>
        </a:stretch>
      </xdr:blipFill>
      <xdr:spPr>
        <a:xfrm>
          <a:off x="7292802" y="193359117"/>
          <a:ext cx="6172830" cy="1696266"/>
        </a:xfrm>
        <a:prstGeom prst="rect">
          <a:avLst/>
        </a:prstGeom>
      </xdr:spPr>
    </xdr:pic>
    <xdr:clientData/>
  </xdr:twoCellAnchor>
  <xdr:twoCellAnchor editAs="oneCell">
    <xdr:from>
      <xdr:col>1</xdr:col>
      <xdr:colOff>0</xdr:colOff>
      <xdr:row>1026</xdr:row>
      <xdr:rowOff>0</xdr:rowOff>
    </xdr:from>
    <xdr:to>
      <xdr:col>5</xdr:col>
      <xdr:colOff>596900</xdr:colOff>
      <xdr:row>1034</xdr:row>
      <xdr:rowOff>35577</xdr:rowOff>
    </xdr:to>
    <xdr:pic>
      <xdr:nvPicPr>
        <xdr:cNvPr id="115" name="Picture 114">
          <a:extLst>
            <a:ext uri="{FF2B5EF4-FFF2-40B4-BE49-F238E27FC236}">
              <a16:creationId xmlns:a16="http://schemas.microsoft.com/office/drawing/2014/main" id="{B7828A2D-5231-4B18-BE0B-FDD7C95477AD}"/>
            </a:ext>
          </a:extLst>
        </xdr:cNvPr>
        <xdr:cNvPicPr>
          <a:picLocks noChangeAspect="1"/>
        </xdr:cNvPicPr>
      </xdr:nvPicPr>
      <xdr:blipFill>
        <a:blip xmlns:r="http://schemas.openxmlformats.org/officeDocument/2006/relationships" r:embed="rId112"/>
        <a:stretch>
          <a:fillRect/>
        </a:stretch>
      </xdr:blipFill>
      <xdr:spPr>
        <a:xfrm>
          <a:off x="129540" y="194843400"/>
          <a:ext cx="6494780" cy="1498617"/>
        </a:xfrm>
        <a:prstGeom prst="rect">
          <a:avLst/>
        </a:prstGeom>
      </xdr:spPr>
    </xdr:pic>
    <xdr:clientData/>
  </xdr:twoCellAnchor>
  <xdr:twoCellAnchor editAs="oneCell">
    <xdr:from>
      <xdr:col>7</xdr:col>
      <xdr:colOff>0</xdr:colOff>
      <xdr:row>1029</xdr:row>
      <xdr:rowOff>0</xdr:rowOff>
    </xdr:from>
    <xdr:to>
      <xdr:col>13</xdr:col>
      <xdr:colOff>1128940</xdr:colOff>
      <xdr:row>1042</xdr:row>
      <xdr:rowOff>31616</xdr:rowOff>
    </xdr:to>
    <xdr:pic>
      <xdr:nvPicPr>
        <xdr:cNvPr id="116" name="Picture 115">
          <a:extLst>
            <a:ext uri="{FF2B5EF4-FFF2-40B4-BE49-F238E27FC236}">
              <a16:creationId xmlns:a16="http://schemas.microsoft.com/office/drawing/2014/main" id="{1851799F-FB19-453F-81C8-2123FF9419A0}"/>
            </a:ext>
          </a:extLst>
        </xdr:cNvPr>
        <xdr:cNvPicPr>
          <a:picLocks noChangeAspect="1"/>
        </xdr:cNvPicPr>
      </xdr:nvPicPr>
      <xdr:blipFill>
        <a:blip xmlns:r="http://schemas.openxmlformats.org/officeDocument/2006/relationships" r:embed="rId113"/>
        <a:stretch>
          <a:fillRect/>
        </a:stretch>
      </xdr:blipFill>
      <xdr:spPr>
        <a:xfrm>
          <a:off x="7246620" y="195392040"/>
          <a:ext cx="6485800" cy="2409056"/>
        </a:xfrm>
        <a:prstGeom prst="rect">
          <a:avLst/>
        </a:prstGeom>
      </xdr:spPr>
    </xdr:pic>
    <xdr:clientData/>
  </xdr:twoCellAnchor>
  <xdr:twoCellAnchor editAs="oneCell">
    <xdr:from>
      <xdr:col>1</xdr:col>
      <xdr:colOff>0</xdr:colOff>
      <xdr:row>1038</xdr:row>
      <xdr:rowOff>0</xdr:rowOff>
    </xdr:from>
    <xdr:to>
      <xdr:col>5</xdr:col>
      <xdr:colOff>593760</xdr:colOff>
      <xdr:row>1045</xdr:row>
      <xdr:rowOff>12016</xdr:rowOff>
    </xdr:to>
    <xdr:pic>
      <xdr:nvPicPr>
        <xdr:cNvPr id="117" name="Picture 116">
          <a:extLst>
            <a:ext uri="{FF2B5EF4-FFF2-40B4-BE49-F238E27FC236}">
              <a16:creationId xmlns:a16="http://schemas.microsoft.com/office/drawing/2014/main" id="{244ED062-3E24-4276-B973-57899A378396}"/>
            </a:ext>
          </a:extLst>
        </xdr:cNvPr>
        <xdr:cNvPicPr>
          <a:picLocks noChangeAspect="1"/>
        </xdr:cNvPicPr>
      </xdr:nvPicPr>
      <xdr:blipFill>
        <a:blip xmlns:r="http://schemas.openxmlformats.org/officeDocument/2006/relationships" r:embed="rId114"/>
        <a:stretch>
          <a:fillRect/>
        </a:stretch>
      </xdr:blipFill>
      <xdr:spPr>
        <a:xfrm>
          <a:off x="129540" y="197037960"/>
          <a:ext cx="6491640" cy="1292176"/>
        </a:xfrm>
        <a:prstGeom prst="rect">
          <a:avLst/>
        </a:prstGeom>
      </xdr:spPr>
    </xdr:pic>
    <xdr:clientData/>
  </xdr:twoCellAnchor>
  <xdr:twoCellAnchor editAs="oneCell">
    <xdr:from>
      <xdr:col>1</xdr:col>
      <xdr:colOff>0</xdr:colOff>
      <xdr:row>1047</xdr:row>
      <xdr:rowOff>1</xdr:rowOff>
    </xdr:from>
    <xdr:to>
      <xdr:col>3</xdr:col>
      <xdr:colOff>508000</xdr:colOff>
      <xdr:row>1064</xdr:row>
      <xdr:rowOff>168807</xdr:rowOff>
    </xdr:to>
    <xdr:pic>
      <xdr:nvPicPr>
        <xdr:cNvPr id="118" name="Picture 117">
          <a:extLst>
            <a:ext uri="{FF2B5EF4-FFF2-40B4-BE49-F238E27FC236}">
              <a16:creationId xmlns:a16="http://schemas.microsoft.com/office/drawing/2014/main" id="{B2A84D38-9DE8-42F9-83C8-F8DF79E67E5C}"/>
            </a:ext>
          </a:extLst>
        </xdr:cNvPr>
        <xdr:cNvPicPr>
          <a:picLocks noChangeAspect="1"/>
        </xdr:cNvPicPr>
      </xdr:nvPicPr>
      <xdr:blipFill>
        <a:blip xmlns:r="http://schemas.openxmlformats.org/officeDocument/2006/relationships" r:embed="rId115"/>
        <a:stretch>
          <a:fillRect/>
        </a:stretch>
      </xdr:blipFill>
      <xdr:spPr>
        <a:xfrm>
          <a:off x="129540" y="198683881"/>
          <a:ext cx="5186680" cy="3277766"/>
        </a:xfrm>
        <a:prstGeom prst="rect">
          <a:avLst/>
        </a:prstGeom>
      </xdr:spPr>
    </xdr:pic>
    <xdr:clientData/>
  </xdr:twoCellAnchor>
  <xdr:twoCellAnchor editAs="oneCell">
    <xdr:from>
      <xdr:col>6</xdr:col>
      <xdr:colOff>0</xdr:colOff>
      <xdr:row>1046</xdr:row>
      <xdr:rowOff>0</xdr:rowOff>
    </xdr:from>
    <xdr:to>
      <xdr:col>14</xdr:col>
      <xdr:colOff>718669</xdr:colOff>
      <xdr:row>1080</xdr:row>
      <xdr:rowOff>157167</xdr:rowOff>
    </xdr:to>
    <xdr:pic>
      <xdr:nvPicPr>
        <xdr:cNvPr id="119" name="Picture 118">
          <a:extLst>
            <a:ext uri="{FF2B5EF4-FFF2-40B4-BE49-F238E27FC236}">
              <a16:creationId xmlns:a16="http://schemas.microsoft.com/office/drawing/2014/main" id="{399219E6-6137-48B5-BA2C-C13ED74B4E31}"/>
            </a:ext>
          </a:extLst>
        </xdr:cNvPr>
        <xdr:cNvPicPr>
          <a:picLocks noChangeAspect="1"/>
        </xdr:cNvPicPr>
      </xdr:nvPicPr>
      <xdr:blipFill>
        <a:blip xmlns:r="http://schemas.openxmlformats.org/officeDocument/2006/relationships" r:embed="rId116"/>
        <a:stretch>
          <a:fillRect/>
        </a:stretch>
      </xdr:blipFill>
      <xdr:spPr>
        <a:xfrm>
          <a:off x="6637020" y="198501000"/>
          <a:ext cx="8056729" cy="6375087"/>
        </a:xfrm>
        <a:prstGeom prst="rect">
          <a:avLst/>
        </a:prstGeom>
      </xdr:spPr>
    </xdr:pic>
    <xdr:clientData/>
  </xdr:twoCellAnchor>
  <xdr:twoCellAnchor editAs="oneCell">
    <xdr:from>
      <xdr:col>1</xdr:col>
      <xdr:colOff>50800</xdr:colOff>
      <xdr:row>1067</xdr:row>
      <xdr:rowOff>76200</xdr:rowOff>
    </xdr:from>
    <xdr:to>
      <xdr:col>7</xdr:col>
      <xdr:colOff>321705</xdr:colOff>
      <xdr:row>1107</xdr:row>
      <xdr:rowOff>166105</xdr:rowOff>
    </xdr:to>
    <xdr:pic>
      <xdr:nvPicPr>
        <xdr:cNvPr id="120" name="Picture 119">
          <a:extLst>
            <a:ext uri="{FF2B5EF4-FFF2-40B4-BE49-F238E27FC236}">
              <a16:creationId xmlns:a16="http://schemas.microsoft.com/office/drawing/2014/main" id="{99287A6E-20EB-4EA0-9BE2-933CC7D8F3D0}"/>
            </a:ext>
          </a:extLst>
        </xdr:cNvPr>
        <xdr:cNvPicPr>
          <a:picLocks noChangeAspect="1"/>
        </xdr:cNvPicPr>
      </xdr:nvPicPr>
      <xdr:blipFill>
        <a:blip xmlns:r="http://schemas.openxmlformats.org/officeDocument/2006/relationships" r:embed="rId117"/>
        <a:stretch>
          <a:fillRect/>
        </a:stretch>
      </xdr:blipFill>
      <xdr:spPr>
        <a:xfrm>
          <a:off x="180340" y="202600560"/>
          <a:ext cx="7387985" cy="7405105"/>
        </a:xfrm>
        <a:prstGeom prst="rect">
          <a:avLst/>
        </a:prstGeom>
      </xdr:spPr>
    </xdr:pic>
    <xdr:clientData/>
  </xdr:twoCellAnchor>
  <xdr:twoCellAnchor editAs="oneCell">
    <xdr:from>
      <xdr:col>8</xdr:col>
      <xdr:colOff>25400</xdr:colOff>
      <xdr:row>1083</xdr:row>
      <xdr:rowOff>127000</xdr:rowOff>
    </xdr:from>
    <xdr:to>
      <xdr:col>15</xdr:col>
      <xdr:colOff>22085</xdr:colOff>
      <xdr:row>1100</xdr:row>
      <xdr:rowOff>25400</xdr:rowOff>
    </xdr:to>
    <xdr:pic>
      <xdr:nvPicPr>
        <xdr:cNvPr id="121" name="Picture 120">
          <a:extLst>
            <a:ext uri="{FF2B5EF4-FFF2-40B4-BE49-F238E27FC236}">
              <a16:creationId xmlns:a16="http://schemas.microsoft.com/office/drawing/2014/main" id="{50F5D90A-E254-4DAA-B929-E0A235E40317}"/>
            </a:ext>
          </a:extLst>
        </xdr:cNvPr>
        <xdr:cNvPicPr>
          <a:picLocks noChangeAspect="1"/>
        </xdr:cNvPicPr>
      </xdr:nvPicPr>
      <xdr:blipFill>
        <a:blip xmlns:r="http://schemas.openxmlformats.org/officeDocument/2006/relationships" r:embed="rId118"/>
        <a:stretch>
          <a:fillRect/>
        </a:stretch>
      </xdr:blipFill>
      <xdr:spPr>
        <a:xfrm>
          <a:off x="8285480" y="205577440"/>
          <a:ext cx="6732765" cy="3007360"/>
        </a:xfrm>
        <a:prstGeom prst="rect">
          <a:avLst/>
        </a:prstGeom>
      </xdr:spPr>
    </xdr:pic>
    <xdr:clientData/>
  </xdr:twoCellAnchor>
  <xdr:twoCellAnchor editAs="oneCell">
    <xdr:from>
      <xdr:col>8</xdr:col>
      <xdr:colOff>25401</xdr:colOff>
      <xdr:row>1105</xdr:row>
      <xdr:rowOff>76200</xdr:rowOff>
    </xdr:from>
    <xdr:to>
      <xdr:col>15</xdr:col>
      <xdr:colOff>76201</xdr:colOff>
      <xdr:row>1132</xdr:row>
      <xdr:rowOff>92178</xdr:rowOff>
    </xdr:to>
    <xdr:pic>
      <xdr:nvPicPr>
        <xdr:cNvPr id="122" name="Picture 121">
          <a:extLst>
            <a:ext uri="{FF2B5EF4-FFF2-40B4-BE49-F238E27FC236}">
              <a16:creationId xmlns:a16="http://schemas.microsoft.com/office/drawing/2014/main" id="{13EB8357-2F47-458D-8671-87DAF7D1BEF9}"/>
            </a:ext>
          </a:extLst>
        </xdr:cNvPr>
        <xdr:cNvPicPr>
          <a:picLocks noChangeAspect="1"/>
        </xdr:cNvPicPr>
      </xdr:nvPicPr>
      <xdr:blipFill>
        <a:blip xmlns:r="http://schemas.openxmlformats.org/officeDocument/2006/relationships" r:embed="rId119"/>
        <a:stretch>
          <a:fillRect/>
        </a:stretch>
      </xdr:blipFill>
      <xdr:spPr>
        <a:xfrm>
          <a:off x="8285481" y="209550000"/>
          <a:ext cx="6786880" cy="4953738"/>
        </a:xfrm>
        <a:prstGeom prst="rect">
          <a:avLst/>
        </a:prstGeom>
      </xdr:spPr>
    </xdr:pic>
    <xdr:clientData/>
  </xdr:twoCellAnchor>
  <xdr:twoCellAnchor editAs="oneCell">
    <xdr:from>
      <xdr:col>1</xdr:col>
      <xdr:colOff>0</xdr:colOff>
      <xdr:row>1112</xdr:row>
      <xdr:rowOff>0</xdr:rowOff>
    </xdr:from>
    <xdr:to>
      <xdr:col>5</xdr:col>
      <xdr:colOff>356472</xdr:colOff>
      <xdr:row>1140</xdr:row>
      <xdr:rowOff>108660</xdr:rowOff>
    </xdr:to>
    <xdr:pic>
      <xdr:nvPicPr>
        <xdr:cNvPr id="123" name="Picture 122">
          <a:extLst>
            <a:ext uri="{FF2B5EF4-FFF2-40B4-BE49-F238E27FC236}">
              <a16:creationId xmlns:a16="http://schemas.microsoft.com/office/drawing/2014/main" id="{6CB8528F-6CF9-49A1-9E08-5A06BEDEAAA5}"/>
            </a:ext>
          </a:extLst>
        </xdr:cNvPr>
        <xdr:cNvPicPr>
          <a:picLocks noChangeAspect="1"/>
        </xdr:cNvPicPr>
      </xdr:nvPicPr>
      <xdr:blipFill>
        <a:blip xmlns:r="http://schemas.openxmlformats.org/officeDocument/2006/relationships" r:embed="rId120"/>
        <a:stretch>
          <a:fillRect/>
        </a:stretch>
      </xdr:blipFill>
      <xdr:spPr>
        <a:xfrm>
          <a:off x="129540" y="210753960"/>
          <a:ext cx="6254352" cy="5229300"/>
        </a:xfrm>
        <a:prstGeom prst="rect">
          <a:avLst/>
        </a:prstGeom>
      </xdr:spPr>
    </xdr:pic>
    <xdr:clientData/>
  </xdr:twoCellAnchor>
  <xdr:twoCellAnchor editAs="oneCell">
    <xdr:from>
      <xdr:col>7</xdr:col>
      <xdr:colOff>0</xdr:colOff>
      <xdr:row>1138</xdr:row>
      <xdr:rowOff>0</xdr:rowOff>
    </xdr:from>
    <xdr:to>
      <xdr:col>15</xdr:col>
      <xdr:colOff>255117</xdr:colOff>
      <xdr:row>1168</xdr:row>
      <xdr:rowOff>67429</xdr:rowOff>
    </xdr:to>
    <xdr:pic>
      <xdr:nvPicPr>
        <xdr:cNvPr id="124" name="Picture 123">
          <a:extLst>
            <a:ext uri="{FF2B5EF4-FFF2-40B4-BE49-F238E27FC236}">
              <a16:creationId xmlns:a16="http://schemas.microsoft.com/office/drawing/2014/main" id="{34090722-5890-4C07-AA20-BC41C16B4DD1}"/>
            </a:ext>
          </a:extLst>
        </xdr:cNvPr>
        <xdr:cNvPicPr>
          <a:picLocks noChangeAspect="1"/>
        </xdr:cNvPicPr>
      </xdr:nvPicPr>
      <xdr:blipFill>
        <a:blip xmlns:r="http://schemas.openxmlformats.org/officeDocument/2006/relationships" r:embed="rId121"/>
        <a:stretch>
          <a:fillRect/>
        </a:stretch>
      </xdr:blipFill>
      <xdr:spPr>
        <a:xfrm>
          <a:off x="7246620" y="215508840"/>
          <a:ext cx="8004657" cy="5553829"/>
        </a:xfrm>
        <a:prstGeom prst="rect">
          <a:avLst/>
        </a:prstGeom>
      </xdr:spPr>
    </xdr:pic>
    <xdr:clientData/>
  </xdr:twoCellAnchor>
  <xdr:twoCellAnchor editAs="oneCell">
    <xdr:from>
      <xdr:col>1</xdr:col>
      <xdr:colOff>0</xdr:colOff>
      <xdr:row>1144</xdr:row>
      <xdr:rowOff>0</xdr:rowOff>
    </xdr:from>
    <xdr:to>
      <xdr:col>4</xdr:col>
      <xdr:colOff>466442</xdr:colOff>
      <xdr:row>1148</xdr:row>
      <xdr:rowOff>50800</xdr:rowOff>
    </xdr:to>
    <xdr:pic>
      <xdr:nvPicPr>
        <xdr:cNvPr id="125" name="Picture 124">
          <a:extLst>
            <a:ext uri="{FF2B5EF4-FFF2-40B4-BE49-F238E27FC236}">
              <a16:creationId xmlns:a16="http://schemas.microsoft.com/office/drawing/2014/main" id="{5FD86204-8304-4087-887A-39E362422DCB}"/>
            </a:ext>
          </a:extLst>
        </xdr:cNvPr>
        <xdr:cNvPicPr>
          <a:picLocks noChangeAspect="1"/>
        </xdr:cNvPicPr>
      </xdr:nvPicPr>
      <xdr:blipFill>
        <a:blip xmlns:r="http://schemas.openxmlformats.org/officeDocument/2006/relationships" r:embed="rId122"/>
        <a:stretch>
          <a:fillRect/>
        </a:stretch>
      </xdr:blipFill>
      <xdr:spPr>
        <a:xfrm>
          <a:off x="129540" y="216606120"/>
          <a:ext cx="5754722" cy="782320"/>
        </a:xfrm>
        <a:prstGeom prst="rect">
          <a:avLst/>
        </a:prstGeom>
      </xdr:spPr>
    </xdr:pic>
    <xdr:clientData/>
  </xdr:twoCellAnchor>
  <xdr:twoCellAnchor editAs="oneCell">
    <xdr:from>
      <xdr:col>1</xdr:col>
      <xdr:colOff>1</xdr:colOff>
      <xdr:row>1153</xdr:row>
      <xdr:rowOff>1</xdr:rowOff>
    </xdr:from>
    <xdr:to>
      <xdr:col>4</xdr:col>
      <xdr:colOff>406401</xdr:colOff>
      <xdr:row>1162</xdr:row>
      <xdr:rowOff>31085</xdr:rowOff>
    </xdr:to>
    <xdr:pic>
      <xdr:nvPicPr>
        <xdr:cNvPr id="126" name="Picture 125">
          <a:extLst>
            <a:ext uri="{FF2B5EF4-FFF2-40B4-BE49-F238E27FC236}">
              <a16:creationId xmlns:a16="http://schemas.microsoft.com/office/drawing/2014/main" id="{6C5F62CA-6B6C-442C-9B97-02905AD24F5D}"/>
            </a:ext>
          </a:extLst>
        </xdr:cNvPr>
        <xdr:cNvPicPr>
          <a:picLocks noChangeAspect="1"/>
        </xdr:cNvPicPr>
      </xdr:nvPicPr>
      <xdr:blipFill>
        <a:blip xmlns:r="http://schemas.openxmlformats.org/officeDocument/2006/relationships" r:embed="rId123"/>
        <a:stretch>
          <a:fillRect/>
        </a:stretch>
      </xdr:blipFill>
      <xdr:spPr>
        <a:xfrm>
          <a:off x="129541" y="218252041"/>
          <a:ext cx="5694680" cy="1677004"/>
        </a:xfrm>
        <a:prstGeom prst="rect">
          <a:avLst/>
        </a:prstGeom>
      </xdr:spPr>
    </xdr:pic>
    <xdr:clientData/>
  </xdr:twoCellAnchor>
  <xdr:twoCellAnchor editAs="oneCell">
    <xdr:from>
      <xdr:col>1</xdr:col>
      <xdr:colOff>1</xdr:colOff>
      <xdr:row>1164</xdr:row>
      <xdr:rowOff>0</xdr:rowOff>
    </xdr:from>
    <xdr:to>
      <xdr:col>6</xdr:col>
      <xdr:colOff>279401</xdr:colOff>
      <xdr:row>1177</xdr:row>
      <xdr:rowOff>129430</xdr:rowOff>
    </xdr:to>
    <xdr:pic>
      <xdr:nvPicPr>
        <xdr:cNvPr id="127" name="Picture 126">
          <a:extLst>
            <a:ext uri="{FF2B5EF4-FFF2-40B4-BE49-F238E27FC236}">
              <a16:creationId xmlns:a16="http://schemas.microsoft.com/office/drawing/2014/main" id="{244831A1-6347-4110-A044-DDFCFF15826C}"/>
            </a:ext>
          </a:extLst>
        </xdr:cNvPr>
        <xdr:cNvPicPr>
          <a:picLocks noChangeAspect="1"/>
        </xdr:cNvPicPr>
      </xdr:nvPicPr>
      <xdr:blipFill>
        <a:blip xmlns:r="http://schemas.openxmlformats.org/officeDocument/2006/relationships" r:embed="rId124"/>
        <a:stretch>
          <a:fillRect/>
        </a:stretch>
      </xdr:blipFill>
      <xdr:spPr>
        <a:xfrm>
          <a:off x="129541" y="220263720"/>
          <a:ext cx="6786880" cy="2506870"/>
        </a:xfrm>
        <a:prstGeom prst="rect">
          <a:avLst/>
        </a:prstGeom>
      </xdr:spPr>
    </xdr:pic>
    <xdr:clientData/>
  </xdr:twoCellAnchor>
  <xdr:twoCellAnchor editAs="oneCell">
    <xdr:from>
      <xdr:col>7</xdr:col>
      <xdr:colOff>0</xdr:colOff>
      <xdr:row>1169</xdr:row>
      <xdr:rowOff>0</xdr:rowOff>
    </xdr:from>
    <xdr:to>
      <xdr:col>15</xdr:col>
      <xdr:colOff>299575</xdr:colOff>
      <xdr:row>1179</xdr:row>
      <xdr:rowOff>60582</xdr:rowOff>
    </xdr:to>
    <xdr:pic>
      <xdr:nvPicPr>
        <xdr:cNvPr id="128" name="Picture 127">
          <a:extLst>
            <a:ext uri="{FF2B5EF4-FFF2-40B4-BE49-F238E27FC236}">
              <a16:creationId xmlns:a16="http://schemas.microsoft.com/office/drawing/2014/main" id="{516CA47A-AC2B-41B2-BBA9-39971D8735E4}"/>
            </a:ext>
          </a:extLst>
        </xdr:cNvPr>
        <xdr:cNvPicPr>
          <a:picLocks noChangeAspect="1"/>
        </xdr:cNvPicPr>
      </xdr:nvPicPr>
      <xdr:blipFill>
        <a:blip xmlns:r="http://schemas.openxmlformats.org/officeDocument/2006/relationships" r:embed="rId125"/>
        <a:stretch>
          <a:fillRect/>
        </a:stretch>
      </xdr:blipFill>
      <xdr:spPr>
        <a:xfrm>
          <a:off x="7246620" y="221178120"/>
          <a:ext cx="8049115" cy="1889382"/>
        </a:xfrm>
        <a:prstGeom prst="rect">
          <a:avLst/>
        </a:prstGeom>
      </xdr:spPr>
    </xdr:pic>
    <xdr:clientData/>
  </xdr:twoCellAnchor>
  <xdr:twoCellAnchor editAs="oneCell">
    <xdr:from>
      <xdr:col>1</xdr:col>
      <xdr:colOff>0</xdr:colOff>
      <xdr:row>1179</xdr:row>
      <xdr:rowOff>0</xdr:rowOff>
    </xdr:from>
    <xdr:to>
      <xdr:col>7</xdr:col>
      <xdr:colOff>632906</xdr:colOff>
      <xdr:row>1191</xdr:row>
      <xdr:rowOff>127319</xdr:rowOff>
    </xdr:to>
    <xdr:pic>
      <xdr:nvPicPr>
        <xdr:cNvPr id="129" name="Picture 128">
          <a:extLst>
            <a:ext uri="{FF2B5EF4-FFF2-40B4-BE49-F238E27FC236}">
              <a16:creationId xmlns:a16="http://schemas.microsoft.com/office/drawing/2014/main" id="{F733D542-850B-430A-B7BC-0059439F1AAA}"/>
            </a:ext>
          </a:extLst>
        </xdr:cNvPr>
        <xdr:cNvPicPr>
          <a:picLocks noChangeAspect="1"/>
        </xdr:cNvPicPr>
      </xdr:nvPicPr>
      <xdr:blipFill>
        <a:blip xmlns:r="http://schemas.openxmlformats.org/officeDocument/2006/relationships" r:embed="rId126"/>
        <a:stretch>
          <a:fillRect/>
        </a:stretch>
      </xdr:blipFill>
      <xdr:spPr>
        <a:xfrm>
          <a:off x="129540" y="223006920"/>
          <a:ext cx="7749986" cy="2321879"/>
        </a:xfrm>
        <a:prstGeom prst="rect">
          <a:avLst/>
        </a:prstGeom>
      </xdr:spPr>
    </xdr:pic>
    <xdr:clientData/>
  </xdr:twoCellAnchor>
  <xdr:twoCellAnchor editAs="oneCell">
    <xdr:from>
      <xdr:col>1</xdr:col>
      <xdr:colOff>0</xdr:colOff>
      <xdr:row>1191</xdr:row>
      <xdr:rowOff>0</xdr:rowOff>
    </xdr:from>
    <xdr:to>
      <xdr:col>7</xdr:col>
      <xdr:colOff>662456</xdr:colOff>
      <xdr:row>1214</xdr:row>
      <xdr:rowOff>585</xdr:rowOff>
    </xdr:to>
    <xdr:pic>
      <xdr:nvPicPr>
        <xdr:cNvPr id="130" name="Picture 129">
          <a:extLst>
            <a:ext uri="{FF2B5EF4-FFF2-40B4-BE49-F238E27FC236}">
              <a16:creationId xmlns:a16="http://schemas.microsoft.com/office/drawing/2014/main" id="{BC50615B-AF53-4819-A4CA-773C810CEFAE}"/>
            </a:ext>
          </a:extLst>
        </xdr:cNvPr>
        <xdr:cNvPicPr>
          <a:picLocks noChangeAspect="1"/>
        </xdr:cNvPicPr>
      </xdr:nvPicPr>
      <xdr:blipFill>
        <a:blip xmlns:r="http://schemas.openxmlformats.org/officeDocument/2006/relationships" r:embed="rId127"/>
        <a:stretch>
          <a:fillRect/>
        </a:stretch>
      </xdr:blipFill>
      <xdr:spPr>
        <a:xfrm>
          <a:off x="129540" y="225529140"/>
          <a:ext cx="7779536" cy="4206825"/>
        </a:xfrm>
        <a:prstGeom prst="rect">
          <a:avLst/>
        </a:prstGeom>
      </xdr:spPr>
    </xdr:pic>
    <xdr:clientData/>
  </xdr:twoCellAnchor>
  <xdr:twoCellAnchor editAs="oneCell">
    <xdr:from>
      <xdr:col>7</xdr:col>
      <xdr:colOff>894522</xdr:colOff>
      <xdr:row>1191</xdr:row>
      <xdr:rowOff>49696</xdr:rowOff>
    </xdr:from>
    <xdr:to>
      <xdr:col>16</xdr:col>
      <xdr:colOff>264467</xdr:colOff>
      <xdr:row>1208</xdr:row>
      <xdr:rowOff>9952</xdr:rowOff>
    </xdr:to>
    <xdr:pic>
      <xdr:nvPicPr>
        <xdr:cNvPr id="131" name="Picture 130">
          <a:extLst>
            <a:ext uri="{FF2B5EF4-FFF2-40B4-BE49-F238E27FC236}">
              <a16:creationId xmlns:a16="http://schemas.microsoft.com/office/drawing/2014/main" id="{F60D34E3-09D2-47FC-AB59-F8AE35AA4A1D}"/>
            </a:ext>
          </a:extLst>
        </xdr:cNvPr>
        <xdr:cNvPicPr>
          <a:picLocks noChangeAspect="1"/>
        </xdr:cNvPicPr>
      </xdr:nvPicPr>
      <xdr:blipFill>
        <a:blip xmlns:r="http://schemas.openxmlformats.org/officeDocument/2006/relationships" r:embed="rId128"/>
        <a:stretch>
          <a:fillRect/>
        </a:stretch>
      </xdr:blipFill>
      <xdr:spPr>
        <a:xfrm>
          <a:off x="8141142" y="225578836"/>
          <a:ext cx="7729085" cy="3069216"/>
        </a:xfrm>
        <a:prstGeom prst="rect">
          <a:avLst/>
        </a:prstGeom>
      </xdr:spPr>
    </xdr:pic>
    <xdr:clientData/>
  </xdr:twoCellAnchor>
  <xdr:twoCellAnchor editAs="oneCell">
    <xdr:from>
      <xdr:col>8</xdr:col>
      <xdr:colOff>381000</xdr:colOff>
      <xdr:row>1210</xdr:row>
      <xdr:rowOff>115956</xdr:rowOff>
    </xdr:from>
    <xdr:to>
      <xdr:col>15</xdr:col>
      <xdr:colOff>440756</xdr:colOff>
      <xdr:row>1251</xdr:row>
      <xdr:rowOff>104159</xdr:rowOff>
    </xdr:to>
    <xdr:pic>
      <xdr:nvPicPr>
        <xdr:cNvPr id="132" name="Picture 131">
          <a:extLst>
            <a:ext uri="{FF2B5EF4-FFF2-40B4-BE49-F238E27FC236}">
              <a16:creationId xmlns:a16="http://schemas.microsoft.com/office/drawing/2014/main" id="{CD1AA84A-8A1C-4BE9-BC26-2805D43AD9B3}"/>
            </a:ext>
          </a:extLst>
        </xdr:cNvPr>
        <xdr:cNvPicPr>
          <a:picLocks noChangeAspect="1"/>
        </xdr:cNvPicPr>
      </xdr:nvPicPr>
      <xdr:blipFill>
        <a:blip xmlns:r="http://schemas.openxmlformats.org/officeDocument/2006/relationships" r:embed="rId129"/>
        <a:stretch>
          <a:fillRect/>
        </a:stretch>
      </xdr:blipFill>
      <xdr:spPr>
        <a:xfrm>
          <a:off x="8641080" y="229119816"/>
          <a:ext cx="6795836" cy="7486283"/>
        </a:xfrm>
        <a:prstGeom prst="rect">
          <a:avLst/>
        </a:prstGeom>
      </xdr:spPr>
    </xdr:pic>
    <xdr:clientData/>
  </xdr:twoCellAnchor>
  <xdr:twoCellAnchor editAs="oneCell">
    <xdr:from>
      <xdr:col>16</xdr:col>
      <xdr:colOff>0</xdr:colOff>
      <xdr:row>1219</xdr:row>
      <xdr:rowOff>0</xdr:rowOff>
    </xdr:from>
    <xdr:to>
      <xdr:col>26</xdr:col>
      <xdr:colOff>434510</xdr:colOff>
      <xdr:row>1231</xdr:row>
      <xdr:rowOff>118764</xdr:rowOff>
    </xdr:to>
    <xdr:pic>
      <xdr:nvPicPr>
        <xdr:cNvPr id="133" name="Picture 132">
          <a:extLst>
            <a:ext uri="{FF2B5EF4-FFF2-40B4-BE49-F238E27FC236}">
              <a16:creationId xmlns:a16="http://schemas.microsoft.com/office/drawing/2014/main" id="{24064862-402E-4C50-B398-D882F7E60563}"/>
            </a:ext>
          </a:extLst>
        </xdr:cNvPr>
        <xdr:cNvPicPr>
          <a:picLocks noChangeAspect="1"/>
        </xdr:cNvPicPr>
      </xdr:nvPicPr>
      <xdr:blipFill>
        <a:blip xmlns:r="http://schemas.openxmlformats.org/officeDocument/2006/relationships" r:embed="rId130"/>
        <a:stretch>
          <a:fillRect/>
        </a:stretch>
      </xdr:blipFill>
      <xdr:spPr>
        <a:xfrm>
          <a:off x="15605760" y="230832660"/>
          <a:ext cx="6530510" cy="2313324"/>
        </a:xfrm>
        <a:prstGeom prst="rect">
          <a:avLst/>
        </a:prstGeom>
      </xdr:spPr>
    </xdr:pic>
    <xdr:clientData/>
  </xdr:twoCellAnchor>
  <xdr:twoCellAnchor editAs="oneCell">
    <xdr:from>
      <xdr:col>1</xdr:col>
      <xdr:colOff>0</xdr:colOff>
      <xdr:row>1216</xdr:row>
      <xdr:rowOff>0</xdr:rowOff>
    </xdr:from>
    <xdr:to>
      <xdr:col>3</xdr:col>
      <xdr:colOff>484841</xdr:colOff>
      <xdr:row>1218</xdr:row>
      <xdr:rowOff>130934</xdr:rowOff>
    </xdr:to>
    <xdr:pic>
      <xdr:nvPicPr>
        <xdr:cNvPr id="134" name="Picture 133">
          <a:extLst>
            <a:ext uri="{FF2B5EF4-FFF2-40B4-BE49-F238E27FC236}">
              <a16:creationId xmlns:a16="http://schemas.microsoft.com/office/drawing/2014/main" id="{8820F9A4-570C-4F36-8D2C-3E1C8863AFDE}"/>
            </a:ext>
          </a:extLst>
        </xdr:cNvPr>
        <xdr:cNvPicPr>
          <a:picLocks noChangeAspect="1"/>
        </xdr:cNvPicPr>
      </xdr:nvPicPr>
      <xdr:blipFill>
        <a:blip xmlns:r="http://schemas.openxmlformats.org/officeDocument/2006/relationships" r:embed="rId131"/>
        <a:stretch>
          <a:fillRect/>
        </a:stretch>
      </xdr:blipFill>
      <xdr:spPr>
        <a:xfrm>
          <a:off x="129540" y="230101140"/>
          <a:ext cx="5163521" cy="496694"/>
        </a:xfrm>
        <a:prstGeom prst="rect">
          <a:avLst/>
        </a:prstGeom>
      </xdr:spPr>
    </xdr:pic>
    <xdr:clientData/>
  </xdr:twoCellAnchor>
  <xdr:twoCellAnchor editAs="oneCell">
    <xdr:from>
      <xdr:col>1</xdr:col>
      <xdr:colOff>0</xdr:colOff>
      <xdr:row>1219</xdr:row>
      <xdr:rowOff>0</xdr:rowOff>
    </xdr:from>
    <xdr:to>
      <xdr:col>3</xdr:col>
      <xdr:colOff>332420</xdr:colOff>
      <xdr:row>1224</xdr:row>
      <xdr:rowOff>51072</xdr:rowOff>
    </xdr:to>
    <xdr:pic>
      <xdr:nvPicPr>
        <xdr:cNvPr id="135" name="Picture 134">
          <a:extLst>
            <a:ext uri="{FF2B5EF4-FFF2-40B4-BE49-F238E27FC236}">
              <a16:creationId xmlns:a16="http://schemas.microsoft.com/office/drawing/2014/main" id="{29BC5D91-EBCC-4335-B1FC-2D627C3EAAFB}"/>
            </a:ext>
          </a:extLst>
        </xdr:cNvPr>
        <xdr:cNvPicPr>
          <a:picLocks noChangeAspect="1"/>
        </xdr:cNvPicPr>
      </xdr:nvPicPr>
      <xdr:blipFill>
        <a:blip xmlns:r="http://schemas.openxmlformats.org/officeDocument/2006/relationships" r:embed="rId132"/>
        <a:stretch>
          <a:fillRect/>
        </a:stretch>
      </xdr:blipFill>
      <xdr:spPr>
        <a:xfrm>
          <a:off x="129540" y="230832660"/>
          <a:ext cx="5011100" cy="965472"/>
        </a:xfrm>
        <a:prstGeom prst="rect">
          <a:avLst/>
        </a:prstGeom>
      </xdr:spPr>
    </xdr:pic>
    <xdr:clientData/>
  </xdr:twoCellAnchor>
  <xdr:twoCellAnchor editAs="oneCell">
    <xdr:from>
      <xdr:col>1</xdr:col>
      <xdr:colOff>0</xdr:colOff>
      <xdr:row>1227</xdr:row>
      <xdr:rowOff>0</xdr:rowOff>
    </xdr:from>
    <xdr:to>
      <xdr:col>4</xdr:col>
      <xdr:colOff>138665</xdr:colOff>
      <xdr:row>1231</xdr:row>
      <xdr:rowOff>14185</xdr:rowOff>
    </xdr:to>
    <xdr:pic>
      <xdr:nvPicPr>
        <xdr:cNvPr id="136" name="Picture 135">
          <a:extLst>
            <a:ext uri="{FF2B5EF4-FFF2-40B4-BE49-F238E27FC236}">
              <a16:creationId xmlns:a16="http://schemas.microsoft.com/office/drawing/2014/main" id="{89448468-EEBA-4AAF-B496-6C7978739D9C}"/>
            </a:ext>
          </a:extLst>
        </xdr:cNvPr>
        <xdr:cNvPicPr>
          <a:picLocks noChangeAspect="1"/>
        </xdr:cNvPicPr>
      </xdr:nvPicPr>
      <xdr:blipFill>
        <a:blip xmlns:r="http://schemas.openxmlformats.org/officeDocument/2006/relationships" r:embed="rId133"/>
        <a:stretch>
          <a:fillRect/>
        </a:stretch>
      </xdr:blipFill>
      <xdr:spPr>
        <a:xfrm>
          <a:off x="129540" y="232295700"/>
          <a:ext cx="5426945" cy="745705"/>
        </a:xfrm>
        <a:prstGeom prst="rect">
          <a:avLst/>
        </a:prstGeom>
      </xdr:spPr>
    </xdr:pic>
    <xdr:clientData/>
  </xdr:twoCellAnchor>
  <xdr:twoCellAnchor editAs="oneCell">
    <xdr:from>
      <xdr:col>1</xdr:col>
      <xdr:colOff>0</xdr:colOff>
      <xdr:row>1234</xdr:row>
      <xdr:rowOff>0</xdr:rowOff>
    </xdr:from>
    <xdr:to>
      <xdr:col>3</xdr:col>
      <xdr:colOff>341946</xdr:colOff>
      <xdr:row>1236</xdr:row>
      <xdr:rowOff>130935</xdr:rowOff>
    </xdr:to>
    <xdr:pic>
      <xdr:nvPicPr>
        <xdr:cNvPr id="137" name="Picture 136">
          <a:extLst>
            <a:ext uri="{FF2B5EF4-FFF2-40B4-BE49-F238E27FC236}">
              <a16:creationId xmlns:a16="http://schemas.microsoft.com/office/drawing/2014/main" id="{8AA52C98-E9EF-4A13-8666-6ED2633D467F}"/>
            </a:ext>
          </a:extLst>
        </xdr:cNvPr>
        <xdr:cNvPicPr>
          <a:picLocks noChangeAspect="1"/>
        </xdr:cNvPicPr>
      </xdr:nvPicPr>
      <xdr:blipFill>
        <a:blip xmlns:r="http://schemas.openxmlformats.org/officeDocument/2006/relationships" r:embed="rId134"/>
        <a:stretch>
          <a:fillRect/>
        </a:stretch>
      </xdr:blipFill>
      <xdr:spPr>
        <a:xfrm>
          <a:off x="129540" y="233575860"/>
          <a:ext cx="5020626" cy="496695"/>
        </a:xfrm>
        <a:prstGeom prst="rect">
          <a:avLst/>
        </a:prstGeom>
      </xdr:spPr>
    </xdr:pic>
    <xdr:clientData/>
  </xdr:twoCellAnchor>
  <xdr:twoCellAnchor editAs="oneCell">
    <xdr:from>
      <xdr:col>1</xdr:col>
      <xdr:colOff>0</xdr:colOff>
      <xdr:row>1256</xdr:row>
      <xdr:rowOff>0</xdr:rowOff>
    </xdr:from>
    <xdr:to>
      <xdr:col>6</xdr:col>
      <xdr:colOff>15663</xdr:colOff>
      <xdr:row>1284</xdr:row>
      <xdr:rowOff>59675</xdr:rowOff>
    </xdr:to>
    <xdr:pic>
      <xdr:nvPicPr>
        <xdr:cNvPr id="138" name="Picture 137">
          <a:extLst>
            <a:ext uri="{FF2B5EF4-FFF2-40B4-BE49-F238E27FC236}">
              <a16:creationId xmlns:a16="http://schemas.microsoft.com/office/drawing/2014/main" id="{3C877D46-D8C6-4B5E-80C0-AD6FA5C604D4}"/>
            </a:ext>
          </a:extLst>
        </xdr:cNvPr>
        <xdr:cNvPicPr>
          <a:picLocks noChangeAspect="1"/>
        </xdr:cNvPicPr>
      </xdr:nvPicPr>
      <xdr:blipFill>
        <a:blip xmlns:r="http://schemas.openxmlformats.org/officeDocument/2006/relationships" r:embed="rId135"/>
        <a:stretch>
          <a:fillRect/>
        </a:stretch>
      </xdr:blipFill>
      <xdr:spPr>
        <a:xfrm>
          <a:off x="129540" y="237713520"/>
          <a:ext cx="6523143" cy="5180315"/>
        </a:xfrm>
        <a:prstGeom prst="rect">
          <a:avLst/>
        </a:prstGeom>
      </xdr:spPr>
    </xdr:pic>
    <xdr:clientData/>
  </xdr:twoCellAnchor>
  <xdr:twoCellAnchor editAs="oneCell">
    <xdr:from>
      <xdr:col>7</xdr:col>
      <xdr:colOff>294967</xdr:colOff>
      <xdr:row>1257</xdr:row>
      <xdr:rowOff>24580</xdr:rowOff>
    </xdr:from>
    <xdr:to>
      <xdr:col>14</xdr:col>
      <xdr:colOff>995935</xdr:colOff>
      <xdr:row>1289</xdr:row>
      <xdr:rowOff>91419</xdr:rowOff>
    </xdr:to>
    <xdr:pic>
      <xdr:nvPicPr>
        <xdr:cNvPr id="139" name="Picture 138">
          <a:extLst>
            <a:ext uri="{FF2B5EF4-FFF2-40B4-BE49-F238E27FC236}">
              <a16:creationId xmlns:a16="http://schemas.microsoft.com/office/drawing/2014/main" id="{FBA163FB-C049-4F23-8166-CEC9BD787DE6}"/>
            </a:ext>
          </a:extLst>
        </xdr:cNvPr>
        <xdr:cNvPicPr>
          <a:picLocks noChangeAspect="1"/>
        </xdr:cNvPicPr>
      </xdr:nvPicPr>
      <xdr:blipFill>
        <a:blip xmlns:r="http://schemas.openxmlformats.org/officeDocument/2006/relationships" r:embed="rId136"/>
        <a:stretch>
          <a:fillRect/>
        </a:stretch>
      </xdr:blipFill>
      <xdr:spPr>
        <a:xfrm>
          <a:off x="7541587" y="237920980"/>
          <a:ext cx="7429428" cy="5918999"/>
        </a:xfrm>
        <a:prstGeom prst="rect">
          <a:avLst/>
        </a:prstGeom>
      </xdr:spPr>
    </xdr:pic>
    <xdr:clientData/>
  </xdr:twoCellAnchor>
  <xdr:twoCellAnchor editAs="oneCell">
    <xdr:from>
      <xdr:col>1</xdr:col>
      <xdr:colOff>0</xdr:colOff>
      <xdr:row>1289</xdr:row>
      <xdr:rowOff>0</xdr:rowOff>
    </xdr:from>
    <xdr:to>
      <xdr:col>3</xdr:col>
      <xdr:colOff>515999</xdr:colOff>
      <xdr:row>1293</xdr:row>
      <xdr:rowOff>64322</xdr:rowOff>
    </xdr:to>
    <xdr:pic>
      <xdr:nvPicPr>
        <xdr:cNvPr id="140" name="Picture 139">
          <a:extLst>
            <a:ext uri="{FF2B5EF4-FFF2-40B4-BE49-F238E27FC236}">
              <a16:creationId xmlns:a16="http://schemas.microsoft.com/office/drawing/2014/main" id="{2644D144-038A-4480-9940-C4BD18AB649C}"/>
            </a:ext>
          </a:extLst>
        </xdr:cNvPr>
        <xdr:cNvPicPr>
          <a:picLocks noChangeAspect="1"/>
        </xdr:cNvPicPr>
      </xdr:nvPicPr>
      <xdr:blipFill>
        <a:blip xmlns:r="http://schemas.openxmlformats.org/officeDocument/2006/relationships" r:embed="rId137"/>
        <a:stretch>
          <a:fillRect/>
        </a:stretch>
      </xdr:blipFill>
      <xdr:spPr>
        <a:xfrm>
          <a:off x="129540" y="243748560"/>
          <a:ext cx="5194679" cy="795842"/>
        </a:xfrm>
        <a:prstGeom prst="rect">
          <a:avLst/>
        </a:prstGeom>
      </xdr:spPr>
    </xdr:pic>
    <xdr:clientData/>
  </xdr:twoCellAnchor>
  <xdr:twoCellAnchor editAs="oneCell">
    <xdr:from>
      <xdr:col>7</xdr:col>
      <xdr:colOff>0</xdr:colOff>
      <xdr:row>1293</xdr:row>
      <xdr:rowOff>0</xdr:rowOff>
    </xdr:from>
    <xdr:to>
      <xdr:col>14</xdr:col>
      <xdr:colOff>843863</xdr:colOff>
      <xdr:row>1336</xdr:row>
      <xdr:rowOff>3184</xdr:rowOff>
    </xdr:to>
    <xdr:pic>
      <xdr:nvPicPr>
        <xdr:cNvPr id="141" name="Picture 140">
          <a:extLst>
            <a:ext uri="{FF2B5EF4-FFF2-40B4-BE49-F238E27FC236}">
              <a16:creationId xmlns:a16="http://schemas.microsoft.com/office/drawing/2014/main" id="{EFD96E26-11B5-485B-B6D3-02AB25C79D43}"/>
            </a:ext>
          </a:extLst>
        </xdr:cNvPr>
        <xdr:cNvPicPr>
          <a:picLocks noChangeAspect="1"/>
        </xdr:cNvPicPr>
      </xdr:nvPicPr>
      <xdr:blipFill>
        <a:blip xmlns:r="http://schemas.openxmlformats.org/officeDocument/2006/relationships" r:embed="rId138"/>
        <a:stretch>
          <a:fillRect/>
        </a:stretch>
      </xdr:blipFill>
      <xdr:spPr>
        <a:xfrm>
          <a:off x="7246620" y="244480080"/>
          <a:ext cx="7572323" cy="7867024"/>
        </a:xfrm>
        <a:prstGeom prst="rect">
          <a:avLst/>
        </a:prstGeom>
      </xdr:spPr>
    </xdr:pic>
    <xdr:clientData/>
  </xdr:twoCellAnchor>
  <xdr:twoCellAnchor editAs="oneCell">
    <xdr:from>
      <xdr:col>1</xdr:col>
      <xdr:colOff>0</xdr:colOff>
      <xdr:row>1296</xdr:row>
      <xdr:rowOff>0</xdr:rowOff>
    </xdr:from>
    <xdr:to>
      <xdr:col>5</xdr:col>
      <xdr:colOff>520941</xdr:colOff>
      <xdr:row>1319</xdr:row>
      <xdr:rowOff>122903</xdr:rowOff>
    </xdr:to>
    <xdr:pic>
      <xdr:nvPicPr>
        <xdr:cNvPr id="142" name="Picture 141">
          <a:extLst>
            <a:ext uri="{FF2B5EF4-FFF2-40B4-BE49-F238E27FC236}">
              <a16:creationId xmlns:a16="http://schemas.microsoft.com/office/drawing/2014/main" id="{15DC3E1E-D621-4808-8670-D9F161E3975A}"/>
            </a:ext>
          </a:extLst>
        </xdr:cNvPr>
        <xdr:cNvPicPr>
          <a:picLocks noChangeAspect="1"/>
        </xdr:cNvPicPr>
      </xdr:nvPicPr>
      <xdr:blipFill>
        <a:blip xmlns:r="http://schemas.openxmlformats.org/officeDocument/2006/relationships" r:embed="rId139"/>
        <a:stretch>
          <a:fillRect/>
        </a:stretch>
      </xdr:blipFill>
      <xdr:spPr>
        <a:xfrm>
          <a:off x="129540" y="245028720"/>
          <a:ext cx="6418821" cy="4329143"/>
        </a:xfrm>
        <a:prstGeom prst="rect">
          <a:avLst/>
        </a:prstGeom>
      </xdr:spPr>
    </xdr:pic>
    <xdr:clientData/>
  </xdr:twoCellAnchor>
  <xdr:twoCellAnchor editAs="oneCell">
    <xdr:from>
      <xdr:col>1</xdr:col>
      <xdr:colOff>0</xdr:colOff>
      <xdr:row>1321</xdr:row>
      <xdr:rowOff>0</xdr:rowOff>
    </xdr:from>
    <xdr:to>
      <xdr:col>7</xdr:col>
      <xdr:colOff>18086</xdr:colOff>
      <xdr:row>1334</xdr:row>
      <xdr:rowOff>129534</xdr:rowOff>
    </xdr:to>
    <xdr:pic>
      <xdr:nvPicPr>
        <xdr:cNvPr id="143" name="Picture 142">
          <a:extLst>
            <a:ext uri="{FF2B5EF4-FFF2-40B4-BE49-F238E27FC236}">
              <a16:creationId xmlns:a16="http://schemas.microsoft.com/office/drawing/2014/main" id="{D8BACB8E-0128-4783-A026-023D4FBD4D9D}"/>
            </a:ext>
          </a:extLst>
        </xdr:cNvPr>
        <xdr:cNvPicPr>
          <a:picLocks noChangeAspect="1"/>
        </xdr:cNvPicPr>
      </xdr:nvPicPr>
      <xdr:blipFill>
        <a:blip xmlns:r="http://schemas.openxmlformats.org/officeDocument/2006/relationships" r:embed="rId140"/>
        <a:stretch>
          <a:fillRect/>
        </a:stretch>
      </xdr:blipFill>
      <xdr:spPr>
        <a:xfrm>
          <a:off x="129540" y="249600720"/>
          <a:ext cx="7135166" cy="2506974"/>
        </a:xfrm>
        <a:prstGeom prst="rect">
          <a:avLst/>
        </a:prstGeom>
      </xdr:spPr>
    </xdr:pic>
    <xdr:clientData/>
  </xdr:twoCellAnchor>
  <xdr:twoCellAnchor editAs="oneCell">
    <xdr:from>
      <xdr:col>1</xdr:col>
      <xdr:colOff>0</xdr:colOff>
      <xdr:row>1337</xdr:row>
      <xdr:rowOff>0</xdr:rowOff>
    </xdr:from>
    <xdr:to>
      <xdr:col>8</xdr:col>
      <xdr:colOff>555071</xdr:colOff>
      <xdr:row>1362</xdr:row>
      <xdr:rowOff>29025</xdr:rowOff>
    </xdr:to>
    <xdr:pic>
      <xdr:nvPicPr>
        <xdr:cNvPr id="144" name="Picture 143">
          <a:extLst>
            <a:ext uri="{FF2B5EF4-FFF2-40B4-BE49-F238E27FC236}">
              <a16:creationId xmlns:a16="http://schemas.microsoft.com/office/drawing/2014/main" id="{C52B5771-199F-4265-B936-6050D486B73F}"/>
            </a:ext>
          </a:extLst>
        </xdr:cNvPr>
        <xdr:cNvPicPr>
          <a:picLocks noChangeAspect="1"/>
        </xdr:cNvPicPr>
      </xdr:nvPicPr>
      <xdr:blipFill>
        <a:blip xmlns:r="http://schemas.openxmlformats.org/officeDocument/2006/relationships" r:embed="rId141"/>
        <a:stretch>
          <a:fillRect/>
        </a:stretch>
      </xdr:blipFill>
      <xdr:spPr>
        <a:xfrm>
          <a:off x="129540" y="252526800"/>
          <a:ext cx="8685611" cy="4601025"/>
        </a:xfrm>
        <a:prstGeom prst="rect">
          <a:avLst/>
        </a:prstGeom>
      </xdr:spPr>
    </xdr:pic>
    <xdr:clientData/>
  </xdr:twoCellAnchor>
  <xdr:twoCellAnchor editAs="oneCell">
    <xdr:from>
      <xdr:col>9</xdr:col>
      <xdr:colOff>0</xdr:colOff>
      <xdr:row>1337</xdr:row>
      <xdr:rowOff>0</xdr:rowOff>
    </xdr:from>
    <xdr:to>
      <xdr:col>18</xdr:col>
      <xdr:colOff>562047</xdr:colOff>
      <xdr:row>1361</xdr:row>
      <xdr:rowOff>145785</xdr:rowOff>
    </xdr:to>
    <xdr:pic>
      <xdr:nvPicPr>
        <xdr:cNvPr id="145" name="Picture 144">
          <a:extLst>
            <a:ext uri="{FF2B5EF4-FFF2-40B4-BE49-F238E27FC236}">
              <a16:creationId xmlns:a16="http://schemas.microsoft.com/office/drawing/2014/main" id="{A025921B-3998-4B4F-BDB9-F04E4CFCCE15}"/>
            </a:ext>
          </a:extLst>
        </xdr:cNvPr>
        <xdr:cNvPicPr>
          <a:picLocks noChangeAspect="1"/>
        </xdr:cNvPicPr>
      </xdr:nvPicPr>
      <xdr:blipFill>
        <a:blip xmlns:r="http://schemas.openxmlformats.org/officeDocument/2006/relationships" r:embed="rId142"/>
        <a:stretch>
          <a:fillRect/>
        </a:stretch>
      </xdr:blipFill>
      <xdr:spPr>
        <a:xfrm>
          <a:off x="9273540" y="252526800"/>
          <a:ext cx="8113467" cy="4534905"/>
        </a:xfrm>
        <a:prstGeom prst="rect">
          <a:avLst/>
        </a:prstGeom>
      </xdr:spPr>
    </xdr:pic>
    <xdr:clientData/>
  </xdr:twoCellAnchor>
  <xdr:twoCellAnchor editAs="oneCell">
    <xdr:from>
      <xdr:col>1</xdr:col>
      <xdr:colOff>787400</xdr:colOff>
      <xdr:row>1365</xdr:row>
      <xdr:rowOff>25400</xdr:rowOff>
    </xdr:from>
    <xdr:to>
      <xdr:col>5</xdr:col>
      <xdr:colOff>362713</xdr:colOff>
      <xdr:row>1387</xdr:row>
      <xdr:rowOff>152964</xdr:rowOff>
    </xdr:to>
    <xdr:pic>
      <xdr:nvPicPr>
        <xdr:cNvPr id="146" name="Picture 145">
          <a:extLst>
            <a:ext uri="{FF2B5EF4-FFF2-40B4-BE49-F238E27FC236}">
              <a16:creationId xmlns:a16="http://schemas.microsoft.com/office/drawing/2014/main" id="{D8251798-C5D5-483D-BA2E-03B324144CDB}"/>
            </a:ext>
          </a:extLst>
        </xdr:cNvPr>
        <xdr:cNvPicPr>
          <a:picLocks noChangeAspect="1"/>
        </xdr:cNvPicPr>
      </xdr:nvPicPr>
      <xdr:blipFill>
        <a:blip xmlns:r="http://schemas.openxmlformats.org/officeDocument/2006/relationships" r:embed="rId143"/>
        <a:stretch>
          <a:fillRect/>
        </a:stretch>
      </xdr:blipFill>
      <xdr:spPr>
        <a:xfrm>
          <a:off x="916940" y="258038600"/>
          <a:ext cx="5473193" cy="4150924"/>
        </a:xfrm>
        <a:prstGeom prst="rect">
          <a:avLst/>
        </a:prstGeom>
      </xdr:spPr>
    </xdr:pic>
    <xdr:clientData/>
  </xdr:twoCellAnchor>
  <xdr:twoCellAnchor editAs="oneCell">
    <xdr:from>
      <xdr:col>1</xdr:col>
      <xdr:colOff>381000</xdr:colOff>
      <xdr:row>1389</xdr:row>
      <xdr:rowOff>40821</xdr:rowOff>
    </xdr:from>
    <xdr:to>
      <xdr:col>5</xdr:col>
      <xdr:colOff>467561</xdr:colOff>
      <xdr:row>1429</xdr:row>
      <xdr:rowOff>109854</xdr:rowOff>
    </xdr:to>
    <xdr:pic>
      <xdr:nvPicPr>
        <xdr:cNvPr id="147" name="Picture 146">
          <a:extLst>
            <a:ext uri="{FF2B5EF4-FFF2-40B4-BE49-F238E27FC236}">
              <a16:creationId xmlns:a16="http://schemas.microsoft.com/office/drawing/2014/main" id="{B06DCAD5-8F79-47FE-89BD-EF3791B33866}"/>
            </a:ext>
          </a:extLst>
        </xdr:cNvPr>
        <xdr:cNvPicPr>
          <a:picLocks noChangeAspect="1"/>
        </xdr:cNvPicPr>
      </xdr:nvPicPr>
      <xdr:blipFill>
        <a:blip xmlns:r="http://schemas.openxmlformats.org/officeDocument/2006/relationships" r:embed="rId144"/>
        <a:stretch>
          <a:fillRect/>
        </a:stretch>
      </xdr:blipFill>
      <xdr:spPr>
        <a:xfrm>
          <a:off x="510540" y="262443141"/>
          <a:ext cx="5984441" cy="7384233"/>
        </a:xfrm>
        <a:prstGeom prst="rect">
          <a:avLst/>
        </a:prstGeom>
      </xdr:spPr>
    </xdr:pic>
    <xdr:clientData/>
  </xdr:twoCellAnchor>
  <xdr:twoCellAnchor editAs="oneCell">
    <xdr:from>
      <xdr:col>8</xdr:col>
      <xdr:colOff>149678</xdr:colOff>
      <xdr:row>1363</xdr:row>
      <xdr:rowOff>122465</xdr:rowOff>
    </xdr:from>
    <xdr:to>
      <xdr:col>15</xdr:col>
      <xdr:colOff>278545</xdr:colOff>
      <xdr:row>1395</xdr:row>
      <xdr:rowOff>44322</xdr:rowOff>
    </xdr:to>
    <xdr:pic>
      <xdr:nvPicPr>
        <xdr:cNvPr id="148" name="Picture 147">
          <a:extLst>
            <a:ext uri="{FF2B5EF4-FFF2-40B4-BE49-F238E27FC236}">
              <a16:creationId xmlns:a16="http://schemas.microsoft.com/office/drawing/2014/main" id="{9D15B224-F4B7-4ACE-9F6A-49C5B4A45F81}"/>
            </a:ext>
          </a:extLst>
        </xdr:cNvPr>
        <xdr:cNvPicPr>
          <a:picLocks noChangeAspect="1"/>
        </xdr:cNvPicPr>
      </xdr:nvPicPr>
      <xdr:blipFill>
        <a:blip xmlns:r="http://schemas.openxmlformats.org/officeDocument/2006/relationships" r:embed="rId145"/>
        <a:stretch>
          <a:fillRect/>
        </a:stretch>
      </xdr:blipFill>
      <xdr:spPr>
        <a:xfrm>
          <a:off x="8409758" y="257769905"/>
          <a:ext cx="6864947" cy="5774017"/>
        </a:xfrm>
        <a:prstGeom prst="rect">
          <a:avLst/>
        </a:prstGeom>
      </xdr:spPr>
    </xdr:pic>
    <xdr:clientData/>
  </xdr:twoCellAnchor>
  <xdr:twoCellAnchor editAs="oneCell">
    <xdr:from>
      <xdr:col>8</xdr:col>
      <xdr:colOff>0</xdr:colOff>
      <xdr:row>1400</xdr:row>
      <xdr:rowOff>0</xdr:rowOff>
    </xdr:from>
    <xdr:to>
      <xdr:col>15</xdr:col>
      <xdr:colOff>176499</xdr:colOff>
      <xdr:row>1410</xdr:row>
      <xdr:rowOff>22021</xdr:rowOff>
    </xdr:to>
    <xdr:pic>
      <xdr:nvPicPr>
        <xdr:cNvPr id="149" name="Picture 148">
          <a:extLst>
            <a:ext uri="{FF2B5EF4-FFF2-40B4-BE49-F238E27FC236}">
              <a16:creationId xmlns:a16="http://schemas.microsoft.com/office/drawing/2014/main" id="{3D32E2E3-0D71-4877-A12D-0E6ED7ACAF49}"/>
            </a:ext>
          </a:extLst>
        </xdr:cNvPr>
        <xdr:cNvPicPr>
          <a:picLocks noChangeAspect="1"/>
        </xdr:cNvPicPr>
      </xdr:nvPicPr>
      <xdr:blipFill>
        <a:blip xmlns:r="http://schemas.openxmlformats.org/officeDocument/2006/relationships" r:embed="rId146"/>
        <a:stretch>
          <a:fillRect/>
        </a:stretch>
      </xdr:blipFill>
      <xdr:spPr>
        <a:xfrm>
          <a:off x="8260080" y="264414000"/>
          <a:ext cx="6912579" cy="1850821"/>
        </a:xfrm>
        <a:prstGeom prst="rect">
          <a:avLst/>
        </a:prstGeom>
      </xdr:spPr>
    </xdr:pic>
    <xdr:clientData/>
  </xdr:twoCellAnchor>
  <xdr:twoCellAnchor editAs="oneCell">
    <xdr:from>
      <xdr:col>8</xdr:col>
      <xdr:colOff>0</xdr:colOff>
      <xdr:row>1412</xdr:row>
      <xdr:rowOff>0</xdr:rowOff>
    </xdr:from>
    <xdr:to>
      <xdr:col>15</xdr:col>
      <xdr:colOff>357499</xdr:colOff>
      <xdr:row>1446</xdr:row>
      <xdr:rowOff>168230</xdr:rowOff>
    </xdr:to>
    <xdr:pic>
      <xdr:nvPicPr>
        <xdr:cNvPr id="150" name="Picture 149">
          <a:extLst>
            <a:ext uri="{FF2B5EF4-FFF2-40B4-BE49-F238E27FC236}">
              <a16:creationId xmlns:a16="http://schemas.microsoft.com/office/drawing/2014/main" id="{331473E2-4703-45B0-8D95-0E7073FEF23B}"/>
            </a:ext>
          </a:extLst>
        </xdr:cNvPr>
        <xdr:cNvPicPr>
          <a:picLocks noChangeAspect="1"/>
        </xdr:cNvPicPr>
      </xdr:nvPicPr>
      <xdr:blipFill>
        <a:blip xmlns:r="http://schemas.openxmlformats.org/officeDocument/2006/relationships" r:embed="rId147"/>
        <a:stretch>
          <a:fillRect/>
        </a:stretch>
      </xdr:blipFill>
      <xdr:spPr>
        <a:xfrm>
          <a:off x="8260080" y="266608560"/>
          <a:ext cx="7093579" cy="6386150"/>
        </a:xfrm>
        <a:prstGeom prst="rect">
          <a:avLst/>
        </a:prstGeom>
      </xdr:spPr>
    </xdr:pic>
    <xdr:clientData/>
  </xdr:twoCellAnchor>
  <xdr:twoCellAnchor editAs="oneCell">
    <xdr:from>
      <xdr:col>1</xdr:col>
      <xdr:colOff>0</xdr:colOff>
      <xdr:row>1434</xdr:row>
      <xdr:rowOff>0</xdr:rowOff>
    </xdr:from>
    <xdr:to>
      <xdr:col>6</xdr:col>
      <xdr:colOff>112503</xdr:colOff>
      <xdr:row>1453</xdr:row>
      <xdr:rowOff>68514</xdr:rowOff>
    </xdr:to>
    <xdr:pic>
      <xdr:nvPicPr>
        <xdr:cNvPr id="151" name="Picture 150">
          <a:extLst>
            <a:ext uri="{FF2B5EF4-FFF2-40B4-BE49-F238E27FC236}">
              <a16:creationId xmlns:a16="http://schemas.microsoft.com/office/drawing/2014/main" id="{DE79B9F4-D217-474E-A1FB-FE8F9DA4504C}"/>
            </a:ext>
          </a:extLst>
        </xdr:cNvPr>
        <xdr:cNvPicPr>
          <a:picLocks noChangeAspect="1"/>
        </xdr:cNvPicPr>
      </xdr:nvPicPr>
      <xdr:blipFill>
        <a:blip xmlns:r="http://schemas.openxmlformats.org/officeDocument/2006/relationships" r:embed="rId148"/>
        <a:stretch>
          <a:fillRect/>
        </a:stretch>
      </xdr:blipFill>
      <xdr:spPr>
        <a:xfrm>
          <a:off x="129540" y="270631920"/>
          <a:ext cx="6619983" cy="3543234"/>
        </a:xfrm>
        <a:prstGeom prst="rect">
          <a:avLst/>
        </a:prstGeom>
      </xdr:spPr>
    </xdr:pic>
    <xdr:clientData/>
  </xdr:twoCellAnchor>
  <xdr:twoCellAnchor editAs="oneCell">
    <xdr:from>
      <xdr:col>7</xdr:col>
      <xdr:colOff>830036</xdr:colOff>
      <xdr:row>1448</xdr:row>
      <xdr:rowOff>108857</xdr:rowOff>
    </xdr:from>
    <xdr:to>
      <xdr:col>15</xdr:col>
      <xdr:colOff>104395</xdr:colOff>
      <xdr:row>1474</xdr:row>
      <xdr:rowOff>25122</xdr:rowOff>
    </xdr:to>
    <xdr:pic>
      <xdr:nvPicPr>
        <xdr:cNvPr id="152" name="Picture 151">
          <a:extLst>
            <a:ext uri="{FF2B5EF4-FFF2-40B4-BE49-F238E27FC236}">
              <a16:creationId xmlns:a16="http://schemas.microsoft.com/office/drawing/2014/main" id="{9A0E9AC5-D133-475B-A17E-FA59A69CC9FA}"/>
            </a:ext>
          </a:extLst>
        </xdr:cNvPr>
        <xdr:cNvPicPr>
          <a:picLocks noChangeAspect="1"/>
        </xdr:cNvPicPr>
      </xdr:nvPicPr>
      <xdr:blipFill>
        <a:blip xmlns:r="http://schemas.openxmlformats.org/officeDocument/2006/relationships" r:embed="rId149"/>
        <a:stretch>
          <a:fillRect/>
        </a:stretch>
      </xdr:blipFill>
      <xdr:spPr>
        <a:xfrm>
          <a:off x="8076656" y="273301097"/>
          <a:ext cx="7023899" cy="4671145"/>
        </a:xfrm>
        <a:prstGeom prst="rect">
          <a:avLst/>
        </a:prstGeom>
      </xdr:spPr>
    </xdr:pic>
    <xdr:clientData/>
  </xdr:twoCellAnchor>
  <xdr:twoCellAnchor editAs="oneCell">
    <xdr:from>
      <xdr:col>14</xdr:col>
      <xdr:colOff>489859</xdr:colOff>
      <xdr:row>1</xdr:row>
      <xdr:rowOff>68037</xdr:rowOff>
    </xdr:from>
    <xdr:to>
      <xdr:col>24</xdr:col>
      <xdr:colOff>449036</xdr:colOff>
      <xdr:row>6</xdr:row>
      <xdr:rowOff>9600</xdr:rowOff>
    </xdr:to>
    <xdr:pic>
      <xdr:nvPicPr>
        <xdr:cNvPr id="153" name="Picture 152">
          <a:extLst>
            <a:ext uri="{FF2B5EF4-FFF2-40B4-BE49-F238E27FC236}">
              <a16:creationId xmlns:a16="http://schemas.microsoft.com/office/drawing/2014/main" id="{2E567353-32E5-4ACD-8714-CCBE2DBE70C4}"/>
            </a:ext>
          </a:extLst>
        </xdr:cNvPr>
        <xdr:cNvPicPr>
          <a:picLocks noChangeAspect="1"/>
        </xdr:cNvPicPr>
      </xdr:nvPicPr>
      <xdr:blipFill>
        <a:blip xmlns:r="http://schemas.openxmlformats.org/officeDocument/2006/relationships" r:embed="rId150"/>
        <a:stretch>
          <a:fillRect/>
        </a:stretch>
      </xdr:blipFill>
      <xdr:spPr>
        <a:xfrm>
          <a:off x="14464939" y="250917"/>
          <a:ext cx="6466657" cy="855963"/>
        </a:xfrm>
        <a:prstGeom prst="rect">
          <a:avLst/>
        </a:prstGeom>
      </xdr:spPr>
    </xdr:pic>
    <xdr:clientData/>
  </xdr:twoCellAnchor>
  <xdr:twoCellAnchor editAs="oneCell">
    <xdr:from>
      <xdr:col>13</xdr:col>
      <xdr:colOff>0</xdr:colOff>
      <xdr:row>177</xdr:row>
      <xdr:rowOff>0</xdr:rowOff>
    </xdr:from>
    <xdr:to>
      <xdr:col>26</xdr:col>
      <xdr:colOff>546706</xdr:colOff>
      <xdr:row>185</xdr:row>
      <xdr:rowOff>128829</xdr:rowOff>
    </xdr:to>
    <xdr:pic>
      <xdr:nvPicPr>
        <xdr:cNvPr id="154" name="Picture 153">
          <a:extLst>
            <a:ext uri="{FF2B5EF4-FFF2-40B4-BE49-F238E27FC236}">
              <a16:creationId xmlns:a16="http://schemas.microsoft.com/office/drawing/2014/main" id="{1C35E75E-D432-405F-AB21-DA3ED0FE1B08}"/>
            </a:ext>
          </a:extLst>
        </xdr:cNvPr>
        <xdr:cNvPicPr>
          <a:picLocks noChangeAspect="1"/>
        </xdr:cNvPicPr>
      </xdr:nvPicPr>
      <xdr:blipFill>
        <a:blip xmlns:r="http://schemas.openxmlformats.org/officeDocument/2006/relationships" r:embed="rId151"/>
        <a:stretch>
          <a:fillRect/>
        </a:stretch>
      </xdr:blipFill>
      <xdr:spPr>
        <a:xfrm>
          <a:off x="12603480" y="33840420"/>
          <a:ext cx="9644986" cy="1591869"/>
        </a:xfrm>
        <a:prstGeom prst="rect">
          <a:avLst/>
        </a:prstGeom>
      </xdr:spPr>
    </xdr:pic>
    <xdr:clientData/>
  </xdr:twoCellAnchor>
  <xdr:twoCellAnchor editAs="oneCell">
    <xdr:from>
      <xdr:col>6</xdr:col>
      <xdr:colOff>247137</xdr:colOff>
      <xdr:row>49</xdr:row>
      <xdr:rowOff>82379</xdr:rowOff>
    </xdr:from>
    <xdr:to>
      <xdr:col>9</xdr:col>
      <xdr:colOff>247137</xdr:colOff>
      <xdr:row>67</xdr:row>
      <xdr:rowOff>64057</xdr:rowOff>
    </xdr:to>
    <xdr:pic>
      <xdr:nvPicPr>
        <xdr:cNvPr id="155" name="Picture 154">
          <a:extLst>
            <a:ext uri="{FF2B5EF4-FFF2-40B4-BE49-F238E27FC236}">
              <a16:creationId xmlns:a16="http://schemas.microsoft.com/office/drawing/2014/main" id="{2321949D-169F-4A7A-AD75-0E17E9D69F9C}"/>
            </a:ext>
          </a:extLst>
        </xdr:cNvPr>
        <xdr:cNvPicPr>
          <a:picLocks noChangeAspect="1"/>
        </xdr:cNvPicPr>
      </xdr:nvPicPr>
      <xdr:blipFill>
        <a:blip xmlns:r="http://schemas.openxmlformats.org/officeDocument/2006/relationships" r:embed="rId152"/>
        <a:stretch>
          <a:fillRect/>
        </a:stretch>
      </xdr:blipFill>
      <xdr:spPr>
        <a:xfrm>
          <a:off x="6884157" y="9531179"/>
          <a:ext cx="2636520" cy="3273518"/>
        </a:xfrm>
        <a:prstGeom prst="rect">
          <a:avLst/>
        </a:prstGeom>
      </xdr:spPr>
    </xdr:pic>
    <xdr:clientData/>
  </xdr:twoCellAnchor>
  <xdr:twoCellAnchor editAs="oneCell">
    <xdr:from>
      <xdr:col>15</xdr:col>
      <xdr:colOff>15550</xdr:colOff>
      <xdr:row>1482</xdr:row>
      <xdr:rowOff>139958</xdr:rowOff>
    </xdr:from>
    <xdr:to>
      <xdr:col>24</xdr:col>
      <xdr:colOff>466529</xdr:colOff>
      <xdr:row>1523</xdr:row>
      <xdr:rowOff>22709</xdr:rowOff>
    </xdr:to>
    <xdr:pic>
      <xdr:nvPicPr>
        <xdr:cNvPr id="156" name="Picture 155">
          <a:extLst>
            <a:ext uri="{FF2B5EF4-FFF2-40B4-BE49-F238E27FC236}">
              <a16:creationId xmlns:a16="http://schemas.microsoft.com/office/drawing/2014/main" id="{A9C33FE1-976E-4D69-A720-DF6B9FE2CB97}"/>
            </a:ext>
          </a:extLst>
        </xdr:cNvPr>
        <xdr:cNvPicPr>
          <a:picLocks noChangeAspect="1"/>
        </xdr:cNvPicPr>
      </xdr:nvPicPr>
      <xdr:blipFill>
        <a:blip xmlns:r="http://schemas.openxmlformats.org/officeDocument/2006/relationships" r:embed="rId152"/>
        <a:stretch>
          <a:fillRect/>
        </a:stretch>
      </xdr:blipFill>
      <xdr:spPr>
        <a:xfrm>
          <a:off x="15011710" y="279550118"/>
          <a:ext cx="5937379" cy="7380831"/>
        </a:xfrm>
        <a:prstGeom prst="rect">
          <a:avLst/>
        </a:prstGeom>
      </xdr:spPr>
    </xdr:pic>
    <xdr:clientData/>
  </xdr:twoCellAnchor>
  <xdr:twoCellAnchor editAs="oneCell">
    <xdr:from>
      <xdr:col>26</xdr:col>
      <xdr:colOff>0</xdr:colOff>
      <xdr:row>1482</xdr:row>
      <xdr:rowOff>0</xdr:rowOff>
    </xdr:from>
    <xdr:to>
      <xdr:col>36</xdr:col>
      <xdr:colOff>31953</xdr:colOff>
      <xdr:row>1503</xdr:row>
      <xdr:rowOff>64315</xdr:rowOff>
    </xdr:to>
    <xdr:pic>
      <xdr:nvPicPr>
        <xdr:cNvPr id="157" name="Picture 156">
          <a:extLst>
            <a:ext uri="{FF2B5EF4-FFF2-40B4-BE49-F238E27FC236}">
              <a16:creationId xmlns:a16="http://schemas.microsoft.com/office/drawing/2014/main" id="{6303863D-ABBB-45C1-B19E-ECDE46C775D6}"/>
            </a:ext>
          </a:extLst>
        </xdr:cNvPr>
        <xdr:cNvPicPr>
          <a:picLocks noChangeAspect="1"/>
        </xdr:cNvPicPr>
      </xdr:nvPicPr>
      <xdr:blipFill>
        <a:blip xmlns:r="http://schemas.openxmlformats.org/officeDocument/2006/relationships" r:embed="rId153"/>
        <a:stretch>
          <a:fillRect/>
        </a:stretch>
      </xdr:blipFill>
      <xdr:spPr>
        <a:xfrm>
          <a:off x="21701760" y="279410160"/>
          <a:ext cx="6127953" cy="3904795"/>
        </a:xfrm>
        <a:prstGeom prst="rect">
          <a:avLst/>
        </a:prstGeom>
      </xdr:spPr>
    </xdr:pic>
    <xdr:clientData/>
  </xdr:twoCellAnchor>
  <xdr:twoCellAnchor editAs="oneCell">
    <xdr:from>
      <xdr:col>26</xdr:col>
      <xdr:colOff>128955</xdr:colOff>
      <xdr:row>1</xdr:row>
      <xdr:rowOff>105507</xdr:rowOff>
    </xdr:from>
    <xdr:to>
      <xdr:col>32</xdr:col>
      <xdr:colOff>234463</xdr:colOff>
      <xdr:row>6</xdr:row>
      <xdr:rowOff>66709</xdr:rowOff>
    </xdr:to>
    <xdr:pic>
      <xdr:nvPicPr>
        <xdr:cNvPr id="158" name="Picture 157">
          <a:extLst>
            <a:ext uri="{FF2B5EF4-FFF2-40B4-BE49-F238E27FC236}">
              <a16:creationId xmlns:a16="http://schemas.microsoft.com/office/drawing/2014/main" id="{6BE2D1D0-C228-42C8-96F4-340AC0E62417}"/>
            </a:ext>
          </a:extLst>
        </xdr:cNvPr>
        <xdr:cNvPicPr>
          <a:picLocks noChangeAspect="1"/>
        </xdr:cNvPicPr>
      </xdr:nvPicPr>
      <xdr:blipFill>
        <a:blip xmlns:r="http://schemas.openxmlformats.org/officeDocument/2006/relationships" r:embed="rId154"/>
        <a:stretch>
          <a:fillRect/>
        </a:stretch>
      </xdr:blipFill>
      <xdr:spPr>
        <a:xfrm>
          <a:off x="21830715" y="288387"/>
          <a:ext cx="3763108" cy="875602"/>
        </a:xfrm>
        <a:prstGeom prst="rect">
          <a:avLst/>
        </a:prstGeom>
      </xdr:spPr>
    </xdr:pic>
    <xdr:clientData/>
  </xdr:twoCellAnchor>
  <xdr:twoCellAnchor editAs="oneCell">
    <xdr:from>
      <xdr:col>25</xdr:col>
      <xdr:colOff>562709</xdr:colOff>
      <xdr:row>1</xdr:row>
      <xdr:rowOff>105507</xdr:rowOff>
    </xdr:from>
    <xdr:to>
      <xdr:col>32</xdr:col>
      <xdr:colOff>58617</xdr:colOff>
      <xdr:row>6</xdr:row>
      <xdr:rowOff>66709</xdr:rowOff>
    </xdr:to>
    <xdr:pic>
      <xdr:nvPicPr>
        <xdr:cNvPr id="159" name="Picture 158">
          <a:extLst>
            <a:ext uri="{FF2B5EF4-FFF2-40B4-BE49-F238E27FC236}">
              <a16:creationId xmlns:a16="http://schemas.microsoft.com/office/drawing/2014/main" id="{689C4E23-09A6-4665-8FE6-91F1D986DAEF}"/>
            </a:ext>
          </a:extLst>
        </xdr:cNvPr>
        <xdr:cNvPicPr>
          <a:picLocks noChangeAspect="1"/>
        </xdr:cNvPicPr>
      </xdr:nvPicPr>
      <xdr:blipFill>
        <a:blip xmlns:r="http://schemas.openxmlformats.org/officeDocument/2006/relationships" r:embed="rId154"/>
        <a:stretch>
          <a:fillRect/>
        </a:stretch>
      </xdr:blipFill>
      <xdr:spPr>
        <a:xfrm>
          <a:off x="21654869" y="288387"/>
          <a:ext cx="3763108" cy="875602"/>
        </a:xfrm>
        <a:prstGeom prst="rect">
          <a:avLst/>
        </a:prstGeom>
      </xdr:spPr>
    </xdr:pic>
    <xdr:clientData/>
  </xdr:twoCellAnchor>
  <xdr:twoCellAnchor editAs="oneCell">
    <xdr:from>
      <xdr:col>32</xdr:col>
      <xdr:colOff>257907</xdr:colOff>
      <xdr:row>1</xdr:row>
      <xdr:rowOff>70339</xdr:rowOff>
    </xdr:from>
    <xdr:to>
      <xdr:col>40</xdr:col>
      <xdr:colOff>58535</xdr:colOff>
      <xdr:row>5</xdr:row>
      <xdr:rowOff>124815</xdr:rowOff>
    </xdr:to>
    <xdr:pic>
      <xdr:nvPicPr>
        <xdr:cNvPr id="160" name="Picture 159">
          <a:extLst>
            <a:ext uri="{FF2B5EF4-FFF2-40B4-BE49-F238E27FC236}">
              <a16:creationId xmlns:a16="http://schemas.microsoft.com/office/drawing/2014/main" id="{331BCA46-122D-4BF2-9716-8FA2C66111F3}"/>
            </a:ext>
          </a:extLst>
        </xdr:cNvPr>
        <xdr:cNvPicPr>
          <a:picLocks noChangeAspect="1"/>
        </xdr:cNvPicPr>
      </xdr:nvPicPr>
      <xdr:blipFill>
        <a:blip xmlns:r="http://schemas.openxmlformats.org/officeDocument/2006/relationships" r:embed="rId155"/>
        <a:stretch>
          <a:fillRect/>
        </a:stretch>
      </xdr:blipFill>
      <xdr:spPr>
        <a:xfrm>
          <a:off x="25617267" y="253219"/>
          <a:ext cx="4677428" cy="785996"/>
        </a:xfrm>
        <a:prstGeom prst="rect">
          <a:avLst/>
        </a:prstGeom>
      </xdr:spPr>
    </xdr:pic>
    <xdr:clientData/>
  </xdr:twoCellAnchor>
  <xdr:twoCellAnchor editAs="oneCell">
    <xdr:from>
      <xdr:col>27</xdr:col>
      <xdr:colOff>165652</xdr:colOff>
      <xdr:row>177</xdr:row>
      <xdr:rowOff>132523</xdr:rowOff>
    </xdr:from>
    <xdr:to>
      <xdr:col>34</xdr:col>
      <xdr:colOff>579193</xdr:colOff>
      <xdr:row>182</xdr:row>
      <xdr:rowOff>9420</xdr:rowOff>
    </xdr:to>
    <xdr:pic>
      <xdr:nvPicPr>
        <xdr:cNvPr id="161" name="Picture 160">
          <a:extLst>
            <a:ext uri="{FF2B5EF4-FFF2-40B4-BE49-F238E27FC236}">
              <a16:creationId xmlns:a16="http://schemas.microsoft.com/office/drawing/2014/main" id="{C0169A4A-B438-4119-926A-05284672B509}"/>
            </a:ext>
          </a:extLst>
        </xdr:cNvPr>
        <xdr:cNvPicPr>
          <a:picLocks noChangeAspect="1"/>
        </xdr:cNvPicPr>
      </xdr:nvPicPr>
      <xdr:blipFill>
        <a:blip xmlns:r="http://schemas.openxmlformats.org/officeDocument/2006/relationships" r:embed="rId155"/>
        <a:stretch>
          <a:fillRect/>
        </a:stretch>
      </xdr:blipFill>
      <xdr:spPr>
        <a:xfrm>
          <a:off x="22477012" y="33972943"/>
          <a:ext cx="4680741" cy="791297"/>
        </a:xfrm>
        <a:prstGeom prst="rect">
          <a:avLst/>
        </a:prstGeom>
      </xdr:spPr>
    </xdr:pic>
    <xdr:clientData/>
  </xdr:twoCellAnchor>
  <xdr:twoCellAnchor editAs="oneCell">
    <xdr:from>
      <xdr:col>1</xdr:col>
      <xdr:colOff>0</xdr:colOff>
      <xdr:row>1488</xdr:row>
      <xdr:rowOff>0</xdr:rowOff>
    </xdr:from>
    <xdr:to>
      <xdr:col>3</xdr:col>
      <xdr:colOff>485913</xdr:colOff>
      <xdr:row>1499</xdr:row>
      <xdr:rowOff>169142</xdr:rowOff>
    </xdr:to>
    <xdr:pic>
      <xdr:nvPicPr>
        <xdr:cNvPr id="162" name="Picture 161">
          <a:extLst>
            <a:ext uri="{FF2B5EF4-FFF2-40B4-BE49-F238E27FC236}">
              <a16:creationId xmlns:a16="http://schemas.microsoft.com/office/drawing/2014/main" id="{3DEE4813-D69A-4FFE-AE62-F800115023D2}"/>
            </a:ext>
          </a:extLst>
        </xdr:cNvPr>
        <xdr:cNvPicPr>
          <a:picLocks noChangeAspect="1"/>
        </xdr:cNvPicPr>
      </xdr:nvPicPr>
      <xdr:blipFill>
        <a:blip xmlns:r="http://schemas.openxmlformats.org/officeDocument/2006/relationships" r:embed="rId156"/>
        <a:stretch>
          <a:fillRect/>
        </a:stretch>
      </xdr:blipFill>
      <xdr:spPr>
        <a:xfrm>
          <a:off x="129540" y="280804620"/>
          <a:ext cx="5164593" cy="2180822"/>
        </a:xfrm>
        <a:prstGeom prst="rect">
          <a:avLst/>
        </a:prstGeom>
      </xdr:spPr>
    </xdr:pic>
    <xdr:clientData/>
  </xdr:twoCellAnchor>
  <xdr:twoCellAnchor editAs="oneCell">
    <xdr:from>
      <xdr:col>5</xdr:col>
      <xdr:colOff>55218</xdr:colOff>
      <xdr:row>1487</xdr:row>
      <xdr:rowOff>88347</xdr:rowOff>
    </xdr:from>
    <xdr:to>
      <xdr:col>12</xdr:col>
      <xdr:colOff>306858</xdr:colOff>
      <xdr:row>1505</xdr:row>
      <xdr:rowOff>30280</xdr:rowOff>
    </xdr:to>
    <xdr:pic>
      <xdr:nvPicPr>
        <xdr:cNvPr id="163" name="Picture 162">
          <a:extLst>
            <a:ext uri="{FF2B5EF4-FFF2-40B4-BE49-F238E27FC236}">
              <a16:creationId xmlns:a16="http://schemas.microsoft.com/office/drawing/2014/main" id="{0204D468-DE34-4F0D-BF95-3D9342182024}"/>
            </a:ext>
          </a:extLst>
        </xdr:cNvPr>
        <xdr:cNvPicPr>
          <a:picLocks noChangeAspect="1"/>
        </xdr:cNvPicPr>
      </xdr:nvPicPr>
      <xdr:blipFill>
        <a:blip xmlns:r="http://schemas.openxmlformats.org/officeDocument/2006/relationships" r:embed="rId157"/>
        <a:stretch>
          <a:fillRect/>
        </a:stretch>
      </xdr:blipFill>
      <xdr:spPr>
        <a:xfrm>
          <a:off x="6082638" y="280710087"/>
          <a:ext cx="5837100" cy="3233773"/>
        </a:xfrm>
        <a:prstGeom prst="rect">
          <a:avLst/>
        </a:prstGeom>
      </xdr:spPr>
    </xdr:pic>
    <xdr:clientData/>
  </xdr:twoCellAnchor>
  <xdr:twoCellAnchor editAs="oneCell">
    <xdr:from>
      <xdr:col>5</xdr:col>
      <xdr:colOff>11044</xdr:colOff>
      <xdr:row>1504</xdr:row>
      <xdr:rowOff>121478</xdr:rowOff>
    </xdr:from>
    <xdr:to>
      <xdr:col>12</xdr:col>
      <xdr:colOff>53105</xdr:colOff>
      <xdr:row>1511</xdr:row>
      <xdr:rowOff>160043</xdr:rowOff>
    </xdr:to>
    <xdr:pic>
      <xdr:nvPicPr>
        <xdr:cNvPr id="164" name="Picture 163">
          <a:extLst>
            <a:ext uri="{FF2B5EF4-FFF2-40B4-BE49-F238E27FC236}">
              <a16:creationId xmlns:a16="http://schemas.microsoft.com/office/drawing/2014/main" id="{F638EDE5-3A8C-43BD-9CA6-A2E45185D0C7}"/>
            </a:ext>
          </a:extLst>
        </xdr:cNvPr>
        <xdr:cNvPicPr>
          <a:picLocks noChangeAspect="1"/>
        </xdr:cNvPicPr>
      </xdr:nvPicPr>
      <xdr:blipFill>
        <a:blip xmlns:r="http://schemas.openxmlformats.org/officeDocument/2006/relationships" r:embed="rId158"/>
        <a:stretch>
          <a:fillRect/>
        </a:stretch>
      </xdr:blipFill>
      <xdr:spPr>
        <a:xfrm>
          <a:off x="6038464" y="283996958"/>
          <a:ext cx="5627521" cy="1318725"/>
        </a:xfrm>
        <a:prstGeom prst="rect">
          <a:avLst/>
        </a:prstGeom>
      </xdr:spPr>
    </xdr:pic>
    <xdr:clientData/>
  </xdr:twoCellAnchor>
  <xdr:twoCellAnchor editAs="oneCell">
    <xdr:from>
      <xdr:col>1</xdr:col>
      <xdr:colOff>1</xdr:colOff>
      <xdr:row>1513</xdr:row>
      <xdr:rowOff>0</xdr:rowOff>
    </xdr:from>
    <xdr:to>
      <xdr:col>2</xdr:col>
      <xdr:colOff>198783</xdr:colOff>
      <xdr:row>1531</xdr:row>
      <xdr:rowOff>86040</xdr:rowOff>
    </xdr:to>
    <xdr:pic>
      <xdr:nvPicPr>
        <xdr:cNvPr id="165" name="Picture 164">
          <a:extLst>
            <a:ext uri="{FF2B5EF4-FFF2-40B4-BE49-F238E27FC236}">
              <a16:creationId xmlns:a16="http://schemas.microsoft.com/office/drawing/2014/main" id="{9B2E5FCE-A71D-416F-A83A-A72C3CDD9344}"/>
            </a:ext>
          </a:extLst>
        </xdr:cNvPr>
        <xdr:cNvPicPr>
          <a:picLocks noChangeAspect="1"/>
        </xdr:cNvPicPr>
      </xdr:nvPicPr>
      <xdr:blipFill>
        <a:blip xmlns:r="http://schemas.openxmlformats.org/officeDocument/2006/relationships" r:embed="rId159"/>
        <a:stretch>
          <a:fillRect/>
        </a:stretch>
      </xdr:blipFill>
      <xdr:spPr>
        <a:xfrm>
          <a:off x="129541" y="285521400"/>
          <a:ext cx="4267862" cy="3377880"/>
        </a:xfrm>
        <a:prstGeom prst="rect">
          <a:avLst/>
        </a:prstGeom>
      </xdr:spPr>
    </xdr:pic>
    <xdr:clientData/>
  </xdr:twoCellAnchor>
  <xdr:twoCellAnchor editAs="oneCell">
    <xdr:from>
      <xdr:col>4</xdr:col>
      <xdr:colOff>88348</xdr:colOff>
      <xdr:row>1514</xdr:row>
      <xdr:rowOff>121479</xdr:rowOff>
    </xdr:from>
    <xdr:to>
      <xdr:col>11</xdr:col>
      <xdr:colOff>330462</xdr:colOff>
      <xdr:row>1520</xdr:row>
      <xdr:rowOff>109625</xdr:rowOff>
    </xdr:to>
    <xdr:pic>
      <xdr:nvPicPr>
        <xdr:cNvPr id="166" name="Picture 165">
          <a:extLst>
            <a:ext uri="{FF2B5EF4-FFF2-40B4-BE49-F238E27FC236}">
              <a16:creationId xmlns:a16="http://schemas.microsoft.com/office/drawing/2014/main" id="{487994D0-D6A9-44FC-8BE8-75D040CB4349}"/>
            </a:ext>
          </a:extLst>
        </xdr:cNvPr>
        <xdr:cNvPicPr>
          <a:picLocks noChangeAspect="1"/>
        </xdr:cNvPicPr>
      </xdr:nvPicPr>
      <xdr:blipFill>
        <a:blip xmlns:r="http://schemas.openxmlformats.org/officeDocument/2006/relationships" r:embed="rId160"/>
        <a:stretch>
          <a:fillRect/>
        </a:stretch>
      </xdr:blipFill>
      <xdr:spPr>
        <a:xfrm>
          <a:off x="5506168" y="285825759"/>
          <a:ext cx="5827574" cy="1085426"/>
        </a:xfrm>
        <a:prstGeom prst="rect">
          <a:avLst/>
        </a:prstGeom>
      </xdr:spPr>
    </xdr:pic>
    <xdr:clientData/>
  </xdr:twoCellAnchor>
  <xdr:twoCellAnchor editAs="oneCell">
    <xdr:from>
      <xdr:col>4</xdr:col>
      <xdr:colOff>0</xdr:colOff>
      <xdr:row>1523</xdr:row>
      <xdr:rowOff>0</xdr:rowOff>
    </xdr:from>
    <xdr:to>
      <xdr:col>11</xdr:col>
      <xdr:colOff>413588</xdr:colOff>
      <xdr:row>1538</xdr:row>
      <xdr:rowOff>66938</xdr:rowOff>
    </xdr:to>
    <xdr:pic>
      <xdr:nvPicPr>
        <xdr:cNvPr id="167" name="Picture 166">
          <a:extLst>
            <a:ext uri="{FF2B5EF4-FFF2-40B4-BE49-F238E27FC236}">
              <a16:creationId xmlns:a16="http://schemas.microsoft.com/office/drawing/2014/main" id="{847E1CC1-4E4D-49B6-814D-095EDBE1F851}"/>
            </a:ext>
          </a:extLst>
        </xdr:cNvPr>
        <xdr:cNvPicPr>
          <a:picLocks noChangeAspect="1"/>
        </xdr:cNvPicPr>
      </xdr:nvPicPr>
      <xdr:blipFill>
        <a:blip xmlns:r="http://schemas.openxmlformats.org/officeDocument/2006/relationships" r:embed="rId161"/>
        <a:stretch>
          <a:fillRect/>
        </a:stretch>
      </xdr:blipFill>
      <xdr:spPr>
        <a:xfrm>
          <a:off x="5417820" y="287350200"/>
          <a:ext cx="5999048" cy="2810138"/>
        </a:xfrm>
        <a:prstGeom prst="rect">
          <a:avLst/>
        </a:prstGeom>
      </xdr:spPr>
    </xdr:pic>
    <xdr:clientData/>
  </xdr:twoCellAnchor>
  <xdr:twoCellAnchor editAs="oneCell">
    <xdr:from>
      <xdr:col>1</xdr:col>
      <xdr:colOff>452782</xdr:colOff>
      <xdr:row>1532</xdr:row>
      <xdr:rowOff>176697</xdr:rowOff>
    </xdr:from>
    <xdr:to>
      <xdr:col>2</xdr:col>
      <xdr:colOff>552173</xdr:colOff>
      <xdr:row>1555</xdr:row>
      <xdr:rowOff>11103</xdr:rowOff>
    </xdr:to>
    <xdr:pic>
      <xdr:nvPicPr>
        <xdr:cNvPr id="168" name="Picture 167">
          <a:extLst>
            <a:ext uri="{FF2B5EF4-FFF2-40B4-BE49-F238E27FC236}">
              <a16:creationId xmlns:a16="http://schemas.microsoft.com/office/drawing/2014/main" id="{75343F61-00C5-41A3-94FF-D733F8CDE52B}"/>
            </a:ext>
          </a:extLst>
        </xdr:cNvPr>
        <xdr:cNvPicPr>
          <a:picLocks noChangeAspect="1"/>
        </xdr:cNvPicPr>
      </xdr:nvPicPr>
      <xdr:blipFill>
        <a:blip xmlns:r="http://schemas.openxmlformats.org/officeDocument/2006/relationships" r:embed="rId162"/>
        <a:stretch>
          <a:fillRect/>
        </a:stretch>
      </xdr:blipFill>
      <xdr:spPr>
        <a:xfrm>
          <a:off x="582322" y="289317597"/>
          <a:ext cx="4168471" cy="4040646"/>
        </a:xfrm>
        <a:prstGeom prst="rect">
          <a:avLst/>
        </a:prstGeom>
      </xdr:spPr>
    </xdr:pic>
    <xdr:clientData/>
  </xdr:twoCellAnchor>
  <xdr:twoCellAnchor editAs="oneCell">
    <xdr:from>
      <xdr:col>4</xdr:col>
      <xdr:colOff>0</xdr:colOff>
      <xdr:row>1539</xdr:row>
      <xdr:rowOff>0</xdr:rowOff>
    </xdr:from>
    <xdr:to>
      <xdr:col>12</xdr:col>
      <xdr:colOff>644513</xdr:colOff>
      <xdr:row>1542</xdr:row>
      <xdr:rowOff>170310</xdr:rowOff>
    </xdr:to>
    <xdr:pic>
      <xdr:nvPicPr>
        <xdr:cNvPr id="169" name="Picture 168">
          <a:extLst>
            <a:ext uri="{FF2B5EF4-FFF2-40B4-BE49-F238E27FC236}">
              <a16:creationId xmlns:a16="http://schemas.microsoft.com/office/drawing/2014/main" id="{A69BE494-C8C3-4D08-B3DC-C7240364C4A0}"/>
            </a:ext>
          </a:extLst>
        </xdr:cNvPr>
        <xdr:cNvPicPr>
          <a:picLocks noChangeAspect="1"/>
        </xdr:cNvPicPr>
      </xdr:nvPicPr>
      <xdr:blipFill>
        <a:blip xmlns:r="http://schemas.openxmlformats.org/officeDocument/2006/relationships" r:embed="rId163"/>
        <a:stretch>
          <a:fillRect/>
        </a:stretch>
      </xdr:blipFill>
      <xdr:spPr>
        <a:xfrm>
          <a:off x="5417820" y="290421060"/>
          <a:ext cx="6839573" cy="718950"/>
        </a:xfrm>
        <a:prstGeom prst="rect">
          <a:avLst/>
        </a:prstGeom>
      </xdr:spPr>
    </xdr:pic>
    <xdr:clientData/>
  </xdr:twoCellAnchor>
  <xdr:twoCellAnchor editAs="oneCell">
    <xdr:from>
      <xdr:col>4</xdr:col>
      <xdr:colOff>0</xdr:colOff>
      <xdr:row>1544</xdr:row>
      <xdr:rowOff>121479</xdr:rowOff>
    </xdr:from>
    <xdr:to>
      <xdr:col>12</xdr:col>
      <xdr:colOff>22087</xdr:colOff>
      <xdr:row>1566</xdr:row>
      <xdr:rowOff>77219</xdr:rowOff>
    </xdr:to>
    <xdr:pic>
      <xdr:nvPicPr>
        <xdr:cNvPr id="170" name="Picture 169">
          <a:extLst>
            <a:ext uri="{FF2B5EF4-FFF2-40B4-BE49-F238E27FC236}">
              <a16:creationId xmlns:a16="http://schemas.microsoft.com/office/drawing/2014/main" id="{0D41425D-FFB4-4133-B2DC-76C8EB22EED3}"/>
            </a:ext>
          </a:extLst>
        </xdr:cNvPr>
        <xdr:cNvPicPr>
          <a:picLocks noChangeAspect="1"/>
        </xdr:cNvPicPr>
      </xdr:nvPicPr>
      <xdr:blipFill>
        <a:blip xmlns:r="http://schemas.openxmlformats.org/officeDocument/2006/relationships" r:embed="rId164"/>
        <a:stretch>
          <a:fillRect/>
        </a:stretch>
      </xdr:blipFill>
      <xdr:spPr>
        <a:xfrm>
          <a:off x="5417820" y="291456939"/>
          <a:ext cx="6217147" cy="3979100"/>
        </a:xfrm>
        <a:prstGeom prst="rect">
          <a:avLst/>
        </a:prstGeom>
      </xdr:spPr>
    </xdr:pic>
    <xdr:clientData/>
  </xdr:twoCellAnchor>
  <xdr:twoCellAnchor editAs="oneCell">
    <xdr:from>
      <xdr:col>1</xdr:col>
      <xdr:colOff>0</xdr:colOff>
      <xdr:row>1557</xdr:row>
      <xdr:rowOff>0</xdr:rowOff>
    </xdr:from>
    <xdr:to>
      <xdr:col>4</xdr:col>
      <xdr:colOff>496957</xdr:colOff>
      <xdr:row>1572</xdr:row>
      <xdr:rowOff>160700</xdr:rowOff>
    </xdr:to>
    <xdr:pic>
      <xdr:nvPicPr>
        <xdr:cNvPr id="171" name="Picture 170">
          <a:extLst>
            <a:ext uri="{FF2B5EF4-FFF2-40B4-BE49-F238E27FC236}">
              <a16:creationId xmlns:a16="http://schemas.microsoft.com/office/drawing/2014/main" id="{7CCEEBB5-7B6B-48F7-9D5F-67CFEAC1D6E2}"/>
            </a:ext>
          </a:extLst>
        </xdr:cNvPr>
        <xdr:cNvPicPr>
          <a:picLocks noChangeAspect="1"/>
        </xdr:cNvPicPr>
      </xdr:nvPicPr>
      <xdr:blipFill>
        <a:blip xmlns:r="http://schemas.openxmlformats.org/officeDocument/2006/relationships" r:embed="rId165"/>
        <a:stretch>
          <a:fillRect/>
        </a:stretch>
      </xdr:blipFill>
      <xdr:spPr>
        <a:xfrm>
          <a:off x="129540" y="293712900"/>
          <a:ext cx="5785237" cy="2903900"/>
        </a:xfrm>
        <a:prstGeom prst="rect">
          <a:avLst/>
        </a:prstGeom>
      </xdr:spPr>
    </xdr:pic>
    <xdr:clientData/>
  </xdr:twoCellAnchor>
  <xdr:twoCellAnchor editAs="oneCell">
    <xdr:from>
      <xdr:col>6</xdr:col>
      <xdr:colOff>220871</xdr:colOff>
      <xdr:row>1567</xdr:row>
      <xdr:rowOff>121479</xdr:rowOff>
    </xdr:from>
    <xdr:to>
      <xdr:col>10</xdr:col>
      <xdr:colOff>728871</xdr:colOff>
      <xdr:row>1580</xdr:row>
      <xdr:rowOff>80638</xdr:rowOff>
    </xdr:to>
    <xdr:pic>
      <xdr:nvPicPr>
        <xdr:cNvPr id="172" name="Picture 171">
          <a:extLst>
            <a:ext uri="{FF2B5EF4-FFF2-40B4-BE49-F238E27FC236}">
              <a16:creationId xmlns:a16="http://schemas.microsoft.com/office/drawing/2014/main" id="{F8B07AF1-2BE5-4024-AF7E-677AAC501475}"/>
            </a:ext>
          </a:extLst>
        </xdr:cNvPr>
        <xdr:cNvPicPr>
          <a:picLocks noChangeAspect="1"/>
        </xdr:cNvPicPr>
      </xdr:nvPicPr>
      <xdr:blipFill>
        <a:blip xmlns:r="http://schemas.openxmlformats.org/officeDocument/2006/relationships" r:embed="rId166"/>
        <a:stretch>
          <a:fillRect/>
        </a:stretch>
      </xdr:blipFill>
      <xdr:spPr>
        <a:xfrm>
          <a:off x="6857891" y="295663179"/>
          <a:ext cx="4104640" cy="2336599"/>
        </a:xfrm>
        <a:prstGeom prst="rect">
          <a:avLst/>
        </a:prstGeom>
      </xdr:spPr>
    </xdr:pic>
    <xdr:clientData/>
  </xdr:twoCellAnchor>
  <xdr:twoCellAnchor editAs="oneCell">
    <xdr:from>
      <xdr:col>1</xdr:col>
      <xdr:colOff>0</xdr:colOff>
      <xdr:row>1575</xdr:row>
      <xdr:rowOff>0</xdr:rowOff>
    </xdr:from>
    <xdr:to>
      <xdr:col>3</xdr:col>
      <xdr:colOff>552174</xdr:colOff>
      <xdr:row>1596</xdr:row>
      <xdr:rowOff>78444</xdr:rowOff>
    </xdr:to>
    <xdr:pic>
      <xdr:nvPicPr>
        <xdr:cNvPr id="173" name="Picture 172">
          <a:extLst>
            <a:ext uri="{FF2B5EF4-FFF2-40B4-BE49-F238E27FC236}">
              <a16:creationId xmlns:a16="http://schemas.microsoft.com/office/drawing/2014/main" id="{0C2833A1-06FF-497C-A684-FE5A9E72A2C7}"/>
            </a:ext>
          </a:extLst>
        </xdr:cNvPr>
        <xdr:cNvPicPr>
          <a:picLocks noChangeAspect="1"/>
        </xdr:cNvPicPr>
      </xdr:nvPicPr>
      <xdr:blipFill>
        <a:blip xmlns:r="http://schemas.openxmlformats.org/officeDocument/2006/relationships" r:embed="rId167"/>
        <a:stretch>
          <a:fillRect/>
        </a:stretch>
      </xdr:blipFill>
      <xdr:spPr>
        <a:xfrm>
          <a:off x="129540" y="297004740"/>
          <a:ext cx="5230854" cy="3918924"/>
        </a:xfrm>
        <a:prstGeom prst="rect">
          <a:avLst/>
        </a:prstGeom>
      </xdr:spPr>
    </xdr:pic>
    <xdr:clientData/>
  </xdr:twoCellAnchor>
  <xdr:twoCellAnchor editAs="oneCell">
    <xdr:from>
      <xdr:col>5</xdr:col>
      <xdr:colOff>386521</xdr:colOff>
      <xdr:row>1582</xdr:row>
      <xdr:rowOff>33131</xdr:rowOff>
    </xdr:from>
    <xdr:to>
      <xdr:col>9</xdr:col>
      <xdr:colOff>717827</xdr:colOff>
      <xdr:row>1602</xdr:row>
      <xdr:rowOff>75205</xdr:rowOff>
    </xdr:to>
    <xdr:pic>
      <xdr:nvPicPr>
        <xdr:cNvPr id="174" name="Picture 173">
          <a:extLst>
            <a:ext uri="{FF2B5EF4-FFF2-40B4-BE49-F238E27FC236}">
              <a16:creationId xmlns:a16="http://schemas.microsoft.com/office/drawing/2014/main" id="{E83ADD61-9E37-435A-A81A-996C3486CCB5}"/>
            </a:ext>
          </a:extLst>
        </xdr:cNvPr>
        <xdr:cNvPicPr>
          <a:picLocks noChangeAspect="1"/>
        </xdr:cNvPicPr>
      </xdr:nvPicPr>
      <xdr:blipFill>
        <a:blip xmlns:r="http://schemas.openxmlformats.org/officeDocument/2006/relationships" r:embed="rId168"/>
        <a:stretch>
          <a:fillRect/>
        </a:stretch>
      </xdr:blipFill>
      <xdr:spPr>
        <a:xfrm>
          <a:off x="6413941" y="298318031"/>
          <a:ext cx="3577426" cy="3699674"/>
        </a:xfrm>
        <a:prstGeom prst="rect">
          <a:avLst/>
        </a:prstGeom>
      </xdr:spPr>
    </xdr:pic>
    <xdr:clientData/>
  </xdr:twoCellAnchor>
  <xdr:twoCellAnchor editAs="oneCell">
    <xdr:from>
      <xdr:col>5</xdr:col>
      <xdr:colOff>430696</xdr:colOff>
      <xdr:row>1604</xdr:row>
      <xdr:rowOff>55218</xdr:rowOff>
    </xdr:from>
    <xdr:to>
      <xdr:col>9</xdr:col>
      <xdr:colOff>828262</xdr:colOff>
      <xdr:row>1625</xdr:row>
      <xdr:rowOff>1376</xdr:rowOff>
    </xdr:to>
    <xdr:pic>
      <xdr:nvPicPr>
        <xdr:cNvPr id="175" name="Picture 174">
          <a:extLst>
            <a:ext uri="{FF2B5EF4-FFF2-40B4-BE49-F238E27FC236}">
              <a16:creationId xmlns:a16="http://schemas.microsoft.com/office/drawing/2014/main" id="{7CA69412-102A-403B-B966-F9894AD7CE49}"/>
            </a:ext>
          </a:extLst>
        </xdr:cNvPr>
        <xdr:cNvPicPr>
          <a:picLocks noChangeAspect="1"/>
        </xdr:cNvPicPr>
      </xdr:nvPicPr>
      <xdr:blipFill>
        <a:blip xmlns:r="http://schemas.openxmlformats.org/officeDocument/2006/relationships" r:embed="rId169"/>
        <a:stretch>
          <a:fillRect/>
        </a:stretch>
      </xdr:blipFill>
      <xdr:spPr>
        <a:xfrm>
          <a:off x="6458116" y="302363478"/>
          <a:ext cx="3643686" cy="3786638"/>
        </a:xfrm>
        <a:prstGeom prst="rect">
          <a:avLst/>
        </a:prstGeom>
      </xdr:spPr>
    </xdr:pic>
    <xdr:clientData/>
  </xdr:twoCellAnchor>
  <xdr:twoCellAnchor editAs="oneCell">
    <xdr:from>
      <xdr:col>1</xdr:col>
      <xdr:colOff>618435</xdr:colOff>
      <xdr:row>1598</xdr:row>
      <xdr:rowOff>176696</xdr:rowOff>
    </xdr:from>
    <xdr:to>
      <xdr:col>3</xdr:col>
      <xdr:colOff>309218</xdr:colOff>
      <xdr:row>1623</xdr:row>
      <xdr:rowOff>122152</xdr:rowOff>
    </xdr:to>
    <xdr:pic>
      <xdr:nvPicPr>
        <xdr:cNvPr id="176" name="Picture 175">
          <a:extLst>
            <a:ext uri="{FF2B5EF4-FFF2-40B4-BE49-F238E27FC236}">
              <a16:creationId xmlns:a16="http://schemas.microsoft.com/office/drawing/2014/main" id="{12D93025-8F95-4432-A735-5D74B4A6FF61}"/>
            </a:ext>
          </a:extLst>
        </xdr:cNvPr>
        <xdr:cNvPicPr>
          <a:picLocks noChangeAspect="1"/>
        </xdr:cNvPicPr>
      </xdr:nvPicPr>
      <xdr:blipFill>
        <a:blip xmlns:r="http://schemas.openxmlformats.org/officeDocument/2006/relationships" r:embed="rId170"/>
        <a:stretch>
          <a:fillRect/>
        </a:stretch>
      </xdr:blipFill>
      <xdr:spPr>
        <a:xfrm>
          <a:off x="747975" y="301387676"/>
          <a:ext cx="4369463" cy="4517456"/>
        </a:xfrm>
        <a:prstGeom prst="rect">
          <a:avLst/>
        </a:prstGeom>
      </xdr:spPr>
    </xdr:pic>
    <xdr:clientData/>
  </xdr:twoCellAnchor>
  <xdr:twoCellAnchor editAs="oneCell">
    <xdr:from>
      <xdr:col>12</xdr:col>
      <xdr:colOff>717826</xdr:colOff>
      <xdr:row>1545</xdr:row>
      <xdr:rowOff>143565</xdr:rowOff>
    </xdr:from>
    <xdr:to>
      <xdr:col>22</xdr:col>
      <xdr:colOff>60056</xdr:colOff>
      <xdr:row>1555</xdr:row>
      <xdr:rowOff>133335</xdr:rowOff>
    </xdr:to>
    <xdr:pic>
      <xdr:nvPicPr>
        <xdr:cNvPr id="177" name="Picture 176">
          <a:extLst>
            <a:ext uri="{FF2B5EF4-FFF2-40B4-BE49-F238E27FC236}">
              <a16:creationId xmlns:a16="http://schemas.microsoft.com/office/drawing/2014/main" id="{0696A61C-921C-421D-8438-74335BAA7C71}"/>
            </a:ext>
          </a:extLst>
        </xdr:cNvPr>
        <xdr:cNvPicPr>
          <a:picLocks noChangeAspect="1"/>
        </xdr:cNvPicPr>
      </xdr:nvPicPr>
      <xdr:blipFill>
        <a:blip xmlns:r="http://schemas.openxmlformats.org/officeDocument/2006/relationships" r:embed="rId171"/>
        <a:stretch>
          <a:fillRect/>
        </a:stretch>
      </xdr:blipFill>
      <xdr:spPr>
        <a:xfrm>
          <a:off x="12330706" y="291661905"/>
          <a:ext cx="6992710" cy="1818570"/>
        </a:xfrm>
        <a:prstGeom prst="rect">
          <a:avLst/>
        </a:prstGeom>
      </xdr:spPr>
    </xdr:pic>
    <xdr:clientData/>
  </xdr:twoCellAnchor>
  <xdr:twoCellAnchor editAs="oneCell">
    <xdr:from>
      <xdr:col>13</xdr:col>
      <xdr:colOff>66261</xdr:colOff>
      <xdr:row>1557</xdr:row>
      <xdr:rowOff>48759</xdr:rowOff>
    </xdr:from>
    <xdr:to>
      <xdr:col>20</xdr:col>
      <xdr:colOff>195611</xdr:colOff>
      <xdr:row>1573</xdr:row>
      <xdr:rowOff>79354</xdr:rowOff>
    </xdr:to>
    <xdr:pic>
      <xdr:nvPicPr>
        <xdr:cNvPr id="178" name="Picture 177">
          <a:extLst>
            <a:ext uri="{FF2B5EF4-FFF2-40B4-BE49-F238E27FC236}">
              <a16:creationId xmlns:a16="http://schemas.microsoft.com/office/drawing/2014/main" id="{0D3CC284-FED0-4699-9F9A-BF2261DE6D20}"/>
            </a:ext>
          </a:extLst>
        </xdr:cNvPr>
        <xdr:cNvPicPr>
          <a:picLocks noChangeAspect="1"/>
        </xdr:cNvPicPr>
      </xdr:nvPicPr>
      <xdr:blipFill>
        <a:blip xmlns:r="http://schemas.openxmlformats.org/officeDocument/2006/relationships" r:embed="rId172"/>
        <a:stretch>
          <a:fillRect/>
        </a:stretch>
      </xdr:blipFill>
      <xdr:spPr>
        <a:xfrm>
          <a:off x="12669741" y="293761659"/>
          <a:ext cx="5570030" cy="2956675"/>
        </a:xfrm>
        <a:prstGeom prst="rect">
          <a:avLst/>
        </a:prstGeom>
      </xdr:spPr>
    </xdr:pic>
    <xdr:clientData/>
  </xdr:twoCellAnchor>
  <xdr:twoCellAnchor editAs="oneCell">
    <xdr:from>
      <xdr:col>11</xdr:col>
      <xdr:colOff>11045</xdr:colOff>
      <xdr:row>1582</xdr:row>
      <xdr:rowOff>143566</xdr:rowOff>
    </xdr:from>
    <xdr:to>
      <xdr:col>14</xdr:col>
      <xdr:colOff>386523</xdr:colOff>
      <xdr:row>1593</xdr:row>
      <xdr:rowOff>83108</xdr:rowOff>
    </xdr:to>
    <xdr:pic>
      <xdr:nvPicPr>
        <xdr:cNvPr id="179" name="Picture 178">
          <a:extLst>
            <a:ext uri="{FF2B5EF4-FFF2-40B4-BE49-F238E27FC236}">
              <a16:creationId xmlns:a16="http://schemas.microsoft.com/office/drawing/2014/main" id="{55B49B93-6990-43EA-9229-6ACCA9A1B7B8}"/>
            </a:ext>
          </a:extLst>
        </xdr:cNvPr>
        <xdr:cNvPicPr>
          <a:picLocks noChangeAspect="1"/>
        </xdr:cNvPicPr>
      </xdr:nvPicPr>
      <xdr:blipFill>
        <a:blip xmlns:r="http://schemas.openxmlformats.org/officeDocument/2006/relationships" r:embed="rId173"/>
        <a:stretch>
          <a:fillRect/>
        </a:stretch>
      </xdr:blipFill>
      <xdr:spPr>
        <a:xfrm>
          <a:off x="11014325" y="298428466"/>
          <a:ext cx="3347278" cy="1951222"/>
        </a:xfrm>
        <a:prstGeom prst="rect">
          <a:avLst/>
        </a:prstGeom>
      </xdr:spPr>
    </xdr:pic>
    <xdr:clientData/>
  </xdr:twoCellAnchor>
  <xdr:twoCellAnchor editAs="oneCell">
    <xdr:from>
      <xdr:col>11</xdr:col>
      <xdr:colOff>1</xdr:colOff>
      <xdr:row>1594</xdr:row>
      <xdr:rowOff>0</xdr:rowOff>
    </xdr:from>
    <xdr:to>
      <xdr:col>14</xdr:col>
      <xdr:colOff>618435</xdr:colOff>
      <xdr:row>1613</xdr:row>
      <xdr:rowOff>151296</xdr:rowOff>
    </xdr:to>
    <xdr:pic>
      <xdr:nvPicPr>
        <xdr:cNvPr id="180" name="Picture 179">
          <a:extLst>
            <a:ext uri="{FF2B5EF4-FFF2-40B4-BE49-F238E27FC236}">
              <a16:creationId xmlns:a16="http://schemas.microsoft.com/office/drawing/2014/main" id="{09369E3B-A957-4C5E-9120-BA167B2FA1A2}"/>
            </a:ext>
          </a:extLst>
        </xdr:cNvPr>
        <xdr:cNvPicPr>
          <a:picLocks noChangeAspect="1"/>
        </xdr:cNvPicPr>
      </xdr:nvPicPr>
      <xdr:blipFill>
        <a:blip xmlns:r="http://schemas.openxmlformats.org/officeDocument/2006/relationships" r:embed="rId174"/>
        <a:stretch>
          <a:fillRect/>
        </a:stretch>
      </xdr:blipFill>
      <xdr:spPr>
        <a:xfrm>
          <a:off x="11003281" y="300479460"/>
          <a:ext cx="3590234" cy="3626016"/>
        </a:xfrm>
        <a:prstGeom prst="rect">
          <a:avLst/>
        </a:prstGeom>
      </xdr:spPr>
    </xdr:pic>
    <xdr:clientData/>
  </xdr:twoCellAnchor>
  <xdr:twoCellAnchor editAs="oneCell">
    <xdr:from>
      <xdr:col>11</xdr:col>
      <xdr:colOff>0</xdr:colOff>
      <xdr:row>1615</xdr:row>
      <xdr:rowOff>0</xdr:rowOff>
    </xdr:from>
    <xdr:to>
      <xdr:col>14</xdr:col>
      <xdr:colOff>430696</xdr:colOff>
      <xdr:row>1625</xdr:row>
      <xdr:rowOff>95277</xdr:rowOff>
    </xdr:to>
    <xdr:pic>
      <xdr:nvPicPr>
        <xdr:cNvPr id="181" name="Picture 180">
          <a:extLst>
            <a:ext uri="{FF2B5EF4-FFF2-40B4-BE49-F238E27FC236}">
              <a16:creationId xmlns:a16="http://schemas.microsoft.com/office/drawing/2014/main" id="{0C992246-B7EA-4E62-9CC0-8869026F9840}"/>
            </a:ext>
          </a:extLst>
        </xdr:cNvPr>
        <xdr:cNvPicPr>
          <a:picLocks noChangeAspect="1"/>
        </xdr:cNvPicPr>
      </xdr:nvPicPr>
      <xdr:blipFill>
        <a:blip xmlns:r="http://schemas.openxmlformats.org/officeDocument/2006/relationships" r:embed="rId175"/>
        <a:stretch>
          <a:fillRect/>
        </a:stretch>
      </xdr:blipFill>
      <xdr:spPr>
        <a:xfrm>
          <a:off x="11003280" y="304319940"/>
          <a:ext cx="3402496" cy="1924077"/>
        </a:xfrm>
        <a:prstGeom prst="rect">
          <a:avLst/>
        </a:prstGeom>
      </xdr:spPr>
    </xdr:pic>
    <xdr:clientData/>
  </xdr:twoCellAnchor>
  <xdr:twoCellAnchor editAs="oneCell">
    <xdr:from>
      <xdr:col>1</xdr:col>
      <xdr:colOff>287130</xdr:colOff>
      <xdr:row>1626</xdr:row>
      <xdr:rowOff>143565</xdr:rowOff>
    </xdr:from>
    <xdr:to>
      <xdr:col>4</xdr:col>
      <xdr:colOff>198783</xdr:colOff>
      <xdr:row>1650</xdr:row>
      <xdr:rowOff>89757</xdr:rowOff>
    </xdr:to>
    <xdr:pic>
      <xdr:nvPicPr>
        <xdr:cNvPr id="182" name="Picture 181">
          <a:extLst>
            <a:ext uri="{FF2B5EF4-FFF2-40B4-BE49-F238E27FC236}">
              <a16:creationId xmlns:a16="http://schemas.microsoft.com/office/drawing/2014/main" id="{A1186CF2-4D1D-440B-A6AD-3428F2FA5315}"/>
            </a:ext>
          </a:extLst>
        </xdr:cNvPr>
        <xdr:cNvPicPr>
          <a:picLocks noChangeAspect="1"/>
        </xdr:cNvPicPr>
      </xdr:nvPicPr>
      <xdr:blipFill>
        <a:blip xmlns:r="http://schemas.openxmlformats.org/officeDocument/2006/relationships" r:embed="rId176"/>
        <a:stretch>
          <a:fillRect/>
        </a:stretch>
      </xdr:blipFill>
      <xdr:spPr>
        <a:xfrm>
          <a:off x="416670" y="306658065"/>
          <a:ext cx="5199933" cy="4335312"/>
        </a:xfrm>
        <a:prstGeom prst="rect">
          <a:avLst/>
        </a:prstGeom>
      </xdr:spPr>
    </xdr:pic>
    <xdr:clientData/>
  </xdr:twoCellAnchor>
  <xdr:twoCellAnchor editAs="oneCell">
    <xdr:from>
      <xdr:col>5</xdr:col>
      <xdr:colOff>198782</xdr:colOff>
      <xdr:row>1626</xdr:row>
      <xdr:rowOff>110435</xdr:rowOff>
    </xdr:from>
    <xdr:to>
      <xdr:col>9</xdr:col>
      <xdr:colOff>22087</xdr:colOff>
      <xdr:row>1645</xdr:row>
      <xdr:rowOff>124413</xdr:rowOff>
    </xdr:to>
    <xdr:pic>
      <xdr:nvPicPr>
        <xdr:cNvPr id="183" name="Picture 182">
          <a:extLst>
            <a:ext uri="{FF2B5EF4-FFF2-40B4-BE49-F238E27FC236}">
              <a16:creationId xmlns:a16="http://schemas.microsoft.com/office/drawing/2014/main" id="{1BD2B582-15A6-44C7-AD04-0BB08F8557C3}"/>
            </a:ext>
          </a:extLst>
        </xdr:cNvPr>
        <xdr:cNvPicPr>
          <a:picLocks noChangeAspect="1"/>
        </xdr:cNvPicPr>
      </xdr:nvPicPr>
      <xdr:blipFill>
        <a:blip xmlns:r="http://schemas.openxmlformats.org/officeDocument/2006/relationships" r:embed="rId177"/>
        <a:stretch>
          <a:fillRect/>
        </a:stretch>
      </xdr:blipFill>
      <xdr:spPr>
        <a:xfrm>
          <a:off x="6226202" y="306624935"/>
          <a:ext cx="3069425" cy="3488698"/>
        </a:xfrm>
        <a:prstGeom prst="rect">
          <a:avLst/>
        </a:prstGeom>
      </xdr:spPr>
    </xdr:pic>
    <xdr:clientData/>
  </xdr:twoCellAnchor>
  <xdr:twoCellAnchor editAs="oneCell">
    <xdr:from>
      <xdr:col>5</xdr:col>
      <xdr:colOff>0</xdr:colOff>
      <xdr:row>1647</xdr:row>
      <xdr:rowOff>0</xdr:rowOff>
    </xdr:from>
    <xdr:to>
      <xdr:col>8</xdr:col>
      <xdr:colOff>983282</xdr:colOff>
      <xdr:row>1657</xdr:row>
      <xdr:rowOff>77304</xdr:rowOff>
    </xdr:to>
    <xdr:pic>
      <xdr:nvPicPr>
        <xdr:cNvPr id="184" name="Picture 183">
          <a:extLst>
            <a:ext uri="{FF2B5EF4-FFF2-40B4-BE49-F238E27FC236}">
              <a16:creationId xmlns:a16="http://schemas.microsoft.com/office/drawing/2014/main" id="{2DA3CF51-E1F1-4172-84AD-FAA8521873C0}"/>
            </a:ext>
          </a:extLst>
        </xdr:cNvPr>
        <xdr:cNvPicPr>
          <a:picLocks noChangeAspect="1"/>
        </xdr:cNvPicPr>
      </xdr:nvPicPr>
      <xdr:blipFill>
        <a:blip xmlns:r="http://schemas.openxmlformats.org/officeDocument/2006/relationships" r:embed="rId178"/>
        <a:stretch>
          <a:fillRect/>
        </a:stretch>
      </xdr:blipFill>
      <xdr:spPr>
        <a:xfrm>
          <a:off x="6027420" y="310354980"/>
          <a:ext cx="3215942" cy="1906104"/>
        </a:xfrm>
        <a:prstGeom prst="rect">
          <a:avLst/>
        </a:prstGeom>
      </xdr:spPr>
    </xdr:pic>
    <xdr:clientData/>
  </xdr:twoCellAnchor>
  <xdr:twoCellAnchor editAs="oneCell">
    <xdr:from>
      <xdr:col>1</xdr:col>
      <xdr:colOff>165653</xdr:colOff>
      <xdr:row>1653</xdr:row>
      <xdr:rowOff>121479</xdr:rowOff>
    </xdr:from>
    <xdr:to>
      <xdr:col>4</xdr:col>
      <xdr:colOff>22088</xdr:colOff>
      <xdr:row>1684</xdr:row>
      <xdr:rowOff>101234</xdr:rowOff>
    </xdr:to>
    <xdr:pic>
      <xdr:nvPicPr>
        <xdr:cNvPr id="185" name="Picture 184">
          <a:extLst>
            <a:ext uri="{FF2B5EF4-FFF2-40B4-BE49-F238E27FC236}">
              <a16:creationId xmlns:a16="http://schemas.microsoft.com/office/drawing/2014/main" id="{68E4F126-7C14-40B8-89D6-2F323119428C}"/>
            </a:ext>
          </a:extLst>
        </xdr:cNvPr>
        <xdr:cNvPicPr>
          <a:picLocks noChangeAspect="1"/>
        </xdr:cNvPicPr>
      </xdr:nvPicPr>
      <xdr:blipFill>
        <a:blip xmlns:r="http://schemas.openxmlformats.org/officeDocument/2006/relationships" r:embed="rId179"/>
        <a:stretch>
          <a:fillRect/>
        </a:stretch>
      </xdr:blipFill>
      <xdr:spPr>
        <a:xfrm>
          <a:off x="295193" y="311573739"/>
          <a:ext cx="5144715" cy="5649035"/>
        </a:xfrm>
        <a:prstGeom prst="rect">
          <a:avLst/>
        </a:prstGeom>
      </xdr:spPr>
    </xdr:pic>
    <xdr:clientData/>
  </xdr:twoCellAnchor>
  <xdr:twoCellAnchor editAs="oneCell">
    <xdr:from>
      <xdr:col>5</xdr:col>
      <xdr:colOff>0</xdr:colOff>
      <xdr:row>1661</xdr:row>
      <xdr:rowOff>0</xdr:rowOff>
    </xdr:from>
    <xdr:to>
      <xdr:col>9</xdr:col>
      <xdr:colOff>839305</xdr:colOff>
      <xdr:row>1684</xdr:row>
      <xdr:rowOff>117482</xdr:rowOff>
    </xdr:to>
    <xdr:pic>
      <xdr:nvPicPr>
        <xdr:cNvPr id="186" name="Picture 185">
          <a:extLst>
            <a:ext uri="{FF2B5EF4-FFF2-40B4-BE49-F238E27FC236}">
              <a16:creationId xmlns:a16="http://schemas.microsoft.com/office/drawing/2014/main" id="{40516FB6-76DE-4720-8025-4286512E86C9}"/>
            </a:ext>
          </a:extLst>
        </xdr:cNvPr>
        <xdr:cNvPicPr>
          <a:picLocks noChangeAspect="1"/>
        </xdr:cNvPicPr>
      </xdr:nvPicPr>
      <xdr:blipFill>
        <a:blip xmlns:r="http://schemas.openxmlformats.org/officeDocument/2006/relationships" r:embed="rId180"/>
        <a:stretch>
          <a:fillRect/>
        </a:stretch>
      </xdr:blipFill>
      <xdr:spPr>
        <a:xfrm>
          <a:off x="6027420" y="312915300"/>
          <a:ext cx="4085425" cy="4323722"/>
        </a:xfrm>
        <a:prstGeom prst="rect">
          <a:avLst/>
        </a:prstGeom>
      </xdr:spPr>
    </xdr:pic>
    <xdr:clientData/>
  </xdr:twoCellAnchor>
  <xdr:twoCellAnchor editAs="oneCell">
    <xdr:from>
      <xdr:col>10</xdr:col>
      <xdr:colOff>287131</xdr:colOff>
      <xdr:row>1628</xdr:row>
      <xdr:rowOff>77304</xdr:rowOff>
    </xdr:from>
    <xdr:to>
      <xdr:col>16</xdr:col>
      <xdr:colOff>188061</xdr:colOff>
      <xdr:row>1669</xdr:row>
      <xdr:rowOff>10590</xdr:rowOff>
    </xdr:to>
    <xdr:pic>
      <xdr:nvPicPr>
        <xdr:cNvPr id="187" name="Picture 186">
          <a:extLst>
            <a:ext uri="{FF2B5EF4-FFF2-40B4-BE49-F238E27FC236}">
              <a16:creationId xmlns:a16="http://schemas.microsoft.com/office/drawing/2014/main" id="{4357DA72-B63E-4203-8937-C84BF5702987}"/>
            </a:ext>
          </a:extLst>
        </xdr:cNvPr>
        <xdr:cNvPicPr>
          <a:picLocks noChangeAspect="1"/>
        </xdr:cNvPicPr>
      </xdr:nvPicPr>
      <xdr:blipFill>
        <a:blip xmlns:r="http://schemas.openxmlformats.org/officeDocument/2006/relationships" r:embed="rId181"/>
        <a:stretch>
          <a:fillRect/>
        </a:stretch>
      </xdr:blipFill>
      <xdr:spPr>
        <a:xfrm>
          <a:off x="10520791" y="306957564"/>
          <a:ext cx="5273030" cy="7431366"/>
        </a:xfrm>
        <a:prstGeom prst="rect">
          <a:avLst/>
        </a:prstGeom>
      </xdr:spPr>
    </xdr:pic>
    <xdr:clientData/>
  </xdr:twoCellAnchor>
  <xdr:twoCellAnchor editAs="oneCell">
    <xdr:from>
      <xdr:col>1</xdr:col>
      <xdr:colOff>0</xdr:colOff>
      <xdr:row>1685</xdr:row>
      <xdr:rowOff>0</xdr:rowOff>
    </xdr:from>
    <xdr:to>
      <xdr:col>2</xdr:col>
      <xdr:colOff>108532</xdr:colOff>
      <xdr:row>1720</xdr:row>
      <xdr:rowOff>135666</xdr:rowOff>
    </xdr:to>
    <xdr:pic>
      <xdr:nvPicPr>
        <xdr:cNvPr id="188" name="Picture 187">
          <a:extLst>
            <a:ext uri="{FF2B5EF4-FFF2-40B4-BE49-F238E27FC236}">
              <a16:creationId xmlns:a16="http://schemas.microsoft.com/office/drawing/2014/main" id="{89B4288A-48ED-4EF7-B72F-BA38F21FF977}"/>
            </a:ext>
          </a:extLst>
        </xdr:cNvPr>
        <xdr:cNvPicPr>
          <a:picLocks noChangeAspect="1"/>
        </xdr:cNvPicPr>
      </xdr:nvPicPr>
      <xdr:blipFill>
        <a:blip xmlns:r="http://schemas.openxmlformats.org/officeDocument/2006/relationships" r:embed="rId182"/>
        <a:stretch>
          <a:fillRect/>
        </a:stretch>
      </xdr:blipFill>
      <xdr:spPr>
        <a:xfrm>
          <a:off x="129540" y="317418720"/>
          <a:ext cx="4177612" cy="6536466"/>
        </a:xfrm>
        <a:prstGeom prst="rect">
          <a:avLst/>
        </a:prstGeom>
      </xdr:spPr>
    </xdr:pic>
    <xdr:clientData/>
  </xdr:twoCellAnchor>
  <xdr:twoCellAnchor editAs="oneCell">
    <xdr:from>
      <xdr:col>28</xdr:col>
      <xdr:colOff>0</xdr:colOff>
      <xdr:row>158</xdr:row>
      <xdr:rowOff>0</xdr:rowOff>
    </xdr:from>
    <xdr:to>
      <xdr:col>44</xdr:col>
      <xdr:colOff>144278</xdr:colOff>
      <xdr:row>168</xdr:row>
      <xdr:rowOff>47898</xdr:rowOff>
    </xdr:to>
    <xdr:pic>
      <xdr:nvPicPr>
        <xdr:cNvPr id="189" name="Picture 188">
          <a:extLst>
            <a:ext uri="{FF2B5EF4-FFF2-40B4-BE49-F238E27FC236}">
              <a16:creationId xmlns:a16="http://schemas.microsoft.com/office/drawing/2014/main" id="{2DF43223-8DC4-4874-9148-BA616476C4B4}"/>
            </a:ext>
          </a:extLst>
        </xdr:cNvPr>
        <xdr:cNvPicPr>
          <a:picLocks noChangeAspect="1"/>
        </xdr:cNvPicPr>
      </xdr:nvPicPr>
      <xdr:blipFill>
        <a:blip xmlns:r="http://schemas.openxmlformats.org/officeDocument/2006/relationships" r:embed="rId183"/>
        <a:stretch>
          <a:fillRect/>
        </a:stretch>
      </xdr:blipFill>
      <xdr:spPr>
        <a:xfrm>
          <a:off x="22920960" y="30167580"/>
          <a:ext cx="9897878" cy="187669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7</xdr:col>
      <xdr:colOff>181511</xdr:colOff>
      <xdr:row>15</xdr:row>
      <xdr:rowOff>60646</xdr:rowOff>
    </xdr:to>
    <xdr:pic>
      <xdr:nvPicPr>
        <xdr:cNvPr id="2" name="Picture 1">
          <a:extLst>
            <a:ext uri="{FF2B5EF4-FFF2-40B4-BE49-F238E27FC236}">
              <a16:creationId xmlns:a16="http://schemas.microsoft.com/office/drawing/2014/main" id="{F5278429-C909-C00D-A648-58332EBB9B84}"/>
            </a:ext>
          </a:extLst>
        </xdr:cNvPr>
        <xdr:cNvPicPr>
          <a:picLocks noChangeAspect="1"/>
        </xdr:cNvPicPr>
      </xdr:nvPicPr>
      <xdr:blipFill>
        <a:blip xmlns:r="http://schemas.openxmlformats.org/officeDocument/2006/relationships" r:embed="rId1"/>
        <a:stretch>
          <a:fillRect/>
        </a:stretch>
      </xdr:blipFill>
      <xdr:spPr>
        <a:xfrm>
          <a:off x="609600" y="1463040"/>
          <a:ext cx="3839111" cy="1609950"/>
        </a:xfrm>
        <a:prstGeom prst="rect">
          <a:avLst/>
        </a:prstGeom>
      </xdr:spPr>
    </xdr:pic>
    <xdr:clientData/>
  </xdr:twoCellAnchor>
  <xdr:twoCellAnchor editAs="oneCell">
    <xdr:from>
      <xdr:col>0</xdr:col>
      <xdr:colOff>487680</xdr:colOff>
      <xdr:row>16</xdr:row>
      <xdr:rowOff>152400</xdr:rowOff>
    </xdr:from>
    <xdr:to>
      <xdr:col>7</xdr:col>
      <xdr:colOff>173907</xdr:colOff>
      <xdr:row>50</xdr:row>
      <xdr:rowOff>50383</xdr:rowOff>
    </xdr:to>
    <xdr:pic>
      <xdr:nvPicPr>
        <xdr:cNvPr id="3" name="Picture 2">
          <a:extLst>
            <a:ext uri="{FF2B5EF4-FFF2-40B4-BE49-F238E27FC236}">
              <a16:creationId xmlns:a16="http://schemas.microsoft.com/office/drawing/2014/main" id="{747143B1-F333-D156-6454-C93E971808AD}"/>
            </a:ext>
          </a:extLst>
        </xdr:cNvPr>
        <xdr:cNvPicPr>
          <a:picLocks noChangeAspect="1"/>
        </xdr:cNvPicPr>
      </xdr:nvPicPr>
      <xdr:blipFill>
        <a:blip xmlns:r="http://schemas.openxmlformats.org/officeDocument/2006/relationships" r:embed="rId2"/>
        <a:stretch>
          <a:fillRect/>
        </a:stretch>
      </xdr:blipFill>
      <xdr:spPr>
        <a:xfrm>
          <a:off x="487680" y="3078480"/>
          <a:ext cx="3953427" cy="6115904"/>
        </a:xfrm>
        <a:prstGeom prst="rect">
          <a:avLst/>
        </a:prstGeom>
      </xdr:spPr>
    </xdr:pic>
    <xdr:clientData/>
  </xdr:twoCellAnchor>
  <xdr:twoCellAnchor editAs="oneCell">
    <xdr:from>
      <xdr:col>9</xdr:col>
      <xdr:colOff>217715</xdr:colOff>
      <xdr:row>9</xdr:row>
      <xdr:rowOff>120953</xdr:rowOff>
    </xdr:from>
    <xdr:to>
      <xdr:col>24</xdr:col>
      <xdr:colOff>206886</xdr:colOff>
      <xdr:row>34</xdr:row>
      <xdr:rowOff>5483</xdr:rowOff>
    </xdr:to>
    <xdr:pic>
      <xdr:nvPicPr>
        <xdr:cNvPr id="4" name="Picture 3">
          <a:extLst>
            <a:ext uri="{FF2B5EF4-FFF2-40B4-BE49-F238E27FC236}">
              <a16:creationId xmlns:a16="http://schemas.microsoft.com/office/drawing/2014/main" id="{1DA02B77-127C-46B7-ACB1-5FE6DC1BF986}"/>
            </a:ext>
          </a:extLst>
        </xdr:cNvPr>
        <xdr:cNvPicPr>
          <a:picLocks noChangeAspect="1"/>
        </xdr:cNvPicPr>
      </xdr:nvPicPr>
      <xdr:blipFill>
        <a:blip xmlns:r="http://schemas.openxmlformats.org/officeDocument/2006/relationships" r:embed="rId3"/>
        <a:stretch>
          <a:fillRect/>
        </a:stretch>
      </xdr:blipFill>
      <xdr:spPr>
        <a:xfrm>
          <a:off x="5660572" y="1753810"/>
          <a:ext cx="9060600" cy="4687937"/>
        </a:xfrm>
        <a:prstGeom prst="rect">
          <a:avLst/>
        </a:prstGeom>
      </xdr:spPr>
    </xdr:pic>
    <xdr:clientData/>
  </xdr:twoCellAnchor>
  <xdr:twoCellAnchor editAs="oneCell">
    <xdr:from>
      <xdr:col>10</xdr:col>
      <xdr:colOff>0</xdr:colOff>
      <xdr:row>38</xdr:row>
      <xdr:rowOff>0</xdr:rowOff>
    </xdr:from>
    <xdr:to>
      <xdr:col>25</xdr:col>
      <xdr:colOff>26216</xdr:colOff>
      <xdr:row>68</xdr:row>
      <xdr:rowOff>110993</xdr:rowOff>
    </xdr:to>
    <xdr:pic>
      <xdr:nvPicPr>
        <xdr:cNvPr id="5" name="Picture 4">
          <a:extLst>
            <a:ext uri="{FF2B5EF4-FFF2-40B4-BE49-F238E27FC236}">
              <a16:creationId xmlns:a16="http://schemas.microsoft.com/office/drawing/2014/main" id="{E711E423-5FB5-B676-135D-B7C032806E29}"/>
            </a:ext>
          </a:extLst>
        </xdr:cNvPr>
        <xdr:cNvPicPr>
          <a:picLocks noChangeAspect="1"/>
        </xdr:cNvPicPr>
      </xdr:nvPicPr>
      <xdr:blipFill>
        <a:blip xmlns:r="http://schemas.openxmlformats.org/officeDocument/2006/relationships" r:embed="rId4"/>
        <a:stretch>
          <a:fillRect/>
        </a:stretch>
      </xdr:blipFill>
      <xdr:spPr>
        <a:xfrm>
          <a:off x="6047619" y="6894286"/>
          <a:ext cx="9097645" cy="5553850"/>
        </a:xfrm>
        <a:prstGeom prst="rect">
          <a:avLst/>
        </a:prstGeom>
      </xdr:spPr>
    </xdr:pic>
    <xdr:clientData/>
  </xdr:twoCellAnchor>
  <xdr:twoCellAnchor editAs="oneCell">
    <xdr:from>
      <xdr:col>27</xdr:col>
      <xdr:colOff>267730</xdr:colOff>
      <xdr:row>37</xdr:row>
      <xdr:rowOff>0</xdr:rowOff>
    </xdr:from>
    <xdr:to>
      <xdr:col>41</xdr:col>
      <xdr:colOff>496540</xdr:colOff>
      <xdr:row>56</xdr:row>
      <xdr:rowOff>184066</xdr:rowOff>
    </xdr:to>
    <xdr:pic>
      <xdr:nvPicPr>
        <xdr:cNvPr id="6" name="Picture 5">
          <a:extLst>
            <a:ext uri="{FF2B5EF4-FFF2-40B4-BE49-F238E27FC236}">
              <a16:creationId xmlns:a16="http://schemas.microsoft.com/office/drawing/2014/main" id="{FCF8BD73-DCAD-7D4D-0DA2-D76D02512EC7}"/>
            </a:ext>
          </a:extLst>
        </xdr:cNvPr>
        <xdr:cNvPicPr>
          <a:picLocks noChangeAspect="1"/>
        </xdr:cNvPicPr>
      </xdr:nvPicPr>
      <xdr:blipFill>
        <a:blip xmlns:r="http://schemas.openxmlformats.org/officeDocument/2006/relationships" r:embed="rId5"/>
        <a:stretch>
          <a:fillRect/>
        </a:stretch>
      </xdr:blipFill>
      <xdr:spPr>
        <a:xfrm>
          <a:off x="16949352" y="6858000"/>
          <a:ext cx="8878539" cy="3705742"/>
        </a:xfrm>
        <a:prstGeom prst="rect">
          <a:avLst/>
        </a:prstGeom>
      </xdr:spPr>
    </xdr:pic>
    <xdr:clientData/>
  </xdr:twoCellAnchor>
  <xdr:twoCellAnchor editAs="oneCell">
    <xdr:from>
      <xdr:col>11</xdr:col>
      <xdr:colOff>0</xdr:colOff>
      <xdr:row>74</xdr:row>
      <xdr:rowOff>0</xdr:rowOff>
    </xdr:from>
    <xdr:to>
      <xdr:col>25</xdr:col>
      <xdr:colOff>9703</xdr:colOff>
      <xdr:row>99</xdr:row>
      <xdr:rowOff>34117</xdr:rowOff>
    </xdr:to>
    <xdr:pic>
      <xdr:nvPicPr>
        <xdr:cNvPr id="7" name="Picture 6">
          <a:extLst>
            <a:ext uri="{FF2B5EF4-FFF2-40B4-BE49-F238E27FC236}">
              <a16:creationId xmlns:a16="http://schemas.microsoft.com/office/drawing/2014/main" id="{CAF9393A-72F8-DDED-EEFB-F031C969AFB0}"/>
            </a:ext>
          </a:extLst>
        </xdr:cNvPr>
        <xdr:cNvPicPr>
          <a:picLocks noChangeAspect="1"/>
        </xdr:cNvPicPr>
      </xdr:nvPicPr>
      <xdr:blipFill>
        <a:blip xmlns:r="http://schemas.openxmlformats.org/officeDocument/2006/relationships" r:embed="rId6"/>
        <a:stretch>
          <a:fillRect/>
        </a:stretch>
      </xdr:blipFill>
      <xdr:spPr>
        <a:xfrm>
          <a:off x="6796216" y="13716000"/>
          <a:ext cx="8659433" cy="4667901"/>
        </a:xfrm>
        <a:prstGeom prst="rect">
          <a:avLst/>
        </a:prstGeom>
      </xdr:spPr>
    </xdr:pic>
    <xdr:clientData/>
  </xdr:twoCellAnchor>
  <xdr:twoCellAnchor editAs="oneCell">
    <xdr:from>
      <xdr:col>27</xdr:col>
      <xdr:colOff>0</xdr:colOff>
      <xdr:row>73</xdr:row>
      <xdr:rowOff>0</xdr:rowOff>
    </xdr:from>
    <xdr:to>
      <xdr:col>42</xdr:col>
      <xdr:colOff>49183</xdr:colOff>
      <xdr:row>110</xdr:row>
      <xdr:rowOff>153379</xdr:rowOff>
    </xdr:to>
    <xdr:pic>
      <xdr:nvPicPr>
        <xdr:cNvPr id="8" name="Picture 7">
          <a:extLst>
            <a:ext uri="{FF2B5EF4-FFF2-40B4-BE49-F238E27FC236}">
              <a16:creationId xmlns:a16="http://schemas.microsoft.com/office/drawing/2014/main" id="{ED93AFD5-F36C-6967-7200-65E766E6C30E}"/>
            </a:ext>
          </a:extLst>
        </xdr:cNvPr>
        <xdr:cNvPicPr>
          <a:picLocks noChangeAspect="1"/>
        </xdr:cNvPicPr>
      </xdr:nvPicPr>
      <xdr:blipFill>
        <a:blip xmlns:r="http://schemas.openxmlformats.org/officeDocument/2006/relationships" r:embed="rId7"/>
        <a:stretch>
          <a:fillRect/>
        </a:stretch>
      </xdr:blipFill>
      <xdr:spPr>
        <a:xfrm>
          <a:off x="16681622" y="13530649"/>
          <a:ext cx="9316750" cy="7011378"/>
        </a:xfrm>
        <a:prstGeom prst="rect">
          <a:avLst/>
        </a:prstGeom>
      </xdr:spPr>
    </xdr:pic>
    <xdr:clientData/>
  </xdr:twoCellAnchor>
  <xdr:twoCellAnchor editAs="oneCell">
    <xdr:from>
      <xdr:col>12</xdr:col>
      <xdr:colOff>0</xdr:colOff>
      <xdr:row>104</xdr:row>
      <xdr:rowOff>0</xdr:rowOff>
    </xdr:from>
    <xdr:to>
      <xdr:col>26</xdr:col>
      <xdr:colOff>38282</xdr:colOff>
      <xdr:row>145</xdr:row>
      <xdr:rowOff>126447</xdr:rowOff>
    </xdr:to>
    <xdr:pic>
      <xdr:nvPicPr>
        <xdr:cNvPr id="9" name="Picture 8">
          <a:extLst>
            <a:ext uri="{FF2B5EF4-FFF2-40B4-BE49-F238E27FC236}">
              <a16:creationId xmlns:a16="http://schemas.microsoft.com/office/drawing/2014/main" id="{D9DC5A30-FDB3-29FB-92BE-C2DC33B74819}"/>
            </a:ext>
          </a:extLst>
        </xdr:cNvPr>
        <xdr:cNvPicPr>
          <a:picLocks noChangeAspect="1"/>
        </xdr:cNvPicPr>
      </xdr:nvPicPr>
      <xdr:blipFill>
        <a:blip xmlns:r="http://schemas.openxmlformats.org/officeDocument/2006/relationships" r:embed="rId8"/>
        <a:stretch>
          <a:fillRect/>
        </a:stretch>
      </xdr:blipFill>
      <xdr:spPr>
        <a:xfrm>
          <a:off x="7414054" y="19276541"/>
          <a:ext cx="8688012" cy="7725853"/>
        </a:xfrm>
        <a:prstGeom prst="rect">
          <a:avLst/>
        </a:prstGeom>
      </xdr:spPr>
    </xdr:pic>
    <xdr:clientData/>
  </xdr:twoCellAnchor>
  <xdr:twoCellAnchor editAs="oneCell">
    <xdr:from>
      <xdr:col>29</xdr:col>
      <xdr:colOff>0</xdr:colOff>
      <xdr:row>114</xdr:row>
      <xdr:rowOff>0</xdr:rowOff>
    </xdr:from>
    <xdr:to>
      <xdr:col>36</xdr:col>
      <xdr:colOff>114405</xdr:colOff>
      <xdr:row>132</xdr:row>
      <xdr:rowOff>93155</xdr:rowOff>
    </xdr:to>
    <xdr:pic>
      <xdr:nvPicPr>
        <xdr:cNvPr id="10" name="Picture 9">
          <a:extLst>
            <a:ext uri="{FF2B5EF4-FFF2-40B4-BE49-F238E27FC236}">
              <a16:creationId xmlns:a16="http://schemas.microsoft.com/office/drawing/2014/main" id="{FC1D2F11-CFDB-F385-9AB1-434C0EA6D78D}"/>
            </a:ext>
          </a:extLst>
        </xdr:cNvPr>
        <xdr:cNvPicPr>
          <a:picLocks noChangeAspect="1"/>
        </xdr:cNvPicPr>
      </xdr:nvPicPr>
      <xdr:blipFill>
        <a:blip xmlns:r="http://schemas.openxmlformats.org/officeDocument/2006/relationships" r:embed="rId9"/>
        <a:stretch>
          <a:fillRect/>
        </a:stretch>
      </xdr:blipFill>
      <xdr:spPr>
        <a:xfrm>
          <a:off x="17917297" y="21130054"/>
          <a:ext cx="4439270" cy="3429479"/>
        </a:xfrm>
        <a:prstGeom prst="rect">
          <a:avLst/>
        </a:prstGeom>
      </xdr:spPr>
    </xdr:pic>
    <xdr:clientData/>
  </xdr:twoCellAnchor>
  <xdr:twoCellAnchor editAs="oneCell">
    <xdr:from>
      <xdr:col>27</xdr:col>
      <xdr:colOff>494271</xdr:colOff>
      <xdr:row>134</xdr:row>
      <xdr:rowOff>20595</xdr:rowOff>
    </xdr:from>
    <xdr:to>
      <xdr:col>37</xdr:col>
      <xdr:colOff>416595</xdr:colOff>
      <xdr:row>148</xdr:row>
      <xdr:rowOff>183096</xdr:rowOff>
    </xdr:to>
    <xdr:pic>
      <xdr:nvPicPr>
        <xdr:cNvPr id="12" name="Picture 11">
          <a:extLst>
            <a:ext uri="{FF2B5EF4-FFF2-40B4-BE49-F238E27FC236}">
              <a16:creationId xmlns:a16="http://schemas.microsoft.com/office/drawing/2014/main" id="{60D565A6-DED7-4C84-ADD3-DED6B1C68789}"/>
            </a:ext>
          </a:extLst>
        </xdr:cNvPr>
        <xdr:cNvPicPr>
          <a:picLocks noChangeAspect="1"/>
        </xdr:cNvPicPr>
      </xdr:nvPicPr>
      <xdr:blipFill>
        <a:blip xmlns:r="http://schemas.openxmlformats.org/officeDocument/2006/relationships" r:embed="rId10"/>
        <a:stretch>
          <a:fillRect/>
        </a:stretch>
      </xdr:blipFill>
      <xdr:spPr>
        <a:xfrm>
          <a:off x="17175893" y="24857676"/>
          <a:ext cx="6100702" cy="2757420"/>
        </a:xfrm>
        <a:prstGeom prst="rect">
          <a:avLst/>
        </a:prstGeom>
      </xdr:spPr>
    </xdr:pic>
    <xdr:clientData/>
  </xdr:twoCellAnchor>
  <xdr:twoCellAnchor editAs="oneCell">
    <xdr:from>
      <xdr:col>25</xdr:col>
      <xdr:colOff>0</xdr:colOff>
      <xdr:row>8</xdr:row>
      <xdr:rowOff>0</xdr:rowOff>
    </xdr:from>
    <xdr:to>
      <xdr:col>33</xdr:col>
      <xdr:colOff>162468</xdr:colOff>
      <xdr:row>17</xdr:row>
      <xdr:rowOff>160193</xdr:rowOff>
    </xdr:to>
    <xdr:pic>
      <xdr:nvPicPr>
        <xdr:cNvPr id="11" name="Picture 10">
          <a:extLst>
            <a:ext uri="{FF2B5EF4-FFF2-40B4-BE49-F238E27FC236}">
              <a16:creationId xmlns:a16="http://schemas.microsoft.com/office/drawing/2014/main" id="{DFB44DA8-0AC0-4C03-BED6-4FBF0B5E8E73}"/>
            </a:ext>
          </a:extLst>
        </xdr:cNvPr>
        <xdr:cNvPicPr>
          <a:picLocks noChangeAspect="1"/>
        </xdr:cNvPicPr>
      </xdr:nvPicPr>
      <xdr:blipFill>
        <a:blip xmlns:r="http://schemas.openxmlformats.org/officeDocument/2006/relationships" r:embed="rId11"/>
        <a:stretch>
          <a:fillRect/>
        </a:stretch>
      </xdr:blipFill>
      <xdr:spPr>
        <a:xfrm>
          <a:off x="15096226" y="1495245"/>
          <a:ext cx="4993261" cy="21155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trlProp" Target="../ctrlProps/ctrlProp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7.vml"/><Relationship Id="rId1" Type="http://schemas.openxmlformats.org/officeDocument/2006/relationships/drawing" Target="../drawings/drawing7.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aximizemarketresearch.com/market-report/global-automotive-steel-market/22955/"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livemint.com/economy/india-q2-gdp-preview-urban-demand-rural-spending-amid-favourable-base-likely-pushed-growth-to-78-11764235766103.htm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77F6-E5CD-471B-AA88-B636E2C973B3}">
  <dimension ref="B3:J24"/>
  <sheetViews>
    <sheetView showGridLines="0" tabSelected="1" workbookViewId="0">
      <selection activeCell="E11" sqref="E11"/>
    </sheetView>
  </sheetViews>
  <sheetFormatPr defaultRowHeight="14.4"/>
  <cols>
    <col min="1" max="1" width="1.88671875" customWidth="1"/>
    <col min="2" max="2" width="42.88671875" customWidth="1"/>
    <col min="3" max="3" width="15.88671875" customWidth="1"/>
    <col min="9" max="9" width="42.88671875" customWidth="1"/>
    <col min="10" max="10" width="15.88671875" customWidth="1"/>
  </cols>
  <sheetData>
    <row r="3" spans="2:10">
      <c r="B3" s="450" t="s">
        <v>563</v>
      </c>
    </row>
    <row r="5" spans="2:10">
      <c r="B5" s="233" t="s">
        <v>564</v>
      </c>
      <c r="C5" s="451" t="s">
        <v>334</v>
      </c>
    </row>
    <row r="7" spans="2:10">
      <c r="B7" s="450" t="s">
        <v>771</v>
      </c>
      <c r="C7" s="450"/>
      <c r="I7" s="133"/>
      <c r="J7" s="133"/>
    </row>
    <row r="8" spans="2:10">
      <c r="B8" s="233" t="s">
        <v>581</v>
      </c>
      <c r="C8" s="452" t="s">
        <v>678</v>
      </c>
      <c r="I8" s="19"/>
      <c r="J8" s="499"/>
    </row>
    <row r="9" spans="2:10">
      <c r="B9" s="233" t="s">
        <v>772</v>
      </c>
      <c r="C9" s="453">
        <v>6.54E-2</v>
      </c>
      <c r="I9" s="19"/>
      <c r="J9" s="500"/>
    </row>
    <row r="10" spans="2:10">
      <c r="B10" s="233" t="str">
        <f>C8&amp;"'s" &amp;" Moodys Sovereign Rating"</f>
        <v>India's Moodys Sovereign Rating</v>
      </c>
      <c r="C10" s="453" t="str">
        <f>VLOOKUP(C8,'Damodaran data'!B3:D160,3,FALSE)</f>
        <v>Baa3</v>
      </c>
      <c r="I10" s="19"/>
      <c r="J10" s="501"/>
    </row>
    <row r="11" spans="2:10">
      <c r="B11" s="233" t="s">
        <v>773</v>
      </c>
      <c r="C11" s="454">
        <f>VLOOKUP(C8,'Damodaran data'!B3:E160,4,FALSE)</f>
        <v>2.160985823777507E-2</v>
      </c>
      <c r="I11" s="19"/>
      <c r="J11" s="501"/>
    </row>
    <row r="12" spans="2:10">
      <c r="B12" s="233" t="s">
        <v>774</v>
      </c>
      <c r="C12" s="453">
        <v>3.73E-2</v>
      </c>
      <c r="I12" s="19"/>
      <c r="J12" s="501"/>
    </row>
    <row r="13" spans="2:10">
      <c r="B13" s="233" t="s">
        <v>775</v>
      </c>
      <c r="C13" s="452">
        <v>0.72</v>
      </c>
      <c r="F13" s="26"/>
      <c r="I13" s="19"/>
      <c r="J13" s="502"/>
    </row>
    <row r="14" spans="2:10">
      <c r="B14" s="233" t="s">
        <v>776</v>
      </c>
      <c r="C14" s="452">
        <v>0.05</v>
      </c>
      <c r="I14" s="19"/>
      <c r="J14" s="503"/>
    </row>
    <row r="15" spans="2:10">
      <c r="B15" s="233" t="s">
        <v>523</v>
      </c>
      <c r="C15" s="455">
        <f>'Assumptions Working'!J816</f>
        <v>1.2512390539473879E-2</v>
      </c>
      <c r="I15" s="19"/>
      <c r="J15" s="504"/>
    </row>
    <row r="16" spans="2:10">
      <c r="B16" s="233" t="s">
        <v>777</v>
      </c>
      <c r="C16" s="456">
        <f>'Assumptions Working'!J817</f>
        <v>1.2357765353179714E-2</v>
      </c>
    </row>
    <row r="17" spans="2:10">
      <c r="B17" s="233" t="s">
        <v>30</v>
      </c>
      <c r="C17" s="453">
        <v>0.25119999999999998</v>
      </c>
    </row>
    <row r="18" spans="2:10">
      <c r="B18" s="233" t="s">
        <v>778</v>
      </c>
      <c r="C18" s="452" t="s">
        <v>131</v>
      </c>
      <c r="J18" s="168"/>
    </row>
    <row r="19" spans="2:10">
      <c r="B19" s="233" t="s">
        <v>782</v>
      </c>
      <c r="C19" s="452" t="s">
        <v>783</v>
      </c>
      <c r="F19" s="311" t="s">
        <v>783</v>
      </c>
      <c r="G19" s="311" t="s">
        <v>131</v>
      </c>
    </row>
    <row r="20" spans="2:10">
      <c r="B20" s="233" t="s">
        <v>779</v>
      </c>
      <c r="C20" s="452" t="s">
        <v>807</v>
      </c>
      <c r="F20" s="311" t="s">
        <v>784</v>
      </c>
      <c r="G20" s="311" t="s">
        <v>132</v>
      </c>
    </row>
    <row r="21" spans="2:10">
      <c r="B21" s="233" t="s">
        <v>121</v>
      </c>
      <c r="C21" s="457">
        <f>'3StatementModel'!H30/'3StatementModel'!H34</f>
        <v>73.292234081707747</v>
      </c>
    </row>
    <row r="22" spans="2:10">
      <c r="B22" s="233" t="s">
        <v>823</v>
      </c>
      <c r="C22" s="454">
        <f>IF(C19="L",VLOOKUP(C21,'Damodaran data'!J6:M21,4,TRUE),VLOOKUP('Input Sheet'!C21,'Damodaran data'!P6:S21,4,TRUE))</f>
        <v>4.4999999999999997E-3</v>
      </c>
    </row>
    <row r="23" spans="2:10">
      <c r="B23" s="233" t="s">
        <v>780</v>
      </c>
      <c r="C23" s="498">
        <v>0</v>
      </c>
    </row>
    <row r="24" spans="2:10">
      <c r="B24" s="233" t="s">
        <v>781</v>
      </c>
      <c r="C24" s="498">
        <v>0</v>
      </c>
    </row>
  </sheetData>
  <sheetProtection algorithmName="SHA-512" hashValue="jNDS5JlmOJl5mmOvzOtRa4M89BMjSSqtnSllN9dMVLvfUBRXflbMOcXO/joaaHprOa/sgtAs/DpB9QjrgzdupQ==" saltValue="OLLaEPgdTMdTZXH/jw3qlg==" spinCount="100000" sheet="1" objects="1" scenarios="1" selectLockedCells="1" selectUnlockedCells="1"/>
  <dataValidations count="2">
    <dataValidation type="list" allowBlank="1" showInputMessage="1" showErrorMessage="1" sqref="C19" xr:uid="{28C6BA9B-6C8B-4560-8A66-1C0C20A22802}">
      <formula1>$F$19:$F$20</formula1>
    </dataValidation>
    <dataValidation type="list" allowBlank="1" showInputMessage="1" showErrorMessage="1" sqref="C18" xr:uid="{DC66F478-5B6E-4DB0-9FE1-45EB24CB4EE4}">
      <formula1>$G$19:$G$20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72A393F-D175-44B1-8666-8D02AA1B8B14}">
          <x14:formula1>
            <xm:f>'Damodaran data'!$B$4:$B$160</xm:f>
          </x14:formula1>
          <xm:sqref>C8</xm:sqref>
        </x14:dataValidation>
        <x14:dataValidation type="list" allowBlank="1" showInputMessage="1" showErrorMessage="1" xr:uid="{229F20D1-EA70-48E0-99DA-A75A3E9173C7}">
          <x14:formula1>
            <xm:f>'Damodaran data'!$L$7:$L$21</xm:f>
          </x14:formula1>
          <xm:sqref>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ECA85-4CD7-4212-8801-1A47E3F6F767}">
  <dimension ref="B2:AA107"/>
  <sheetViews>
    <sheetView showGridLines="0" zoomScale="55" zoomScaleNormal="70" workbookViewId="0">
      <selection activeCell="E33" sqref="E33"/>
    </sheetView>
  </sheetViews>
  <sheetFormatPr defaultRowHeight="14.4"/>
  <cols>
    <col min="1" max="1" width="1.88671875" customWidth="1"/>
    <col min="2" max="2" width="39.88671875" customWidth="1"/>
    <col min="3" max="3" width="1.44140625" customWidth="1"/>
    <col min="4" max="4" width="18.88671875" customWidth="1"/>
    <col min="5" max="5" width="14.33203125" customWidth="1"/>
    <col min="6" max="6" width="14.88671875" customWidth="1"/>
    <col min="7" max="7" width="9" customWidth="1"/>
    <col min="8" max="8" width="14.109375" customWidth="1"/>
    <col min="9" max="9" width="9.44140625" customWidth="1"/>
    <col min="10" max="10" width="11.44140625" customWidth="1"/>
    <col min="12" max="12" width="12.88671875" customWidth="1"/>
    <col min="13" max="13" width="10.44140625" customWidth="1"/>
  </cols>
  <sheetData>
    <row r="2" spans="2:14" ht="21">
      <c r="B2" s="462" t="str">
        <f>'Input Sheet'!C5</f>
        <v>Eicher Motors</v>
      </c>
    </row>
    <row r="3" spans="2:14" ht="15.6">
      <c r="B3" s="9" t="s">
        <v>134</v>
      </c>
    </row>
    <row r="5" spans="2:14">
      <c r="B5" s="460" t="s">
        <v>154</v>
      </c>
      <c r="C5" s="460"/>
      <c r="D5" s="461" t="s">
        <v>810</v>
      </c>
      <c r="E5" s="461" t="s">
        <v>811</v>
      </c>
      <c r="F5" s="461" t="s">
        <v>812</v>
      </c>
      <c r="H5" s="505" t="s">
        <v>135</v>
      </c>
    </row>
    <row r="6" spans="2:14" ht="14.4" customHeight="1">
      <c r="B6" s="325" t="s">
        <v>135</v>
      </c>
      <c r="C6" s="325"/>
      <c r="D6" s="326">
        <f>'Input Sheet'!C9-'Input Sheet'!C11</f>
        <v>4.3790141762224927E-2</v>
      </c>
      <c r="E6" s="326">
        <f>D6</f>
        <v>4.3790141762224927E-2</v>
      </c>
      <c r="F6" s="326">
        <f>E6</f>
        <v>4.3790141762224927E-2</v>
      </c>
      <c r="H6" s="538" t="str">
        <f>"We have considered "&amp;TEXT(E6,"0.00%")&amp;" as the risk free rate in estimation of cost of equity of "&amp;TEXT(E11,"0.00%")&amp;". The risk free rate of India is calculated by considering local currency 10 years government bond yield adjusted for default spread of India."</f>
        <v>We have considered 4.38% as the risk free rate in estimation of cost of equity of 8.66%. The risk free rate of India is calculated by considering local currency 10 years government bond yield adjusted for default spread of India.</v>
      </c>
      <c r="I6" s="539"/>
      <c r="J6" s="539"/>
      <c r="K6" s="539"/>
      <c r="L6" s="539"/>
      <c r="M6" s="539"/>
      <c r="N6" s="540"/>
    </row>
    <row r="7" spans="2:14">
      <c r="B7" s="15" t="s">
        <v>813</v>
      </c>
      <c r="C7" s="15"/>
      <c r="D7" s="327">
        <f>'Input Sheet'!C12+'Input Sheet'!C11</f>
        <v>5.8909858237775073E-2</v>
      </c>
      <c r="E7" s="327">
        <f>D7</f>
        <v>5.8909858237775073E-2</v>
      </c>
      <c r="F7" s="327">
        <f>E7</f>
        <v>5.8909858237775073E-2</v>
      </c>
      <c r="H7" s="541"/>
      <c r="I7" s="542"/>
      <c r="J7" s="542"/>
      <c r="K7" s="542"/>
      <c r="L7" s="542"/>
      <c r="M7" s="542"/>
      <c r="N7" s="543"/>
    </row>
    <row r="8" spans="2:14">
      <c r="B8" s="15" t="s">
        <v>775</v>
      </c>
      <c r="C8" s="15"/>
      <c r="D8" s="324">
        <f>E8-'Input Sheet'!C14</f>
        <v>0.66999999999999993</v>
      </c>
      <c r="E8" s="324">
        <f>'Input Sheet'!C13</f>
        <v>0.72</v>
      </c>
      <c r="F8" s="324">
        <f>E8+'Input Sheet'!C14</f>
        <v>0.77</v>
      </c>
      <c r="H8" s="544"/>
      <c r="I8" s="545"/>
      <c r="J8" s="545"/>
      <c r="K8" s="545"/>
      <c r="L8" s="545"/>
      <c r="M8" s="545"/>
      <c r="N8" s="546"/>
    </row>
    <row r="9" spans="2:14">
      <c r="B9" s="15" t="s">
        <v>814</v>
      </c>
      <c r="C9" s="15"/>
      <c r="D9" s="360">
        <f>'Input Sheet'!$C$15</f>
        <v>1.2512390539473879E-2</v>
      </c>
      <c r="E9" s="360">
        <f>'Input Sheet'!$C$15</f>
        <v>1.2512390539473879E-2</v>
      </c>
      <c r="F9" s="360">
        <f>'Input Sheet'!$C$15</f>
        <v>1.2512390539473879E-2</v>
      </c>
    </row>
    <row r="10" spans="2:14">
      <c r="B10" s="323" t="s">
        <v>815</v>
      </c>
      <c r="C10" s="323"/>
      <c r="D10" s="359">
        <f>D8*(1+(D9*(1-'Input Sheet'!$C$17)))</f>
        <v>0.67627741628409177</v>
      </c>
      <c r="E10" s="359">
        <f>E8*(1+(E9*(1-'Input Sheet'!$C$17)))</f>
        <v>0.7267458801858897</v>
      </c>
      <c r="F10" s="359">
        <f>F8*(1+(F9*(1-'Input Sheet'!$C$17)))</f>
        <v>0.77721434408768764</v>
      </c>
      <c r="H10" s="505" t="s">
        <v>775</v>
      </c>
    </row>
    <row r="11" spans="2:14" ht="14.4" customHeight="1">
      <c r="B11" s="322" t="s">
        <v>816</v>
      </c>
      <c r="C11" s="322"/>
      <c r="D11" s="328">
        <f>D6+D7*D10</f>
        <v>8.3629548484929567E-2</v>
      </c>
      <c r="E11" s="328">
        <f t="shared" ref="E11:F11" si="0">E6+E7*E10</f>
        <v>8.6602638538862756E-2</v>
      </c>
      <c r="F11" s="328">
        <f t="shared" si="0"/>
        <v>8.9575728592795945E-2</v>
      </c>
      <c r="H11" s="529" t="str">
        <f>"We have estimated an asset beta range of "&amp;TEXT(D8,"0.00")&amp;" to "&amp;TEXT(F8,"0.00")&amp; ", with a mid point of "&amp;TEXT(E8,"0.00")&amp; " based on observed median 5 year monthly asset beta of benchmark listed companies adjusted for blume effect."</f>
        <v>We have estimated an asset beta range of 0.67 to 0.77, with a mid point of 0.72 based on observed median 5 year monthly asset beta of benchmark listed companies adjusted for blume effect.</v>
      </c>
      <c r="I11" s="530"/>
      <c r="J11" s="530"/>
      <c r="K11" s="530"/>
      <c r="L11" s="530"/>
      <c r="M11" s="530"/>
      <c r="N11" s="531"/>
    </row>
    <row r="12" spans="2:14" ht="14.4" customHeight="1">
      <c r="D12" s="232"/>
      <c r="E12" s="232"/>
      <c r="F12" s="232"/>
      <c r="H12" s="532"/>
      <c r="I12" s="533"/>
      <c r="J12" s="533"/>
      <c r="K12" s="533"/>
      <c r="L12" s="533"/>
      <c r="M12" s="533"/>
      <c r="N12" s="534"/>
    </row>
    <row r="13" spans="2:14" ht="14.4" customHeight="1">
      <c r="B13" s="152" t="s">
        <v>780</v>
      </c>
      <c r="C13" s="152"/>
      <c r="D13" s="329">
        <v>2.5000000000000001E-2</v>
      </c>
      <c r="E13" s="329">
        <f>D13</f>
        <v>2.5000000000000001E-2</v>
      </c>
      <c r="F13" s="329">
        <f>E13</f>
        <v>2.5000000000000001E-2</v>
      </c>
      <c r="H13" s="535"/>
      <c r="I13" s="536"/>
      <c r="J13" s="536"/>
      <c r="K13" s="536"/>
      <c r="L13" s="536"/>
      <c r="M13" s="536"/>
      <c r="N13" s="537"/>
    </row>
    <row r="14" spans="2:14">
      <c r="B14" s="323" t="s">
        <v>817</v>
      </c>
      <c r="C14" s="323"/>
      <c r="D14" s="330">
        <f>'Input Sheet'!C24</f>
        <v>0</v>
      </c>
      <c r="E14" s="330">
        <f>D14</f>
        <v>0</v>
      </c>
      <c r="F14" s="330">
        <f>E14</f>
        <v>0</v>
      </c>
      <c r="H14" s="362"/>
      <c r="I14" s="362"/>
      <c r="J14" s="362"/>
      <c r="K14" s="362"/>
      <c r="L14" s="362"/>
      <c r="M14" s="362"/>
      <c r="N14" s="362"/>
    </row>
    <row r="15" spans="2:14">
      <c r="B15" s="322" t="s">
        <v>818</v>
      </c>
      <c r="C15" s="322"/>
      <c r="D15" s="328">
        <f>D11+D13+D14</f>
        <v>0.10862954848492956</v>
      </c>
      <c r="E15" s="328">
        <f t="shared" ref="E15:F15" si="1">E11+E13+E14</f>
        <v>0.11160263853886276</v>
      </c>
      <c r="F15" s="328">
        <f t="shared" si="1"/>
        <v>0.11457572859279594</v>
      </c>
      <c r="H15" s="505" t="s">
        <v>813</v>
      </c>
      <c r="I15" s="363"/>
      <c r="J15" s="363"/>
      <c r="K15" s="363"/>
      <c r="L15" s="363"/>
      <c r="M15" s="363"/>
      <c r="N15" s="363"/>
    </row>
    <row r="16" spans="2:14">
      <c r="D16" s="232"/>
      <c r="E16" s="232"/>
      <c r="F16" s="232"/>
      <c r="H16" s="529" t="str">
        <f>"An ERP of "&amp;TEXT(E7,"0.00%")&amp;" has been adopted based on US implied equity risk premium, relative equity volatility of ICE BoFA Public Sector Issues Emerging Markets Index, S&amp;P Emerging BMI Index and country risk premium of India."</f>
        <v>An ERP of 5.89% has been adopted based on US implied equity risk premium, relative equity volatility of ICE BoFA Public Sector Issues Emerging Markets Index, S&amp;P Emerging BMI Index and country risk premium of India.</v>
      </c>
      <c r="I16" s="530"/>
      <c r="J16" s="530"/>
      <c r="K16" s="530"/>
      <c r="L16" s="530"/>
      <c r="M16" s="530"/>
      <c r="N16" s="531"/>
    </row>
    <row r="17" spans="2:27" ht="14.4" customHeight="1">
      <c r="B17" s="152" t="s">
        <v>819</v>
      </c>
      <c r="C17" s="152"/>
      <c r="D17" s="331">
        <f>'Input Sheet'!C9+(IF('Input Sheet'!C18="No",'Input Sheet'!C22,VLOOKUP('Input Sheet'!C20,'Damodaran data'!L7:M21,2,FALSE)))</f>
        <v>6.9900000000000004E-2</v>
      </c>
      <c r="E17" s="331">
        <f>D17</f>
        <v>6.9900000000000004E-2</v>
      </c>
      <c r="F17" s="331">
        <f>E17</f>
        <v>6.9900000000000004E-2</v>
      </c>
      <c r="H17" s="532"/>
      <c r="I17" s="533"/>
      <c r="J17" s="533"/>
      <c r="K17" s="533"/>
      <c r="L17" s="533"/>
      <c r="M17" s="533"/>
      <c r="N17" s="534"/>
    </row>
    <row r="18" spans="2:27">
      <c r="B18" s="323" t="s">
        <v>30</v>
      </c>
      <c r="C18" s="323"/>
      <c r="D18" s="332">
        <f>'Input Sheet'!C17</f>
        <v>0.25119999999999998</v>
      </c>
      <c r="E18" s="332">
        <f>D18</f>
        <v>0.25119999999999998</v>
      </c>
      <c r="F18" s="332">
        <f>E18</f>
        <v>0.25119999999999998</v>
      </c>
      <c r="H18" s="535"/>
      <c r="I18" s="536"/>
      <c r="J18" s="536"/>
      <c r="K18" s="536"/>
      <c r="L18" s="536"/>
      <c r="M18" s="536"/>
      <c r="N18" s="537"/>
    </row>
    <row r="19" spans="2:27">
      <c r="B19" s="322" t="s">
        <v>820</v>
      </c>
      <c r="C19" s="322"/>
      <c r="D19" s="328">
        <f>D17*(1-D18)</f>
        <v>5.2341120000000005E-2</v>
      </c>
      <c r="E19" s="328">
        <f t="shared" ref="E19:F19" si="2">E17*(1-E18)</f>
        <v>5.2341120000000005E-2</v>
      </c>
      <c r="F19" s="328">
        <f t="shared" si="2"/>
        <v>5.2341120000000005E-2</v>
      </c>
      <c r="H19" s="363"/>
      <c r="I19" s="363"/>
      <c r="J19" s="363"/>
      <c r="K19" s="363"/>
      <c r="L19" s="363"/>
      <c r="M19" s="363"/>
      <c r="N19" s="363"/>
    </row>
    <row r="20" spans="2:27">
      <c r="D20" s="232"/>
      <c r="E20" s="232"/>
      <c r="F20" s="232"/>
      <c r="H20" s="505" t="s">
        <v>136</v>
      </c>
    </row>
    <row r="21" spans="2:27">
      <c r="B21" s="152" t="s">
        <v>821</v>
      </c>
      <c r="C21" s="152"/>
      <c r="D21" s="365">
        <f>'Input Sheet'!C16</f>
        <v>1.2357765353179714E-2</v>
      </c>
      <c r="E21" s="365">
        <f>D21</f>
        <v>1.2357765353179714E-2</v>
      </c>
      <c r="F21" s="365">
        <f>E21</f>
        <v>1.2357765353179714E-2</v>
      </c>
      <c r="H21" s="538" t="s">
        <v>859</v>
      </c>
      <c r="I21" s="539"/>
      <c r="J21" s="539"/>
      <c r="K21" s="539"/>
      <c r="L21" s="539"/>
      <c r="M21" s="539"/>
      <c r="N21" s="540"/>
    </row>
    <row r="22" spans="2:27">
      <c r="B22" s="323" t="s">
        <v>134</v>
      </c>
      <c r="C22" s="323"/>
      <c r="D22" s="332">
        <f>(D19*D21)+(D15*(1-D21))</f>
        <v>0.10793394929361357</v>
      </c>
      <c r="E22" s="332">
        <f t="shared" ref="E22:F22" si="3">(E19*E21)+(E15*(1-E21))</f>
        <v>0.11087029859828638</v>
      </c>
      <c r="F22" s="332">
        <f t="shared" si="3"/>
        <v>0.11380664790295919</v>
      </c>
      <c r="H22" s="541"/>
      <c r="I22" s="542"/>
      <c r="J22" s="542"/>
      <c r="K22" s="542"/>
      <c r="L22" s="542"/>
      <c r="M22" s="542"/>
      <c r="N22" s="543"/>
    </row>
    <row r="23" spans="2:27">
      <c r="B23" s="322" t="s">
        <v>822</v>
      </c>
      <c r="C23" s="322"/>
      <c r="D23" s="328">
        <f>ROUNDUP(D22,2)</f>
        <v>0.11</v>
      </c>
      <c r="E23" s="328">
        <f t="shared" ref="E23:F23" si="4">ROUNDUP(E22,2)</f>
        <v>0.12</v>
      </c>
      <c r="F23" s="328">
        <f t="shared" si="4"/>
        <v>0.12</v>
      </c>
      <c r="H23" s="544"/>
      <c r="I23" s="545"/>
      <c r="J23" s="545"/>
      <c r="K23" s="545"/>
      <c r="L23" s="545"/>
      <c r="M23" s="545"/>
      <c r="N23" s="546"/>
    </row>
    <row r="24" spans="2:27">
      <c r="B24" s="18"/>
      <c r="C24" s="18"/>
      <c r="D24" s="364"/>
      <c r="E24" s="364"/>
      <c r="F24" s="364"/>
      <c r="H24" s="361"/>
      <c r="I24" s="361"/>
      <c r="J24" s="361"/>
      <c r="K24" s="361"/>
      <c r="L24" s="361"/>
      <c r="M24" s="361"/>
      <c r="N24" s="361"/>
    </row>
    <row r="25" spans="2:27">
      <c r="H25" s="505" t="s">
        <v>861</v>
      </c>
    </row>
    <row r="26" spans="2:27" ht="14.4" customHeight="1">
      <c r="B26" s="79" t="s">
        <v>856</v>
      </c>
      <c r="H26" s="538" t="s">
        <v>860</v>
      </c>
      <c r="I26" s="539"/>
      <c r="J26" s="539"/>
      <c r="K26" s="539"/>
      <c r="L26" s="539"/>
      <c r="M26" s="539"/>
      <c r="N26" s="540"/>
    </row>
    <row r="27" spans="2:27">
      <c r="B27" s="79" t="s">
        <v>857</v>
      </c>
      <c r="H27" s="541"/>
      <c r="I27" s="542"/>
      <c r="J27" s="542"/>
      <c r="K27" s="542"/>
      <c r="L27" s="542"/>
      <c r="M27" s="542"/>
      <c r="N27" s="543"/>
    </row>
    <row r="28" spans="2:27">
      <c r="B28" s="79" t="s">
        <v>858</v>
      </c>
      <c r="H28" s="541"/>
      <c r="I28" s="542"/>
      <c r="J28" s="542"/>
      <c r="K28" s="542"/>
      <c r="L28" s="542"/>
      <c r="M28" s="542"/>
      <c r="N28" s="543"/>
    </row>
    <row r="29" spans="2:27">
      <c r="H29" s="544"/>
      <c r="I29" s="545"/>
      <c r="J29" s="545"/>
      <c r="K29" s="545"/>
      <c r="L29" s="545"/>
      <c r="M29" s="545"/>
      <c r="N29" s="546"/>
    </row>
    <row r="30" spans="2:27">
      <c r="V30" s="26" t="s">
        <v>863</v>
      </c>
      <c r="W30" t="s">
        <v>864</v>
      </c>
      <c r="Z30" s="87">
        <v>7.2999999999999995E-2</v>
      </c>
      <c r="AA30">
        <v>25000</v>
      </c>
    </row>
    <row r="31" spans="2:27">
      <c r="H31" s="26" t="s">
        <v>817</v>
      </c>
      <c r="W31" t="s">
        <v>865</v>
      </c>
      <c r="Z31" s="88">
        <v>0.11</v>
      </c>
      <c r="AA31">
        <v>25000</v>
      </c>
    </row>
    <row r="32" spans="2:27">
      <c r="W32" s="26" t="s">
        <v>817</v>
      </c>
      <c r="Z32" s="366">
        <f>Z31-Z30</f>
        <v>3.7000000000000005E-2</v>
      </c>
    </row>
    <row r="39" spans="17:17">
      <c r="Q39" t="s">
        <v>862</v>
      </c>
    </row>
    <row r="50" spans="2:13" ht="21">
      <c r="B50" s="506" t="str">
        <f>B2</f>
        <v>Eicher Motors</v>
      </c>
      <c r="M50" s="87">
        <v>0.25119999999999998</v>
      </c>
    </row>
    <row r="51" spans="2:13" ht="15.6">
      <c r="B51" s="9" t="s">
        <v>824</v>
      </c>
    </row>
    <row r="53" spans="2:13" ht="70.2" customHeight="1">
      <c r="B53" s="458" t="s">
        <v>825</v>
      </c>
      <c r="C53" s="458"/>
      <c r="D53" s="458" t="s">
        <v>830</v>
      </c>
      <c r="E53" s="459" t="s">
        <v>831</v>
      </c>
      <c r="F53" s="459" t="s">
        <v>840</v>
      </c>
      <c r="G53" s="459" t="s">
        <v>775</v>
      </c>
      <c r="H53" s="459" t="s">
        <v>832</v>
      </c>
      <c r="I53" s="459" t="s">
        <v>833</v>
      </c>
      <c r="J53" s="459" t="s">
        <v>834</v>
      </c>
      <c r="L53" s="458" t="s">
        <v>841</v>
      </c>
      <c r="M53" s="459" t="s">
        <v>844</v>
      </c>
    </row>
    <row r="54" spans="2:13">
      <c r="B54" s="333" t="s">
        <v>370</v>
      </c>
      <c r="C54" s="334">
        <v>252955</v>
      </c>
      <c r="D54" s="337" t="s">
        <v>835</v>
      </c>
      <c r="E54" s="334">
        <v>104</v>
      </c>
      <c r="F54" s="334">
        <v>251827</v>
      </c>
      <c r="G54" s="335">
        <f>I54/(1+(H54*(1-$M$50)))</f>
        <v>0.95424476610123066</v>
      </c>
      <c r="H54" s="342">
        <v>0.16200000000000001</v>
      </c>
      <c r="I54" s="335">
        <v>1.07</v>
      </c>
      <c r="J54" s="342">
        <v>0.13</v>
      </c>
      <c r="L54" s="336" t="s">
        <v>842</v>
      </c>
      <c r="M54" s="336" t="str">
        <f>IF(L54="Y","TRUE","FALSE")</f>
        <v>TRUE</v>
      </c>
    </row>
    <row r="55" spans="2:13">
      <c r="B55" s="333" t="s">
        <v>826</v>
      </c>
      <c r="C55" s="334">
        <v>167428</v>
      </c>
      <c r="D55" s="337" t="s">
        <v>836</v>
      </c>
      <c r="E55" s="334">
        <v>104</v>
      </c>
      <c r="F55" s="334">
        <v>164107</v>
      </c>
      <c r="G55" s="335">
        <f t="shared" ref="G55:G58" si="5">I55/(1+(H55*(1-$M$50)))</f>
        <v>0.24754000246439825</v>
      </c>
      <c r="H55" s="342">
        <v>3.52</v>
      </c>
      <c r="I55" s="335">
        <v>0.9</v>
      </c>
      <c r="J55" s="342">
        <v>0.77</v>
      </c>
      <c r="L55" s="336" t="s">
        <v>842</v>
      </c>
      <c r="M55" s="336" t="str">
        <f t="shared" ref="M55:M58" si="6">IF(L55="Y","TRUE","FALSE")</f>
        <v>TRUE</v>
      </c>
    </row>
    <row r="56" spans="2:13">
      <c r="B56" s="333" t="s">
        <v>827</v>
      </c>
      <c r="C56" s="334">
        <v>108599</v>
      </c>
      <c r="D56" s="337" t="s">
        <v>837</v>
      </c>
      <c r="E56" s="334">
        <v>104</v>
      </c>
      <c r="F56" s="334">
        <v>120299</v>
      </c>
      <c r="G56" s="335">
        <f t="shared" si="5"/>
        <v>1.2808184627025663</v>
      </c>
      <c r="H56" s="342">
        <v>0.02</v>
      </c>
      <c r="I56" s="335">
        <v>1.3</v>
      </c>
      <c r="J56" s="342">
        <v>0.02</v>
      </c>
      <c r="L56" s="336" t="s">
        <v>842</v>
      </c>
      <c r="M56" s="336" t="str">
        <f t="shared" si="6"/>
        <v>TRUE</v>
      </c>
    </row>
    <row r="57" spans="2:13">
      <c r="B57" s="333" t="s">
        <v>828</v>
      </c>
      <c r="C57" s="334">
        <v>445718</v>
      </c>
      <c r="D57" s="337" t="s">
        <v>838</v>
      </c>
      <c r="E57" s="334">
        <v>104</v>
      </c>
      <c r="F57" s="334">
        <v>460522</v>
      </c>
      <c r="G57" s="335">
        <f t="shared" si="5"/>
        <v>0.54844344574202863</v>
      </c>
      <c r="H57" s="342">
        <v>1.27</v>
      </c>
      <c r="I57" s="335">
        <v>1.07</v>
      </c>
      <c r="J57" s="343">
        <v>0.55000000000000004</v>
      </c>
      <c r="L57" s="336" t="s">
        <v>842</v>
      </c>
      <c r="M57" s="336" t="str">
        <f t="shared" si="6"/>
        <v>TRUE</v>
      </c>
    </row>
    <row r="58" spans="2:13">
      <c r="B58" s="344" t="s">
        <v>829</v>
      </c>
      <c r="C58" s="345">
        <v>81882</v>
      </c>
      <c r="D58" s="346" t="s">
        <v>839</v>
      </c>
      <c r="E58" s="345">
        <v>104</v>
      </c>
      <c r="F58" s="345">
        <v>85048</v>
      </c>
      <c r="G58" s="335">
        <f t="shared" si="5"/>
        <v>0.14929475999090014</v>
      </c>
      <c r="H58" s="348">
        <v>4.3</v>
      </c>
      <c r="I58" s="347">
        <v>0.63</v>
      </c>
      <c r="J58" s="342">
        <v>0.8</v>
      </c>
      <c r="L58" s="336" t="s">
        <v>843</v>
      </c>
      <c r="M58" s="336" t="str">
        <f t="shared" si="6"/>
        <v>FALSE</v>
      </c>
    </row>
    <row r="60" spans="2:13">
      <c r="B60" s="358" t="s">
        <v>845</v>
      </c>
      <c r="C60" s="354"/>
      <c r="D60" s="355"/>
      <c r="E60" s="355"/>
      <c r="F60" s="355"/>
      <c r="G60" s="355">
        <f>MEDIAN(G54:G58)</f>
        <v>0.54844344574202863</v>
      </c>
      <c r="H60" s="356">
        <f>MEDIAN(H54:H58)</f>
        <v>1.27</v>
      </c>
      <c r="I60" s="355">
        <f t="shared" ref="I60:J60" si="7">MEDIAN(I54:I58)</f>
        <v>1.07</v>
      </c>
      <c r="J60" s="356">
        <f t="shared" si="7"/>
        <v>0.55000000000000004</v>
      </c>
    </row>
    <row r="61" spans="2:13">
      <c r="B61" s="349" t="s">
        <v>846</v>
      </c>
      <c r="C61" s="350"/>
      <c r="D61" s="351"/>
      <c r="E61" s="351"/>
      <c r="F61" s="351"/>
      <c r="G61" s="353">
        <f>AVERAGE(G54:G58)</f>
        <v>0.63606828740022481</v>
      </c>
      <c r="H61" s="352">
        <f>AVERAGE(H54:H58)</f>
        <v>1.8543999999999996</v>
      </c>
      <c r="I61" s="353">
        <f t="shared" ref="I61:J61" si="8">AVERAGE(I54:I58)</f>
        <v>0.99400000000000011</v>
      </c>
      <c r="J61" s="352">
        <f t="shared" si="8"/>
        <v>0.45400000000000007</v>
      </c>
    </row>
    <row r="62" spans="2:13">
      <c r="B62" s="338"/>
      <c r="C62" s="339"/>
      <c r="D62" s="340"/>
      <c r="E62" s="340"/>
      <c r="F62" s="340"/>
      <c r="G62" s="341"/>
      <c r="H62" s="341"/>
      <c r="I62" s="341"/>
      <c r="J62" s="341"/>
    </row>
    <row r="63" spans="2:13">
      <c r="B63" s="358" t="s">
        <v>847</v>
      </c>
      <c r="C63" s="354"/>
      <c r="D63" s="355"/>
      <c r="E63" s="355"/>
      <c r="F63" s="355"/>
      <c r="G63" s="355" cm="1">
        <f t="array" ref="G63">MEDIAN(IF($M$54:$M$58,G54:G58))</f>
        <v>0.7513441059216297</v>
      </c>
      <c r="H63" s="356" cm="1">
        <f t="array" ref="H63">MEDIAN(IF($M$54:$M$58,H54:H58))</f>
        <v>0.71600000000000008</v>
      </c>
      <c r="I63" s="355" cm="1">
        <f t="array" ref="I63">MEDIAN(IF($M$54:$M$58,I54:I58))</f>
        <v>1.07</v>
      </c>
      <c r="J63" s="356" cm="1">
        <f t="array" ref="J63">MEDIAN(IF($M$54:$M$58,J54:J58))</f>
        <v>0.34</v>
      </c>
    </row>
    <row r="64" spans="2:13">
      <c r="B64" s="349" t="s">
        <v>848</v>
      </c>
      <c r="C64" s="357"/>
      <c r="D64" s="353"/>
      <c r="E64" s="353"/>
      <c r="F64" s="353"/>
      <c r="G64" s="353" cm="1">
        <f t="array" ref="G64">AVERAGE(IF($M$54:$M$58,G54:G58))</f>
        <v>0.75776166925255595</v>
      </c>
      <c r="H64" s="352" cm="1">
        <f t="array" ref="H64">AVERAGE(IF($M$54:$M$58,H54:H58))</f>
        <v>1.2429999999999999</v>
      </c>
      <c r="I64" s="353" cm="1">
        <f t="array" ref="I64">AVERAGE(IF($M$54:$M$58,I54:I58))</f>
        <v>1.0850000000000002</v>
      </c>
      <c r="J64" s="352" cm="1">
        <f t="array" ref="J64">AVERAGE(IF($M$54:$M$58,J54:J58))</f>
        <v>0.36750000000000005</v>
      </c>
    </row>
    <row r="71" spans="2:13" ht="21">
      <c r="B71" s="506" t="str">
        <f>B50</f>
        <v>Eicher Motors</v>
      </c>
      <c r="M71" s="87">
        <v>0.25119999999999998</v>
      </c>
    </row>
    <row r="72" spans="2:13" ht="15.6">
      <c r="B72" s="9" t="s">
        <v>852</v>
      </c>
    </row>
    <row r="74" spans="2:13" ht="28.8">
      <c r="B74" s="458" t="s">
        <v>825</v>
      </c>
      <c r="C74" s="458"/>
      <c r="D74" s="458" t="s">
        <v>830</v>
      </c>
      <c r="E74" s="459" t="s">
        <v>849</v>
      </c>
      <c r="F74" s="459" t="s">
        <v>840</v>
      </c>
      <c r="G74" s="459" t="s">
        <v>775</v>
      </c>
      <c r="H74" s="459" t="s">
        <v>850</v>
      </c>
      <c r="I74" s="459" t="s">
        <v>833</v>
      </c>
      <c r="J74" s="459" t="s">
        <v>851</v>
      </c>
      <c r="L74" s="458" t="s">
        <v>841</v>
      </c>
      <c r="M74" s="459" t="s">
        <v>844</v>
      </c>
    </row>
    <row r="75" spans="2:13">
      <c r="B75" s="333" t="s">
        <v>370</v>
      </c>
      <c r="C75" s="334">
        <v>252955</v>
      </c>
      <c r="D75" s="337" t="s">
        <v>835</v>
      </c>
      <c r="E75" s="334">
        <v>60</v>
      </c>
      <c r="F75" s="334">
        <v>251827</v>
      </c>
      <c r="G75" s="335">
        <f>I75/(1+(H75*(1-$M$50)))</f>
        <v>1.0239939976725669</v>
      </c>
      <c r="H75" s="342">
        <v>0.06</v>
      </c>
      <c r="I75" s="335">
        <v>1.07</v>
      </c>
      <c r="J75" s="342">
        <v>0.05</v>
      </c>
      <c r="L75" s="336" t="s">
        <v>842</v>
      </c>
      <c r="M75" s="336" t="str">
        <f>IF(L75="Y","TRUE","FALSE")</f>
        <v>TRUE</v>
      </c>
    </row>
    <row r="76" spans="2:13">
      <c r="B76" s="333" t="s">
        <v>826</v>
      </c>
      <c r="C76" s="334">
        <v>167428</v>
      </c>
      <c r="D76" s="337" t="s">
        <v>836</v>
      </c>
      <c r="E76" s="334">
        <v>60</v>
      </c>
      <c r="F76" s="334">
        <v>164107</v>
      </c>
      <c r="G76" s="335">
        <f t="shared" ref="G76:G79" si="9">I76/(1+(H76*(1-$M$50)))</f>
        <v>0.25817437441480479</v>
      </c>
      <c r="H76" s="342">
        <v>3.32</v>
      </c>
      <c r="I76" s="335">
        <v>0.9</v>
      </c>
      <c r="J76" s="342">
        <v>0.76</v>
      </c>
      <c r="L76" s="336" t="s">
        <v>842</v>
      </c>
      <c r="M76" s="336" t="str">
        <f t="shared" ref="M76:M79" si="10">IF(L76="Y","TRUE","FALSE")</f>
        <v>TRUE</v>
      </c>
    </row>
    <row r="77" spans="2:13">
      <c r="B77" s="333" t="s">
        <v>827</v>
      </c>
      <c r="C77" s="334">
        <v>108599</v>
      </c>
      <c r="D77" s="337" t="s">
        <v>837</v>
      </c>
      <c r="E77" s="334">
        <v>60</v>
      </c>
      <c r="F77" s="334">
        <v>120299</v>
      </c>
      <c r="G77" s="335">
        <f t="shared" si="9"/>
        <v>1.2808184627025663</v>
      </c>
      <c r="H77" s="342">
        <v>0.02</v>
      </c>
      <c r="I77" s="335">
        <v>1.3</v>
      </c>
      <c r="J77" s="342">
        <v>0.02</v>
      </c>
      <c r="L77" s="336" t="s">
        <v>842</v>
      </c>
      <c r="M77" s="336" t="str">
        <f t="shared" si="10"/>
        <v>TRUE</v>
      </c>
    </row>
    <row r="78" spans="2:13">
      <c r="B78" s="333" t="s">
        <v>828</v>
      </c>
      <c r="C78" s="334">
        <v>445718</v>
      </c>
      <c r="D78" s="337" t="s">
        <v>838</v>
      </c>
      <c r="E78" s="334">
        <v>60</v>
      </c>
      <c r="F78" s="334">
        <v>460522</v>
      </c>
      <c r="G78" s="335">
        <f t="shared" si="9"/>
        <v>0.4986801288552169</v>
      </c>
      <c r="H78" s="342">
        <v>1.53</v>
      </c>
      <c r="I78" s="335">
        <v>1.07</v>
      </c>
      <c r="J78" s="342">
        <v>0.59</v>
      </c>
      <c r="L78" s="336" t="s">
        <v>842</v>
      </c>
      <c r="M78" s="336" t="str">
        <f t="shared" si="10"/>
        <v>TRUE</v>
      </c>
    </row>
    <row r="79" spans="2:13">
      <c r="B79" s="344" t="s">
        <v>829</v>
      </c>
      <c r="C79" s="345">
        <v>81882</v>
      </c>
      <c r="D79" s="346" t="s">
        <v>839</v>
      </c>
      <c r="E79" s="345">
        <v>60</v>
      </c>
      <c r="F79" s="345">
        <v>85048</v>
      </c>
      <c r="G79" s="335">
        <f t="shared" si="9"/>
        <v>0.16675277815422143</v>
      </c>
      <c r="H79" s="342">
        <v>3.71</v>
      </c>
      <c r="I79" s="347">
        <v>0.63</v>
      </c>
      <c r="J79" s="342">
        <v>0.78</v>
      </c>
      <c r="L79" s="336" t="s">
        <v>843</v>
      </c>
      <c r="M79" s="336" t="str">
        <f t="shared" si="10"/>
        <v>FALSE</v>
      </c>
    </row>
    <row r="81" spans="2:13">
      <c r="B81" s="358" t="s">
        <v>845</v>
      </c>
      <c r="C81" s="354"/>
      <c r="D81" s="355"/>
      <c r="E81" s="355"/>
      <c r="F81" s="355"/>
      <c r="G81" s="355">
        <f>MEDIAN(G75:G79)</f>
        <v>0.4986801288552169</v>
      </c>
      <c r="H81" s="356">
        <f>MEDIAN(H75:H79)</f>
        <v>1.53</v>
      </c>
      <c r="I81" s="355">
        <f t="shared" ref="I81:J81" si="11">MEDIAN(I75:I79)</f>
        <v>1.07</v>
      </c>
      <c r="J81" s="356">
        <f t="shared" si="11"/>
        <v>0.59</v>
      </c>
    </row>
    <row r="82" spans="2:13">
      <c r="B82" s="349" t="s">
        <v>846</v>
      </c>
      <c r="C82" s="350"/>
      <c r="D82" s="351"/>
      <c r="E82" s="351"/>
      <c r="F82" s="351"/>
      <c r="G82" s="353">
        <f>AVERAGE(G75:G79)</f>
        <v>0.6456839483598753</v>
      </c>
      <c r="H82" s="352">
        <f>AVERAGE(H75:H79)</f>
        <v>1.7280000000000002</v>
      </c>
      <c r="I82" s="353">
        <f t="shared" ref="I82:J82" si="12">AVERAGE(I75:I79)</f>
        <v>0.99400000000000011</v>
      </c>
      <c r="J82" s="352">
        <f t="shared" si="12"/>
        <v>0.44000000000000006</v>
      </c>
    </row>
    <row r="83" spans="2:13">
      <c r="B83" s="338"/>
      <c r="C83" s="339"/>
      <c r="D83" s="340"/>
      <c r="E83" s="340"/>
      <c r="F83" s="340"/>
      <c r="G83" s="341"/>
      <c r="H83" s="341"/>
      <c r="I83" s="341"/>
      <c r="J83" s="341"/>
    </row>
    <row r="84" spans="2:13">
      <c r="B84" s="358" t="s">
        <v>847</v>
      </c>
      <c r="C84" s="354"/>
      <c r="D84" s="355"/>
      <c r="E84" s="355"/>
      <c r="F84" s="355"/>
      <c r="G84" s="355" cm="1">
        <f t="array" ref="G84">MEDIAN(IF($M$54:$M$58,G75:G79))</f>
        <v>0.76133706326389183</v>
      </c>
      <c r="H84" s="356" cm="1">
        <f t="array" ref="H84">MEDIAN(IF($M$54:$M$58,H75:H79))</f>
        <v>0.79499999999999993</v>
      </c>
      <c r="I84" s="355" cm="1">
        <f t="array" ref="I84">MEDIAN(IF($M$54:$M$58,I75:I79))</f>
        <v>1.07</v>
      </c>
      <c r="J84" s="356" cm="1">
        <f t="array" ref="J84">MEDIAN(IF($M$54:$M$58,J75:J79))</f>
        <v>0.31999999999999995</v>
      </c>
    </row>
    <row r="85" spans="2:13">
      <c r="B85" s="349" t="s">
        <v>848</v>
      </c>
      <c r="C85" s="357"/>
      <c r="D85" s="353"/>
      <c r="E85" s="353"/>
      <c r="F85" s="353"/>
      <c r="G85" s="353" cm="1">
        <f t="array" ref="G85">AVERAGE(IF($M$54:$M$58,G75:G79))</f>
        <v>0.76541674091128875</v>
      </c>
      <c r="H85" s="352" cm="1">
        <f t="array" ref="H85">AVERAGE(IF($M$54:$M$58,H75:H79))</f>
        <v>1.2324999999999999</v>
      </c>
      <c r="I85" s="353" cm="1">
        <f t="array" ref="I85">AVERAGE(IF($M$54:$M$58,I75:I79))</f>
        <v>1.0850000000000002</v>
      </c>
      <c r="J85" s="352" cm="1">
        <f t="array" ref="J85">AVERAGE(IF($M$54:$M$58,J75:J79))</f>
        <v>0.35499999999999998</v>
      </c>
    </row>
    <row r="91" spans="2:13">
      <c r="B91" t="s">
        <v>854</v>
      </c>
    </row>
    <row r="92" spans="2:13" ht="15.6">
      <c r="B92" s="9" t="s">
        <v>853</v>
      </c>
    </row>
    <row r="94" spans="2:13" ht="28.8">
      <c r="B94" s="458" t="s">
        <v>825</v>
      </c>
      <c r="C94" s="458"/>
      <c r="D94" s="458" t="s">
        <v>830</v>
      </c>
      <c r="E94" s="459" t="s">
        <v>849</v>
      </c>
      <c r="F94" s="459" t="s">
        <v>840</v>
      </c>
      <c r="G94" s="459" t="s">
        <v>775</v>
      </c>
      <c r="H94" s="459" t="s">
        <v>850</v>
      </c>
      <c r="I94" s="459" t="s">
        <v>833</v>
      </c>
      <c r="J94" s="459" t="s">
        <v>851</v>
      </c>
      <c r="L94" s="458" t="s">
        <v>841</v>
      </c>
      <c r="M94" s="459" t="s">
        <v>844</v>
      </c>
    </row>
    <row r="95" spans="2:13">
      <c r="B95" s="333" t="s">
        <v>370</v>
      </c>
      <c r="C95" s="334">
        <v>252955</v>
      </c>
      <c r="D95" s="337" t="s">
        <v>835</v>
      </c>
      <c r="E95" s="334">
        <v>60</v>
      </c>
      <c r="F95" s="334">
        <v>251827</v>
      </c>
      <c r="G95" s="335">
        <f>I95/(1+(H95*(1-$M$50)))</f>
        <v>0.96399943345378825</v>
      </c>
      <c r="H95" s="342">
        <v>0.06</v>
      </c>
      <c r="I95" s="335">
        <f>0.33+0.633*I75</f>
        <v>1.0073100000000001</v>
      </c>
      <c r="J95" s="342">
        <v>0.05</v>
      </c>
      <c r="L95" s="336" t="s">
        <v>842</v>
      </c>
      <c r="M95" s="336" t="str">
        <f>IF(L95="Y","TRUE","FALSE")</f>
        <v>TRUE</v>
      </c>
    </row>
    <row r="96" spans="2:13">
      <c r="B96" s="333" t="s">
        <v>826</v>
      </c>
      <c r="C96" s="334">
        <v>167428</v>
      </c>
      <c r="D96" s="337" t="s">
        <v>836</v>
      </c>
      <c r="E96" s="334">
        <v>60</v>
      </c>
      <c r="F96" s="334">
        <v>164107</v>
      </c>
      <c r="G96" s="335">
        <f t="shared" ref="G96:G99" si="13">I96/(1+(H96*(1-$M$50)))</f>
        <v>0.25808831628999984</v>
      </c>
      <c r="H96" s="342">
        <v>3.32</v>
      </c>
      <c r="I96" s="335">
        <f t="shared" ref="I96:I99" si="14">0.33+0.633*I76</f>
        <v>0.89969999999999994</v>
      </c>
      <c r="J96" s="342">
        <v>0.76</v>
      </c>
      <c r="L96" s="336" t="s">
        <v>842</v>
      </c>
      <c r="M96" s="336" t="str">
        <f t="shared" ref="M96:M99" si="15">IF(L96="Y","TRUE","FALSE")</f>
        <v>TRUE</v>
      </c>
    </row>
    <row r="97" spans="2:13">
      <c r="B97" s="333" t="s">
        <v>827</v>
      </c>
      <c r="C97" s="334">
        <v>108599</v>
      </c>
      <c r="D97" s="337" t="s">
        <v>837</v>
      </c>
      <c r="E97" s="334">
        <v>60</v>
      </c>
      <c r="F97" s="334">
        <v>120299</v>
      </c>
      <c r="G97" s="335">
        <f t="shared" si="13"/>
        <v>1.1358889274229143</v>
      </c>
      <c r="H97" s="342">
        <v>0.02</v>
      </c>
      <c r="I97" s="335">
        <f t="shared" si="14"/>
        <v>1.1529</v>
      </c>
      <c r="J97" s="342">
        <v>0.02</v>
      </c>
      <c r="L97" s="336" t="s">
        <v>842</v>
      </c>
      <c r="M97" s="336" t="str">
        <f t="shared" si="15"/>
        <v>TRUE</v>
      </c>
    </row>
    <row r="98" spans="2:13">
      <c r="B98" s="333" t="s">
        <v>828</v>
      </c>
      <c r="C98" s="334">
        <v>445718</v>
      </c>
      <c r="D98" s="337" t="s">
        <v>838</v>
      </c>
      <c r="E98" s="334">
        <v>60</v>
      </c>
      <c r="F98" s="334">
        <v>460522</v>
      </c>
      <c r="G98" s="335">
        <f t="shared" si="13"/>
        <v>0.46946306597864351</v>
      </c>
      <c r="H98" s="342">
        <v>1.53</v>
      </c>
      <c r="I98" s="335">
        <f t="shared" si="14"/>
        <v>1.0073100000000001</v>
      </c>
      <c r="J98" s="342">
        <v>0.59</v>
      </c>
      <c r="L98" s="336" t="s">
        <v>842</v>
      </c>
      <c r="M98" s="336" t="str">
        <f t="shared" si="15"/>
        <v>TRUE</v>
      </c>
    </row>
    <row r="99" spans="2:13">
      <c r="B99" s="344" t="s">
        <v>829</v>
      </c>
      <c r="C99" s="345">
        <v>81882</v>
      </c>
      <c r="D99" s="346" t="s">
        <v>839</v>
      </c>
      <c r="E99" s="345">
        <v>60</v>
      </c>
      <c r="F99" s="345">
        <v>85048</v>
      </c>
      <c r="G99" s="335">
        <f t="shared" si="13"/>
        <v>0.19290120189050008</v>
      </c>
      <c r="H99" s="342">
        <v>3.71</v>
      </c>
      <c r="I99" s="335">
        <f t="shared" si="14"/>
        <v>0.72879000000000005</v>
      </c>
      <c r="J99" s="342">
        <v>0.78</v>
      </c>
      <c r="L99" s="336" t="s">
        <v>843</v>
      </c>
      <c r="M99" s="336" t="str">
        <f t="shared" si="15"/>
        <v>FALSE</v>
      </c>
    </row>
    <row r="101" spans="2:13">
      <c r="B101" s="358" t="s">
        <v>845</v>
      </c>
      <c r="C101" s="354"/>
      <c r="D101" s="355"/>
      <c r="E101" s="355"/>
      <c r="F101" s="355"/>
      <c r="G101" s="355">
        <f>MEDIAN(G95:G99)</f>
        <v>0.46946306597864351</v>
      </c>
      <c r="H101" s="356">
        <f>MEDIAN(H95:H99)</f>
        <v>1.53</v>
      </c>
      <c r="I101" s="355">
        <f t="shared" ref="I101:J101" si="16">MEDIAN(I95:I99)</f>
        <v>1.0073100000000001</v>
      </c>
      <c r="J101" s="356">
        <f t="shared" si="16"/>
        <v>0.59</v>
      </c>
    </row>
    <row r="102" spans="2:13">
      <c r="B102" s="349" t="s">
        <v>846</v>
      </c>
      <c r="C102" s="350"/>
      <c r="D102" s="351"/>
      <c r="E102" s="351"/>
      <c r="F102" s="351"/>
      <c r="G102" s="353">
        <f>AVERAGE(G95:G99)</f>
        <v>0.60406818900716919</v>
      </c>
      <c r="H102" s="352">
        <f>AVERAGE(H95:H99)</f>
        <v>1.7280000000000002</v>
      </c>
      <c r="I102" s="353">
        <f t="shared" ref="I102:J102" si="17">AVERAGE(I95:I99)</f>
        <v>0.95920200000000011</v>
      </c>
      <c r="J102" s="352">
        <f t="shared" si="17"/>
        <v>0.44000000000000006</v>
      </c>
    </row>
    <row r="103" spans="2:13">
      <c r="B103" s="338"/>
      <c r="C103" s="339"/>
      <c r="D103" s="340"/>
      <c r="E103" s="340"/>
      <c r="F103" s="340"/>
      <c r="G103" s="341"/>
      <c r="H103" s="341"/>
      <c r="I103" s="341"/>
      <c r="J103" s="341"/>
    </row>
    <row r="104" spans="2:13">
      <c r="B104" s="358" t="s">
        <v>847</v>
      </c>
      <c r="C104" s="354"/>
      <c r="D104" s="355"/>
      <c r="E104" s="355"/>
      <c r="F104" s="355"/>
      <c r="G104" s="355" cm="1">
        <f t="array" ref="G104">MEDIAN(IF($M$54:$M$58,G95:G99))</f>
        <v>0.71673124971621593</v>
      </c>
      <c r="H104" s="356" cm="1">
        <f t="array" ref="H104">MEDIAN(IF($M$54:$M$58,H95:H99))</f>
        <v>0.79499999999999993</v>
      </c>
      <c r="I104" s="355" cm="1">
        <f t="array" ref="I104">MEDIAN(IF($M$54:$M$58,I95:I99))</f>
        <v>1.0073100000000001</v>
      </c>
      <c r="J104" s="356" cm="1">
        <f t="array" ref="J104">MEDIAN(IF($M$54:$M$58,J95:J99))</f>
        <v>0.31999999999999995</v>
      </c>
    </row>
    <row r="105" spans="2:13">
      <c r="B105" s="349" t="s">
        <v>848</v>
      </c>
      <c r="C105" s="357"/>
      <c r="D105" s="353"/>
      <c r="E105" s="353"/>
      <c r="F105" s="353"/>
      <c r="G105" s="353" cm="1">
        <f t="array" ref="G105">AVERAGE(IF($M$54:$M$58,G95:G99))</f>
        <v>0.70685993578633644</v>
      </c>
      <c r="H105" s="352" cm="1">
        <f t="array" ref="H105">AVERAGE(IF($M$54:$M$58,H95:H99))</f>
        <v>1.2324999999999999</v>
      </c>
      <c r="I105" s="353" cm="1">
        <f t="array" ref="I105">AVERAGE(IF($M$54:$M$58,I95:I99))</f>
        <v>1.0168050000000002</v>
      </c>
      <c r="J105" s="352" cm="1">
        <f t="array" ref="J105">AVERAGE(IF($M$54:$M$58,J95:J99))</f>
        <v>0.35499999999999998</v>
      </c>
    </row>
    <row r="107" spans="2:13">
      <c r="B107" t="s">
        <v>855</v>
      </c>
    </row>
  </sheetData>
  <sheetProtection algorithmName="SHA-512" hashValue="SXsuYt4srrFjn8Jwjggk1tNAOuI9YM7kplEHqFe5+hZYWOi4XZR6viq/UL7PpAXvUcDtT4QUnnNVMOqrc1ESbw==" saltValue="ItcoSNNbVn/kTKFuzkOABw==" spinCount="100000" sheet="1" objects="1" scenarios="1" selectLockedCells="1" selectUnlockedCells="1"/>
  <mergeCells count="5">
    <mergeCell ref="H16:N18"/>
    <mergeCell ref="H21:N23"/>
    <mergeCell ref="H26:N29"/>
    <mergeCell ref="H6:N8"/>
    <mergeCell ref="H11:N13"/>
  </mergeCells>
  <pageMargins left="0.7" right="0.7" top="0.75" bottom="0.75" header="0.3" footer="0.3"/>
  <ignoredErrors>
    <ignoredError sqref="E8:F8"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9151-BFE4-49ED-A3BD-A7D705F1A474}">
  <dimension ref="B2:S160"/>
  <sheetViews>
    <sheetView showGridLines="0" topLeftCell="C1" workbookViewId="0">
      <selection activeCell="H48" sqref="H48"/>
    </sheetView>
  </sheetViews>
  <sheetFormatPr defaultRowHeight="14.4"/>
  <cols>
    <col min="2" max="2" width="27.21875" bestFit="1" customWidth="1"/>
    <col min="3" max="3" width="22.88671875" bestFit="1" customWidth="1"/>
    <col min="4" max="4" width="13.21875" bestFit="1" customWidth="1"/>
    <col min="5" max="5" width="24.33203125" bestFit="1" customWidth="1"/>
    <col min="10" max="10" width="13.109375" bestFit="1" customWidth="1"/>
  </cols>
  <sheetData>
    <row r="2" spans="2:19">
      <c r="B2" t="s">
        <v>785</v>
      </c>
      <c r="J2" t="s">
        <v>786</v>
      </c>
    </row>
    <row r="3" spans="2:19">
      <c r="B3" s="50" t="s">
        <v>581</v>
      </c>
      <c r="C3" s="50" t="s">
        <v>582</v>
      </c>
      <c r="D3" s="50" t="s">
        <v>583</v>
      </c>
      <c r="E3" s="50" t="s">
        <v>584</v>
      </c>
    </row>
    <row r="4" spans="2:19">
      <c r="B4" t="s">
        <v>678</v>
      </c>
      <c r="C4" t="s">
        <v>614</v>
      </c>
      <c r="D4" t="s">
        <v>602</v>
      </c>
      <c r="E4" s="168">
        <v>2.160985823777507E-2</v>
      </c>
      <c r="J4" s="312" t="s">
        <v>787</v>
      </c>
      <c r="K4" s="313"/>
      <c r="L4" s="313"/>
      <c r="M4" s="313"/>
      <c r="P4" s="320" t="s">
        <v>808</v>
      </c>
      <c r="Q4" s="321"/>
      <c r="R4" s="321"/>
      <c r="S4" s="321"/>
    </row>
    <row r="5" spans="2:19">
      <c r="B5" t="s">
        <v>764</v>
      </c>
      <c r="C5" t="s">
        <v>592</v>
      </c>
      <c r="D5" t="s">
        <v>619</v>
      </c>
      <c r="E5" s="168">
        <v>5.8935977012113828E-3</v>
      </c>
      <c r="J5" s="314" t="s">
        <v>788</v>
      </c>
      <c r="K5" s="314"/>
      <c r="L5" s="315"/>
      <c r="M5" s="315"/>
      <c r="P5" s="547" t="s">
        <v>788</v>
      </c>
      <c r="Q5" s="548"/>
      <c r="R5" s="317"/>
      <c r="S5" s="317"/>
    </row>
    <row r="6" spans="2:19">
      <c r="B6" t="s">
        <v>765</v>
      </c>
      <c r="C6" t="s">
        <v>637</v>
      </c>
      <c r="D6" t="s">
        <v>607</v>
      </c>
      <c r="E6" s="168">
        <v>2.7000000000000001E-3</v>
      </c>
      <c r="J6" s="316" t="s">
        <v>789</v>
      </c>
      <c r="K6" s="316" t="s">
        <v>790</v>
      </c>
      <c r="L6" s="316" t="s">
        <v>791</v>
      </c>
      <c r="M6" s="316" t="s">
        <v>792</v>
      </c>
      <c r="P6" s="317" t="s">
        <v>809</v>
      </c>
      <c r="Q6" s="317" t="s">
        <v>790</v>
      </c>
      <c r="R6" s="317" t="s">
        <v>791</v>
      </c>
      <c r="S6" s="317" t="s">
        <v>792</v>
      </c>
    </row>
    <row r="7" spans="2:19">
      <c r="B7" t="s">
        <v>585</v>
      </c>
      <c r="C7" t="s">
        <v>586</v>
      </c>
      <c r="D7" t="s">
        <v>587</v>
      </c>
      <c r="E7" s="168">
        <v>4.8535510480564323E-3</v>
      </c>
      <c r="J7" s="317">
        <v>-100000</v>
      </c>
      <c r="K7" s="317">
        <v>0.19999900000000001</v>
      </c>
      <c r="L7" s="317" t="s">
        <v>793</v>
      </c>
      <c r="M7" s="318">
        <v>0.19</v>
      </c>
      <c r="P7" s="317">
        <v>-100000</v>
      </c>
      <c r="Q7" s="317">
        <v>0.49999900000000003</v>
      </c>
      <c r="R7" s="317" t="s">
        <v>793</v>
      </c>
      <c r="S7" s="318">
        <v>0.19</v>
      </c>
    </row>
    <row r="8" spans="2:19">
      <c r="B8" t="s">
        <v>588</v>
      </c>
      <c r="C8" t="s">
        <v>589</v>
      </c>
      <c r="D8" t="s">
        <v>590</v>
      </c>
      <c r="E8" s="168">
        <v>3.5361586207268286E-2</v>
      </c>
      <c r="J8" s="317">
        <v>0.2</v>
      </c>
      <c r="K8" s="317">
        <v>0.64999899999999999</v>
      </c>
      <c r="L8" s="317" t="s">
        <v>794</v>
      </c>
      <c r="M8" s="318">
        <v>0.155</v>
      </c>
      <c r="P8" s="317">
        <v>0.5</v>
      </c>
      <c r="Q8" s="317">
        <v>0.79999900000000002</v>
      </c>
      <c r="R8" s="317" t="s">
        <v>794</v>
      </c>
      <c r="S8" s="318">
        <v>0.155</v>
      </c>
    </row>
    <row r="9" spans="2:19">
      <c r="B9" t="s">
        <v>591</v>
      </c>
      <c r="C9" t="s">
        <v>592</v>
      </c>
      <c r="D9" t="s">
        <v>593</v>
      </c>
      <c r="E9" s="168">
        <v>1.5716260536563685E-2</v>
      </c>
      <c r="J9" s="317">
        <v>0.65</v>
      </c>
      <c r="K9" s="317">
        <v>0.79999900000000002</v>
      </c>
      <c r="L9" s="317" t="s">
        <v>795</v>
      </c>
      <c r="M9" s="318">
        <v>0.10100000000000001</v>
      </c>
      <c r="P9" s="317">
        <v>0.8</v>
      </c>
      <c r="Q9" s="317">
        <v>1.2499990000000001</v>
      </c>
      <c r="R9" s="317" t="s">
        <v>795</v>
      </c>
      <c r="S9" s="318">
        <v>0.10100000000000001</v>
      </c>
    </row>
    <row r="10" spans="2:19">
      <c r="B10" t="s">
        <v>594</v>
      </c>
      <c r="C10" t="s">
        <v>582</v>
      </c>
      <c r="D10" t="s">
        <v>595</v>
      </c>
      <c r="E10" s="168">
        <v>6.3905088799409676E-2</v>
      </c>
      <c r="J10" s="317">
        <v>0.8</v>
      </c>
      <c r="K10" s="317">
        <v>1.2499990000000001</v>
      </c>
      <c r="L10" s="317" t="s">
        <v>796</v>
      </c>
      <c r="M10" s="318">
        <v>7.2800000000000004E-2</v>
      </c>
      <c r="P10" s="317">
        <v>1.25</v>
      </c>
      <c r="Q10" s="317">
        <v>1.4999990000000001</v>
      </c>
      <c r="R10" s="317" t="s">
        <v>796</v>
      </c>
      <c r="S10" s="318">
        <v>7.2800000000000004E-2</v>
      </c>
    </row>
    <row r="11" spans="2:19">
      <c r="B11" t="s">
        <v>596</v>
      </c>
      <c r="C11" t="s">
        <v>597</v>
      </c>
      <c r="D11" t="s">
        <v>598</v>
      </c>
      <c r="E11" s="168">
        <v>9.8342189092762475E-2</v>
      </c>
      <c r="J11" s="317">
        <v>1.25</v>
      </c>
      <c r="K11" s="317">
        <v>1.4999990000000001</v>
      </c>
      <c r="L11" s="317" t="s">
        <v>797</v>
      </c>
      <c r="M11" s="318">
        <v>4.4200000000000003E-2</v>
      </c>
      <c r="P11" s="317">
        <v>1.5</v>
      </c>
      <c r="Q11" s="317">
        <v>1.9999990000000001</v>
      </c>
      <c r="R11" s="317" t="s">
        <v>797</v>
      </c>
      <c r="S11" s="318">
        <v>4.4200000000000003E-2</v>
      </c>
    </row>
    <row r="12" spans="2:19">
      <c r="B12" t="s">
        <v>599</v>
      </c>
      <c r="C12" t="s">
        <v>589</v>
      </c>
      <c r="D12" t="s">
        <v>590</v>
      </c>
      <c r="E12" s="168">
        <v>3.5361586207268286E-2</v>
      </c>
      <c r="J12" s="317">
        <v>1.5</v>
      </c>
      <c r="K12" s="317">
        <v>1.7499990000000001</v>
      </c>
      <c r="L12" s="317" t="s">
        <v>798</v>
      </c>
      <c r="M12" s="318">
        <v>0.03</v>
      </c>
      <c r="P12" s="317">
        <v>2</v>
      </c>
      <c r="Q12" s="317">
        <v>2.4999989999999999</v>
      </c>
      <c r="R12" s="317" t="s">
        <v>798</v>
      </c>
      <c r="S12" s="318">
        <v>0.03</v>
      </c>
    </row>
    <row r="13" spans="2:19">
      <c r="B13" t="s">
        <v>600</v>
      </c>
      <c r="C13" t="s">
        <v>601</v>
      </c>
      <c r="D13" t="s">
        <v>602</v>
      </c>
      <c r="E13" s="168">
        <v>2.160985823777507E-2</v>
      </c>
      <c r="J13" s="317">
        <v>1.75</v>
      </c>
      <c r="K13" s="317">
        <v>1.9999990000000001</v>
      </c>
      <c r="L13" s="317" t="s">
        <v>799</v>
      </c>
      <c r="M13" s="318">
        <v>2.6100000000000002E-2</v>
      </c>
      <c r="P13" s="317">
        <v>2.5</v>
      </c>
      <c r="Q13" s="317">
        <v>2.9999989999999999</v>
      </c>
      <c r="R13" s="317" t="s">
        <v>799</v>
      </c>
      <c r="S13" s="318">
        <v>2.6100000000000002E-2</v>
      </c>
    </row>
    <row r="14" spans="2:19">
      <c r="B14" t="s">
        <v>603</v>
      </c>
      <c r="C14" t="s">
        <v>604</v>
      </c>
      <c r="D14" t="s">
        <v>605</v>
      </c>
      <c r="E14" s="168">
        <v>0</v>
      </c>
      <c r="J14" s="317">
        <v>2</v>
      </c>
      <c r="K14" s="317">
        <v>2.2499999000000002</v>
      </c>
      <c r="L14" s="317" t="s">
        <v>800</v>
      </c>
      <c r="M14" s="318">
        <v>1.83E-2</v>
      </c>
      <c r="P14" s="317">
        <v>3</v>
      </c>
      <c r="Q14" s="317">
        <v>3.4999989999999999</v>
      </c>
      <c r="R14" s="317" t="s">
        <v>800</v>
      </c>
      <c r="S14" s="318">
        <v>1.83E-2</v>
      </c>
    </row>
    <row r="15" spans="2:19">
      <c r="B15" t="s">
        <v>606</v>
      </c>
      <c r="C15" t="s">
        <v>592</v>
      </c>
      <c r="D15" t="s">
        <v>607</v>
      </c>
      <c r="E15" s="168">
        <v>2.7000000000000001E-3</v>
      </c>
      <c r="J15" s="317">
        <v>2.25</v>
      </c>
      <c r="K15" s="317">
        <v>2.4999899999999999</v>
      </c>
      <c r="L15" s="317" t="s">
        <v>801</v>
      </c>
      <c r="M15" s="318">
        <v>1.55E-2</v>
      </c>
      <c r="P15" s="317">
        <v>3.5</v>
      </c>
      <c r="Q15" s="317">
        <v>3.9999999000000002</v>
      </c>
      <c r="R15" s="317" t="s">
        <v>801</v>
      </c>
      <c r="S15" s="318">
        <v>1.55E-2</v>
      </c>
    </row>
    <row r="16" spans="2:19">
      <c r="B16" t="s">
        <v>608</v>
      </c>
      <c r="C16" t="s">
        <v>589</v>
      </c>
      <c r="D16" t="s">
        <v>602</v>
      </c>
      <c r="E16" s="168">
        <v>2.160985823777507E-2</v>
      </c>
      <c r="J16" s="317">
        <v>2.5</v>
      </c>
      <c r="K16" s="317">
        <v>2.9999989999999999</v>
      </c>
      <c r="L16" s="317" t="s">
        <v>802</v>
      </c>
      <c r="M16" s="318">
        <v>1.2E-2</v>
      </c>
      <c r="P16" s="317">
        <v>4</v>
      </c>
      <c r="Q16" s="317">
        <v>4.4999989999999999</v>
      </c>
      <c r="R16" s="317" t="s">
        <v>802</v>
      </c>
      <c r="S16" s="318">
        <v>1.2E-2</v>
      </c>
    </row>
    <row r="17" spans="2:19">
      <c r="B17" t="s">
        <v>609</v>
      </c>
      <c r="C17" t="s">
        <v>601</v>
      </c>
      <c r="D17" t="s">
        <v>610</v>
      </c>
      <c r="E17" s="168">
        <v>4.4259763128705075E-2</v>
      </c>
      <c r="J17" s="317">
        <v>3</v>
      </c>
      <c r="K17" s="317">
        <v>4.2499989999999999</v>
      </c>
      <c r="L17" s="317" t="s">
        <v>803</v>
      </c>
      <c r="M17" s="318">
        <v>9.4999999999999998E-3</v>
      </c>
      <c r="P17" s="317">
        <v>4.5</v>
      </c>
      <c r="Q17" s="317">
        <v>5.9999989999999999</v>
      </c>
      <c r="R17" s="317" t="s">
        <v>803</v>
      </c>
      <c r="S17" s="318">
        <v>9.4999999999999998E-3</v>
      </c>
    </row>
    <row r="18" spans="2:19">
      <c r="B18" t="s">
        <v>611</v>
      </c>
      <c r="C18" t="s">
        <v>586</v>
      </c>
      <c r="D18" t="s">
        <v>612</v>
      </c>
      <c r="E18" s="168">
        <v>5.4082425964057379E-2</v>
      </c>
      <c r="J18" s="317">
        <v>4.25</v>
      </c>
      <c r="K18" s="317">
        <v>5.4999989999999999</v>
      </c>
      <c r="L18" s="317" t="s">
        <v>804</v>
      </c>
      <c r="M18" s="318">
        <v>8.5000000000000006E-3</v>
      </c>
      <c r="P18" s="317">
        <v>6</v>
      </c>
      <c r="Q18" s="317">
        <v>7.4999989999999999</v>
      </c>
      <c r="R18" s="317" t="s">
        <v>804</v>
      </c>
      <c r="S18" s="318">
        <v>8.5000000000000006E-3</v>
      </c>
    </row>
    <row r="19" spans="2:19">
      <c r="B19" t="s">
        <v>613</v>
      </c>
      <c r="C19" t="s">
        <v>614</v>
      </c>
      <c r="D19" t="s">
        <v>612</v>
      </c>
      <c r="E19" s="168">
        <v>5.4082425964057379E-2</v>
      </c>
      <c r="J19" s="317">
        <v>5.5</v>
      </c>
      <c r="K19" s="317">
        <v>6.4999989999999999</v>
      </c>
      <c r="L19" s="317" t="s">
        <v>805</v>
      </c>
      <c r="M19" s="318">
        <v>7.7000000000000002E-3</v>
      </c>
      <c r="P19" s="317">
        <v>7.5</v>
      </c>
      <c r="Q19" s="317">
        <v>9.4999990000000007</v>
      </c>
      <c r="R19" s="317" t="s">
        <v>805</v>
      </c>
      <c r="S19" s="318">
        <v>7.7000000000000002E-3</v>
      </c>
    </row>
    <row r="20" spans="2:19">
      <c r="B20" t="s">
        <v>615</v>
      </c>
      <c r="C20" t="s">
        <v>601</v>
      </c>
      <c r="D20" t="s">
        <v>612</v>
      </c>
      <c r="E20" s="168">
        <v>5.4082425964057379E-2</v>
      </c>
      <c r="J20" s="317">
        <v>6.5</v>
      </c>
      <c r="K20" s="317">
        <v>8.4999990000000007</v>
      </c>
      <c r="L20" s="317" t="s">
        <v>806</v>
      </c>
      <c r="M20" s="318">
        <v>6.0000000000000001E-3</v>
      </c>
      <c r="P20" s="317">
        <v>9.5</v>
      </c>
      <c r="Q20" s="317">
        <v>12.499999000000001</v>
      </c>
      <c r="R20" s="317" t="s">
        <v>806</v>
      </c>
      <c r="S20" s="318">
        <v>6.0000000000000001E-3</v>
      </c>
    </row>
    <row r="21" spans="2:19">
      <c r="B21" t="s">
        <v>616</v>
      </c>
      <c r="C21" t="s">
        <v>589</v>
      </c>
      <c r="D21" t="s">
        <v>617</v>
      </c>
      <c r="E21" s="168">
        <v>0.17499999999999999</v>
      </c>
      <c r="J21" s="319">
        <v>8.5</v>
      </c>
      <c r="K21" s="317">
        <v>100000</v>
      </c>
      <c r="L21" s="317" t="s">
        <v>807</v>
      </c>
      <c r="M21" s="318">
        <v>4.4999999999999997E-3</v>
      </c>
      <c r="P21" s="317">
        <v>12.5</v>
      </c>
      <c r="Q21" s="317">
        <v>100000</v>
      </c>
      <c r="R21" s="317" t="s">
        <v>807</v>
      </c>
      <c r="S21" s="318">
        <v>4.4999999999999997E-3</v>
      </c>
    </row>
    <row r="22" spans="2:19">
      <c r="B22" t="s">
        <v>618</v>
      </c>
      <c r="C22" t="s">
        <v>592</v>
      </c>
      <c r="D22" t="s">
        <v>619</v>
      </c>
      <c r="E22" s="168">
        <v>5.8935977012113828E-3</v>
      </c>
    </row>
    <row r="23" spans="2:19">
      <c r="B23" t="s">
        <v>620</v>
      </c>
      <c r="C23" t="s">
        <v>597</v>
      </c>
      <c r="D23" t="s">
        <v>621</v>
      </c>
      <c r="E23" s="168">
        <v>7.3727751634761987E-2</v>
      </c>
    </row>
    <row r="24" spans="2:19">
      <c r="B24" t="s">
        <v>622</v>
      </c>
      <c r="C24" t="s">
        <v>582</v>
      </c>
      <c r="D24" t="s">
        <v>610</v>
      </c>
      <c r="E24" s="168">
        <v>4.4259763128705075E-2</v>
      </c>
    </row>
    <row r="25" spans="2:19">
      <c r="B25" t="s">
        <v>623</v>
      </c>
      <c r="C25" t="s">
        <v>601</v>
      </c>
      <c r="D25" t="s">
        <v>624</v>
      </c>
      <c r="E25" s="168">
        <v>8.3203732252395985E-3</v>
      </c>
    </row>
    <row r="26" spans="2:19">
      <c r="B26" t="s">
        <v>625</v>
      </c>
      <c r="C26" t="s">
        <v>597</v>
      </c>
      <c r="D26" t="s">
        <v>626</v>
      </c>
      <c r="E26" s="168">
        <v>0.11798751476346708</v>
      </c>
    </row>
    <row r="27" spans="2:19">
      <c r="B27" t="s">
        <v>627</v>
      </c>
      <c r="C27" t="s">
        <v>589</v>
      </c>
      <c r="D27" t="s">
        <v>595</v>
      </c>
      <c r="E27" s="168">
        <v>6.3905088799409676E-2</v>
      </c>
    </row>
    <row r="28" spans="2:19">
      <c r="B28" t="s">
        <v>628</v>
      </c>
      <c r="C28" t="s">
        <v>582</v>
      </c>
      <c r="D28" t="s">
        <v>629</v>
      </c>
      <c r="E28" s="168">
        <v>1.1787195402422766E-2</v>
      </c>
    </row>
    <row r="29" spans="2:19">
      <c r="B29" t="s">
        <v>630</v>
      </c>
      <c r="C29" t="s">
        <v>597</v>
      </c>
      <c r="D29" t="s">
        <v>631</v>
      </c>
      <c r="E29" s="168">
        <v>2.4614437458000481E-2</v>
      </c>
    </row>
    <row r="30" spans="2:19">
      <c r="B30" t="s">
        <v>632</v>
      </c>
      <c r="C30" t="s">
        <v>589</v>
      </c>
      <c r="D30" t="s">
        <v>593</v>
      </c>
      <c r="E30" s="168">
        <v>1.5716260536563685E-2</v>
      </c>
    </row>
    <row r="31" spans="2:19">
      <c r="B31" t="s">
        <v>633</v>
      </c>
      <c r="C31" t="s">
        <v>582</v>
      </c>
      <c r="D31" t="s">
        <v>621</v>
      </c>
      <c r="E31" s="168">
        <v>7.3727751634761987E-2</v>
      </c>
    </row>
    <row r="32" spans="2:19">
      <c r="B32" t="s">
        <v>634</v>
      </c>
      <c r="C32" t="s">
        <v>614</v>
      </c>
      <c r="D32" t="s">
        <v>612</v>
      </c>
      <c r="E32" s="168">
        <v>5.4082425964057379E-2</v>
      </c>
    </row>
    <row r="33" spans="2:5">
      <c r="B33" t="s">
        <v>635</v>
      </c>
      <c r="C33" t="s">
        <v>582</v>
      </c>
      <c r="D33" t="s">
        <v>621</v>
      </c>
      <c r="E33" s="168">
        <v>7.3727751634761987E-2</v>
      </c>
    </row>
    <row r="34" spans="2:5">
      <c r="B34" t="s">
        <v>636</v>
      </c>
      <c r="C34" t="s">
        <v>637</v>
      </c>
      <c r="D34" t="s">
        <v>605</v>
      </c>
      <c r="E34" s="168">
        <v>0</v>
      </c>
    </row>
    <row r="35" spans="2:5">
      <c r="B35" t="s">
        <v>638</v>
      </c>
      <c r="C35" t="s">
        <v>582</v>
      </c>
      <c r="D35" t="s">
        <v>612</v>
      </c>
      <c r="E35" s="168">
        <v>5.4082425964057379E-2</v>
      </c>
    </row>
    <row r="36" spans="2:5">
      <c r="B36" t="s">
        <v>639</v>
      </c>
      <c r="C36" t="s">
        <v>601</v>
      </c>
      <c r="D36" t="s">
        <v>619</v>
      </c>
      <c r="E36" s="168">
        <v>5.8935977012113828E-3</v>
      </c>
    </row>
    <row r="37" spans="2:5">
      <c r="B37" t="s">
        <v>640</v>
      </c>
      <c r="C37" t="s">
        <v>597</v>
      </c>
      <c r="D37" t="s">
        <v>624</v>
      </c>
      <c r="E37" s="168">
        <v>8.3203732252395985E-3</v>
      </c>
    </row>
    <row r="38" spans="2:5">
      <c r="B38" t="s">
        <v>641</v>
      </c>
      <c r="C38" t="s">
        <v>614</v>
      </c>
      <c r="D38" t="s">
        <v>642</v>
      </c>
      <c r="E38" s="168">
        <v>6.9336443543663332E-3</v>
      </c>
    </row>
    <row r="39" spans="2:5">
      <c r="B39" t="s">
        <v>643</v>
      </c>
      <c r="C39" t="s">
        <v>597</v>
      </c>
      <c r="D39" t="s">
        <v>602</v>
      </c>
      <c r="E39" s="168">
        <v>2.160985823777507E-2</v>
      </c>
    </row>
    <row r="40" spans="2:5">
      <c r="B40" t="s">
        <v>644</v>
      </c>
      <c r="C40" t="s">
        <v>582</v>
      </c>
      <c r="D40" t="s">
        <v>595</v>
      </c>
      <c r="E40" s="168">
        <v>6.3905088799409676E-2</v>
      </c>
    </row>
    <row r="41" spans="2:5">
      <c r="B41" t="s">
        <v>645</v>
      </c>
      <c r="C41" t="s">
        <v>582</v>
      </c>
      <c r="D41" t="s">
        <v>646</v>
      </c>
      <c r="E41" s="168">
        <v>8.851952625741015E-2</v>
      </c>
    </row>
    <row r="42" spans="2:5">
      <c r="B42" t="s">
        <v>647</v>
      </c>
      <c r="C42" t="s">
        <v>604</v>
      </c>
      <c r="D42" t="s">
        <v>610</v>
      </c>
      <c r="E42" s="168">
        <v>4.4259763128705075E-2</v>
      </c>
    </row>
    <row r="43" spans="2:5">
      <c r="B43" t="s">
        <v>648</v>
      </c>
      <c r="C43" t="s">
        <v>597</v>
      </c>
      <c r="D43" t="s">
        <v>590</v>
      </c>
      <c r="E43" s="168">
        <v>3.5361586207268286E-2</v>
      </c>
    </row>
    <row r="44" spans="2:5">
      <c r="B44" t="s">
        <v>649</v>
      </c>
      <c r="C44" t="s">
        <v>582</v>
      </c>
      <c r="D44" t="s">
        <v>650</v>
      </c>
      <c r="E44" s="168">
        <v>2.9583549245296346E-2</v>
      </c>
    </row>
    <row r="45" spans="2:5">
      <c r="B45" t="s">
        <v>651</v>
      </c>
      <c r="C45" t="s">
        <v>589</v>
      </c>
      <c r="D45" t="s">
        <v>629</v>
      </c>
      <c r="E45" s="168">
        <v>1.1787195402422766E-2</v>
      </c>
    </row>
    <row r="46" spans="2:5">
      <c r="B46" t="s">
        <v>652</v>
      </c>
      <c r="C46" t="s">
        <v>601</v>
      </c>
      <c r="D46" t="s">
        <v>626</v>
      </c>
      <c r="E46" s="168">
        <v>0.11798751476346708</v>
      </c>
    </row>
    <row r="47" spans="2:5">
      <c r="B47" t="s">
        <v>653</v>
      </c>
      <c r="C47" t="s">
        <v>601</v>
      </c>
      <c r="D47" t="s">
        <v>602</v>
      </c>
      <c r="E47" s="168">
        <v>2.160985823777507E-2</v>
      </c>
    </row>
    <row r="48" spans="2:5">
      <c r="B48" t="s">
        <v>654</v>
      </c>
      <c r="C48" t="s">
        <v>592</v>
      </c>
      <c r="D48" t="s">
        <v>629</v>
      </c>
      <c r="E48" s="168">
        <v>1.1787195402422766E-2</v>
      </c>
    </row>
    <row r="49" spans="2:5">
      <c r="B49" t="s">
        <v>655</v>
      </c>
      <c r="C49" t="s">
        <v>589</v>
      </c>
      <c r="D49" t="s">
        <v>619</v>
      </c>
      <c r="E49" s="168">
        <v>5.8935977012113828E-3</v>
      </c>
    </row>
    <row r="50" spans="2:5">
      <c r="B50" t="s">
        <v>656</v>
      </c>
      <c r="C50" t="s">
        <v>592</v>
      </c>
      <c r="D50" t="s">
        <v>605</v>
      </c>
      <c r="E50" s="168">
        <v>0</v>
      </c>
    </row>
    <row r="51" spans="2:5">
      <c r="B51" t="s">
        <v>657</v>
      </c>
      <c r="C51" t="s">
        <v>601</v>
      </c>
      <c r="D51" t="s">
        <v>590</v>
      </c>
      <c r="E51" s="168">
        <v>3.5361586207268286E-2</v>
      </c>
    </row>
    <row r="52" spans="2:5">
      <c r="B52" t="s">
        <v>658</v>
      </c>
      <c r="C52" t="s">
        <v>597</v>
      </c>
      <c r="D52" t="s">
        <v>598</v>
      </c>
      <c r="E52" s="168">
        <v>9.8342189092762475E-2</v>
      </c>
    </row>
    <row r="53" spans="2:5">
      <c r="B53" t="s">
        <v>659</v>
      </c>
      <c r="C53" t="s">
        <v>582</v>
      </c>
      <c r="D53" t="s">
        <v>621</v>
      </c>
      <c r="E53" s="168">
        <v>7.3727751634761987E-2</v>
      </c>
    </row>
    <row r="54" spans="2:5">
      <c r="B54" t="s">
        <v>660</v>
      </c>
      <c r="C54" t="s">
        <v>597</v>
      </c>
      <c r="D54" t="s">
        <v>595</v>
      </c>
      <c r="E54" s="168">
        <v>6.3905088799409676E-2</v>
      </c>
    </row>
    <row r="55" spans="2:5">
      <c r="B55" t="s">
        <v>661</v>
      </c>
      <c r="C55" t="s">
        <v>589</v>
      </c>
      <c r="D55" t="s">
        <v>642</v>
      </c>
      <c r="E55" s="168">
        <v>6.9336443543663332E-3</v>
      </c>
    </row>
    <row r="56" spans="2:5">
      <c r="B56" t="s">
        <v>662</v>
      </c>
      <c r="C56" t="s">
        <v>582</v>
      </c>
      <c r="D56" t="s">
        <v>646</v>
      </c>
      <c r="E56" s="168">
        <v>8.851952625741015E-2</v>
      </c>
    </row>
    <row r="57" spans="2:5">
      <c r="B57" t="s">
        <v>663</v>
      </c>
      <c r="C57" t="s">
        <v>614</v>
      </c>
      <c r="D57" t="s">
        <v>610</v>
      </c>
      <c r="E57" s="168">
        <v>4.4259763128705075E-2</v>
      </c>
    </row>
    <row r="58" spans="2:5">
      <c r="B58" t="s">
        <v>664</v>
      </c>
      <c r="C58" t="s">
        <v>592</v>
      </c>
      <c r="D58" t="s">
        <v>607</v>
      </c>
      <c r="E58" s="168">
        <v>2.7000000000000001E-3</v>
      </c>
    </row>
    <row r="59" spans="2:5">
      <c r="B59" t="s">
        <v>665</v>
      </c>
      <c r="C59" t="s">
        <v>592</v>
      </c>
      <c r="D59" t="s">
        <v>619</v>
      </c>
      <c r="E59" s="168">
        <v>5.8935977012113828E-3</v>
      </c>
    </row>
    <row r="60" spans="2:5">
      <c r="B60" t="s">
        <v>666</v>
      </c>
      <c r="C60" t="s">
        <v>582</v>
      </c>
      <c r="D60" t="s">
        <v>646</v>
      </c>
      <c r="E60" s="168">
        <v>8.851952625741015E-2</v>
      </c>
    </row>
    <row r="61" spans="2:5">
      <c r="B61" t="s">
        <v>667</v>
      </c>
      <c r="C61" t="s">
        <v>589</v>
      </c>
      <c r="D61" t="s">
        <v>650</v>
      </c>
      <c r="E61" s="168">
        <v>2.9583549245296346E-2</v>
      </c>
    </row>
    <row r="62" spans="2:5">
      <c r="B62" t="s">
        <v>668</v>
      </c>
      <c r="C62" t="s">
        <v>592</v>
      </c>
      <c r="D62" t="s">
        <v>605</v>
      </c>
      <c r="E62" s="168">
        <v>0</v>
      </c>
    </row>
    <row r="63" spans="2:5">
      <c r="B63" t="s">
        <v>669</v>
      </c>
      <c r="C63" t="s">
        <v>582</v>
      </c>
      <c r="D63" t="s">
        <v>646</v>
      </c>
      <c r="E63" s="168">
        <v>8.851952625741015E-2</v>
      </c>
    </row>
    <row r="64" spans="2:5">
      <c r="B64" t="s">
        <v>670</v>
      </c>
      <c r="C64" t="s">
        <v>592</v>
      </c>
      <c r="D64" t="s">
        <v>602</v>
      </c>
      <c r="E64" s="168">
        <v>2.160985823777507E-2</v>
      </c>
    </row>
    <row r="65" spans="2:5">
      <c r="B65" t="s">
        <v>671</v>
      </c>
      <c r="C65" t="s">
        <v>597</v>
      </c>
      <c r="D65" t="s">
        <v>631</v>
      </c>
      <c r="E65" s="168">
        <v>2.4614437458000481E-2</v>
      </c>
    </row>
    <row r="66" spans="2:5">
      <c r="B66" t="s">
        <v>672</v>
      </c>
      <c r="C66" t="s">
        <v>592</v>
      </c>
      <c r="D66" t="s">
        <v>642</v>
      </c>
      <c r="E66" s="168">
        <v>6.9336443543663332E-3</v>
      </c>
    </row>
    <row r="67" spans="2:5">
      <c r="B67" t="s">
        <v>673</v>
      </c>
      <c r="C67" t="s">
        <v>597</v>
      </c>
      <c r="D67" t="s">
        <v>610</v>
      </c>
      <c r="E67" s="168">
        <v>4.4259763128705075E-2</v>
      </c>
    </row>
    <row r="68" spans="2:5">
      <c r="B68" t="s">
        <v>674</v>
      </c>
      <c r="C68" t="s">
        <v>614</v>
      </c>
      <c r="D68" t="s">
        <v>619</v>
      </c>
      <c r="E68" s="168">
        <v>5.8935977012113828E-3</v>
      </c>
    </row>
    <row r="69" spans="2:5">
      <c r="B69" t="s">
        <v>675</v>
      </c>
      <c r="C69" t="s">
        <v>589</v>
      </c>
      <c r="D69" t="s">
        <v>676</v>
      </c>
      <c r="E69" s="168">
        <v>1.87208397567891E-2</v>
      </c>
    </row>
    <row r="70" spans="2:5">
      <c r="B70" t="s">
        <v>677</v>
      </c>
      <c r="C70" t="s">
        <v>592</v>
      </c>
      <c r="D70" t="s">
        <v>642</v>
      </c>
      <c r="E70" s="168">
        <v>6.9336443543663332E-3</v>
      </c>
    </row>
    <row r="71" spans="2:5">
      <c r="B71" t="s">
        <v>679</v>
      </c>
      <c r="C71" t="s">
        <v>614</v>
      </c>
      <c r="D71" t="s">
        <v>676</v>
      </c>
      <c r="E71" s="168">
        <v>1.87208397567891E-2</v>
      </c>
    </row>
    <row r="72" spans="2:5">
      <c r="B72" t="s">
        <v>680</v>
      </c>
      <c r="C72" t="s">
        <v>586</v>
      </c>
      <c r="D72" t="s">
        <v>621</v>
      </c>
      <c r="E72" s="168">
        <v>7.3727751634761987E-2</v>
      </c>
    </row>
    <row r="73" spans="2:5">
      <c r="B73" t="s">
        <v>681</v>
      </c>
      <c r="C73" t="s">
        <v>592</v>
      </c>
      <c r="D73" t="s">
        <v>619</v>
      </c>
      <c r="E73" s="168">
        <v>5.8935977012113828E-3</v>
      </c>
    </row>
    <row r="74" spans="2:5">
      <c r="B74" t="s">
        <v>682</v>
      </c>
      <c r="C74" t="s">
        <v>592</v>
      </c>
      <c r="D74" t="s">
        <v>619</v>
      </c>
      <c r="E74" s="168">
        <v>5.8935977012113828E-3</v>
      </c>
    </row>
    <row r="75" spans="2:5">
      <c r="B75" t="s">
        <v>683</v>
      </c>
      <c r="C75" t="s">
        <v>586</v>
      </c>
      <c r="D75" t="s">
        <v>593</v>
      </c>
      <c r="E75" s="168">
        <v>1.5716260536563685E-2</v>
      </c>
    </row>
    <row r="76" spans="2:5">
      <c r="B76" t="s">
        <v>684</v>
      </c>
      <c r="C76" t="s">
        <v>592</v>
      </c>
      <c r="D76" t="s">
        <v>602</v>
      </c>
      <c r="E76" s="168">
        <v>2.160985823777507E-2</v>
      </c>
    </row>
    <row r="77" spans="2:5">
      <c r="B77" t="s">
        <v>685</v>
      </c>
      <c r="C77" t="s">
        <v>601</v>
      </c>
      <c r="D77" t="s">
        <v>610</v>
      </c>
      <c r="E77" s="168">
        <v>4.4259763128705075E-2</v>
      </c>
    </row>
    <row r="78" spans="2:5">
      <c r="B78" t="s">
        <v>686</v>
      </c>
      <c r="C78" t="s">
        <v>614</v>
      </c>
      <c r="D78" t="s">
        <v>642</v>
      </c>
      <c r="E78" s="168">
        <v>6.9336443543663332E-3</v>
      </c>
    </row>
    <row r="79" spans="2:5">
      <c r="B79" t="s">
        <v>687</v>
      </c>
      <c r="C79" t="s">
        <v>592</v>
      </c>
      <c r="D79" t="s">
        <v>619</v>
      </c>
      <c r="E79" s="168">
        <v>5.8935977012113828E-3</v>
      </c>
    </row>
    <row r="80" spans="2:5">
      <c r="B80" t="s">
        <v>688</v>
      </c>
      <c r="C80" t="s">
        <v>586</v>
      </c>
      <c r="D80" t="s">
        <v>590</v>
      </c>
      <c r="E80" s="168">
        <v>3.5361586207268286E-2</v>
      </c>
    </row>
    <row r="81" spans="2:5">
      <c r="B81" t="s">
        <v>689</v>
      </c>
      <c r="C81" t="s">
        <v>589</v>
      </c>
      <c r="D81" t="s">
        <v>593</v>
      </c>
      <c r="E81" s="168">
        <v>1.5716260536563685E-2</v>
      </c>
    </row>
    <row r="82" spans="2:5">
      <c r="B82" t="s">
        <v>690</v>
      </c>
      <c r="C82" t="s">
        <v>582</v>
      </c>
      <c r="D82" t="s">
        <v>621</v>
      </c>
      <c r="E82" s="168">
        <v>7.3727751634761987E-2</v>
      </c>
    </row>
    <row r="83" spans="2:5">
      <c r="B83" t="s">
        <v>691</v>
      </c>
      <c r="C83" t="s">
        <v>614</v>
      </c>
      <c r="D83" t="s">
        <v>587</v>
      </c>
      <c r="E83" s="168">
        <v>4.8535510480564323E-3</v>
      </c>
    </row>
    <row r="84" spans="2:5">
      <c r="B84" t="s">
        <v>692</v>
      </c>
      <c r="C84" t="s">
        <v>586</v>
      </c>
      <c r="D84" t="s">
        <v>642</v>
      </c>
      <c r="E84" s="168">
        <v>6.9336443543663332E-3</v>
      </c>
    </row>
    <row r="85" spans="2:5">
      <c r="B85" t="s">
        <v>693</v>
      </c>
      <c r="C85" t="s">
        <v>589</v>
      </c>
      <c r="D85" t="s">
        <v>595</v>
      </c>
      <c r="E85" s="168">
        <v>6.3905088799409676E-2</v>
      </c>
    </row>
    <row r="86" spans="2:5">
      <c r="B86" t="s">
        <v>694</v>
      </c>
      <c r="C86" t="s">
        <v>614</v>
      </c>
      <c r="D86" t="s">
        <v>598</v>
      </c>
      <c r="E86" s="168">
        <v>9.8342189092762475E-2</v>
      </c>
    </row>
    <row r="87" spans="2:5">
      <c r="B87" t="s">
        <v>695</v>
      </c>
      <c r="C87" t="s">
        <v>589</v>
      </c>
      <c r="D87" t="s">
        <v>629</v>
      </c>
      <c r="E87" s="168">
        <v>1.1787195402422766E-2</v>
      </c>
    </row>
    <row r="88" spans="2:5">
      <c r="B88" t="s">
        <v>696</v>
      </c>
      <c r="C88" t="s">
        <v>586</v>
      </c>
      <c r="D88" t="s">
        <v>617</v>
      </c>
      <c r="E88" s="168">
        <v>0.17499999999999999</v>
      </c>
    </row>
    <row r="89" spans="2:5">
      <c r="B89" t="s">
        <v>697</v>
      </c>
      <c r="C89" t="s">
        <v>592</v>
      </c>
      <c r="D89" t="s">
        <v>605</v>
      </c>
      <c r="E89" s="168">
        <v>0</v>
      </c>
    </row>
    <row r="90" spans="2:5">
      <c r="B90" t="s">
        <v>698</v>
      </c>
      <c r="C90" t="s">
        <v>589</v>
      </c>
      <c r="D90" t="s">
        <v>624</v>
      </c>
      <c r="E90" s="168">
        <v>8.3203732252395985E-3</v>
      </c>
    </row>
    <row r="91" spans="2:5">
      <c r="B91" t="s">
        <v>699</v>
      </c>
      <c r="C91" t="s">
        <v>592</v>
      </c>
      <c r="D91" t="s">
        <v>605</v>
      </c>
      <c r="E91" s="168">
        <v>0</v>
      </c>
    </row>
    <row r="92" spans="2:5">
      <c r="B92" t="s">
        <v>700</v>
      </c>
      <c r="C92" t="s">
        <v>614</v>
      </c>
      <c r="D92" t="s">
        <v>619</v>
      </c>
      <c r="E92" s="168">
        <v>5.8935977012113828E-3</v>
      </c>
    </row>
    <row r="93" spans="2:5">
      <c r="B93" t="s">
        <v>701</v>
      </c>
      <c r="C93" t="s">
        <v>589</v>
      </c>
      <c r="D93" t="s">
        <v>590</v>
      </c>
      <c r="E93" s="168">
        <v>3.5361586207268286E-2</v>
      </c>
    </row>
    <row r="94" spans="2:5">
      <c r="B94" t="s">
        <v>702</v>
      </c>
      <c r="C94" t="s">
        <v>614</v>
      </c>
      <c r="D94" t="s">
        <v>629</v>
      </c>
      <c r="E94" s="168">
        <v>1.1787195402422766E-2</v>
      </c>
    </row>
    <row r="95" spans="2:5">
      <c r="B95" t="s">
        <v>703</v>
      </c>
      <c r="C95" t="s">
        <v>614</v>
      </c>
      <c r="D95" t="s">
        <v>646</v>
      </c>
      <c r="E95" s="168">
        <v>8.851952625741015E-2</v>
      </c>
    </row>
    <row r="96" spans="2:5">
      <c r="B96" t="s">
        <v>704</v>
      </c>
      <c r="C96" t="s">
        <v>582</v>
      </c>
      <c r="D96" t="s">
        <v>646</v>
      </c>
      <c r="E96" s="168">
        <v>8.851952625741015E-2</v>
      </c>
    </row>
    <row r="97" spans="2:5">
      <c r="B97" t="s">
        <v>705</v>
      </c>
      <c r="C97" t="s">
        <v>592</v>
      </c>
      <c r="D97" t="s">
        <v>624</v>
      </c>
      <c r="E97" s="168">
        <v>8.3203732252395985E-3</v>
      </c>
    </row>
    <row r="98" spans="2:5">
      <c r="B98" t="s">
        <v>706</v>
      </c>
      <c r="C98" t="s">
        <v>582</v>
      </c>
      <c r="D98" t="s">
        <v>602</v>
      </c>
      <c r="E98" s="168">
        <v>2.160985823777507E-2</v>
      </c>
    </row>
    <row r="99" spans="2:5">
      <c r="B99" t="s">
        <v>707</v>
      </c>
      <c r="C99" t="s">
        <v>597</v>
      </c>
      <c r="D99" t="s">
        <v>676</v>
      </c>
      <c r="E99" s="168">
        <v>1.87208397567891E-2</v>
      </c>
    </row>
    <row r="100" spans="2:5">
      <c r="B100" t="s">
        <v>708</v>
      </c>
      <c r="C100" t="s">
        <v>589</v>
      </c>
      <c r="D100" t="s">
        <v>595</v>
      </c>
      <c r="E100" s="168">
        <v>6.3905088799409676E-2</v>
      </c>
    </row>
    <row r="101" spans="2:5">
      <c r="B101" t="s">
        <v>709</v>
      </c>
      <c r="C101" t="s">
        <v>614</v>
      </c>
      <c r="D101" t="s">
        <v>612</v>
      </c>
      <c r="E101" s="168">
        <v>5.4082425964057379E-2</v>
      </c>
    </row>
    <row r="102" spans="2:5">
      <c r="B102" t="s">
        <v>710</v>
      </c>
      <c r="C102" t="s">
        <v>589</v>
      </c>
      <c r="D102" t="s">
        <v>610</v>
      </c>
      <c r="E102" s="168">
        <v>4.4259763128705075E-2</v>
      </c>
    </row>
    <row r="103" spans="2:5">
      <c r="B103" t="s">
        <v>711</v>
      </c>
      <c r="C103" t="s">
        <v>601</v>
      </c>
      <c r="D103" t="s">
        <v>602</v>
      </c>
      <c r="E103" s="168">
        <v>2.160985823777507E-2</v>
      </c>
    </row>
    <row r="104" spans="2:5">
      <c r="B104" t="s">
        <v>712</v>
      </c>
      <c r="C104" t="s">
        <v>582</v>
      </c>
      <c r="D104" t="s">
        <v>631</v>
      </c>
      <c r="E104" s="168">
        <v>2.4614437458000481E-2</v>
      </c>
    </row>
    <row r="105" spans="2:5">
      <c r="B105" t="s">
        <v>713</v>
      </c>
      <c r="C105" t="s">
        <v>582</v>
      </c>
      <c r="D105" t="s">
        <v>598</v>
      </c>
      <c r="E105" s="168">
        <v>9.8342189092762475E-2</v>
      </c>
    </row>
    <row r="106" spans="2:5">
      <c r="B106" t="s">
        <v>714</v>
      </c>
      <c r="C106" t="s">
        <v>582</v>
      </c>
      <c r="D106" t="s">
        <v>610</v>
      </c>
      <c r="E106" s="168">
        <v>4.4259763128705075E-2</v>
      </c>
    </row>
    <row r="107" spans="2:5">
      <c r="B107" t="s">
        <v>715</v>
      </c>
      <c r="C107" t="s">
        <v>614</v>
      </c>
      <c r="D107" t="s">
        <v>590</v>
      </c>
      <c r="E107" s="168">
        <v>3.5361586207268286E-2</v>
      </c>
    </row>
    <row r="108" spans="2:5">
      <c r="B108" t="s">
        <v>716</v>
      </c>
      <c r="C108" t="s">
        <v>592</v>
      </c>
      <c r="D108" t="s">
        <v>605</v>
      </c>
      <c r="E108" s="168">
        <v>0</v>
      </c>
    </row>
    <row r="109" spans="2:5">
      <c r="B109" t="s">
        <v>717</v>
      </c>
      <c r="C109" t="s">
        <v>604</v>
      </c>
      <c r="D109" t="s">
        <v>605</v>
      </c>
      <c r="E109" s="168">
        <v>0</v>
      </c>
    </row>
    <row r="110" spans="2:5">
      <c r="B110" t="s">
        <v>718</v>
      </c>
      <c r="C110" t="s">
        <v>597</v>
      </c>
      <c r="D110" t="s">
        <v>612</v>
      </c>
      <c r="E110" s="168">
        <v>5.4082425964057379E-2</v>
      </c>
    </row>
    <row r="111" spans="2:5">
      <c r="B111" t="s">
        <v>719</v>
      </c>
      <c r="C111" t="s">
        <v>582</v>
      </c>
      <c r="D111" t="s">
        <v>598</v>
      </c>
      <c r="E111" s="168">
        <v>9.8342189092762475E-2</v>
      </c>
    </row>
    <row r="112" spans="2:5">
      <c r="B112" t="s">
        <v>720</v>
      </c>
      <c r="C112" t="s">
        <v>582</v>
      </c>
      <c r="D112" t="s">
        <v>595</v>
      </c>
      <c r="E112" s="168">
        <v>6.3905088799409676E-2</v>
      </c>
    </row>
    <row r="113" spans="2:5">
      <c r="B113" t="s">
        <v>721</v>
      </c>
      <c r="C113" t="s">
        <v>592</v>
      </c>
      <c r="D113" t="s">
        <v>605</v>
      </c>
      <c r="E113" s="168">
        <v>0</v>
      </c>
    </row>
    <row r="114" spans="2:5">
      <c r="B114" t="s">
        <v>722</v>
      </c>
      <c r="C114" t="s">
        <v>586</v>
      </c>
      <c r="D114" t="s">
        <v>631</v>
      </c>
      <c r="E114" s="168">
        <v>2.4614437458000481E-2</v>
      </c>
    </row>
    <row r="115" spans="2:5">
      <c r="B115" t="s">
        <v>723</v>
      </c>
      <c r="C115" t="s">
        <v>614</v>
      </c>
      <c r="D115" t="s">
        <v>646</v>
      </c>
      <c r="E115" s="168">
        <v>8.851952625741015E-2</v>
      </c>
    </row>
    <row r="116" spans="2:5">
      <c r="B116" t="s">
        <v>724</v>
      </c>
      <c r="C116" t="s">
        <v>597</v>
      </c>
      <c r="D116" t="s">
        <v>602</v>
      </c>
      <c r="E116" s="168">
        <v>2.160985823777507E-2</v>
      </c>
    </row>
    <row r="117" spans="2:5">
      <c r="B117" t="s">
        <v>725</v>
      </c>
      <c r="C117" t="s">
        <v>614</v>
      </c>
      <c r="D117" t="s">
        <v>612</v>
      </c>
      <c r="E117" s="168">
        <v>5.4082425964057379E-2</v>
      </c>
    </row>
    <row r="118" spans="2:5">
      <c r="B118" t="s">
        <v>726</v>
      </c>
      <c r="C118" t="s">
        <v>597</v>
      </c>
      <c r="D118" t="s">
        <v>602</v>
      </c>
      <c r="E118" s="168">
        <v>2.160985823777507E-2</v>
      </c>
    </row>
    <row r="119" spans="2:5">
      <c r="B119" t="s">
        <v>727</v>
      </c>
      <c r="C119" t="s">
        <v>597</v>
      </c>
      <c r="D119" t="s">
        <v>593</v>
      </c>
      <c r="E119" s="168">
        <v>1.5716260536563685E-2</v>
      </c>
    </row>
    <row r="120" spans="2:5">
      <c r="B120" t="s">
        <v>728</v>
      </c>
      <c r="C120" t="s">
        <v>614</v>
      </c>
      <c r="D120" t="s">
        <v>676</v>
      </c>
      <c r="E120" s="168">
        <v>1.87208397567891E-2</v>
      </c>
    </row>
    <row r="121" spans="2:5">
      <c r="B121" t="s">
        <v>729</v>
      </c>
      <c r="C121" t="s">
        <v>589</v>
      </c>
      <c r="D121" t="s">
        <v>624</v>
      </c>
      <c r="E121" s="168">
        <v>8.3203732252395985E-3</v>
      </c>
    </row>
    <row r="122" spans="2:5">
      <c r="B122" t="s">
        <v>730</v>
      </c>
      <c r="C122" t="s">
        <v>592</v>
      </c>
      <c r="D122" t="s">
        <v>629</v>
      </c>
      <c r="E122" s="168">
        <v>1.1787195402422766E-2</v>
      </c>
    </row>
    <row r="123" spans="2:5">
      <c r="B123" t="s">
        <v>731</v>
      </c>
      <c r="C123" t="s">
        <v>586</v>
      </c>
      <c r="D123" t="s">
        <v>587</v>
      </c>
      <c r="E123" s="168">
        <v>4.8535510480564323E-3</v>
      </c>
    </row>
    <row r="124" spans="2:5">
      <c r="B124" t="s">
        <v>732</v>
      </c>
      <c r="C124" t="s">
        <v>586</v>
      </c>
      <c r="D124" t="s">
        <v>629</v>
      </c>
      <c r="E124" s="168">
        <v>1.1787195402422766E-2</v>
      </c>
    </row>
    <row r="125" spans="2:5">
      <c r="B125" t="s">
        <v>733</v>
      </c>
      <c r="C125" t="s">
        <v>589</v>
      </c>
      <c r="D125" t="s">
        <v>602</v>
      </c>
      <c r="E125" s="168">
        <v>2.160985823777507E-2</v>
      </c>
    </row>
    <row r="126" spans="2:5">
      <c r="B126" t="s">
        <v>734</v>
      </c>
      <c r="C126" t="s">
        <v>582</v>
      </c>
      <c r="D126" t="s">
        <v>612</v>
      </c>
      <c r="E126" s="168">
        <v>5.4082425964057379E-2</v>
      </c>
    </row>
    <row r="127" spans="2:5">
      <c r="B127" t="s">
        <v>735</v>
      </c>
      <c r="C127" t="s">
        <v>586</v>
      </c>
      <c r="D127" t="s">
        <v>619</v>
      </c>
      <c r="E127" s="168">
        <v>5.8935977012113828E-3</v>
      </c>
    </row>
    <row r="128" spans="2:5">
      <c r="B128" t="s">
        <v>736</v>
      </c>
      <c r="C128" t="s">
        <v>582</v>
      </c>
      <c r="D128" t="s">
        <v>595</v>
      </c>
      <c r="E128" s="168">
        <v>6.3905088799409676E-2</v>
      </c>
    </row>
    <row r="129" spans="2:5">
      <c r="B129" t="s">
        <v>737</v>
      </c>
      <c r="C129" t="s">
        <v>589</v>
      </c>
      <c r="D129" t="s">
        <v>650</v>
      </c>
      <c r="E129" s="168">
        <v>2.9583549245296346E-2</v>
      </c>
    </row>
    <row r="130" spans="2:5">
      <c r="B130" t="s">
        <v>738</v>
      </c>
      <c r="C130" t="s">
        <v>586</v>
      </c>
      <c r="D130" t="s">
        <v>631</v>
      </c>
      <c r="E130" s="168">
        <v>2.4614437458000481E-2</v>
      </c>
    </row>
    <row r="131" spans="2:5">
      <c r="B131" t="s">
        <v>739</v>
      </c>
      <c r="C131" t="s">
        <v>614</v>
      </c>
      <c r="D131" t="s">
        <v>605</v>
      </c>
      <c r="E131" s="168">
        <v>0</v>
      </c>
    </row>
    <row r="132" spans="2:5">
      <c r="B132" t="s">
        <v>740</v>
      </c>
      <c r="C132" t="s">
        <v>589</v>
      </c>
      <c r="D132" t="s">
        <v>629</v>
      </c>
      <c r="E132" s="168">
        <v>1.1787195402422766E-2</v>
      </c>
    </row>
    <row r="133" spans="2:5">
      <c r="B133" t="s">
        <v>741</v>
      </c>
      <c r="C133" t="s">
        <v>589</v>
      </c>
      <c r="D133" t="s">
        <v>629</v>
      </c>
      <c r="E133" s="168">
        <v>1.1787195402422766E-2</v>
      </c>
    </row>
    <row r="134" spans="2:5">
      <c r="B134" t="s">
        <v>742</v>
      </c>
      <c r="C134" t="s">
        <v>614</v>
      </c>
      <c r="D134" t="s">
        <v>621</v>
      </c>
      <c r="E134" s="168">
        <v>7.3727751634761987E-2</v>
      </c>
    </row>
    <row r="135" spans="2:5">
      <c r="B135" t="s">
        <v>743</v>
      </c>
      <c r="C135" t="s">
        <v>582</v>
      </c>
      <c r="D135" t="s">
        <v>650</v>
      </c>
      <c r="E135" s="168">
        <v>2.9583549245296346E-2</v>
      </c>
    </row>
    <row r="136" spans="2:5">
      <c r="B136" t="s">
        <v>744</v>
      </c>
      <c r="C136" t="s">
        <v>592</v>
      </c>
      <c r="D136" t="s">
        <v>593</v>
      </c>
      <c r="E136" s="168">
        <v>1.5716260536563685E-2</v>
      </c>
    </row>
    <row r="137" spans="2:5">
      <c r="B137" t="s">
        <v>745</v>
      </c>
      <c r="C137" t="s">
        <v>614</v>
      </c>
      <c r="D137" t="s">
        <v>626</v>
      </c>
      <c r="E137" s="168">
        <v>0.11798751476346708</v>
      </c>
    </row>
    <row r="138" spans="2:5">
      <c r="B138" t="s">
        <v>746</v>
      </c>
      <c r="C138" t="s">
        <v>601</v>
      </c>
      <c r="D138" t="s">
        <v>650</v>
      </c>
      <c r="E138" s="168">
        <v>2.9583549245296346E-2</v>
      </c>
    </row>
    <row r="139" spans="2:5">
      <c r="B139" t="s">
        <v>747</v>
      </c>
      <c r="C139" t="s">
        <v>601</v>
      </c>
      <c r="D139" t="s">
        <v>595</v>
      </c>
      <c r="E139" s="168">
        <v>6.3905088799409676E-2</v>
      </c>
    </row>
    <row r="140" spans="2:5">
      <c r="B140" t="s">
        <v>748</v>
      </c>
      <c r="C140" t="s">
        <v>597</v>
      </c>
      <c r="D140" t="s">
        <v>621</v>
      </c>
      <c r="E140" s="168">
        <v>7.3727751634761987E-2</v>
      </c>
    </row>
    <row r="141" spans="2:5">
      <c r="B141" t="s">
        <v>749</v>
      </c>
      <c r="C141" t="s">
        <v>582</v>
      </c>
      <c r="D141" t="s">
        <v>612</v>
      </c>
      <c r="E141" s="168">
        <v>5.4082425964057379E-2</v>
      </c>
    </row>
    <row r="142" spans="2:5">
      <c r="B142" t="s">
        <v>750</v>
      </c>
      <c r="C142" t="s">
        <v>592</v>
      </c>
      <c r="D142" t="s">
        <v>605</v>
      </c>
      <c r="E142" s="168">
        <v>0</v>
      </c>
    </row>
    <row r="143" spans="2:5">
      <c r="B143" t="s">
        <v>751</v>
      </c>
      <c r="C143" t="s">
        <v>592</v>
      </c>
      <c r="D143" t="s">
        <v>605</v>
      </c>
      <c r="E143" s="168">
        <v>0</v>
      </c>
    </row>
    <row r="144" spans="2:5">
      <c r="B144" t="s">
        <v>752</v>
      </c>
      <c r="C144" t="s">
        <v>614</v>
      </c>
      <c r="D144" t="s">
        <v>619</v>
      </c>
      <c r="E144" s="168">
        <v>5.8935977012113828E-3</v>
      </c>
    </row>
    <row r="145" spans="2:5">
      <c r="B145" t="s">
        <v>753</v>
      </c>
      <c r="C145" t="s">
        <v>589</v>
      </c>
      <c r="D145" t="s">
        <v>595</v>
      </c>
      <c r="E145" s="168">
        <v>6.3905088799409676E-2</v>
      </c>
    </row>
    <row r="146" spans="2:5">
      <c r="B146" t="s">
        <v>754</v>
      </c>
      <c r="C146" t="s">
        <v>582</v>
      </c>
      <c r="D146" t="s">
        <v>610</v>
      </c>
      <c r="E146" s="168">
        <v>4.4259763128705075E-2</v>
      </c>
    </row>
    <row r="147" spans="2:5">
      <c r="B147" t="s">
        <v>755</v>
      </c>
      <c r="C147" t="s">
        <v>614</v>
      </c>
      <c r="D147" t="s">
        <v>593</v>
      </c>
      <c r="E147" s="168">
        <v>1.5716260536563685E-2</v>
      </c>
    </row>
    <row r="148" spans="2:5">
      <c r="B148" t="s">
        <v>756</v>
      </c>
      <c r="C148" t="s">
        <v>582</v>
      </c>
      <c r="D148" t="s">
        <v>595</v>
      </c>
      <c r="E148" s="168">
        <v>6.3905088799409676E-2</v>
      </c>
    </row>
    <row r="149" spans="2:5">
      <c r="B149" t="s">
        <v>757</v>
      </c>
      <c r="C149" t="s">
        <v>601</v>
      </c>
      <c r="D149" t="s">
        <v>650</v>
      </c>
      <c r="E149" s="168">
        <v>2.9583549245296346E-2</v>
      </c>
    </row>
    <row r="150" spans="2:5">
      <c r="B150" t="s">
        <v>758</v>
      </c>
      <c r="C150" t="s">
        <v>582</v>
      </c>
      <c r="D150" t="s">
        <v>621</v>
      </c>
      <c r="E150" s="168">
        <v>7.3727751634761987E-2</v>
      </c>
    </row>
    <row r="151" spans="2:5">
      <c r="B151" t="s">
        <v>759</v>
      </c>
      <c r="C151" t="s">
        <v>592</v>
      </c>
      <c r="D151" t="s">
        <v>610</v>
      </c>
      <c r="E151" s="168">
        <v>4.4259763128705075E-2</v>
      </c>
    </row>
    <row r="152" spans="2:5">
      <c r="B152" t="s">
        <v>760</v>
      </c>
      <c r="C152" t="s">
        <v>601</v>
      </c>
      <c r="D152" t="s">
        <v>593</v>
      </c>
      <c r="E152" s="168">
        <v>1.5716260536563685E-2</v>
      </c>
    </row>
    <row r="153" spans="2:5">
      <c r="B153" t="s">
        <v>761</v>
      </c>
      <c r="C153" t="s">
        <v>582</v>
      </c>
      <c r="D153" t="s">
        <v>595</v>
      </c>
      <c r="E153" s="168">
        <v>6.3905088799409676E-2</v>
      </c>
    </row>
    <row r="154" spans="2:5">
      <c r="B154" t="s">
        <v>762</v>
      </c>
      <c r="C154" t="s">
        <v>589</v>
      </c>
      <c r="D154" t="s">
        <v>626</v>
      </c>
      <c r="E154" s="168">
        <v>0.11798751476346708</v>
      </c>
    </row>
    <row r="155" spans="2:5">
      <c r="B155" t="s">
        <v>763</v>
      </c>
      <c r="C155" t="s">
        <v>586</v>
      </c>
      <c r="D155" t="s">
        <v>587</v>
      </c>
      <c r="E155" s="168">
        <v>4.8535510480564323E-3</v>
      </c>
    </row>
    <row r="156" spans="2:5">
      <c r="B156" t="s">
        <v>766</v>
      </c>
      <c r="C156" t="s">
        <v>597</v>
      </c>
      <c r="D156" t="s">
        <v>593</v>
      </c>
      <c r="E156" s="168">
        <v>1.5716260536563685E-2</v>
      </c>
    </row>
    <row r="157" spans="2:5">
      <c r="B157" t="s">
        <v>767</v>
      </c>
      <c r="C157" t="s">
        <v>589</v>
      </c>
      <c r="D157" t="s">
        <v>590</v>
      </c>
      <c r="E157" s="168">
        <v>3.5361586207268286E-2</v>
      </c>
    </row>
    <row r="158" spans="2:5">
      <c r="B158" t="s">
        <v>768</v>
      </c>
      <c r="C158" t="s">
        <v>597</v>
      </c>
      <c r="D158" t="s">
        <v>617</v>
      </c>
      <c r="E158" s="168">
        <v>0.17499999999999999</v>
      </c>
    </row>
    <row r="159" spans="2:5">
      <c r="B159" t="s">
        <v>769</v>
      </c>
      <c r="C159" t="s">
        <v>614</v>
      </c>
      <c r="D159" t="s">
        <v>650</v>
      </c>
      <c r="E159" s="168">
        <v>2.9583549245296346E-2</v>
      </c>
    </row>
    <row r="160" spans="2:5">
      <c r="B160" t="s">
        <v>770</v>
      </c>
      <c r="C160" t="s">
        <v>582</v>
      </c>
      <c r="D160" t="s">
        <v>646</v>
      </c>
      <c r="E160" s="168">
        <v>8.851952625741015E-2</v>
      </c>
    </row>
  </sheetData>
  <sheetProtection algorithmName="SHA-512" hashValue="l6AnFwFPmf/lof0wKxb31xXnuE/pM3fEUEsMYg9/1KRz+XDzpM/7fkJY4beaj2Uv+kroSxspDrx9OxeQOeamhg==" saltValue="caavXxqMZayanyPNSpMoWg==" spinCount="100000" sheet="1" objects="1" scenarios="1" selectLockedCells="1" selectUnlockedCells="1"/>
  <mergeCells count="1">
    <mergeCell ref="P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1CEE-CAF8-4BA2-B990-B365F0C5596A}">
  <dimension ref="A1:R169"/>
  <sheetViews>
    <sheetView showGridLines="0" zoomScale="59" zoomScaleNormal="70" workbookViewId="0">
      <pane xSplit="2" ySplit="11" topLeftCell="C12" activePane="bottomRight" state="frozen"/>
      <selection pane="topRight" activeCell="C1" sqref="C1"/>
      <selection pane="bottomLeft" activeCell="A12" sqref="A12"/>
      <selection pane="bottomRight" activeCell="Y21" sqref="Y21"/>
    </sheetView>
  </sheetViews>
  <sheetFormatPr defaultRowHeight="14.4" outlineLevelRow="1"/>
  <cols>
    <col min="1" max="1" width="1.88671875" customWidth="1"/>
    <col min="2" max="2" width="34.33203125" bestFit="1" customWidth="1"/>
    <col min="6" max="6" width="13.21875" customWidth="1"/>
  </cols>
  <sheetData>
    <row r="1" spans="1:18" ht="6.6" customHeight="1"/>
    <row r="2" spans="1:18" ht="21">
      <c r="B2" s="462" t="str">
        <f>'Input Sheet'!C5</f>
        <v>Eicher Motors</v>
      </c>
    </row>
    <row r="3" spans="1:18" ht="15.6">
      <c r="B3" s="9" t="s">
        <v>14</v>
      </c>
      <c r="Q3" s="127" t="s">
        <v>19</v>
      </c>
    </row>
    <row r="4" spans="1:18">
      <c r="F4" t="s">
        <v>22</v>
      </c>
      <c r="G4">
        <v>2</v>
      </c>
      <c r="Q4" s="127" t="s">
        <v>277</v>
      </c>
    </row>
    <row r="5" spans="1:18">
      <c r="Q5" s="127" t="s">
        <v>21</v>
      </c>
    </row>
    <row r="8" spans="1:18" ht="15.6">
      <c r="H8" s="411" t="s">
        <v>16</v>
      </c>
      <c r="I8" s="549" t="s">
        <v>17</v>
      </c>
      <c r="J8" s="549"/>
      <c r="K8" s="549"/>
      <c r="L8" s="549"/>
      <c r="M8" s="549"/>
      <c r="N8" s="550" t="s">
        <v>936</v>
      </c>
      <c r="O8" s="550"/>
      <c r="P8" s="550"/>
      <c r="Q8" s="550"/>
      <c r="R8" s="550"/>
    </row>
    <row r="9" spans="1:18">
      <c r="B9" s="495" t="s">
        <v>15</v>
      </c>
      <c r="C9" s="11"/>
      <c r="D9" s="51">
        <v>2021</v>
      </c>
      <c r="E9" s="51">
        <f>D9+1</f>
        <v>2022</v>
      </c>
      <c r="F9" s="51">
        <f t="shared" ref="F9:M9" si="0">E9+1</f>
        <v>2023</v>
      </c>
      <c r="G9" s="51">
        <f t="shared" si="0"/>
        <v>2024</v>
      </c>
      <c r="H9" s="51">
        <f t="shared" si="0"/>
        <v>2025</v>
      </c>
      <c r="I9" s="51">
        <f t="shared" si="0"/>
        <v>2026</v>
      </c>
      <c r="J9" s="51">
        <f t="shared" si="0"/>
        <v>2027</v>
      </c>
      <c r="K9" s="51">
        <f t="shared" si="0"/>
        <v>2028</v>
      </c>
      <c r="L9" s="51">
        <f t="shared" si="0"/>
        <v>2029</v>
      </c>
      <c r="M9" s="51">
        <f t="shared" si="0"/>
        <v>2030</v>
      </c>
      <c r="N9" s="51">
        <f t="shared" ref="N9" si="1">M9+1</f>
        <v>2031</v>
      </c>
      <c r="O9" s="51">
        <f t="shared" ref="O9" si="2">N9+1</f>
        <v>2032</v>
      </c>
      <c r="P9" s="51">
        <f t="shared" ref="P9" si="3">O9+1</f>
        <v>2033</v>
      </c>
      <c r="Q9" s="51">
        <f t="shared" ref="Q9" si="4">P9+1</f>
        <v>2034</v>
      </c>
      <c r="R9" s="51">
        <f t="shared" ref="R9" si="5">Q9+1</f>
        <v>2035</v>
      </c>
    </row>
    <row r="10" spans="1:18">
      <c r="B10" s="64"/>
      <c r="D10" s="66"/>
      <c r="E10" s="66"/>
      <c r="F10" s="66"/>
      <c r="G10" s="66"/>
      <c r="H10" s="66"/>
      <c r="I10" s="66"/>
      <c r="J10" s="66"/>
      <c r="K10" s="66"/>
      <c r="L10" s="66"/>
      <c r="M10" s="66"/>
    </row>
    <row r="11" spans="1:18" ht="15.6">
      <c r="B11" s="463" t="s">
        <v>565</v>
      </c>
      <c r="C11" s="463"/>
      <c r="D11" s="463"/>
      <c r="E11" s="463"/>
      <c r="F11" s="463"/>
      <c r="G11" s="463"/>
      <c r="H11" s="463"/>
      <c r="I11" s="463"/>
      <c r="J11" s="463"/>
      <c r="K11" s="463"/>
      <c r="L11" s="463"/>
      <c r="M11" s="463"/>
      <c r="N11" s="463"/>
      <c r="O11" s="463"/>
      <c r="P11" s="463"/>
      <c r="Q11" s="463"/>
      <c r="R11" s="463"/>
    </row>
    <row r="13" spans="1:18" ht="15.6">
      <c r="A13" t="s">
        <v>18</v>
      </c>
      <c r="B13" s="463" t="s">
        <v>332</v>
      </c>
      <c r="C13" s="463"/>
      <c r="D13" s="463"/>
      <c r="E13" s="463"/>
      <c r="F13" s="463"/>
      <c r="G13" s="463"/>
      <c r="H13" s="463"/>
      <c r="I13" s="463"/>
      <c r="J13" s="463"/>
      <c r="K13" s="463"/>
      <c r="L13" s="463"/>
      <c r="M13" s="463"/>
      <c r="N13" s="463"/>
      <c r="O13" s="463"/>
      <c r="P13" s="463"/>
      <c r="Q13" s="463"/>
      <c r="R13" s="463"/>
    </row>
    <row r="14" spans="1:18" outlineLevel="1"/>
    <row r="15" spans="1:18" outlineLevel="1">
      <c r="B15" s="151" t="s">
        <v>251</v>
      </c>
      <c r="C15" s="152"/>
      <c r="D15" s="152"/>
      <c r="E15" s="152"/>
      <c r="F15" s="152"/>
      <c r="G15" s="152"/>
      <c r="H15" s="152"/>
      <c r="I15" s="152"/>
      <c r="J15" s="152"/>
      <c r="K15" s="152"/>
      <c r="L15" s="152"/>
      <c r="M15" s="152"/>
      <c r="N15" s="152"/>
      <c r="O15" s="152"/>
      <c r="P15" s="152"/>
      <c r="Q15" s="152"/>
      <c r="R15" s="152"/>
    </row>
    <row r="16" spans="1:18" outlineLevel="1">
      <c r="B16" s="14" t="s">
        <v>19</v>
      </c>
      <c r="C16" s="15"/>
      <c r="D16" s="123">
        <f>'ConsolidatedP&amp;L'!E8</f>
        <v>-4.732902318000165E-2</v>
      </c>
      <c r="E16" s="123">
        <f>'ConsolidatedP&amp;L'!F8</f>
        <v>0.18089640897441028</v>
      </c>
      <c r="F16" s="123">
        <f>'ConsolidatedP&amp;L'!G8</f>
        <v>0.40244886544058311</v>
      </c>
      <c r="G16" s="123">
        <f>'ConsolidatedP&amp;L'!H8</f>
        <v>0.14496426439775711</v>
      </c>
      <c r="H16" s="123">
        <f>'ConsolidatedP&amp;L'!I8</f>
        <v>0.14118293784750402</v>
      </c>
      <c r="I16" s="20">
        <v>0.15</v>
      </c>
      <c r="J16" s="20">
        <f>I16-(($I$16-$M$16)/($M$9-$I$9))</f>
        <v>0.14249999999999999</v>
      </c>
      <c r="K16" s="20">
        <f t="shared" ref="K16:L16" si="6">J16-(($I$16-$M$16)/($M$9-$I$9))</f>
        <v>0.13499999999999998</v>
      </c>
      <c r="L16" s="20">
        <f t="shared" si="6"/>
        <v>0.12749999999999997</v>
      </c>
      <c r="M16" s="20">
        <v>0.12</v>
      </c>
      <c r="N16" s="20">
        <v>0.12</v>
      </c>
      <c r="O16" s="20">
        <v>0.12</v>
      </c>
      <c r="P16" s="20">
        <v>0.12</v>
      </c>
      <c r="Q16" s="20">
        <v>0.12</v>
      </c>
      <c r="R16" s="20">
        <v>0.12</v>
      </c>
    </row>
    <row r="17" spans="1:18" outlineLevel="1">
      <c r="B17" s="14" t="s">
        <v>277</v>
      </c>
      <c r="C17" s="15"/>
      <c r="D17" s="124">
        <f>D16</f>
        <v>-4.732902318000165E-2</v>
      </c>
      <c r="E17" s="124">
        <f t="shared" ref="E17:H18" si="7">E16</f>
        <v>0.18089640897441028</v>
      </c>
      <c r="F17" s="124">
        <f t="shared" si="7"/>
        <v>0.40244886544058311</v>
      </c>
      <c r="G17" s="124">
        <f t="shared" si="7"/>
        <v>0.14496426439775711</v>
      </c>
      <c r="H17" s="124">
        <f t="shared" si="7"/>
        <v>0.14118293784750402</v>
      </c>
      <c r="I17" s="20">
        <v>0.15</v>
      </c>
      <c r="J17" s="20">
        <f>I17-(($I$17-$M$17)/($M$9-$I$9))</f>
        <v>0.14249999999999999</v>
      </c>
      <c r="K17" s="20">
        <f t="shared" ref="K17:L17" si="8">J17-(($I$17-$M$17)/($M$9-$I$9))</f>
        <v>0.13499999999999998</v>
      </c>
      <c r="L17" s="20">
        <f t="shared" si="8"/>
        <v>0.12749999999999997</v>
      </c>
      <c r="M17" s="20">
        <v>0.12</v>
      </c>
      <c r="N17" s="20">
        <v>0.12</v>
      </c>
      <c r="O17" s="20">
        <v>0.12</v>
      </c>
      <c r="P17" s="20">
        <v>0.12</v>
      </c>
      <c r="Q17" s="20">
        <v>0.12</v>
      </c>
      <c r="R17" s="20">
        <v>0.12</v>
      </c>
    </row>
    <row r="18" spans="1:18" outlineLevel="1">
      <c r="B18" s="16" t="s">
        <v>21</v>
      </c>
      <c r="C18" s="17"/>
      <c r="D18" s="125">
        <f>D17</f>
        <v>-4.732902318000165E-2</v>
      </c>
      <c r="E18" s="125">
        <f t="shared" si="7"/>
        <v>0.18089640897441028</v>
      </c>
      <c r="F18" s="125">
        <f t="shared" si="7"/>
        <v>0.40244886544058311</v>
      </c>
      <c r="G18" s="125">
        <f t="shared" si="7"/>
        <v>0.14496426439775711</v>
      </c>
      <c r="H18" s="125">
        <f t="shared" si="7"/>
        <v>0.14118293784750402</v>
      </c>
      <c r="I18" s="20">
        <v>7.0000000000000007E-2</v>
      </c>
      <c r="J18" s="20">
        <f>I18-(($I$18-$M$18)/($M$9-$I$9))</f>
        <v>7.2500000000000009E-2</v>
      </c>
      <c r="K18" s="20">
        <f t="shared" ref="K18:L18" si="9">J18-(($I$17-$M$17)/($M$9-$I$9))</f>
        <v>6.5000000000000002E-2</v>
      </c>
      <c r="L18" s="20">
        <f t="shared" si="9"/>
        <v>5.7500000000000002E-2</v>
      </c>
      <c r="M18" s="20">
        <v>0.08</v>
      </c>
      <c r="N18" s="20">
        <v>0.08</v>
      </c>
      <c r="O18" s="20">
        <v>0.08</v>
      </c>
      <c r="P18" s="20">
        <v>0.08</v>
      </c>
      <c r="Q18" s="20">
        <v>0.08</v>
      </c>
      <c r="R18" s="20">
        <v>0.08</v>
      </c>
    </row>
    <row r="19" spans="1:18" outlineLevel="1">
      <c r="B19" s="257" t="str">
        <f>"Current Case - "&amp;CHOOSE($G$4,B16,B17,B18)</f>
        <v>Current Case - Base Case</v>
      </c>
      <c r="C19" s="258"/>
      <c r="D19" s="258"/>
      <c r="E19" s="258"/>
      <c r="F19" s="258"/>
      <c r="G19" s="259"/>
      <c r="H19" s="259"/>
      <c r="I19" s="259">
        <f>CHOOSE($G$4,I16,I17,I18)</f>
        <v>0.15</v>
      </c>
      <c r="J19" s="259">
        <f t="shared" ref="J19:M19" si="10">CHOOSE($G$4,J16,J17,J18)</f>
        <v>0.14249999999999999</v>
      </c>
      <c r="K19" s="259">
        <f t="shared" si="10"/>
        <v>0.13499999999999998</v>
      </c>
      <c r="L19" s="259">
        <f t="shared" si="10"/>
        <v>0.12749999999999997</v>
      </c>
      <c r="M19" s="259">
        <f t="shared" si="10"/>
        <v>0.12</v>
      </c>
      <c r="N19" s="259">
        <f t="shared" ref="N19:R19" si="11">CHOOSE($G$4,N16,N17,N18)</f>
        <v>0.12</v>
      </c>
      <c r="O19" s="259">
        <f t="shared" si="11"/>
        <v>0.12</v>
      </c>
      <c r="P19" s="259">
        <f t="shared" si="11"/>
        <v>0.12</v>
      </c>
      <c r="Q19" s="259">
        <f t="shared" si="11"/>
        <v>0.12</v>
      </c>
      <c r="R19" s="259">
        <f t="shared" si="11"/>
        <v>0.12</v>
      </c>
    </row>
    <row r="20" spans="1:18" outlineLevel="1"/>
    <row r="22" spans="1:18" ht="15.6">
      <c r="A22" t="s">
        <v>18</v>
      </c>
      <c r="B22" s="463" t="s">
        <v>566</v>
      </c>
      <c r="C22" s="463"/>
      <c r="D22" s="463"/>
      <c r="E22" s="463"/>
      <c r="F22" s="463"/>
      <c r="G22" s="463"/>
      <c r="H22" s="463"/>
      <c r="I22" s="463"/>
      <c r="J22" s="463"/>
      <c r="K22" s="463"/>
      <c r="L22" s="463"/>
      <c r="M22" s="463"/>
      <c r="N22" s="463"/>
      <c r="O22" s="463"/>
      <c r="P22" s="463"/>
      <c r="Q22" s="463"/>
      <c r="R22" s="463"/>
    </row>
    <row r="23" spans="1:18" outlineLevel="1"/>
    <row r="24" spans="1:18" outlineLevel="1">
      <c r="B24" s="151" t="s">
        <v>279</v>
      </c>
      <c r="C24" s="152"/>
      <c r="D24" s="152"/>
      <c r="E24" s="152"/>
      <c r="F24" s="152"/>
      <c r="G24" s="152"/>
      <c r="H24" s="152"/>
      <c r="I24" s="152"/>
      <c r="J24" s="152"/>
      <c r="K24" s="152"/>
      <c r="L24" s="152"/>
      <c r="M24" s="152"/>
      <c r="N24" s="152"/>
      <c r="O24" s="152"/>
      <c r="P24" s="152"/>
      <c r="Q24" s="152"/>
      <c r="R24" s="152"/>
    </row>
    <row r="25" spans="1:18" outlineLevel="1">
      <c r="B25" s="14" t="s">
        <v>19</v>
      </c>
      <c r="C25" s="15"/>
      <c r="D25" s="123">
        <f>'ConsolidatedP&amp;L'!C19</f>
        <v>0.48378595211216435</v>
      </c>
      <c r="E25" s="123">
        <f>'ConsolidatedP&amp;L'!D19</f>
        <v>0.45420917280452011</v>
      </c>
      <c r="F25" s="123">
        <f>'ConsolidatedP&amp;L'!E19</f>
        <v>0.41375403510180209</v>
      </c>
      <c r="G25" s="123">
        <f>'ConsolidatedP&amp;L'!F19</f>
        <v>0.42165679565500702</v>
      </c>
      <c r="H25" s="123">
        <f>'ConsolidatedP&amp;L'!G19</f>
        <v>0.43139470633934773</v>
      </c>
      <c r="I25" s="20">
        <v>0.45</v>
      </c>
      <c r="J25" s="20">
        <v>0.45</v>
      </c>
      <c r="K25" s="20">
        <v>0.45</v>
      </c>
      <c r="L25" s="20">
        <v>0.45</v>
      </c>
      <c r="M25" s="20">
        <v>0.45400000000000001</v>
      </c>
      <c r="N25" s="20">
        <v>0.45400000000000001</v>
      </c>
      <c r="O25" s="20">
        <v>0.45400000000000001</v>
      </c>
      <c r="P25" s="20">
        <v>0.45400000000000001</v>
      </c>
      <c r="Q25" s="20">
        <v>0.45400000000000001</v>
      </c>
      <c r="R25" s="20">
        <v>0.45400000000000001</v>
      </c>
    </row>
    <row r="26" spans="1:18" outlineLevel="1">
      <c r="B26" s="14" t="s">
        <v>277</v>
      </c>
      <c r="C26" s="15"/>
      <c r="D26" s="124">
        <f>D25</f>
        <v>0.48378595211216435</v>
      </c>
      <c r="E26" s="124">
        <f t="shared" ref="E26:H26" si="12">E25</f>
        <v>0.45420917280452011</v>
      </c>
      <c r="F26" s="124">
        <f t="shared" si="12"/>
        <v>0.41375403510180209</v>
      </c>
      <c r="G26" s="124">
        <f t="shared" si="12"/>
        <v>0.42165679565500702</v>
      </c>
      <c r="H26" s="124">
        <f t="shared" si="12"/>
        <v>0.43139470633934773</v>
      </c>
      <c r="I26" s="20">
        <v>0.45</v>
      </c>
      <c r="J26" s="20">
        <f>I26-(($I$26-$M$26)/($M$9-$I$9))</f>
        <v>0.44400000000000001</v>
      </c>
      <c r="K26" s="20">
        <f t="shared" ref="K26:L26" si="13">J26-(($I$26-$M$26)/($M$9-$I$9))</f>
        <v>0.438</v>
      </c>
      <c r="L26" s="20">
        <f t="shared" si="13"/>
        <v>0.432</v>
      </c>
      <c r="M26" s="20">
        <v>0.42599999999999999</v>
      </c>
      <c r="N26" s="20">
        <v>0.42599999999999999</v>
      </c>
      <c r="O26" s="20">
        <v>0.42599999999999999</v>
      </c>
      <c r="P26" s="20">
        <v>0.42599999999999999</v>
      </c>
      <c r="Q26" s="20">
        <v>0.42599999999999999</v>
      </c>
      <c r="R26" s="20">
        <v>0.42599999999999999</v>
      </c>
    </row>
    <row r="27" spans="1:18" outlineLevel="1">
      <c r="B27" s="16" t="s">
        <v>21</v>
      </c>
      <c r="C27" s="17"/>
      <c r="D27" s="125">
        <f>D26</f>
        <v>0.48378595211216435</v>
      </c>
      <c r="E27" s="125">
        <f t="shared" ref="E27:H27" si="14">E26</f>
        <v>0.45420917280452011</v>
      </c>
      <c r="F27" s="125">
        <f t="shared" si="14"/>
        <v>0.41375403510180209</v>
      </c>
      <c r="G27" s="125">
        <f t="shared" si="14"/>
        <v>0.42165679565500702</v>
      </c>
      <c r="H27" s="125">
        <f t="shared" si="14"/>
        <v>0.43139470633934773</v>
      </c>
      <c r="I27" s="20">
        <v>0.42</v>
      </c>
      <c r="J27" s="20">
        <f>I27-(($I$27-$M$27)/($M$9-$I$9))</f>
        <v>0.41275000000000001</v>
      </c>
      <c r="K27" s="20">
        <f t="shared" ref="K27:L27" si="15">J27-(($I$27-$M$27)/($M$9-$I$9))</f>
        <v>0.40550000000000003</v>
      </c>
      <c r="L27" s="20">
        <f t="shared" si="15"/>
        <v>0.39825000000000005</v>
      </c>
      <c r="M27" s="20">
        <v>0.39100000000000001</v>
      </c>
      <c r="N27" s="20">
        <v>0.39100000000000001</v>
      </c>
      <c r="O27" s="20">
        <v>0.39100000000000001</v>
      </c>
      <c r="P27" s="20">
        <v>0.39100000000000001</v>
      </c>
      <c r="Q27" s="20">
        <v>0.39100000000000001</v>
      </c>
      <c r="R27" s="20">
        <v>0.39100000000000001</v>
      </c>
    </row>
    <row r="28" spans="1:18" outlineLevel="1">
      <c r="B28" s="257" t="str">
        <f>"Current Case - "&amp;CHOOSE($G$4,B25,B26,B27)</f>
        <v>Current Case - Base Case</v>
      </c>
      <c r="C28" s="258"/>
      <c r="D28" s="258"/>
      <c r="E28" s="258"/>
      <c r="F28" s="258"/>
      <c r="G28" s="259"/>
      <c r="H28" s="259"/>
      <c r="I28" s="259">
        <f>CHOOSE($G$4,I25,I26,I27)</f>
        <v>0.45</v>
      </c>
      <c r="J28" s="259">
        <f t="shared" ref="J28:M28" si="16">CHOOSE($G$4,J25,J26,J27)</f>
        <v>0.44400000000000001</v>
      </c>
      <c r="K28" s="259">
        <f t="shared" si="16"/>
        <v>0.438</v>
      </c>
      <c r="L28" s="259">
        <f t="shared" si="16"/>
        <v>0.432</v>
      </c>
      <c r="M28" s="259">
        <f t="shared" si="16"/>
        <v>0.42599999999999999</v>
      </c>
      <c r="N28" s="259">
        <f t="shared" ref="N28:R28" si="17">CHOOSE($G$4,N25,N26,N27)</f>
        <v>0.42599999999999999</v>
      </c>
      <c r="O28" s="259">
        <f t="shared" si="17"/>
        <v>0.42599999999999999</v>
      </c>
      <c r="P28" s="259">
        <f t="shared" si="17"/>
        <v>0.42599999999999999</v>
      </c>
      <c r="Q28" s="259">
        <f t="shared" si="17"/>
        <v>0.42599999999999999</v>
      </c>
      <c r="R28" s="259">
        <f t="shared" si="17"/>
        <v>0.42599999999999999</v>
      </c>
    </row>
    <row r="29" spans="1:18" outlineLevel="1"/>
    <row r="30" spans="1:18" outlineLevel="1">
      <c r="B30" s="256" t="s">
        <v>574</v>
      </c>
      <c r="C30" s="22"/>
      <c r="D30" s="210"/>
      <c r="E30" s="210"/>
      <c r="F30" s="210"/>
      <c r="G30" s="210"/>
      <c r="H30" s="210"/>
      <c r="I30" s="210">
        <f>1-I28</f>
        <v>0.55000000000000004</v>
      </c>
      <c r="J30" s="210">
        <f t="shared" ref="J30:M30" si="18">1-J28</f>
        <v>0.55600000000000005</v>
      </c>
      <c r="K30" s="210">
        <f t="shared" si="18"/>
        <v>0.56200000000000006</v>
      </c>
      <c r="L30" s="210">
        <f t="shared" si="18"/>
        <v>0.56800000000000006</v>
      </c>
      <c r="M30" s="210">
        <f t="shared" si="18"/>
        <v>0.57400000000000007</v>
      </c>
      <c r="N30" s="210">
        <f t="shared" ref="N30:R30" si="19">1-N28</f>
        <v>0.57400000000000007</v>
      </c>
      <c r="O30" s="210">
        <f t="shared" si="19"/>
        <v>0.57400000000000007</v>
      </c>
      <c r="P30" s="210">
        <f t="shared" si="19"/>
        <v>0.57400000000000007</v>
      </c>
      <c r="Q30" s="210">
        <f t="shared" si="19"/>
        <v>0.57400000000000007</v>
      </c>
      <c r="R30" s="210">
        <f t="shared" si="19"/>
        <v>0.57400000000000007</v>
      </c>
    </row>
    <row r="31" spans="1:18" outlineLevel="1"/>
    <row r="33" spans="1:18" ht="15.6">
      <c r="A33" t="s">
        <v>18</v>
      </c>
      <c r="B33" s="463" t="s">
        <v>567</v>
      </c>
      <c r="C33" s="463"/>
      <c r="D33" s="463"/>
      <c r="E33" s="463"/>
      <c r="F33" s="463"/>
      <c r="G33" s="463"/>
      <c r="H33" s="463"/>
      <c r="I33" s="463"/>
      <c r="J33" s="463"/>
      <c r="K33" s="463"/>
      <c r="L33" s="463"/>
      <c r="M33" s="463"/>
      <c r="N33" s="463"/>
      <c r="O33" s="463"/>
      <c r="P33" s="463"/>
      <c r="Q33" s="463"/>
      <c r="R33" s="463"/>
    </row>
    <row r="34" spans="1:18" outlineLevel="1"/>
    <row r="35" spans="1:18" outlineLevel="1">
      <c r="B35" s="151" t="s">
        <v>567</v>
      </c>
      <c r="C35" s="152"/>
      <c r="D35" s="152"/>
      <c r="E35" s="152"/>
      <c r="F35" s="152"/>
      <c r="G35" s="152"/>
      <c r="H35" s="152"/>
      <c r="I35" s="152"/>
      <c r="J35" s="152"/>
      <c r="K35" s="152"/>
      <c r="L35" s="152"/>
      <c r="M35" s="152"/>
      <c r="N35" s="152"/>
      <c r="O35" s="152"/>
      <c r="P35" s="152"/>
      <c r="Q35" s="152"/>
      <c r="R35" s="152"/>
    </row>
    <row r="36" spans="1:18" outlineLevel="1">
      <c r="B36" s="14" t="s">
        <v>19</v>
      </c>
      <c r="C36" s="15"/>
      <c r="D36" s="20">
        <v>9.6696806894218695E-2</v>
      </c>
      <c r="E36" s="20">
        <v>9.6696806894218695E-2</v>
      </c>
      <c r="F36" s="20">
        <v>9.6696806894218695E-2</v>
      </c>
      <c r="G36" s="20">
        <v>9.6696806894218695E-2</v>
      </c>
      <c r="H36" s="20">
        <v>9.6696806894218695E-2</v>
      </c>
      <c r="I36" s="20">
        <v>7.4999999999999997E-2</v>
      </c>
      <c r="J36" s="20">
        <v>7.4999999999999997E-2</v>
      </c>
      <c r="K36" s="20">
        <v>7.4999999999999997E-2</v>
      </c>
      <c r="L36" s="20">
        <v>7.4999999999999997E-2</v>
      </c>
      <c r="M36" s="20">
        <v>7.4999999999999997E-2</v>
      </c>
      <c r="N36" s="20">
        <v>7.4999999999999997E-2</v>
      </c>
      <c r="O36" s="20">
        <v>7.4999999999999997E-2</v>
      </c>
      <c r="P36" s="20">
        <v>7.4999999999999997E-2</v>
      </c>
      <c r="Q36" s="20">
        <v>7.4999999999999997E-2</v>
      </c>
      <c r="R36" s="20">
        <v>7.4999999999999997E-2</v>
      </c>
    </row>
    <row r="37" spans="1:18" outlineLevel="1">
      <c r="B37" s="14" t="s">
        <v>277</v>
      </c>
      <c r="C37" s="15"/>
      <c r="D37" s="124">
        <f>D36</f>
        <v>9.6696806894218695E-2</v>
      </c>
      <c r="E37" s="124">
        <f t="shared" ref="E37:H37" si="20">E36</f>
        <v>9.6696806894218695E-2</v>
      </c>
      <c r="F37" s="124">
        <f t="shared" si="20"/>
        <v>9.6696806894218695E-2</v>
      </c>
      <c r="G37" s="124">
        <f t="shared" si="20"/>
        <v>9.6696806894218695E-2</v>
      </c>
      <c r="H37" s="124">
        <f t="shared" si="20"/>
        <v>9.6696806894218695E-2</v>
      </c>
      <c r="I37" s="20">
        <v>7.4999999999999997E-2</v>
      </c>
      <c r="J37" s="20">
        <v>7.4999999999999997E-2</v>
      </c>
      <c r="K37" s="20">
        <v>7.4999999999999997E-2</v>
      </c>
      <c r="L37" s="20">
        <v>7.4999999999999997E-2</v>
      </c>
      <c r="M37" s="20">
        <v>7.4999999999999997E-2</v>
      </c>
      <c r="N37" s="20">
        <v>7.4999999999999997E-2</v>
      </c>
      <c r="O37" s="20">
        <v>7.4999999999999997E-2</v>
      </c>
      <c r="P37" s="20">
        <v>7.4999999999999997E-2</v>
      </c>
      <c r="Q37" s="20">
        <v>7.4999999999999997E-2</v>
      </c>
      <c r="R37" s="20">
        <v>7.4999999999999997E-2</v>
      </c>
    </row>
    <row r="38" spans="1:18" outlineLevel="1">
      <c r="B38" s="16" t="s">
        <v>21</v>
      </c>
      <c r="C38" s="17"/>
      <c r="D38" s="125">
        <f>D37</f>
        <v>9.6696806894218695E-2</v>
      </c>
      <c r="E38" s="125">
        <f t="shared" ref="E38:H38" si="21">E37</f>
        <v>9.6696806894218695E-2</v>
      </c>
      <c r="F38" s="125">
        <f t="shared" si="21"/>
        <v>9.6696806894218695E-2</v>
      </c>
      <c r="G38" s="125">
        <f t="shared" si="21"/>
        <v>9.6696806894218695E-2</v>
      </c>
      <c r="H38" s="125">
        <f t="shared" si="21"/>
        <v>9.6696806894218695E-2</v>
      </c>
      <c r="I38" s="20">
        <v>7.4999999999999997E-2</v>
      </c>
      <c r="J38" s="20">
        <v>7.4999999999999997E-2</v>
      </c>
      <c r="K38" s="20">
        <v>7.4999999999999997E-2</v>
      </c>
      <c r="L38" s="20">
        <v>7.4999999999999997E-2</v>
      </c>
      <c r="M38" s="20">
        <v>7.4999999999999997E-2</v>
      </c>
      <c r="N38" s="20">
        <v>7.4999999999999997E-2</v>
      </c>
      <c r="O38" s="20">
        <v>7.4999999999999997E-2</v>
      </c>
      <c r="P38" s="20">
        <v>7.4999999999999997E-2</v>
      </c>
      <c r="Q38" s="20">
        <v>7.4999999999999997E-2</v>
      </c>
      <c r="R38" s="20">
        <v>7.4999999999999997E-2</v>
      </c>
    </row>
    <row r="39" spans="1:18" outlineLevel="1">
      <c r="B39" s="257" t="str">
        <f>"Current Case - "&amp;CHOOSE($G$4,B36,B37,B38)</f>
        <v>Current Case - Base Case</v>
      </c>
      <c r="C39" s="258"/>
      <c r="D39" s="258"/>
      <c r="E39" s="258"/>
      <c r="F39" s="258"/>
      <c r="G39" s="259"/>
      <c r="H39" s="259"/>
      <c r="I39" s="259">
        <f>CHOOSE($G$4,I36,I37,I38)</f>
        <v>7.4999999999999997E-2</v>
      </c>
      <c r="J39" s="259">
        <f t="shared" ref="J39:M39" si="22">CHOOSE($G$4,J36,J37,J38)</f>
        <v>7.4999999999999997E-2</v>
      </c>
      <c r="K39" s="259">
        <f t="shared" si="22"/>
        <v>7.4999999999999997E-2</v>
      </c>
      <c r="L39" s="259">
        <f t="shared" si="22"/>
        <v>7.4999999999999997E-2</v>
      </c>
      <c r="M39" s="259">
        <f t="shared" si="22"/>
        <v>7.4999999999999997E-2</v>
      </c>
      <c r="N39" s="259">
        <f t="shared" ref="N39:R39" si="23">CHOOSE($G$4,N36,N37,N38)</f>
        <v>7.4999999999999997E-2</v>
      </c>
      <c r="O39" s="259">
        <f t="shared" si="23"/>
        <v>7.4999999999999997E-2</v>
      </c>
      <c r="P39" s="259">
        <f t="shared" si="23"/>
        <v>7.4999999999999997E-2</v>
      </c>
      <c r="Q39" s="259">
        <f t="shared" si="23"/>
        <v>7.4999999999999997E-2</v>
      </c>
      <c r="R39" s="259">
        <f t="shared" si="23"/>
        <v>7.4999999999999997E-2</v>
      </c>
    </row>
    <row r="40" spans="1:18" outlineLevel="1"/>
    <row r="41" spans="1:18" outlineLevel="1">
      <c r="B41" s="151" t="str">
        <f>'Assumptions Working'!B251</f>
        <v>Consumption of Stores and machinery spares % Revenue</v>
      </c>
      <c r="C41" s="152"/>
      <c r="D41" s="152"/>
      <c r="E41" s="152"/>
      <c r="F41" s="152"/>
      <c r="G41" s="152"/>
      <c r="H41" s="152"/>
      <c r="I41" s="152"/>
      <c r="J41" s="152"/>
      <c r="K41" s="152"/>
      <c r="L41" s="152"/>
      <c r="M41" s="152"/>
      <c r="N41" s="152"/>
      <c r="O41" s="152"/>
      <c r="P41" s="152"/>
      <c r="Q41" s="152"/>
      <c r="R41" s="152"/>
    </row>
    <row r="42" spans="1:18" outlineLevel="1">
      <c r="B42" s="14" t="s">
        <v>19</v>
      </c>
      <c r="C42" s="15"/>
      <c r="D42" s="20">
        <v>1.5998211080977251E-2</v>
      </c>
      <c r="E42" s="20">
        <v>1.9281732170758306E-2</v>
      </c>
      <c r="F42" s="20">
        <v>1.8158615943022451E-2</v>
      </c>
      <c r="G42" s="20">
        <v>1.4461972764514283E-2</v>
      </c>
      <c r="H42" s="20">
        <v>1.518572787468171E-2</v>
      </c>
      <c r="I42" s="20">
        <v>1.7000000000000001E-2</v>
      </c>
      <c r="J42" s="20">
        <v>1.7000000000000001E-2</v>
      </c>
      <c r="K42" s="20">
        <v>1.7000000000000001E-2</v>
      </c>
      <c r="L42" s="20">
        <v>1.7000000000000001E-2</v>
      </c>
      <c r="M42" s="20">
        <v>1.7000000000000001E-2</v>
      </c>
      <c r="N42" s="20">
        <v>1.7000000000000001E-2</v>
      </c>
      <c r="O42" s="20">
        <v>1.7000000000000001E-2</v>
      </c>
      <c r="P42" s="20">
        <v>1.7000000000000001E-2</v>
      </c>
      <c r="Q42" s="20">
        <v>1.7000000000000001E-2</v>
      </c>
      <c r="R42" s="20">
        <v>1.7000000000000001E-2</v>
      </c>
    </row>
    <row r="43" spans="1:18" outlineLevel="1">
      <c r="B43" s="14" t="s">
        <v>277</v>
      </c>
      <c r="C43" s="15"/>
      <c r="D43" s="124">
        <f>D42</f>
        <v>1.5998211080977251E-2</v>
      </c>
      <c r="E43" s="124">
        <f t="shared" ref="E43:H43" si="24">E42</f>
        <v>1.9281732170758306E-2</v>
      </c>
      <c r="F43" s="124">
        <f t="shared" si="24"/>
        <v>1.8158615943022451E-2</v>
      </c>
      <c r="G43" s="124">
        <f t="shared" si="24"/>
        <v>1.4461972764514283E-2</v>
      </c>
      <c r="H43" s="124">
        <f t="shared" si="24"/>
        <v>1.518572787468171E-2</v>
      </c>
      <c r="I43" s="20">
        <v>1.7000000000000001E-2</v>
      </c>
      <c r="J43" s="20">
        <v>1.7000000000000001E-2</v>
      </c>
      <c r="K43" s="20">
        <v>1.7000000000000001E-2</v>
      </c>
      <c r="L43" s="20">
        <v>1.7000000000000001E-2</v>
      </c>
      <c r="M43" s="20">
        <v>1.7000000000000001E-2</v>
      </c>
      <c r="N43" s="20">
        <v>1.7000000000000001E-2</v>
      </c>
      <c r="O43" s="20">
        <v>1.7000000000000001E-2</v>
      </c>
      <c r="P43" s="20">
        <v>1.7000000000000001E-2</v>
      </c>
      <c r="Q43" s="20">
        <v>1.7000000000000001E-2</v>
      </c>
      <c r="R43" s="20">
        <v>1.7000000000000001E-2</v>
      </c>
    </row>
    <row r="44" spans="1:18" outlineLevel="1">
      <c r="B44" s="16" t="s">
        <v>21</v>
      </c>
      <c r="C44" s="17"/>
      <c r="D44" s="125">
        <f>D43</f>
        <v>1.5998211080977251E-2</v>
      </c>
      <c r="E44" s="125">
        <f t="shared" ref="E44:H44" si="25">E43</f>
        <v>1.9281732170758306E-2</v>
      </c>
      <c r="F44" s="125">
        <f t="shared" si="25"/>
        <v>1.8158615943022451E-2</v>
      </c>
      <c r="G44" s="125">
        <f t="shared" si="25"/>
        <v>1.4461972764514283E-2</v>
      </c>
      <c r="H44" s="125">
        <f t="shared" si="25"/>
        <v>1.518572787468171E-2</v>
      </c>
      <c r="I44" s="20">
        <v>1.7000000000000001E-2</v>
      </c>
      <c r="J44" s="20">
        <v>1.7000000000000001E-2</v>
      </c>
      <c r="K44" s="20">
        <v>1.7000000000000001E-2</v>
      </c>
      <c r="L44" s="20">
        <v>1.7000000000000001E-2</v>
      </c>
      <c r="M44" s="20">
        <v>1.7000000000000001E-2</v>
      </c>
      <c r="N44" s="20">
        <v>1.7000000000000001E-2</v>
      </c>
      <c r="O44" s="20">
        <v>1.7000000000000001E-2</v>
      </c>
      <c r="P44" s="20">
        <v>1.7000000000000001E-2</v>
      </c>
      <c r="Q44" s="20">
        <v>1.7000000000000001E-2</v>
      </c>
      <c r="R44" s="20">
        <v>1.7000000000000001E-2</v>
      </c>
    </row>
    <row r="45" spans="1:18" outlineLevel="1">
      <c r="B45" s="257" t="str">
        <f>"Current Case - "&amp;CHOOSE($G$4,B42,B43,B44)</f>
        <v>Current Case - Base Case</v>
      </c>
      <c r="C45" s="258"/>
      <c r="D45" s="258"/>
      <c r="E45" s="258"/>
      <c r="F45" s="258"/>
      <c r="G45" s="259"/>
      <c r="H45" s="259"/>
      <c r="I45" s="259">
        <f>CHOOSE($G$4,I42,I43,I44)</f>
        <v>1.7000000000000001E-2</v>
      </c>
      <c r="J45" s="259">
        <f t="shared" ref="J45:M45" si="26">CHOOSE($G$4,J42,J43,J44)</f>
        <v>1.7000000000000001E-2</v>
      </c>
      <c r="K45" s="259">
        <f t="shared" si="26"/>
        <v>1.7000000000000001E-2</v>
      </c>
      <c r="L45" s="259">
        <f t="shared" si="26"/>
        <v>1.7000000000000001E-2</v>
      </c>
      <c r="M45" s="259">
        <f t="shared" si="26"/>
        <v>1.7000000000000001E-2</v>
      </c>
      <c r="N45" s="259">
        <f t="shared" ref="N45:R45" si="27">CHOOSE($G$4,N42,N43,N44)</f>
        <v>1.7000000000000001E-2</v>
      </c>
      <c r="O45" s="259">
        <f t="shared" si="27"/>
        <v>1.7000000000000001E-2</v>
      </c>
      <c r="P45" s="259">
        <f t="shared" si="27"/>
        <v>1.7000000000000001E-2</v>
      </c>
      <c r="Q45" s="259">
        <f t="shared" si="27"/>
        <v>1.7000000000000001E-2</v>
      </c>
      <c r="R45" s="259">
        <f t="shared" si="27"/>
        <v>1.7000000000000001E-2</v>
      </c>
    </row>
    <row r="46" spans="1:18" outlineLevel="1"/>
    <row r="47" spans="1:18" outlineLevel="1">
      <c r="B47" s="151" t="str">
        <f>'Assumptions Working'!B254</f>
        <v>Freight and handling charges % Revenue</v>
      </c>
      <c r="C47" s="152"/>
      <c r="D47" s="152"/>
      <c r="E47" s="152"/>
      <c r="F47" s="152"/>
      <c r="G47" s="152"/>
      <c r="H47" s="152"/>
      <c r="I47" s="152"/>
      <c r="J47" s="152"/>
      <c r="K47" s="152"/>
      <c r="L47" s="152"/>
      <c r="M47" s="152"/>
      <c r="N47" s="152"/>
      <c r="O47" s="152"/>
      <c r="P47" s="152"/>
      <c r="Q47" s="152"/>
      <c r="R47" s="152"/>
    </row>
    <row r="48" spans="1:18" outlineLevel="1">
      <c r="B48" s="14" t="s">
        <v>19</v>
      </c>
      <c r="C48" s="15"/>
      <c r="D48" s="20">
        <v>1.388705728554473E-2</v>
      </c>
      <c r="E48" s="20">
        <v>1.7573605312963994E-2</v>
      </c>
      <c r="F48" s="20">
        <v>1.8891192326920173E-2</v>
      </c>
      <c r="G48" s="20">
        <v>1.6060324943849034E-2</v>
      </c>
      <c r="H48" s="20">
        <v>1.7521667589631352E-2</v>
      </c>
      <c r="I48" s="20">
        <v>1.6E-2</v>
      </c>
      <c r="J48" s="20">
        <v>1.6E-2</v>
      </c>
      <c r="K48" s="20">
        <v>1.6E-2</v>
      </c>
      <c r="L48" s="20">
        <v>1.6E-2</v>
      </c>
      <c r="M48" s="20">
        <v>1.6E-2</v>
      </c>
      <c r="N48" s="20">
        <v>1.6E-2</v>
      </c>
      <c r="O48" s="20">
        <v>1.6E-2</v>
      </c>
      <c r="P48" s="20">
        <v>1.6E-2</v>
      </c>
      <c r="Q48" s="20">
        <v>1.6E-2</v>
      </c>
      <c r="R48" s="20">
        <v>1.6E-2</v>
      </c>
    </row>
    <row r="49" spans="2:18" outlineLevel="1">
      <c r="B49" s="14" t="s">
        <v>277</v>
      </c>
      <c r="C49" s="15"/>
      <c r="D49" s="124">
        <f>D48</f>
        <v>1.388705728554473E-2</v>
      </c>
      <c r="E49" s="124">
        <f t="shared" ref="E49:H49" si="28">E48</f>
        <v>1.7573605312963994E-2</v>
      </c>
      <c r="F49" s="124">
        <f t="shared" si="28"/>
        <v>1.8891192326920173E-2</v>
      </c>
      <c r="G49" s="124">
        <f t="shared" si="28"/>
        <v>1.6060324943849034E-2</v>
      </c>
      <c r="H49" s="124">
        <f t="shared" si="28"/>
        <v>1.7521667589631352E-2</v>
      </c>
      <c r="I49" s="20">
        <v>1.6E-2</v>
      </c>
      <c r="J49" s="20">
        <v>1.6E-2</v>
      </c>
      <c r="K49" s="20">
        <v>1.6E-2</v>
      </c>
      <c r="L49" s="20">
        <v>1.6E-2</v>
      </c>
      <c r="M49" s="20">
        <v>1.6E-2</v>
      </c>
      <c r="N49" s="20">
        <v>1.6E-2</v>
      </c>
      <c r="O49" s="20">
        <v>1.6E-2</v>
      </c>
      <c r="P49" s="20">
        <v>1.6E-2</v>
      </c>
      <c r="Q49" s="20">
        <v>1.6E-2</v>
      </c>
      <c r="R49" s="20">
        <v>1.6E-2</v>
      </c>
    </row>
    <row r="50" spans="2:18" outlineLevel="1">
      <c r="B50" s="16" t="s">
        <v>21</v>
      </c>
      <c r="C50" s="17"/>
      <c r="D50" s="125">
        <f>D49</f>
        <v>1.388705728554473E-2</v>
      </c>
      <c r="E50" s="125">
        <f t="shared" ref="E50:H50" si="29">E49</f>
        <v>1.7573605312963994E-2</v>
      </c>
      <c r="F50" s="125">
        <f t="shared" si="29"/>
        <v>1.8891192326920173E-2</v>
      </c>
      <c r="G50" s="125">
        <f t="shared" si="29"/>
        <v>1.6060324943849034E-2</v>
      </c>
      <c r="H50" s="125">
        <f t="shared" si="29"/>
        <v>1.7521667589631352E-2</v>
      </c>
      <c r="I50" s="20">
        <v>1.6E-2</v>
      </c>
      <c r="J50" s="20">
        <v>1.6E-2</v>
      </c>
      <c r="K50" s="20">
        <v>1.6E-2</v>
      </c>
      <c r="L50" s="20">
        <v>1.6E-2</v>
      </c>
      <c r="M50" s="20">
        <v>1.6E-2</v>
      </c>
      <c r="N50" s="20">
        <v>1.6E-2</v>
      </c>
      <c r="O50" s="20">
        <v>1.6E-2</v>
      </c>
      <c r="P50" s="20">
        <v>1.6E-2</v>
      </c>
      <c r="Q50" s="20">
        <v>1.6E-2</v>
      </c>
      <c r="R50" s="20">
        <v>1.6E-2</v>
      </c>
    </row>
    <row r="51" spans="2:18" outlineLevel="1">
      <c r="B51" s="257" t="str">
        <f>"Current Case - "&amp;CHOOSE($G$4,B48,B49,B50)</f>
        <v>Current Case - Base Case</v>
      </c>
      <c r="C51" s="258"/>
      <c r="D51" s="258"/>
      <c r="E51" s="258"/>
      <c r="F51" s="258"/>
      <c r="G51" s="259"/>
      <c r="H51" s="259"/>
      <c r="I51" s="259">
        <f>CHOOSE($G$4,I48,I49,I50)</f>
        <v>1.6E-2</v>
      </c>
      <c r="J51" s="259">
        <f t="shared" ref="J51:M51" si="30">CHOOSE($G$4,J48,J49,J50)</f>
        <v>1.6E-2</v>
      </c>
      <c r="K51" s="259">
        <f t="shared" si="30"/>
        <v>1.6E-2</v>
      </c>
      <c r="L51" s="259">
        <f t="shared" si="30"/>
        <v>1.6E-2</v>
      </c>
      <c r="M51" s="259">
        <f t="shared" si="30"/>
        <v>1.6E-2</v>
      </c>
      <c r="N51" s="259">
        <f t="shared" ref="N51:R51" si="31">CHOOSE($G$4,N48,N49,N50)</f>
        <v>1.6E-2</v>
      </c>
      <c r="O51" s="259">
        <f t="shared" si="31"/>
        <v>1.6E-2</v>
      </c>
      <c r="P51" s="259">
        <f t="shared" si="31"/>
        <v>1.6E-2</v>
      </c>
      <c r="Q51" s="259">
        <f t="shared" si="31"/>
        <v>1.6E-2</v>
      </c>
      <c r="R51" s="259">
        <f t="shared" si="31"/>
        <v>1.6E-2</v>
      </c>
    </row>
    <row r="52" spans="2:18" outlineLevel="1"/>
    <row r="53" spans="2:18" outlineLevel="1">
      <c r="B53" s="151" t="str">
        <f>'Assumptions Working'!B257</f>
        <v>Selling and distribution expenses % Revenue</v>
      </c>
      <c r="C53" s="152"/>
      <c r="D53" s="152"/>
      <c r="E53" s="152"/>
      <c r="F53" s="152"/>
      <c r="G53" s="152"/>
      <c r="H53" s="152"/>
      <c r="I53" s="152"/>
      <c r="J53" s="152"/>
      <c r="K53" s="152"/>
      <c r="L53" s="152"/>
      <c r="M53" s="152"/>
      <c r="N53" s="152"/>
      <c r="O53" s="152"/>
      <c r="P53" s="152"/>
      <c r="Q53" s="152"/>
      <c r="R53" s="152"/>
    </row>
    <row r="54" spans="2:18" outlineLevel="1">
      <c r="B54" s="14" t="s">
        <v>19</v>
      </c>
      <c r="C54" s="15"/>
      <c r="D54" s="20">
        <v>2.0748020434959605E-2</v>
      </c>
      <c r="E54" s="20">
        <v>2.7645630195876219E-2</v>
      </c>
      <c r="F54" s="20">
        <v>2.9523936137065179E-2</v>
      </c>
      <c r="G54" s="20">
        <v>3.3031402207818444E-2</v>
      </c>
      <c r="H54" s="20">
        <v>4.0321456676744208E-2</v>
      </c>
      <c r="I54" s="20">
        <v>2.8000000000000001E-2</v>
      </c>
      <c r="J54" s="20">
        <v>2.8000000000000001E-2</v>
      </c>
      <c r="K54" s="20">
        <v>2.8000000000000001E-2</v>
      </c>
      <c r="L54" s="20">
        <v>2.8000000000000001E-2</v>
      </c>
      <c r="M54" s="20">
        <v>2.8000000000000001E-2</v>
      </c>
      <c r="N54" s="20">
        <v>2.8000000000000001E-2</v>
      </c>
      <c r="O54" s="20">
        <v>2.8000000000000001E-2</v>
      </c>
      <c r="P54" s="20">
        <v>2.8000000000000001E-2</v>
      </c>
      <c r="Q54" s="20">
        <v>2.8000000000000001E-2</v>
      </c>
      <c r="R54" s="20">
        <v>2.8000000000000001E-2</v>
      </c>
    </row>
    <row r="55" spans="2:18" outlineLevel="1">
      <c r="B55" s="14" t="s">
        <v>277</v>
      </c>
      <c r="C55" s="15"/>
      <c r="D55" s="124">
        <f>D54</f>
        <v>2.0748020434959605E-2</v>
      </c>
      <c r="E55" s="124">
        <f t="shared" ref="E55:H55" si="32">E54</f>
        <v>2.7645630195876219E-2</v>
      </c>
      <c r="F55" s="124">
        <f t="shared" si="32"/>
        <v>2.9523936137065179E-2</v>
      </c>
      <c r="G55" s="124">
        <f t="shared" si="32"/>
        <v>3.3031402207818444E-2</v>
      </c>
      <c r="H55" s="124">
        <f t="shared" si="32"/>
        <v>4.0321456676744208E-2</v>
      </c>
      <c r="I55" s="20">
        <v>2.8000000000000001E-2</v>
      </c>
      <c r="J55" s="20">
        <v>2.8000000000000001E-2</v>
      </c>
      <c r="K55" s="20">
        <v>2.8000000000000001E-2</v>
      </c>
      <c r="L55" s="20">
        <v>2.8000000000000001E-2</v>
      </c>
      <c r="M55" s="20">
        <v>2.8000000000000001E-2</v>
      </c>
      <c r="N55" s="20">
        <v>2.8000000000000001E-2</v>
      </c>
      <c r="O55" s="20">
        <v>2.8000000000000001E-2</v>
      </c>
      <c r="P55" s="20">
        <v>2.8000000000000001E-2</v>
      </c>
      <c r="Q55" s="20">
        <v>2.8000000000000001E-2</v>
      </c>
      <c r="R55" s="20">
        <v>2.8000000000000001E-2</v>
      </c>
    </row>
    <row r="56" spans="2:18" outlineLevel="1">
      <c r="B56" s="16" t="s">
        <v>21</v>
      </c>
      <c r="C56" s="17"/>
      <c r="D56" s="125">
        <f>D55</f>
        <v>2.0748020434959605E-2</v>
      </c>
      <c r="E56" s="125">
        <f t="shared" ref="E56:H56" si="33">E55</f>
        <v>2.7645630195876219E-2</v>
      </c>
      <c r="F56" s="125">
        <f t="shared" si="33"/>
        <v>2.9523936137065179E-2</v>
      </c>
      <c r="G56" s="125">
        <f t="shared" si="33"/>
        <v>3.3031402207818444E-2</v>
      </c>
      <c r="H56" s="125">
        <f t="shared" si="33"/>
        <v>4.0321456676744208E-2</v>
      </c>
      <c r="I56" s="20">
        <v>2.8000000000000001E-2</v>
      </c>
      <c r="J56" s="20">
        <v>2.8000000000000001E-2</v>
      </c>
      <c r="K56" s="20">
        <v>2.8000000000000001E-2</v>
      </c>
      <c r="L56" s="20">
        <v>2.8000000000000001E-2</v>
      </c>
      <c r="M56" s="20">
        <v>2.8000000000000001E-2</v>
      </c>
      <c r="N56" s="20">
        <v>2.8000000000000001E-2</v>
      </c>
      <c r="O56" s="20">
        <v>2.8000000000000001E-2</v>
      </c>
      <c r="P56" s="20">
        <v>2.8000000000000001E-2</v>
      </c>
      <c r="Q56" s="20">
        <v>2.8000000000000001E-2</v>
      </c>
      <c r="R56" s="20">
        <v>2.8000000000000001E-2</v>
      </c>
    </row>
    <row r="57" spans="2:18" outlineLevel="1">
      <c r="B57" s="257" t="str">
        <f>"Current Case - "&amp;CHOOSE($G$4,B54,B55,B56)</f>
        <v>Current Case - Base Case</v>
      </c>
      <c r="C57" s="258"/>
      <c r="D57" s="258"/>
      <c r="E57" s="258"/>
      <c r="F57" s="258"/>
      <c r="G57" s="259"/>
      <c r="H57" s="259"/>
      <c r="I57" s="259">
        <f>CHOOSE($G$4,I54,I55,I56)</f>
        <v>2.8000000000000001E-2</v>
      </c>
      <c r="J57" s="259">
        <f t="shared" ref="J57:M57" si="34">CHOOSE($G$4,J54,J55,J56)</f>
        <v>2.8000000000000001E-2</v>
      </c>
      <c r="K57" s="259">
        <f t="shared" si="34"/>
        <v>2.8000000000000001E-2</v>
      </c>
      <c r="L57" s="259">
        <f t="shared" si="34"/>
        <v>2.8000000000000001E-2</v>
      </c>
      <c r="M57" s="259">
        <f t="shared" si="34"/>
        <v>2.8000000000000001E-2</v>
      </c>
      <c r="N57" s="259">
        <f t="shared" ref="N57:R57" si="35">CHOOSE($G$4,N54,N55,N56)</f>
        <v>2.8000000000000001E-2</v>
      </c>
      <c r="O57" s="259">
        <f t="shared" si="35"/>
        <v>2.8000000000000001E-2</v>
      </c>
      <c r="P57" s="259">
        <f t="shared" si="35"/>
        <v>2.8000000000000001E-2</v>
      </c>
      <c r="Q57" s="259">
        <f t="shared" si="35"/>
        <v>2.8000000000000001E-2</v>
      </c>
      <c r="R57" s="259">
        <f t="shared" si="35"/>
        <v>2.8000000000000001E-2</v>
      </c>
    </row>
    <row r="58" spans="2:18" outlineLevel="1"/>
    <row r="59" spans="2:18" outlineLevel="1">
      <c r="B59" s="151" t="str">
        <f>'Assumptions Working'!B260</f>
        <v>Other SG&amp;A Expenses % Revenue</v>
      </c>
      <c r="C59" s="152"/>
      <c r="D59" s="152"/>
      <c r="E59" s="152"/>
      <c r="F59" s="152"/>
      <c r="G59" s="152"/>
      <c r="H59" s="152"/>
      <c r="I59" s="152"/>
      <c r="J59" s="152"/>
      <c r="K59" s="152"/>
      <c r="L59" s="152"/>
      <c r="M59" s="152"/>
      <c r="N59" s="152"/>
      <c r="O59" s="152"/>
      <c r="P59" s="152"/>
      <c r="Q59" s="152"/>
      <c r="R59" s="152"/>
    </row>
    <row r="60" spans="2:18" outlineLevel="1">
      <c r="B60" s="14" t="s">
        <v>19</v>
      </c>
      <c r="C60" s="15"/>
      <c r="D60" s="20">
        <v>6.2151175124851639E-2</v>
      </c>
      <c r="E60" s="20">
        <v>6.6485851873647181E-2</v>
      </c>
      <c r="F60" s="20">
        <v>5.700662919309965E-2</v>
      </c>
      <c r="G60" s="20">
        <v>5.6944395728535338E-2</v>
      </c>
      <c r="H60" s="20">
        <v>5.786485147334311E-2</v>
      </c>
      <c r="I60" s="20">
        <v>6.0999999999999999E-2</v>
      </c>
      <c r="J60" s="20">
        <v>6.0999999999999999E-2</v>
      </c>
      <c r="K60" s="20">
        <v>6.0999999999999999E-2</v>
      </c>
      <c r="L60" s="20">
        <v>6.0999999999999999E-2</v>
      </c>
      <c r="M60" s="20">
        <v>6.0999999999999999E-2</v>
      </c>
      <c r="N60" s="20">
        <v>6.0999999999999999E-2</v>
      </c>
      <c r="O60" s="20">
        <v>6.0999999999999999E-2</v>
      </c>
      <c r="P60" s="20">
        <v>6.0999999999999999E-2</v>
      </c>
      <c r="Q60" s="20">
        <v>6.0999999999999999E-2</v>
      </c>
      <c r="R60" s="20">
        <v>6.0999999999999999E-2</v>
      </c>
    </row>
    <row r="61" spans="2:18" outlineLevel="1">
      <c r="B61" s="14" t="s">
        <v>277</v>
      </c>
      <c r="C61" s="15"/>
      <c r="D61" s="124">
        <f>D60</f>
        <v>6.2151175124851639E-2</v>
      </c>
      <c r="E61" s="124">
        <f t="shared" ref="E61:H61" si="36">E60</f>
        <v>6.6485851873647181E-2</v>
      </c>
      <c r="F61" s="124">
        <f t="shared" si="36"/>
        <v>5.700662919309965E-2</v>
      </c>
      <c r="G61" s="124">
        <f t="shared" si="36"/>
        <v>5.6944395728535338E-2</v>
      </c>
      <c r="H61" s="124">
        <f t="shared" si="36"/>
        <v>5.786485147334311E-2</v>
      </c>
      <c r="I61" s="20">
        <v>6.0999999999999999E-2</v>
      </c>
      <c r="J61" s="20">
        <v>6.0999999999999999E-2</v>
      </c>
      <c r="K61" s="20">
        <v>6.0999999999999999E-2</v>
      </c>
      <c r="L61" s="20">
        <v>6.0999999999999999E-2</v>
      </c>
      <c r="M61" s="20">
        <v>6.0999999999999999E-2</v>
      </c>
      <c r="N61" s="20">
        <v>6.0999999999999999E-2</v>
      </c>
      <c r="O61" s="20">
        <v>6.0999999999999999E-2</v>
      </c>
      <c r="P61" s="20">
        <v>6.0999999999999999E-2</v>
      </c>
      <c r="Q61" s="20">
        <v>6.0999999999999999E-2</v>
      </c>
      <c r="R61" s="20">
        <v>6.0999999999999999E-2</v>
      </c>
    </row>
    <row r="62" spans="2:18" outlineLevel="1">
      <c r="B62" s="16" t="s">
        <v>21</v>
      </c>
      <c r="C62" s="17"/>
      <c r="D62" s="125">
        <f>D61</f>
        <v>6.2151175124851639E-2</v>
      </c>
      <c r="E62" s="125">
        <f t="shared" ref="E62:H62" si="37">E61</f>
        <v>6.6485851873647181E-2</v>
      </c>
      <c r="F62" s="125">
        <f t="shared" si="37"/>
        <v>5.700662919309965E-2</v>
      </c>
      <c r="G62" s="125">
        <f t="shared" si="37"/>
        <v>5.6944395728535338E-2</v>
      </c>
      <c r="H62" s="125">
        <f t="shared" si="37"/>
        <v>5.786485147334311E-2</v>
      </c>
      <c r="I62" s="20">
        <v>6.0999999999999999E-2</v>
      </c>
      <c r="J62" s="20">
        <v>6.0999999999999999E-2</v>
      </c>
      <c r="K62" s="20">
        <v>6.0999999999999999E-2</v>
      </c>
      <c r="L62" s="20">
        <v>6.0999999999999999E-2</v>
      </c>
      <c r="M62" s="20">
        <v>6.0999999999999999E-2</v>
      </c>
      <c r="N62" s="20">
        <v>6.0999999999999999E-2</v>
      </c>
      <c r="O62" s="20">
        <v>6.0999999999999999E-2</v>
      </c>
      <c r="P62" s="20">
        <v>6.0999999999999999E-2</v>
      </c>
      <c r="Q62" s="20">
        <v>6.0999999999999999E-2</v>
      </c>
      <c r="R62" s="20">
        <v>6.0999999999999999E-2</v>
      </c>
    </row>
    <row r="63" spans="2:18" outlineLevel="1">
      <c r="B63" s="257" t="str">
        <f>"Current Case - "&amp;CHOOSE($G$4,B60,B61,B62)</f>
        <v>Current Case - Base Case</v>
      </c>
      <c r="C63" s="258"/>
      <c r="D63" s="258"/>
      <c r="E63" s="258"/>
      <c r="F63" s="258"/>
      <c r="G63" s="259"/>
      <c r="H63" s="259"/>
      <c r="I63" s="259">
        <f>CHOOSE($G$4,I60,I61,I62)</f>
        <v>6.0999999999999999E-2</v>
      </c>
      <c r="J63" s="259">
        <f t="shared" ref="J63:M63" si="38">CHOOSE($G$4,J60,J61,J62)</f>
        <v>6.0999999999999999E-2</v>
      </c>
      <c r="K63" s="259">
        <f t="shared" si="38"/>
        <v>6.0999999999999999E-2</v>
      </c>
      <c r="L63" s="259">
        <f t="shared" si="38"/>
        <v>6.0999999999999999E-2</v>
      </c>
      <c r="M63" s="259">
        <f t="shared" si="38"/>
        <v>6.0999999999999999E-2</v>
      </c>
      <c r="N63" s="259">
        <f t="shared" ref="N63:R63" si="39">CHOOSE($G$4,N60,N61,N62)</f>
        <v>6.0999999999999999E-2</v>
      </c>
      <c r="O63" s="259">
        <f t="shared" si="39"/>
        <v>6.0999999999999999E-2</v>
      </c>
      <c r="P63" s="259">
        <f t="shared" si="39"/>
        <v>6.0999999999999999E-2</v>
      </c>
      <c r="Q63" s="259">
        <f t="shared" si="39"/>
        <v>6.0999999999999999E-2</v>
      </c>
      <c r="R63" s="259">
        <f t="shared" si="39"/>
        <v>6.0999999999999999E-2</v>
      </c>
    </row>
    <row r="64" spans="2:18" outlineLevel="1"/>
    <row r="65" spans="1:18" outlineLevel="1">
      <c r="B65" s="26" t="s">
        <v>313</v>
      </c>
      <c r="D65" s="153">
        <f>D60+D54+D48+D42+D36</f>
        <v>0.20948127082055193</v>
      </c>
      <c r="E65" s="153">
        <f t="shared" ref="E65:M65" si="40">E60+E54+E48+E42+E36</f>
        <v>0.2276836264474644</v>
      </c>
      <c r="F65" s="153">
        <f t="shared" si="40"/>
        <v>0.22027718049432615</v>
      </c>
      <c r="G65" s="153">
        <f t="shared" si="40"/>
        <v>0.21719490253893581</v>
      </c>
      <c r="H65" s="153">
        <f t="shared" si="40"/>
        <v>0.22759051050861906</v>
      </c>
      <c r="I65" s="153">
        <f t="shared" si="40"/>
        <v>0.19700000000000001</v>
      </c>
      <c r="J65" s="153">
        <f t="shared" si="40"/>
        <v>0.19700000000000001</v>
      </c>
      <c r="K65" s="153">
        <f t="shared" si="40"/>
        <v>0.19700000000000001</v>
      </c>
      <c r="L65" s="153">
        <f t="shared" si="40"/>
        <v>0.19700000000000001</v>
      </c>
      <c r="M65" s="153">
        <f t="shared" si="40"/>
        <v>0.19700000000000001</v>
      </c>
      <c r="N65" s="153">
        <f t="shared" ref="N65:R65" si="41">N60+N54+N48+N42+N36</f>
        <v>0.19700000000000001</v>
      </c>
      <c r="O65" s="153">
        <f t="shared" si="41"/>
        <v>0.19700000000000001</v>
      </c>
      <c r="P65" s="153">
        <f t="shared" si="41"/>
        <v>0.19700000000000001</v>
      </c>
      <c r="Q65" s="153">
        <f t="shared" si="41"/>
        <v>0.19700000000000001</v>
      </c>
      <c r="R65" s="153">
        <f t="shared" si="41"/>
        <v>0.19700000000000001</v>
      </c>
    </row>
    <row r="67" spans="1:18" ht="15.6">
      <c r="A67" t="s">
        <v>18</v>
      </c>
      <c r="B67" s="463" t="s">
        <v>568</v>
      </c>
      <c r="C67" s="463"/>
      <c r="D67" s="463"/>
      <c r="E67" s="463"/>
      <c r="F67" s="463"/>
      <c r="G67" s="463"/>
      <c r="H67" s="463"/>
      <c r="I67" s="463"/>
      <c r="J67" s="463"/>
      <c r="K67" s="463"/>
      <c r="L67" s="463"/>
      <c r="M67" s="463"/>
      <c r="N67" s="463"/>
      <c r="O67" s="463"/>
      <c r="P67" s="463"/>
      <c r="Q67" s="463"/>
      <c r="R67" s="463"/>
    </row>
    <row r="68" spans="1:18" outlineLevel="1"/>
    <row r="69" spans="1:18" outlineLevel="1">
      <c r="B69" s="254" t="s">
        <v>182</v>
      </c>
      <c r="C69" s="255"/>
      <c r="D69" s="255"/>
      <c r="E69" s="255"/>
      <c r="F69" s="255"/>
      <c r="G69" s="255"/>
      <c r="H69" s="255"/>
      <c r="I69" s="255"/>
      <c r="J69" s="255"/>
      <c r="K69" s="255"/>
      <c r="L69" s="255"/>
      <c r="M69" s="255"/>
      <c r="N69" s="255"/>
      <c r="O69" s="255"/>
      <c r="P69" s="255"/>
      <c r="Q69" s="255"/>
      <c r="R69" s="255"/>
    </row>
    <row r="70" spans="1:18" outlineLevel="1">
      <c r="B70" s="18"/>
      <c r="C70" s="19"/>
      <c r="D70" s="19"/>
      <c r="E70" s="19"/>
      <c r="F70" s="19"/>
      <c r="G70" s="180"/>
      <c r="H70" s="180"/>
      <c r="I70" s="180"/>
      <c r="J70" s="180"/>
      <c r="K70" s="180"/>
    </row>
    <row r="71" spans="1:18" outlineLevel="1">
      <c r="B71" s="151" t="s">
        <v>397</v>
      </c>
      <c r="C71" s="152"/>
      <c r="D71" s="152"/>
      <c r="E71" s="152"/>
      <c r="F71" s="152"/>
      <c r="G71" s="152"/>
      <c r="H71" s="152"/>
      <c r="I71" s="152"/>
      <c r="J71" s="152"/>
      <c r="K71" s="152"/>
      <c r="L71" s="152"/>
      <c r="M71" s="152"/>
      <c r="N71" s="152"/>
      <c r="O71" s="152"/>
      <c r="P71" s="152"/>
      <c r="Q71" s="152"/>
      <c r="R71" s="152"/>
    </row>
    <row r="72" spans="1:18" outlineLevel="1">
      <c r="B72" s="14" t="s">
        <v>19</v>
      </c>
      <c r="C72" s="15"/>
      <c r="D72" s="123"/>
      <c r="E72" s="123"/>
      <c r="F72" s="123"/>
      <c r="G72" s="123"/>
      <c r="H72" s="123"/>
      <c r="I72" s="20">
        <v>0</v>
      </c>
      <c r="J72" s="20">
        <v>0</v>
      </c>
      <c r="K72" s="20">
        <v>0</v>
      </c>
      <c r="L72" s="20">
        <v>0</v>
      </c>
      <c r="M72" s="20">
        <v>0</v>
      </c>
      <c r="N72" s="20">
        <v>0</v>
      </c>
      <c r="O72" s="20">
        <v>0</v>
      </c>
      <c r="P72" s="20">
        <v>0</v>
      </c>
      <c r="Q72" s="20">
        <v>0</v>
      </c>
      <c r="R72" s="20">
        <v>0</v>
      </c>
    </row>
    <row r="73" spans="1:18" outlineLevel="1">
      <c r="B73" s="14" t="s">
        <v>277</v>
      </c>
      <c r="C73" s="15"/>
      <c r="D73" s="124"/>
      <c r="E73" s="124"/>
      <c r="F73" s="124"/>
      <c r="G73" s="124"/>
      <c r="H73" s="124"/>
      <c r="I73" s="20">
        <v>0</v>
      </c>
      <c r="J73" s="20">
        <v>0</v>
      </c>
      <c r="K73" s="20">
        <v>0</v>
      </c>
      <c r="L73" s="20">
        <v>0</v>
      </c>
      <c r="M73" s="20">
        <v>0</v>
      </c>
      <c r="N73" s="20">
        <v>0</v>
      </c>
      <c r="O73" s="20">
        <v>0</v>
      </c>
      <c r="P73" s="20">
        <v>0</v>
      </c>
      <c r="Q73" s="20">
        <v>0</v>
      </c>
      <c r="R73" s="20">
        <v>0</v>
      </c>
    </row>
    <row r="74" spans="1:18" outlineLevel="1">
      <c r="B74" s="16" t="s">
        <v>21</v>
      </c>
      <c r="C74" s="17"/>
      <c r="D74" s="125"/>
      <c r="E74" s="125"/>
      <c r="F74" s="125"/>
      <c r="G74" s="125"/>
      <c r="H74" s="125"/>
      <c r="I74" s="20">
        <v>0</v>
      </c>
      <c r="J74" s="20">
        <v>0</v>
      </c>
      <c r="K74" s="20">
        <v>0</v>
      </c>
      <c r="L74" s="20">
        <v>0</v>
      </c>
      <c r="M74" s="20">
        <v>0</v>
      </c>
      <c r="N74" s="20">
        <v>0</v>
      </c>
      <c r="O74" s="20">
        <v>0</v>
      </c>
      <c r="P74" s="20">
        <v>0</v>
      </c>
      <c r="Q74" s="20">
        <v>0</v>
      </c>
      <c r="R74" s="20">
        <v>0</v>
      </c>
    </row>
    <row r="75" spans="1:18" outlineLevel="1">
      <c r="B75" s="257" t="str">
        <f>"Current Case - "&amp;CHOOSE($G$4,B72,B73,B74)</f>
        <v>Current Case - Base Case</v>
      </c>
      <c r="C75" s="258"/>
      <c r="D75" s="258"/>
      <c r="E75" s="258"/>
      <c r="F75" s="258"/>
      <c r="G75" s="259"/>
      <c r="H75" s="259"/>
      <c r="I75" s="259">
        <f>CHOOSE($G$4,I72,I73,I74)</f>
        <v>0</v>
      </c>
      <c r="J75" s="259">
        <f t="shared" ref="J75:M75" si="42">CHOOSE($G$4,J72,J73,J74)</f>
        <v>0</v>
      </c>
      <c r="K75" s="259">
        <f t="shared" si="42"/>
        <v>0</v>
      </c>
      <c r="L75" s="259">
        <f t="shared" si="42"/>
        <v>0</v>
      </c>
      <c r="M75" s="259">
        <f t="shared" si="42"/>
        <v>0</v>
      </c>
      <c r="N75" s="259">
        <f t="shared" ref="N75:R75" si="43">CHOOSE($G$4,N72,N73,N74)</f>
        <v>0</v>
      </c>
      <c r="O75" s="259">
        <f t="shared" si="43"/>
        <v>0</v>
      </c>
      <c r="P75" s="259">
        <f t="shared" si="43"/>
        <v>0</v>
      </c>
      <c r="Q75" s="259">
        <f t="shared" si="43"/>
        <v>0</v>
      </c>
      <c r="R75" s="259">
        <f t="shared" si="43"/>
        <v>0</v>
      </c>
    </row>
    <row r="76" spans="1:18" outlineLevel="1">
      <c r="B76" s="18"/>
      <c r="C76" s="19"/>
      <c r="D76" s="19"/>
      <c r="E76" s="19"/>
      <c r="F76" s="19"/>
      <c r="G76" s="180"/>
      <c r="H76" s="180"/>
      <c r="I76" s="180"/>
      <c r="J76" s="180"/>
      <c r="K76" s="180"/>
    </row>
    <row r="77" spans="1:18" outlineLevel="1">
      <c r="B77" s="151" t="s">
        <v>422</v>
      </c>
      <c r="C77" s="152"/>
      <c r="D77" s="152"/>
      <c r="E77" s="152"/>
      <c r="F77" s="152"/>
      <c r="G77" s="152"/>
      <c r="H77" s="152"/>
      <c r="I77" s="152"/>
      <c r="J77" s="152"/>
      <c r="K77" s="152"/>
      <c r="L77" s="152"/>
      <c r="M77" s="152"/>
      <c r="N77" s="152"/>
      <c r="O77" s="152"/>
      <c r="P77" s="152"/>
      <c r="Q77" s="152"/>
      <c r="R77" s="152"/>
    </row>
    <row r="78" spans="1:18" outlineLevel="1">
      <c r="B78" s="14" t="s">
        <v>19</v>
      </c>
      <c r="C78" s="15"/>
      <c r="D78" s="123"/>
      <c r="E78" s="123"/>
      <c r="F78" s="123"/>
      <c r="G78" s="123"/>
      <c r="H78" s="123"/>
      <c r="I78" s="20">
        <v>0</v>
      </c>
      <c r="J78" s="20">
        <v>0</v>
      </c>
      <c r="K78" s="20">
        <v>0</v>
      </c>
      <c r="L78" s="20">
        <v>0</v>
      </c>
      <c r="M78" s="20">
        <v>0</v>
      </c>
      <c r="N78" s="20">
        <v>0</v>
      </c>
      <c r="O78" s="20">
        <v>0</v>
      </c>
      <c r="P78" s="20">
        <v>0</v>
      </c>
      <c r="Q78" s="20">
        <v>0</v>
      </c>
      <c r="R78" s="20">
        <v>0</v>
      </c>
    </row>
    <row r="79" spans="1:18" outlineLevel="1">
      <c r="B79" s="14" t="s">
        <v>277</v>
      </c>
      <c r="C79" s="15"/>
      <c r="D79" s="124"/>
      <c r="E79" s="124"/>
      <c r="F79" s="124"/>
      <c r="G79" s="124"/>
      <c r="H79" s="124"/>
      <c r="I79" s="20">
        <v>0</v>
      </c>
      <c r="J79" s="20">
        <v>0</v>
      </c>
      <c r="K79" s="20">
        <v>0</v>
      </c>
      <c r="L79" s="20">
        <v>0</v>
      </c>
      <c r="M79" s="20">
        <v>0</v>
      </c>
      <c r="N79" s="20">
        <v>0</v>
      </c>
      <c r="O79" s="20">
        <v>0</v>
      </c>
      <c r="P79" s="20">
        <v>0</v>
      </c>
      <c r="Q79" s="20">
        <v>0</v>
      </c>
      <c r="R79" s="20">
        <v>0</v>
      </c>
    </row>
    <row r="80" spans="1:18" outlineLevel="1">
      <c r="B80" s="16" t="s">
        <v>21</v>
      </c>
      <c r="C80" s="17"/>
      <c r="D80" s="125"/>
      <c r="E80" s="125"/>
      <c r="F80" s="125"/>
      <c r="G80" s="125"/>
      <c r="H80" s="125"/>
      <c r="I80" s="20">
        <v>0</v>
      </c>
      <c r="J80" s="20">
        <v>0</v>
      </c>
      <c r="K80" s="20">
        <v>0</v>
      </c>
      <c r="L80" s="20">
        <v>0</v>
      </c>
      <c r="M80" s="20">
        <v>0</v>
      </c>
      <c r="N80" s="20">
        <v>0</v>
      </c>
      <c r="O80" s="20">
        <v>0</v>
      </c>
      <c r="P80" s="20">
        <v>0</v>
      </c>
      <c r="Q80" s="20">
        <v>0</v>
      </c>
      <c r="R80" s="20">
        <v>0</v>
      </c>
    </row>
    <row r="81" spans="2:18" outlineLevel="1">
      <c r="B81" s="257" t="str">
        <f>"Current Case - "&amp;CHOOSE($G$4,B78,B79,B80)</f>
        <v>Current Case - Base Case</v>
      </c>
      <c r="C81" s="258"/>
      <c r="D81" s="258"/>
      <c r="E81" s="258"/>
      <c r="F81" s="258"/>
      <c r="G81" s="259"/>
      <c r="H81" s="259"/>
      <c r="I81" s="259">
        <f>CHOOSE($G$4,I78,I79,I80)</f>
        <v>0</v>
      </c>
      <c r="J81" s="259">
        <f t="shared" ref="J81:M81" si="44">CHOOSE($G$4,J78,J79,J80)</f>
        <v>0</v>
      </c>
      <c r="K81" s="259">
        <f t="shared" si="44"/>
        <v>0</v>
      </c>
      <c r="L81" s="259">
        <f t="shared" si="44"/>
        <v>0</v>
      </c>
      <c r="M81" s="259">
        <f t="shared" si="44"/>
        <v>0</v>
      </c>
      <c r="N81" s="259">
        <f t="shared" ref="N81:R81" si="45">CHOOSE($G$4,N78,N79,N80)</f>
        <v>0</v>
      </c>
      <c r="O81" s="259">
        <f t="shared" si="45"/>
        <v>0</v>
      </c>
      <c r="P81" s="259">
        <f t="shared" si="45"/>
        <v>0</v>
      </c>
      <c r="Q81" s="259">
        <f t="shared" si="45"/>
        <v>0</v>
      </c>
      <c r="R81" s="259">
        <f t="shared" si="45"/>
        <v>0</v>
      </c>
    </row>
    <row r="82" spans="2:18" outlineLevel="1">
      <c r="B82" s="18"/>
      <c r="C82" s="19"/>
      <c r="D82" s="19"/>
      <c r="E82" s="19"/>
      <c r="F82" s="19"/>
      <c r="G82" s="180"/>
      <c r="H82" s="180"/>
      <c r="I82" s="180"/>
      <c r="J82" s="180"/>
      <c r="K82" s="180"/>
    </row>
    <row r="83" spans="2:18" outlineLevel="1">
      <c r="B83" s="254" t="s">
        <v>29</v>
      </c>
      <c r="C83" s="255"/>
      <c r="D83" s="255"/>
      <c r="E83" s="255"/>
      <c r="F83" s="255"/>
      <c r="G83" s="255"/>
      <c r="H83" s="255"/>
      <c r="I83" s="255"/>
      <c r="J83" s="255"/>
      <c r="K83" s="255"/>
      <c r="L83" s="255"/>
      <c r="M83" s="255"/>
      <c r="N83" s="255"/>
      <c r="O83" s="255"/>
      <c r="P83" s="255"/>
      <c r="Q83" s="255"/>
      <c r="R83" s="255"/>
    </row>
    <row r="84" spans="2:18" outlineLevel="1"/>
    <row r="85" spans="2:18" outlineLevel="1">
      <c r="B85" s="151" t="s">
        <v>426</v>
      </c>
      <c r="C85" s="152"/>
      <c r="D85" s="152"/>
      <c r="E85" s="152"/>
      <c r="F85" s="152"/>
      <c r="G85" s="152"/>
      <c r="H85" s="152"/>
      <c r="I85" s="152"/>
      <c r="J85" s="152"/>
      <c r="K85" s="152"/>
      <c r="L85" s="152"/>
      <c r="M85" s="152"/>
      <c r="N85" s="152"/>
      <c r="O85" s="152"/>
      <c r="P85" s="152"/>
      <c r="Q85" s="152"/>
      <c r="R85" s="152"/>
    </row>
    <row r="86" spans="2:18" outlineLevel="1">
      <c r="B86" s="14" t="s">
        <v>19</v>
      </c>
      <c r="C86" s="15"/>
      <c r="D86" s="123"/>
      <c r="E86" s="123"/>
      <c r="F86" s="123"/>
      <c r="G86" s="123"/>
      <c r="H86" s="123"/>
      <c r="I86" s="20">
        <v>0</v>
      </c>
      <c r="J86" s="20">
        <v>0</v>
      </c>
      <c r="K86" s="20">
        <v>0</v>
      </c>
      <c r="L86" s="20">
        <v>0</v>
      </c>
      <c r="M86" s="20">
        <v>0</v>
      </c>
      <c r="N86" s="20">
        <v>0</v>
      </c>
      <c r="O86" s="20">
        <v>0</v>
      </c>
      <c r="P86" s="20">
        <v>0</v>
      </c>
      <c r="Q86" s="20">
        <v>0</v>
      </c>
      <c r="R86" s="20">
        <v>0</v>
      </c>
    </row>
    <row r="87" spans="2:18" outlineLevel="1">
      <c r="B87" s="14" t="s">
        <v>277</v>
      </c>
      <c r="C87" s="15"/>
      <c r="D87" s="124"/>
      <c r="E87" s="124"/>
      <c r="F87" s="124"/>
      <c r="G87" s="124"/>
      <c r="H87" s="124"/>
      <c r="I87" s="20">
        <v>0</v>
      </c>
      <c r="J87" s="20">
        <v>0</v>
      </c>
      <c r="K87" s="20">
        <v>0</v>
      </c>
      <c r="L87" s="20">
        <v>0</v>
      </c>
      <c r="M87" s="20">
        <v>0</v>
      </c>
      <c r="N87" s="20">
        <v>0</v>
      </c>
      <c r="O87" s="20">
        <v>0</v>
      </c>
      <c r="P87" s="20">
        <v>0</v>
      </c>
      <c r="Q87" s="20">
        <v>0</v>
      </c>
      <c r="R87" s="20">
        <v>0</v>
      </c>
    </row>
    <row r="88" spans="2:18" outlineLevel="1">
      <c r="B88" s="16" t="s">
        <v>21</v>
      </c>
      <c r="C88" s="17"/>
      <c r="D88" s="125"/>
      <c r="E88" s="125"/>
      <c r="F88" s="125"/>
      <c r="G88" s="125"/>
      <c r="H88" s="125"/>
      <c r="I88" s="20">
        <v>0</v>
      </c>
      <c r="J88" s="20">
        <v>0</v>
      </c>
      <c r="K88" s="20">
        <v>0</v>
      </c>
      <c r="L88" s="20">
        <v>0</v>
      </c>
      <c r="M88" s="20">
        <v>0</v>
      </c>
      <c r="N88" s="20">
        <v>0</v>
      </c>
      <c r="O88" s="20">
        <v>0</v>
      </c>
      <c r="P88" s="20">
        <v>0</v>
      </c>
      <c r="Q88" s="20">
        <v>0</v>
      </c>
      <c r="R88" s="20">
        <v>0</v>
      </c>
    </row>
    <row r="89" spans="2:18" outlineLevel="1">
      <c r="B89" s="257" t="str">
        <f>"Current Case - "&amp;CHOOSE($G$4,B86,B87,B88)</f>
        <v>Current Case - Base Case</v>
      </c>
      <c r="C89" s="258"/>
      <c r="D89" s="258"/>
      <c r="E89" s="258"/>
      <c r="F89" s="258"/>
      <c r="G89" s="259"/>
      <c r="H89" s="259"/>
      <c r="I89" s="259">
        <f>CHOOSE($G$4,I86,I87,I88)</f>
        <v>0</v>
      </c>
      <c r="J89" s="259">
        <f t="shared" ref="J89:M89" si="46">CHOOSE($G$4,J86,J87,J88)</f>
        <v>0</v>
      </c>
      <c r="K89" s="259">
        <f t="shared" si="46"/>
        <v>0</v>
      </c>
      <c r="L89" s="259">
        <f t="shared" si="46"/>
        <v>0</v>
      </c>
      <c r="M89" s="259">
        <f t="shared" si="46"/>
        <v>0</v>
      </c>
      <c r="N89" s="259">
        <f t="shared" ref="N89:R89" si="47">CHOOSE($G$4,N86,N87,N88)</f>
        <v>0</v>
      </c>
      <c r="O89" s="259">
        <f t="shared" si="47"/>
        <v>0</v>
      </c>
      <c r="P89" s="259">
        <f t="shared" si="47"/>
        <v>0</v>
      </c>
      <c r="Q89" s="259">
        <f t="shared" si="47"/>
        <v>0</v>
      </c>
      <c r="R89" s="259">
        <f t="shared" si="47"/>
        <v>0</v>
      </c>
    </row>
    <row r="90" spans="2:18" outlineLevel="1">
      <c r="B90" s="18"/>
      <c r="C90" s="19"/>
      <c r="D90" s="19"/>
      <c r="E90" s="19"/>
      <c r="F90" s="19"/>
      <c r="G90" s="182"/>
      <c r="H90" s="182"/>
      <c r="I90" s="182"/>
      <c r="J90" s="182"/>
      <c r="K90" s="182"/>
      <c r="L90" s="182"/>
      <c r="M90" s="182"/>
      <c r="N90" s="182"/>
      <c r="O90" s="182"/>
      <c r="P90" s="182"/>
      <c r="Q90" s="182"/>
      <c r="R90" s="182"/>
    </row>
    <row r="91" spans="2:18" outlineLevel="1">
      <c r="B91" s="18" t="s">
        <v>425</v>
      </c>
      <c r="C91" s="19"/>
      <c r="D91" s="19"/>
      <c r="E91" s="19"/>
      <c r="F91" s="19"/>
      <c r="G91" s="182"/>
      <c r="H91" s="182"/>
      <c r="I91" s="182"/>
      <c r="J91" s="182"/>
      <c r="K91" s="182"/>
      <c r="L91" s="182"/>
      <c r="M91" s="182"/>
      <c r="N91" s="182"/>
      <c r="O91" s="182"/>
      <c r="P91" s="182"/>
      <c r="Q91" s="182"/>
      <c r="R91" s="182"/>
    </row>
    <row r="92" spans="2:18" outlineLevel="1">
      <c r="B92" s="14" t="s">
        <v>19</v>
      </c>
      <c r="C92" s="15"/>
      <c r="D92" s="123"/>
      <c r="E92" s="123"/>
      <c r="F92" s="123"/>
      <c r="G92" s="123"/>
      <c r="H92" s="123"/>
      <c r="I92" s="20">
        <v>0</v>
      </c>
      <c r="J92" s="20">
        <v>0</v>
      </c>
      <c r="K92" s="20">
        <v>0</v>
      </c>
      <c r="L92" s="20">
        <v>0</v>
      </c>
      <c r="M92" s="20">
        <v>0</v>
      </c>
      <c r="N92" s="20">
        <v>0</v>
      </c>
      <c r="O92" s="20">
        <v>0</v>
      </c>
      <c r="P92" s="20">
        <v>0</v>
      </c>
      <c r="Q92" s="20">
        <v>0</v>
      </c>
      <c r="R92" s="20">
        <v>0</v>
      </c>
    </row>
    <row r="93" spans="2:18" outlineLevel="1">
      <c r="B93" s="14" t="s">
        <v>277</v>
      </c>
      <c r="C93" s="15"/>
      <c r="D93" s="124"/>
      <c r="E93" s="124"/>
      <c r="F93" s="124"/>
      <c r="G93" s="124"/>
      <c r="H93" s="124"/>
      <c r="I93" s="20">
        <v>0</v>
      </c>
      <c r="J93" s="20">
        <v>0</v>
      </c>
      <c r="K93" s="20">
        <v>0</v>
      </c>
      <c r="L93" s="20">
        <v>0</v>
      </c>
      <c r="M93" s="20">
        <v>0</v>
      </c>
      <c r="N93" s="20">
        <v>0</v>
      </c>
      <c r="O93" s="20">
        <v>0</v>
      </c>
      <c r="P93" s="20">
        <v>0</v>
      </c>
      <c r="Q93" s="20">
        <v>0</v>
      </c>
      <c r="R93" s="20">
        <v>0</v>
      </c>
    </row>
    <row r="94" spans="2:18" outlineLevel="1">
      <c r="B94" s="16" t="s">
        <v>21</v>
      </c>
      <c r="C94" s="17"/>
      <c r="D94" s="125"/>
      <c r="E94" s="125"/>
      <c r="F94" s="125"/>
      <c r="G94" s="125"/>
      <c r="H94" s="125"/>
      <c r="I94" s="20">
        <v>0</v>
      </c>
      <c r="J94" s="20">
        <v>0</v>
      </c>
      <c r="K94" s="20">
        <v>0</v>
      </c>
      <c r="L94" s="20">
        <v>0</v>
      </c>
      <c r="M94" s="20">
        <v>0</v>
      </c>
      <c r="N94" s="20">
        <v>0</v>
      </c>
      <c r="O94" s="20">
        <v>0</v>
      </c>
      <c r="P94" s="20">
        <v>0</v>
      </c>
      <c r="Q94" s="20">
        <v>0</v>
      </c>
      <c r="R94" s="20">
        <v>0</v>
      </c>
    </row>
    <row r="95" spans="2:18" outlineLevel="1">
      <c r="B95" s="257" t="str">
        <f>"Current Case - "&amp;CHOOSE($G$4,B92,B93,B94)</f>
        <v>Current Case - Base Case</v>
      </c>
      <c r="C95" s="258"/>
      <c r="D95" s="258"/>
      <c r="E95" s="258"/>
      <c r="F95" s="258"/>
      <c r="G95" s="259"/>
      <c r="H95" s="259"/>
      <c r="I95" s="259">
        <f>CHOOSE($G$4,I92,I93,I94)</f>
        <v>0</v>
      </c>
      <c r="J95" s="259">
        <f t="shared" ref="J95:M95" si="48">CHOOSE($G$4,J92,J93,J94)</f>
        <v>0</v>
      </c>
      <c r="K95" s="259">
        <f t="shared" si="48"/>
        <v>0</v>
      </c>
      <c r="L95" s="259">
        <f t="shared" si="48"/>
        <v>0</v>
      </c>
      <c r="M95" s="259">
        <f t="shared" si="48"/>
        <v>0</v>
      </c>
      <c r="N95" s="259">
        <f t="shared" ref="N95:R95" si="49">CHOOSE($G$4,N92,N93,N94)</f>
        <v>0</v>
      </c>
      <c r="O95" s="259">
        <f t="shared" si="49"/>
        <v>0</v>
      </c>
      <c r="P95" s="259">
        <f t="shared" si="49"/>
        <v>0</v>
      </c>
      <c r="Q95" s="259">
        <f t="shared" si="49"/>
        <v>0</v>
      </c>
      <c r="R95" s="259">
        <f t="shared" si="49"/>
        <v>0</v>
      </c>
    </row>
    <row r="96" spans="2:18" outlineLevel="1">
      <c r="B96" s="18"/>
      <c r="C96" s="19"/>
      <c r="D96" s="19"/>
      <c r="E96" s="19"/>
      <c r="F96" s="19"/>
      <c r="G96" s="182"/>
      <c r="H96" s="182"/>
      <c r="I96" s="182"/>
      <c r="J96" s="182"/>
      <c r="K96" s="182"/>
      <c r="L96" s="182"/>
      <c r="M96" s="182"/>
      <c r="N96" s="182"/>
      <c r="O96" s="182"/>
      <c r="P96" s="182"/>
      <c r="Q96" s="182"/>
      <c r="R96" s="182"/>
    </row>
    <row r="97" spans="2:18" outlineLevel="1">
      <c r="B97" s="254" t="s">
        <v>403</v>
      </c>
      <c r="C97" s="255"/>
      <c r="D97" s="255"/>
      <c r="E97" s="255"/>
      <c r="F97" s="255"/>
      <c r="G97" s="255"/>
      <c r="H97" s="255"/>
      <c r="I97" s="255"/>
      <c r="J97" s="255"/>
      <c r="K97" s="255"/>
      <c r="L97" s="255"/>
      <c r="M97" s="255"/>
      <c r="N97" s="255"/>
      <c r="O97" s="255"/>
      <c r="P97" s="255"/>
      <c r="Q97" s="255"/>
      <c r="R97" s="255"/>
    </row>
    <row r="98" spans="2:18" outlineLevel="1">
      <c r="B98" s="18"/>
      <c r="C98" s="19"/>
      <c r="D98" s="19"/>
      <c r="E98" s="19"/>
      <c r="F98" s="19"/>
      <c r="G98" s="182"/>
      <c r="H98" s="182"/>
      <c r="I98" s="182"/>
      <c r="J98" s="182"/>
      <c r="K98" s="182"/>
      <c r="L98" s="182"/>
      <c r="M98" s="182"/>
      <c r="N98" s="182"/>
      <c r="O98" s="182"/>
      <c r="P98" s="182"/>
      <c r="Q98" s="182"/>
      <c r="R98" s="182"/>
    </row>
    <row r="99" spans="2:18" outlineLevel="1">
      <c r="B99" s="151" t="s">
        <v>404</v>
      </c>
      <c r="C99" s="152"/>
      <c r="D99" s="152"/>
      <c r="E99" s="152"/>
      <c r="F99" s="152"/>
      <c r="G99" s="152"/>
      <c r="H99" s="152"/>
      <c r="I99" s="152"/>
      <c r="J99" s="152"/>
      <c r="K99" s="152"/>
      <c r="L99" s="152"/>
      <c r="M99" s="152"/>
      <c r="N99" s="152"/>
      <c r="O99" s="152"/>
      <c r="P99" s="152"/>
      <c r="Q99" s="152"/>
      <c r="R99" s="152"/>
    </row>
    <row r="100" spans="2:18" outlineLevel="1">
      <c r="B100" s="14" t="s">
        <v>19</v>
      </c>
      <c r="C100" s="15"/>
      <c r="D100" s="123"/>
      <c r="E100" s="123"/>
      <c r="F100" s="123"/>
      <c r="G100" s="123"/>
      <c r="H100" s="123"/>
      <c r="I100" s="20">
        <v>0.10299999999999999</v>
      </c>
      <c r="J100" s="20">
        <v>9.2999999999999999E-2</v>
      </c>
      <c r="K100" s="20">
        <v>8.3000000000000004E-2</v>
      </c>
      <c r="L100" s="20">
        <v>7.2999999999999995E-2</v>
      </c>
      <c r="M100" s="20">
        <v>6.3E-2</v>
      </c>
      <c r="N100" s="20">
        <v>6.3E-2</v>
      </c>
      <c r="O100" s="20">
        <v>6.3E-2</v>
      </c>
      <c r="P100" s="20">
        <v>6.3E-2</v>
      </c>
      <c r="Q100" s="20">
        <v>6.3E-2</v>
      </c>
      <c r="R100" s="20">
        <v>6.3E-2</v>
      </c>
    </row>
    <row r="101" spans="2:18" outlineLevel="1">
      <c r="B101" s="14" t="s">
        <v>277</v>
      </c>
      <c r="C101" s="15"/>
      <c r="D101" s="124"/>
      <c r="E101" s="124"/>
      <c r="F101" s="124"/>
      <c r="G101" s="124"/>
      <c r="H101" s="124"/>
      <c r="I101" s="20">
        <v>6.3E-2</v>
      </c>
      <c r="J101" s="20">
        <v>6.3E-2</v>
      </c>
      <c r="K101" s="20">
        <v>6.3E-2</v>
      </c>
      <c r="L101" s="20">
        <v>6.3E-2</v>
      </c>
      <c r="M101" s="20">
        <v>6.3E-2</v>
      </c>
      <c r="N101" s="20">
        <v>6.3E-2</v>
      </c>
      <c r="O101" s="20">
        <v>6.3E-2</v>
      </c>
      <c r="P101" s="20">
        <v>6.3E-2</v>
      </c>
      <c r="Q101" s="20">
        <v>6.3E-2</v>
      </c>
      <c r="R101" s="20">
        <v>6.3E-2</v>
      </c>
    </row>
    <row r="102" spans="2:18" outlineLevel="1">
      <c r="B102" s="16" t="s">
        <v>21</v>
      </c>
      <c r="C102" s="17"/>
      <c r="D102" s="125"/>
      <c r="E102" s="125"/>
      <c r="F102" s="125"/>
      <c r="G102" s="125"/>
      <c r="H102" s="125"/>
      <c r="I102" s="20">
        <v>6.3E-2</v>
      </c>
      <c r="J102" s="20">
        <v>6.3E-2</v>
      </c>
      <c r="K102" s="20">
        <v>6.3E-2</v>
      </c>
      <c r="L102" s="20">
        <v>6.3E-2</v>
      </c>
      <c r="M102" s="20">
        <v>6.3E-2</v>
      </c>
      <c r="N102" s="20">
        <v>6.3E-2</v>
      </c>
      <c r="O102" s="20">
        <v>6.3E-2</v>
      </c>
      <c r="P102" s="20">
        <v>6.3E-2</v>
      </c>
      <c r="Q102" s="20">
        <v>6.3E-2</v>
      </c>
      <c r="R102" s="20">
        <v>6.3E-2</v>
      </c>
    </row>
    <row r="103" spans="2:18" outlineLevel="1">
      <c r="B103" s="257" t="str">
        <f>"Current Case - "&amp;CHOOSE($G$4,B100,B101,B102)</f>
        <v>Current Case - Base Case</v>
      </c>
      <c r="C103" s="258"/>
      <c r="D103" s="258"/>
      <c r="E103" s="258"/>
      <c r="F103" s="258"/>
      <c r="G103" s="259"/>
      <c r="H103" s="259"/>
      <c r="I103" s="259">
        <f>CHOOSE($G$4,I100,I101,I102)</f>
        <v>6.3E-2</v>
      </c>
      <c r="J103" s="259">
        <f t="shared" ref="J103:M103" si="50">CHOOSE($G$4,J100,J101,J102)</f>
        <v>6.3E-2</v>
      </c>
      <c r="K103" s="259">
        <f t="shared" si="50"/>
        <v>6.3E-2</v>
      </c>
      <c r="L103" s="259">
        <f t="shared" si="50"/>
        <v>6.3E-2</v>
      </c>
      <c r="M103" s="259">
        <f t="shared" si="50"/>
        <v>6.3E-2</v>
      </c>
      <c r="N103" s="259">
        <f t="shared" ref="N103:R103" si="51">CHOOSE($G$4,N100,N101,N102)</f>
        <v>6.3E-2</v>
      </c>
      <c r="O103" s="259">
        <f t="shared" si="51"/>
        <v>6.3E-2</v>
      </c>
      <c r="P103" s="259">
        <f t="shared" si="51"/>
        <v>6.3E-2</v>
      </c>
      <c r="Q103" s="259">
        <f t="shared" si="51"/>
        <v>6.3E-2</v>
      </c>
      <c r="R103" s="259">
        <f t="shared" si="51"/>
        <v>6.3E-2</v>
      </c>
    </row>
    <row r="104" spans="2:18" outlineLevel="1">
      <c r="B104" s="18"/>
      <c r="C104" s="19"/>
      <c r="D104" s="19"/>
      <c r="E104" s="19"/>
      <c r="F104" s="19"/>
      <c r="G104" s="182"/>
      <c r="H104" s="182"/>
      <c r="I104" s="182"/>
      <c r="J104" s="182"/>
      <c r="K104" s="182"/>
      <c r="L104" s="182"/>
      <c r="M104" s="182"/>
      <c r="N104" s="182"/>
      <c r="O104" s="182"/>
      <c r="P104" s="182"/>
      <c r="Q104" s="182"/>
      <c r="R104" s="182"/>
    </row>
    <row r="105" spans="2:18" outlineLevel="1">
      <c r="B105" s="151" t="s">
        <v>410</v>
      </c>
      <c r="C105" s="152"/>
      <c r="D105" s="152"/>
      <c r="E105" s="152"/>
      <c r="F105" s="152"/>
      <c r="G105" s="152"/>
      <c r="H105" s="152"/>
      <c r="I105" s="152"/>
      <c r="J105" s="152"/>
      <c r="K105" s="152"/>
      <c r="L105" s="152"/>
      <c r="M105" s="152"/>
      <c r="N105" s="152"/>
      <c r="O105" s="152"/>
      <c r="P105" s="152"/>
      <c r="Q105" s="152"/>
      <c r="R105" s="152"/>
    </row>
    <row r="106" spans="2:18" outlineLevel="1">
      <c r="B106" s="14" t="s">
        <v>19</v>
      </c>
      <c r="C106" s="15"/>
      <c r="D106" s="123"/>
      <c r="E106" s="123"/>
      <c r="F106" s="123"/>
      <c r="G106" s="123"/>
      <c r="H106" s="123"/>
      <c r="I106" s="20">
        <v>0</v>
      </c>
      <c r="J106" s="20">
        <v>0</v>
      </c>
      <c r="K106" s="20">
        <v>0</v>
      </c>
      <c r="L106" s="20">
        <v>0</v>
      </c>
      <c r="M106" s="20">
        <v>0</v>
      </c>
      <c r="N106" s="20">
        <v>0</v>
      </c>
      <c r="O106" s="20">
        <v>0</v>
      </c>
      <c r="P106" s="20">
        <v>0</v>
      </c>
      <c r="Q106" s="20">
        <v>0</v>
      </c>
      <c r="R106" s="20">
        <v>0</v>
      </c>
    </row>
    <row r="107" spans="2:18" outlineLevel="1">
      <c r="B107" s="14" t="s">
        <v>277</v>
      </c>
      <c r="C107" s="15"/>
      <c r="D107" s="124"/>
      <c r="E107" s="124"/>
      <c r="F107" s="124"/>
      <c r="G107" s="124"/>
      <c r="H107" s="124"/>
      <c r="I107" s="20">
        <v>0</v>
      </c>
      <c r="J107" s="20">
        <v>0</v>
      </c>
      <c r="K107" s="20">
        <v>0</v>
      </c>
      <c r="L107" s="20">
        <v>0</v>
      </c>
      <c r="M107" s="20">
        <v>0</v>
      </c>
      <c r="N107" s="20">
        <v>0</v>
      </c>
      <c r="O107" s="20">
        <v>0</v>
      </c>
      <c r="P107" s="20">
        <v>0</v>
      </c>
      <c r="Q107" s="20">
        <v>0</v>
      </c>
      <c r="R107" s="20">
        <v>0</v>
      </c>
    </row>
    <row r="108" spans="2:18" outlineLevel="1">
      <c r="B108" s="16" t="s">
        <v>21</v>
      </c>
      <c r="C108" s="17"/>
      <c r="D108" s="125"/>
      <c r="E108" s="125"/>
      <c r="F108" s="125"/>
      <c r="G108" s="125"/>
      <c r="H108" s="125"/>
      <c r="I108" s="20">
        <v>0</v>
      </c>
      <c r="J108" s="20">
        <v>0</v>
      </c>
      <c r="K108" s="20">
        <v>0</v>
      </c>
      <c r="L108" s="20">
        <v>0</v>
      </c>
      <c r="M108" s="20">
        <v>0</v>
      </c>
      <c r="N108" s="20">
        <v>0</v>
      </c>
      <c r="O108" s="20">
        <v>0</v>
      </c>
      <c r="P108" s="20">
        <v>0</v>
      </c>
      <c r="Q108" s="20">
        <v>0</v>
      </c>
      <c r="R108" s="20">
        <v>0</v>
      </c>
    </row>
    <row r="109" spans="2:18">
      <c r="B109" s="257" t="str">
        <f>"Current Case - "&amp;CHOOSE($G$4,B106,B107,B108)</f>
        <v>Current Case - Base Case</v>
      </c>
      <c r="C109" s="258"/>
      <c r="D109" s="258"/>
      <c r="E109" s="258"/>
      <c r="F109" s="258"/>
      <c r="G109" s="259"/>
      <c r="H109" s="259"/>
      <c r="I109" s="259">
        <f>CHOOSE($G$4,I106,I107,I108)</f>
        <v>0</v>
      </c>
      <c r="J109" s="259">
        <f t="shared" ref="J109:M109" si="52">CHOOSE($G$4,J106,J107,J108)</f>
        <v>0</v>
      </c>
      <c r="K109" s="259">
        <f t="shared" si="52"/>
        <v>0</v>
      </c>
      <c r="L109" s="259">
        <f t="shared" si="52"/>
        <v>0</v>
      </c>
      <c r="M109" s="259">
        <f t="shared" si="52"/>
        <v>0</v>
      </c>
      <c r="N109" s="259">
        <f t="shared" ref="N109:R109" si="53">CHOOSE($G$4,N106,N107,N108)</f>
        <v>0</v>
      </c>
      <c r="O109" s="259">
        <f t="shared" si="53"/>
        <v>0</v>
      </c>
      <c r="P109" s="259">
        <f t="shared" si="53"/>
        <v>0</v>
      </c>
      <c r="Q109" s="259">
        <f t="shared" si="53"/>
        <v>0</v>
      </c>
      <c r="R109" s="259">
        <f t="shared" si="53"/>
        <v>0</v>
      </c>
    </row>
    <row r="110" spans="2:18">
      <c r="B110" s="18"/>
      <c r="C110" s="19"/>
      <c r="D110" s="19"/>
      <c r="E110" s="19"/>
      <c r="F110" s="19"/>
      <c r="G110" s="182"/>
      <c r="H110" s="182"/>
      <c r="I110" s="182"/>
      <c r="J110" s="182"/>
      <c r="K110" s="182"/>
      <c r="L110" s="182"/>
      <c r="M110" s="182"/>
      <c r="N110" s="182"/>
      <c r="O110" s="182"/>
      <c r="P110" s="182"/>
      <c r="Q110" s="182"/>
      <c r="R110" s="182"/>
    </row>
    <row r="111" spans="2:18">
      <c r="B111" s="151" t="s">
        <v>405</v>
      </c>
      <c r="C111" s="152"/>
      <c r="D111" s="152"/>
      <c r="E111" s="152"/>
      <c r="F111" s="152"/>
      <c r="G111" s="152"/>
      <c r="H111" s="152"/>
      <c r="I111" s="152"/>
      <c r="J111" s="152"/>
      <c r="K111" s="152"/>
      <c r="L111" s="152"/>
      <c r="M111" s="152"/>
      <c r="N111" s="152"/>
      <c r="O111" s="152"/>
      <c r="P111" s="152"/>
      <c r="Q111" s="152"/>
      <c r="R111" s="152"/>
    </row>
    <row r="112" spans="2:18">
      <c r="B112" s="14" t="s">
        <v>19</v>
      </c>
      <c r="C112" s="15"/>
      <c r="D112" s="123"/>
      <c r="E112" s="123"/>
      <c r="F112" s="123"/>
      <c r="G112" s="123"/>
      <c r="H112" s="123"/>
      <c r="I112" s="20">
        <v>0</v>
      </c>
      <c r="J112" s="20">
        <v>0</v>
      </c>
      <c r="K112" s="20">
        <v>0</v>
      </c>
      <c r="L112" s="20">
        <v>0</v>
      </c>
      <c r="M112" s="20">
        <v>0</v>
      </c>
      <c r="N112" s="20">
        <v>0</v>
      </c>
      <c r="O112" s="20">
        <v>0</v>
      </c>
      <c r="P112" s="20">
        <v>0</v>
      </c>
      <c r="Q112" s="20">
        <v>0</v>
      </c>
      <c r="R112" s="20">
        <v>0</v>
      </c>
    </row>
    <row r="113" spans="1:18">
      <c r="B113" s="14" t="s">
        <v>277</v>
      </c>
      <c r="C113" s="15"/>
      <c r="D113" s="124"/>
      <c r="E113" s="124"/>
      <c r="F113" s="124"/>
      <c r="G113" s="124"/>
      <c r="H113" s="124"/>
      <c r="I113" s="20">
        <v>0</v>
      </c>
      <c r="J113" s="20">
        <v>0</v>
      </c>
      <c r="K113" s="20">
        <v>0</v>
      </c>
      <c r="L113" s="20">
        <v>0</v>
      </c>
      <c r="M113" s="20">
        <v>0</v>
      </c>
      <c r="N113" s="20">
        <v>0</v>
      </c>
      <c r="O113" s="20">
        <v>0</v>
      </c>
      <c r="P113" s="20">
        <v>0</v>
      </c>
      <c r="Q113" s="20">
        <v>0</v>
      </c>
      <c r="R113" s="20">
        <v>0</v>
      </c>
    </row>
    <row r="114" spans="1:18">
      <c r="B114" s="16" t="s">
        <v>21</v>
      </c>
      <c r="C114" s="17"/>
      <c r="D114" s="125"/>
      <c r="E114" s="125"/>
      <c r="F114" s="125"/>
      <c r="G114" s="125"/>
      <c r="H114" s="125"/>
      <c r="I114" s="20">
        <v>0</v>
      </c>
      <c r="J114" s="20">
        <v>0</v>
      </c>
      <c r="K114" s="20">
        <v>0</v>
      </c>
      <c r="L114" s="20">
        <v>0</v>
      </c>
      <c r="M114" s="20">
        <v>0</v>
      </c>
      <c r="N114" s="20">
        <v>0</v>
      </c>
      <c r="O114" s="20">
        <v>0</v>
      </c>
      <c r="P114" s="20">
        <v>0</v>
      </c>
      <c r="Q114" s="20">
        <v>0</v>
      </c>
      <c r="R114" s="20">
        <v>0</v>
      </c>
    </row>
    <row r="115" spans="1:18">
      <c r="B115" s="257" t="str">
        <f>"Current Case - "&amp;CHOOSE($G$4,B112,B113,B114)</f>
        <v>Current Case - Base Case</v>
      </c>
      <c r="C115" s="258"/>
      <c r="D115" s="258"/>
      <c r="E115" s="258"/>
      <c r="F115" s="258"/>
      <c r="G115" s="259"/>
      <c r="H115" s="259"/>
      <c r="I115" s="259">
        <f>CHOOSE($G$4,I112,I113,I114)</f>
        <v>0</v>
      </c>
      <c r="J115" s="259">
        <f t="shared" ref="J115:M115" si="54">CHOOSE($G$4,J112,J113,J114)</f>
        <v>0</v>
      </c>
      <c r="K115" s="259">
        <f t="shared" si="54"/>
        <v>0</v>
      </c>
      <c r="L115" s="259">
        <f t="shared" si="54"/>
        <v>0</v>
      </c>
      <c r="M115" s="259">
        <f t="shared" si="54"/>
        <v>0</v>
      </c>
      <c r="N115" s="259">
        <f t="shared" ref="N115:R115" si="55">CHOOSE($G$4,N112,N113,N114)</f>
        <v>0</v>
      </c>
      <c r="O115" s="259">
        <f t="shared" si="55"/>
        <v>0</v>
      </c>
      <c r="P115" s="259">
        <f t="shared" si="55"/>
        <v>0</v>
      </c>
      <c r="Q115" s="259">
        <f t="shared" si="55"/>
        <v>0</v>
      </c>
      <c r="R115" s="259">
        <f t="shared" si="55"/>
        <v>0</v>
      </c>
    </row>
    <row r="116" spans="1:18">
      <c r="B116" s="18"/>
      <c r="C116" s="19"/>
      <c r="D116" s="19"/>
      <c r="E116" s="19"/>
      <c r="F116" s="19"/>
      <c r="G116" s="182"/>
      <c r="H116" s="182"/>
      <c r="I116" s="182"/>
      <c r="J116" s="182"/>
      <c r="K116" s="182"/>
      <c r="L116" s="182"/>
      <c r="M116" s="182"/>
      <c r="N116" s="182"/>
      <c r="O116" s="182"/>
      <c r="P116" s="182"/>
      <c r="Q116" s="182"/>
      <c r="R116" s="182"/>
    </row>
    <row r="117" spans="1:18">
      <c r="B117" s="151" t="s">
        <v>406</v>
      </c>
      <c r="C117" s="152"/>
      <c r="D117" s="152"/>
      <c r="E117" s="152"/>
      <c r="F117" s="152"/>
      <c r="G117" s="152"/>
      <c r="H117" s="152"/>
      <c r="I117" s="152"/>
      <c r="J117" s="152"/>
      <c r="K117" s="152"/>
      <c r="L117" s="152"/>
      <c r="M117" s="152"/>
      <c r="N117" s="152"/>
      <c r="O117" s="152"/>
      <c r="P117" s="152"/>
      <c r="Q117" s="152"/>
      <c r="R117" s="152"/>
    </row>
    <row r="118" spans="1:18">
      <c r="B118" s="14" t="s">
        <v>19</v>
      </c>
      <c r="C118" s="15"/>
      <c r="D118" s="123"/>
      <c r="E118" s="123"/>
      <c r="F118" s="123"/>
      <c r="G118" s="123"/>
      <c r="H118" s="123"/>
      <c r="I118" s="20">
        <v>0</v>
      </c>
      <c r="J118" s="20">
        <v>0</v>
      </c>
      <c r="K118" s="20">
        <v>0</v>
      </c>
      <c r="L118" s="20">
        <v>0</v>
      </c>
      <c r="M118" s="20">
        <v>0</v>
      </c>
      <c r="N118" s="20">
        <v>0</v>
      </c>
      <c r="O118" s="20">
        <v>0</v>
      </c>
      <c r="P118" s="20">
        <v>0</v>
      </c>
      <c r="Q118" s="20">
        <v>0</v>
      </c>
      <c r="R118" s="20">
        <v>0</v>
      </c>
    </row>
    <row r="119" spans="1:18">
      <c r="B119" s="14" t="s">
        <v>277</v>
      </c>
      <c r="C119" s="15"/>
      <c r="D119" s="124"/>
      <c r="E119" s="124"/>
      <c r="F119" s="124"/>
      <c r="G119" s="124"/>
      <c r="H119" s="124"/>
      <c r="I119" s="20">
        <v>0</v>
      </c>
      <c r="J119" s="20">
        <v>0</v>
      </c>
      <c r="K119" s="20">
        <v>0</v>
      </c>
      <c r="L119" s="20">
        <v>0</v>
      </c>
      <c r="M119" s="20">
        <v>0</v>
      </c>
      <c r="N119" s="20">
        <v>0</v>
      </c>
      <c r="O119" s="20">
        <v>0</v>
      </c>
      <c r="P119" s="20">
        <v>0</v>
      </c>
      <c r="Q119" s="20">
        <v>0</v>
      </c>
      <c r="R119" s="20">
        <v>0</v>
      </c>
    </row>
    <row r="120" spans="1:18">
      <c r="B120" s="16" t="s">
        <v>21</v>
      </c>
      <c r="C120" s="17"/>
      <c r="D120" s="125"/>
      <c r="E120" s="125"/>
      <c r="F120" s="125"/>
      <c r="G120" s="125"/>
      <c r="H120" s="125"/>
      <c r="I120" s="20">
        <v>0</v>
      </c>
      <c r="J120" s="20">
        <v>0</v>
      </c>
      <c r="K120" s="20">
        <v>0</v>
      </c>
      <c r="L120" s="20">
        <v>0</v>
      </c>
      <c r="M120" s="20">
        <v>0</v>
      </c>
      <c r="N120" s="20">
        <v>0</v>
      </c>
      <c r="O120" s="20">
        <v>0</v>
      </c>
      <c r="P120" s="20">
        <v>0</v>
      </c>
      <c r="Q120" s="20">
        <v>0</v>
      </c>
      <c r="R120" s="20">
        <v>0</v>
      </c>
    </row>
    <row r="121" spans="1:18">
      <c r="B121" s="257" t="str">
        <f>"Current Case - "&amp;CHOOSE($G$4,B118,B119,B120)</f>
        <v>Current Case - Base Case</v>
      </c>
      <c r="C121" s="258"/>
      <c r="D121" s="258"/>
      <c r="E121" s="258"/>
      <c r="F121" s="258"/>
      <c r="G121" s="259"/>
      <c r="H121" s="259"/>
      <c r="I121" s="259">
        <f>CHOOSE($G$4,I118,I119,I120)</f>
        <v>0</v>
      </c>
      <c r="J121" s="259">
        <f t="shared" ref="J121:M121" si="56">CHOOSE($G$4,J118,J119,J120)</f>
        <v>0</v>
      </c>
      <c r="K121" s="259">
        <f t="shared" si="56"/>
        <v>0</v>
      </c>
      <c r="L121" s="259">
        <f t="shared" si="56"/>
        <v>0</v>
      </c>
      <c r="M121" s="259">
        <f t="shared" si="56"/>
        <v>0</v>
      </c>
      <c r="N121" s="259">
        <f t="shared" ref="N121:R121" si="57">CHOOSE($G$4,N118,N119,N120)</f>
        <v>0</v>
      </c>
      <c r="O121" s="259">
        <f t="shared" si="57"/>
        <v>0</v>
      </c>
      <c r="P121" s="259">
        <f t="shared" si="57"/>
        <v>0</v>
      </c>
      <c r="Q121" s="259">
        <f t="shared" si="57"/>
        <v>0</v>
      </c>
      <c r="R121" s="259">
        <f t="shared" si="57"/>
        <v>0</v>
      </c>
    </row>
    <row r="122" spans="1:18">
      <c r="B122" s="18"/>
      <c r="C122" s="19"/>
      <c r="D122" s="19"/>
      <c r="E122" s="19"/>
      <c r="F122" s="19"/>
      <c r="G122" s="182"/>
      <c r="H122" s="182"/>
      <c r="I122" s="182"/>
      <c r="J122" s="182"/>
      <c r="K122" s="182"/>
      <c r="L122" s="182"/>
      <c r="M122" s="182"/>
      <c r="N122" s="182"/>
      <c r="O122" s="182"/>
      <c r="P122" s="182"/>
      <c r="Q122" s="182"/>
      <c r="R122" s="182"/>
    </row>
    <row r="123" spans="1:18" ht="15.6">
      <c r="A123" t="s">
        <v>18</v>
      </c>
      <c r="B123" s="463" t="s">
        <v>569</v>
      </c>
      <c r="C123" s="463"/>
      <c r="D123" s="463"/>
      <c r="E123" s="463"/>
      <c r="F123" s="463"/>
      <c r="G123" s="463"/>
      <c r="H123" s="463"/>
      <c r="I123" s="463"/>
      <c r="J123" s="463"/>
      <c r="K123" s="463"/>
      <c r="L123" s="463"/>
      <c r="M123" s="463"/>
      <c r="N123" s="463"/>
      <c r="O123" s="463"/>
      <c r="P123" s="463"/>
      <c r="Q123" s="463"/>
      <c r="R123" s="463"/>
    </row>
    <row r="124" spans="1:18" outlineLevel="1"/>
    <row r="125" spans="1:18" outlineLevel="1">
      <c r="B125" s="26" t="s">
        <v>30</v>
      </c>
    </row>
    <row r="126" spans="1:18" outlineLevel="1">
      <c r="B126" s="14" t="s">
        <v>19</v>
      </c>
      <c r="C126" s="15"/>
      <c r="D126" s="15"/>
      <c r="E126" s="15"/>
      <c r="F126" s="15"/>
      <c r="G126" s="21"/>
      <c r="H126" s="21"/>
      <c r="I126" s="20">
        <v>0.25119999999999998</v>
      </c>
      <c r="J126" s="20">
        <v>0.25119999999999998</v>
      </c>
      <c r="K126" s="20">
        <v>0.25119999999999998</v>
      </c>
      <c r="L126" s="20">
        <v>0.25119999999999998</v>
      </c>
      <c r="M126" s="20">
        <v>0.25119999999999998</v>
      </c>
      <c r="N126" s="20">
        <v>0.25119999999999998</v>
      </c>
      <c r="O126" s="20">
        <v>0.25119999999999998</v>
      </c>
      <c r="P126" s="20">
        <v>0.25119999999999998</v>
      </c>
      <c r="Q126" s="20">
        <v>0.25119999999999998</v>
      </c>
      <c r="R126" s="20">
        <v>0.25119999999999998</v>
      </c>
    </row>
    <row r="127" spans="1:18" outlineLevel="1">
      <c r="B127" s="14" t="s">
        <v>20</v>
      </c>
      <c r="C127" s="15"/>
      <c r="D127" s="15"/>
      <c r="E127" s="15"/>
      <c r="F127" s="15"/>
      <c r="G127" s="21"/>
      <c r="H127" s="21"/>
      <c r="I127" s="20">
        <v>0.25119999999999998</v>
      </c>
      <c r="J127" s="20">
        <v>0.25119999999999998</v>
      </c>
      <c r="K127" s="20">
        <v>0.25119999999999998</v>
      </c>
      <c r="L127" s="20">
        <v>0.25119999999999998</v>
      </c>
      <c r="M127" s="20">
        <v>0.25119999999999998</v>
      </c>
      <c r="N127" s="20">
        <v>0.25119999999999998</v>
      </c>
      <c r="O127" s="20">
        <v>0.25119999999999998</v>
      </c>
      <c r="P127" s="20">
        <v>0.25119999999999998</v>
      </c>
      <c r="Q127" s="20">
        <v>0.25119999999999998</v>
      </c>
      <c r="R127" s="20">
        <v>0.25119999999999998</v>
      </c>
    </row>
    <row r="128" spans="1:18" outlineLevel="1">
      <c r="B128" s="16" t="s">
        <v>21</v>
      </c>
      <c r="C128" s="17"/>
      <c r="D128" s="17"/>
      <c r="E128" s="17"/>
      <c r="F128" s="17"/>
      <c r="G128" s="21"/>
      <c r="H128" s="21"/>
      <c r="I128" s="20">
        <v>0.25119999999999998</v>
      </c>
      <c r="J128" s="20">
        <v>0.25119999999999998</v>
      </c>
      <c r="K128" s="20">
        <v>0.25119999999999998</v>
      </c>
      <c r="L128" s="20">
        <v>0.25119999999999998</v>
      </c>
      <c r="M128" s="20">
        <v>0.25119999999999998</v>
      </c>
      <c r="N128" s="20">
        <v>0.25119999999999998</v>
      </c>
      <c r="O128" s="20">
        <v>0.25119999999999998</v>
      </c>
      <c r="P128" s="20">
        <v>0.25119999999999998</v>
      </c>
      <c r="Q128" s="20">
        <v>0.25119999999999998</v>
      </c>
      <c r="R128" s="20">
        <v>0.25119999999999998</v>
      </c>
    </row>
    <row r="129" spans="1:18" outlineLevel="1">
      <c r="B129" s="257" t="s">
        <v>28</v>
      </c>
      <c r="C129" s="258"/>
      <c r="D129" s="258"/>
      <c r="E129" s="258"/>
      <c r="F129" s="258"/>
      <c r="G129" s="260"/>
      <c r="H129" s="260"/>
      <c r="I129" s="259">
        <f>CHOOSE($G$4,I126,I127,I128)</f>
        <v>0.25119999999999998</v>
      </c>
      <c r="J129" s="259">
        <f t="shared" ref="J129:M129" si="58">CHOOSE($G$4,J126,J127,J128)</f>
        <v>0.25119999999999998</v>
      </c>
      <c r="K129" s="259">
        <f t="shared" si="58"/>
        <v>0.25119999999999998</v>
      </c>
      <c r="L129" s="259">
        <f t="shared" si="58"/>
        <v>0.25119999999999998</v>
      </c>
      <c r="M129" s="259">
        <f t="shared" si="58"/>
        <v>0.25119999999999998</v>
      </c>
      <c r="N129" s="259">
        <f t="shared" ref="N129:R129" si="59">CHOOSE($G$4,N126,N127,N128)</f>
        <v>0.25119999999999998</v>
      </c>
      <c r="O129" s="259">
        <f t="shared" si="59"/>
        <v>0.25119999999999998</v>
      </c>
      <c r="P129" s="259">
        <f t="shared" si="59"/>
        <v>0.25119999999999998</v>
      </c>
      <c r="Q129" s="259">
        <f t="shared" si="59"/>
        <v>0.25119999999999998</v>
      </c>
      <c r="R129" s="259">
        <f t="shared" si="59"/>
        <v>0.25119999999999998</v>
      </c>
    </row>
    <row r="131" spans="1:18" ht="15.6">
      <c r="A131" t="s">
        <v>18</v>
      </c>
      <c r="B131" s="463" t="s">
        <v>570</v>
      </c>
      <c r="C131" s="463"/>
      <c r="D131" s="463"/>
      <c r="E131" s="463"/>
      <c r="F131" s="463"/>
      <c r="G131" s="463"/>
      <c r="H131" s="463"/>
      <c r="I131" s="463"/>
      <c r="J131" s="463"/>
      <c r="K131" s="463"/>
      <c r="L131" s="463"/>
      <c r="M131" s="463"/>
      <c r="N131" s="463"/>
      <c r="O131" s="463"/>
      <c r="P131" s="463"/>
      <c r="Q131" s="463"/>
      <c r="R131" s="463"/>
    </row>
    <row r="132" spans="1:18" outlineLevel="1"/>
    <row r="133" spans="1:18" outlineLevel="1">
      <c r="B133" s="26" t="s">
        <v>449</v>
      </c>
    </row>
    <row r="134" spans="1:18" outlineLevel="1">
      <c r="B134" s="14" t="s">
        <v>19</v>
      </c>
      <c r="C134" s="15"/>
      <c r="D134" s="15"/>
      <c r="E134" s="15"/>
      <c r="F134" s="15"/>
      <c r="G134" s="21"/>
      <c r="H134" s="21"/>
      <c r="I134" s="21">
        <v>0.01</v>
      </c>
      <c r="J134" s="21">
        <f>I134-(($I$134-$M$134)/($M$9-$I$9))</f>
        <v>7.7499999999999999E-3</v>
      </c>
      <c r="K134" s="21">
        <f>J134-(($I$134-$M$134)/($M$9-$I$9))</f>
        <v>5.4999999999999997E-3</v>
      </c>
      <c r="L134" s="21">
        <f>K134-(($I$134-$M$134)/($M$9-$I$9))</f>
        <v>3.2499999999999994E-3</v>
      </c>
      <c r="M134" s="21">
        <v>1E-3</v>
      </c>
      <c r="N134" s="21">
        <v>1E-3</v>
      </c>
      <c r="O134" s="21">
        <v>1E-3</v>
      </c>
      <c r="P134" s="21">
        <v>1E-3</v>
      </c>
      <c r="Q134" s="21">
        <v>1E-3</v>
      </c>
      <c r="R134" s="21">
        <v>1E-3</v>
      </c>
    </row>
    <row r="135" spans="1:18" outlineLevel="1">
      <c r="B135" s="14" t="s">
        <v>20</v>
      </c>
      <c r="C135" s="15"/>
      <c r="D135" s="15"/>
      <c r="E135" s="15"/>
      <c r="F135" s="15"/>
      <c r="G135" s="21"/>
      <c r="H135" s="21"/>
      <c r="I135" s="21">
        <v>0.01</v>
      </c>
      <c r="J135" s="21">
        <f>I135-(($I$135-$M$135)/($M$9-$I$9))</f>
        <v>7.7499999999999999E-3</v>
      </c>
      <c r="K135" s="21">
        <f>J135-(($I$135-$M$135)/($M$9-$I$9))</f>
        <v>5.4999999999999997E-3</v>
      </c>
      <c r="L135" s="21">
        <f>K135-(($I$135-$M$135)/($M$9-$I$9))</f>
        <v>3.2499999999999994E-3</v>
      </c>
      <c r="M135" s="21">
        <v>1E-3</v>
      </c>
      <c r="N135" s="21">
        <v>1E-3</v>
      </c>
      <c r="O135" s="21">
        <v>1E-3</v>
      </c>
      <c r="P135" s="21">
        <v>1E-3</v>
      </c>
      <c r="Q135" s="21">
        <v>1E-3</v>
      </c>
      <c r="R135" s="21">
        <v>1E-3</v>
      </c>
    </row>
    <row r="136" spans="1:18" outlineLevel="1">
      <c r="B136" s="16" t="s">
        <v>21</v>
      </c>
      <c r="C136" s="17"/>
      <c r="D136" s="17"/>
      <c r="E136" s="17"/>
      <c r="F136" s="17"/>
      <c r="G136" s="21"/>
      <c r="H136" s="21"/>
      <c r="I136" s="21">
        <v>0.01</v>
      </c>
      <c r="J136" s="21">
        <f>I136-(($I$136-$M$136)/($M$9-$I$9))</f>
        <v>7.7499999999999999E-3</v>
      </c>
      <c r="K136" s="21">
        <f>J136-(($I$136-$M$136)/($M$9-$I$9))</f>
        <v>5.4999999999999997E-3</v>
      </c>
      <c r="L136" s="21">
        <f>K136-(($I$136-$M$136)/($M$9-$I$9))</f>
        <v>3.2499999999999994E-3</v>
      </c>
      <c r="M136" s="21">
        <v>1E-3</v>
      </c>
      <c r="N136" s="21">
        <v>1E-3</v>
      </c>
      <c r="O136" s="21">
        <v>1E-3</v>
      </c>
      <c r="P136" s="21">
        <v>1E-3</v>
      </c>
      <c r="Q136" s="21">
        <v>1E-3</v>
      </c>
      <c r="R136" s="21">
        <v>1E-3</v>
      </c>
    </row>
    <row r="137" spans="1:18" outlineLevel="1">
      <c r="B137" s="257" t="s">
        <v>28</v>
      </c>
      <c r="C137" s="258"/>
      <c r="D137" s="258"/>
      <c r="E137" s="258"/>
      <c r="F137" s="258"/>
      <c r="G137" s="260"/>
      <c r="H137" s="260"/>
      <c r="I137" s="260">
        <f t="shared" ref="I137:M137" si="60">CHOOSE($G$4,I134,I135,I136)</f>
        <v>0.01</v>
      </c>
      <c r="J137" s="260">
        <f t="shared" si="60"/>
        <v>7.7499999999999999E-3</v>
      </c>
      <c r="K137" s="260">
        <f t="shared" si="60"/>
        <v>5.4999999999999997E-3</v>
      </c>
      <c r="L137" s="260">
        <f t="shared" si="60"/>
        <v>3.2499999999999994E-3</v>
      </c>
      <c r="M137" s="260">
        <f t="shared" si="60"/>
        <v>1E-3</v>
      </c>
      <c r="N137" s="260">
        <f t="shared" ref="N137:R137" si="61">CHOOSE($G$4,N134,N135,N136)</f>
        <v>1E-3</v>
      </c>
      <c r="O137" s="260">
        <f t="shared" si="61"/>
        <v>1E-3</v>
      </c>
      <c r="P137" s="260">
        <f t="shared" si="61"/>
        <v>1E-3</v>
      </c>
      <c r="Q137" s="260">
        <f t="shared" si="61"/>
        <v>1E-3</v>
      </c>
      <c r="R137" s="260">
        <f t="shared" si="61"/>
        <v>1E-3</v>
      </c>
    </row>
    <row r="139" spans="1:18" ht="15.6">
      <c r="A139" t="s">
        <v>18</v>
      </c>
      <c r="B139" s="463" t="s">
        <v>571</v>
      </c>
      <c r="C139" s="463"/>
      <c r="D139" s="463"/>
      <c r="E139" s="463"/>
      <c r="F139" s="463"/>
      <c r="G139" s="463"/>
      <c r="H139" s="463"/>
      <c r="I139" s="463"/>
      <c r="J139" s="463"/>
      <c r="K139" s="463"/>
      <c r="L139" s="463"/>
      <c r="M139" s="463"/>
      <c r="N139" s="463"/>
      <c r="O139" s="463"/>
      <c r="P139" s="463"/>
      <c r="Q139" s="463"/>
      <c r="R139" s="463"/>
    </row>
    <row r="140" spans="1:18" outlineLevel="1"/>
    <row r="141" spans="1:18" outlineLevel="1">
      <c r="B141" s="26" t="s">
        <v>449</v>
      </c>
    </row>
    <row r="142" spans="1:18" outlineLevel="1">
      <c r="B142" s="14" t="s">
        <v>19</v>
      </c>
      <c r="C142" s="15"/>
      <c r="D142" s="15"/>
      <c r="E142" s="15"/>
      <c r="F142" s="15"/>
      <c r="G142" s="21"/>
      <c r="H142" s="21"/>
      <c r="I142" s="21">
        <v>7.0000000000000001E-3</v>
      </c>
      <c r="J142" s="21">
        <v>7.0000000000000001E-3</v>
      </c>
      <c r="K142" s="21">
        <v>7.0000000000000001E-3</v>
      </c>
      <c r="L142" s="21">
        <v>7.0000000000000001E-3</v>
      </c>
      <c r="M142" s="21">
        <v>7.0000000000000001E-3</v>
      </c>
      <c r="N142" s="21">
        <v>7.0000000000000001E-3</v>
      </c>
      <c r="O142" s="21">
        <v>7.0000000000000001E-3</v>
      </c>
      <c r="P142" s="21">
        <v>7.0000000000000001E-3</v>
      </c>
      <c r="Q142" s="21">
        <v>7.0000000000000001E-3</v>
      </c>
      <c r="R142" s="21">
        <v>7.0000000000000001E-3</v>
      </c>
    </row>
    <row r="143" spans="1:18" outlineLevel="1">
      <c r="B143" s="14" t="s">
        <v>20</v>
      </c>
      <c r="C143" s="15"/>
      <c r="D143" s="15"/>
      <c r="E143" s="15"/>
      <c r="F143" s="15"/>
      <c r="G143" s="21"/>
      <c r="H143" s="21"/>
      <c r="I143" s="21">
        <v>7.0000000000000001E-3</v>
      </c>
      <c r="J143" s="21">
        <v>7.0000000000000001E-3</v>
      </c>
      <c r="K143" s="21">
        <v>7.0000000000000001E-3</v>
      </c>
      <c r="L143" s="21">
        <v>7.0000000000000001E-3</v>
      </c>
      <c r="M143" s="21">
        <v>7.0000000000000001E-3</v>
      </c>
      <c r="N143" s="21">
        <v>7.0000000000000001E-3</v>
      </c>
      <c r="O143" s="21">
        <v>7.0000000000000001E-3</v>
      </c>
      <c r="P143" s="21">
        <v>7.0000000000000001E-3</v>
      </c>
      <c r="Q143" s="21">
        <v>7.0000000000000001E-3</v>
      </c>
      <c r="R143" s="21">
        <v>7.0000000000000001E-3</v>
      </c>
    </row>
    <row r="144" spans="1:18" outlineLevel="1">
      <c r="B144" s="16" t="s">
        <v>21</v>
      </c>
      <c r="C144" s="17"/>
      <c r="D144" s="17"/>
      <c r="E144" s="17"/>
      <c r="F144" s="17"/>
      <c r="G144" s="21"/>
      <c r="H144" s="21"/>
      <c r="I144" s="21">
        <v>7.0000000000000001E-3</v>
      </c>
      <c r="J144" s="21">
        <v>7.0000000000000001E-3</v>
      </c>
      <c r="K144" s="21">
        <v>7.0000000000000001E-3</v>
      </c>
      <c r="L144" s="21">
        <v>7.0000000000000001E-3</v>
      </c>
      <c r="M144" s="21">
        <v>7.0000000000000001E-3</v>
      </c>
      <c r="N144" s="21">
        <v>7.0000000000000001E-3</v>
      </c>
      <c r="O144" s="21">
        <v>7.0000000000000001E-3</v>
      </c>
      <c r="P144" s="21">
        <v>7.0000000000000001E-3</v>
      </c>
      <c r="Q144" s="21">
        <v>7.0000000000000001E-3</v>
      </c>
      <c r="R144" s="21">
        <v>7.0000000000000001E-3</v>
      </c>
    </row>
    <row r="145" spans="1:18" outlineLevel="1">
      <c r="B145" s="257" t="s">
        <v>28</v>
      </c>
      <c r="C145" s="258"/>
      <c r="D145" s="258"/>
      <c r="E145" s="258"/>
      <c r="F145" s="258"/>
      <c r="G145" s="260"/>
      <c r="H145" s="260"/>
      <c r="I145" s="260">
        <f t="shared" ref="I145:M145" si="62">CHOOSE($G$4,I142,I143,I144)</f>
        <v>7.0000000000000001E-3</v>
      </c>
      <c r="J145" s="260">
        <f t="shared" si="62"/>
        <v>7.0000000000000001E-3</v>
      </c>
      <c r="K145" s="260">
        <f t="shared" si="62"/>
        <v>7.0000000000000001E-3</v>
      </c>
      <c r="L145" s="260">
        <f t="shared" si="62"/>
        <v>7.0000000000000001E-3</v>
      </c>
      <c r="M145" s="260">
        <f t="shared" si="62"/>
        <v>7.0000000000000001E-3</v>
      </c>
      <c r="N145" s="260">
        <f t="shared" ref="N145:R145" si="63">CHOOSE($G$4,N142,N143,N144)</f>
        <v>7.0000000000000001E-3</v>
      </c>
      <c r="O145" s="260">
        <f t="shared" si="63"/>
        <v>7.0000000000000001E-3</v>
      </c>
      <c r="P145" s="260">
        <f t="shared" si="63"/>
        <v>7.0000000000000001E-3</v>
      </c>
      <c r="Q145" s="260">
        <f t="shared" si="63"/>
        <v>7.0000000000000001E-3</v>
      </c>
      <c r="R145" s="260">
        <f t="shared" si="63"/>
        <v>7.0000000000000001E-3</v>
      </c>
    </row>
    <row r="147" spans="1:18" ht="15.6">
      <c r="A147" t="s">
        <v>18</v>
      </c>
      <c r="B147" s="463" t="s">
        <v>572</v>
      </c>
      <c r="C147" s="463"/>
      <c r="D147" s="463"/>
      <c r="E147" s="463"/>
      <c r="F147" s="463"/>
      <c r="G147" s="463"/>
      <c r="H147" s="463"/>
      <c r="I147" s="463"/>
      <c r="J147" s="463"/>
      <c r="K147" s="463"/>
      <c r="L147" s="463"/>
      <c r="M147" s="463"/>
      <c r="N147" s="463"/>
      <c r="O147" s="463"/>
      <c r="P147" s="463"/>
      <c r="Q147" s="463"/>
      <c r="R147" s="463"/>
    </row>
    <row r="148" spans="1:18" outlineLevel="1"/>
    <row r="149" spans="1:18" outlineLevel="1">
      <c r="B149" s="26" t="s">
        <v>535</v>
      </c>
    </row>
    <row r="150" spans="1:18" outlineLevel="1">
      <c r="B150" s="14" t="s">
        <v>19</v>
      </c>
      <c r="C150" s="15"/>
      <c r="D150" s="15"/>
      <c r="E150" s="15"/>
      <c r="F150" s="15"/>
      <c r="G150" s="21"/>
      <c r="H150" s="21"/>
      <c r="I150" s="21">
        <v>7.0000000000000007E-2</v>
      </c>
      <c r="J150" s="21">
        <v>7.0000000000000007E-2</v>
      </c>
      <c r="K150" s="21">
        <v>7.0000000000000007E-2</v>
      </c>
      <c r="L150" s="21">
        <v>7.0000000000000007E-2</v>
      </c>
      <c r="M150" s="21">
        <v>7.0000000000000007E-2</v>
      </c>
      <c r="N150" s="21">
        <v>7.0000000000000007E-2</v>
      </c>
      <c r="O150" s="21">
        <v>7.0000000000000007E-2</v>
      </c>
      <c r="P150" s="21">
        <v>7.0000000000000007E-2</v>
      </c>
      <c r="Q150" s="21">
        <v>7.0000000000000007E-2</v>
      </c>
      <c r="R150" s="21">
        <v>7.0000000000000007E-2</v>
      </c>
    </row>
    <row r="151" spans="1:18" outlineLevel="1">
      <c r="B151" s="14" t="s">
        <v>20</v>
      </c>
      <c r="C151" s="15"/>
      <c r="D151" s="15"/>
      <c r="E151" s="15"/>
      <c r="F151" s="15"/>
      <c r="G151" s="21"/>
      <c r="H151" s="21"/>
      <c r="I151" s="21">
        <v>7.0000000000000007E-2</v>
      </c>
      <c r="J151" s="21">
        <v>7.0000000000000007E-2</v>
      </c>
      <c r="K151" s="21">
        <v>7.0000000000000007E-2</v>
      </c>
      <c r="L151" s="21">
        <v>7.0000000000000007E-2</v>
      </c>
      <c r="M151" s="21">
        <v>7.0000000000000007E-2</v>
      </c>
      <c r="N151" s="21">
        <v>7.0000000000000007E-2</v>
      </c>
      <c r="O151" s="21">
        <v>7.0000000000000007E-2</v>
      </c>
      <c r="P151" s="21">
        <v>7.0000000000000007E-2</v>
      </c>
      <c r="Q151" s="21">
        <v>7.0000000000000007E-2</v>
      </c>
      <c r="R151" s="21">
        <v>7.0000000000000007E-2</v>
      </c>
    </row>
    <row r="152" spans="1:18" outlineLevel="1">
      <c r="B152" s="16" t="s">
        <v>21</v>
      </c>
      <c r="C152" s="17"/>
      <c r="D152" s="17"/>
      <c r="E152" s="17"/>
      <c r="F152" s="17"/>
      <c r="G152" s="21"/>
      <c r="H152" s="21"/>
      <c r="I152" s="21">
        <v>7.0000000000000007E-2</v>
      </c>
      <c r="J152" s="21">
        <v>7.0000000000000007E-2</v>
      </c>
      <c r="K152" s="21">
        <v>7.0000000000000007E-2</v>
      </c>
      <c r="L152" s="21">
        <v>7.0000000000000007E-2</v>
      </c>
      <c r="M152" s="21">
        <v>7.0000000000000007E-2</v>
      </c>
      <c r="N152" s="21">
        <v>7.0000000000000007E-2</v>
      </c>
      <c r="O152" s="21">
        <v>7.0000000000000007E-2</v>
      </c>
      <c r="P152" s="21">
        <v>7.0000000000000007E-2</v>
      </c>
      <c r="Q152" s="21">
        <v>7.0000000000000007E-2</v>
      </c>
      <c r="R152" s="21">
        <v>7.0000000000000007E-2</v>
      </c>
    </row>
    <row r="153" spans="1:18" outlineLevel="1">
      <c r="B153" s="257" t="s">
        <v>28</v>
      </c>
      <c r="C153" s="258"/>
      <c r="D153" s="258"/>
      <c r="E153" s="258"/>
      <c r="F153" s="258"/>
      <c r="G153" s="260"/>
      <c r="H153" s="260"/>
      <c r="I153" s="260">
        <f t="shared" ref="I153:M153" si="64">CHOOSE($G$4,I150,I151,I152)</f>
        <v>7.0000000000000007E-2</v>
      </c>
      <c r="J153" s="260">
        <f t="shared" si="64"/>
        <v>7.0000000000000007E-2</v>
      </c>
      <c r="K153" s="260">
        <f t="shared" si="64"/>
        <v>7.0000000000000007E-2</v>
      </c>
      <c r="L153" s="260">
        <f t="shared" si="64"/>
        <v>7.0000000000000007E-2</v>
      </c>
      <c r="M153" s="260">
        <f t="shared" si="64"/>
        <v>7.0000000000000007E-2</v>
      </c>
      <c r="N153" s="260">
        <f t="shared" ref="N153:R153" si="65">CHOOSE($G$4,N150,N151,N152)</f>
        <v>7.0000000000000007E-2</v>
      </c>
      <c r="O153" s="260">
        <f t="shared" si="65"/>
        <v>7.0000000000000007E-2</v>
      </c>
      <c r="P153" s="260">
        <f t="shared" si="65"/>
        <v>7.0000000000000007E-2</v>
      </c>
      <c r="Q153" s="260">
        <f t="shared" si="65"/>
        <v>7.0000000000000007E-2</v>
      </c>
      <c r="R153" s="260">
        <f t="shared" si="65"/>
        <v>7.0000000000000007E-2</v>
      </c>
    </row>
    <row r="155" spans="1:18" ht="15.6">
      <c r="A155" t="s">
        <v>18</v>
      </c>
      <c r="B155" s="463" t="s">
        <v>573</v>
      </c>
      <c r="C155" s="463"/>
      <c r="D155" s="463"/>
      <c r="E155" s="463"/>
      <c r="F155" s="463"/>
      <c r="G155" s="463"/>
      <c r="H155" s="463"/>
      <c r="I155" s="463"/>
      <c r="J155" s="463"/>
      <c r="K155" s="463"/>
      <c r="L155" s="463"/>
      <c r="M155" s="463"/>
      <c r="N155" s="463"/>
      <c r="O155" s="463"/>
      <c r="P155" s="463"/>
      <c r="Q155" s="463"/>
      <c r="R155" s="463"/>
    </row>
    <row r="156" spans="1:18" outlineLevel="1"/>
    <row r="157" spans="1:18" outlineLevel="1">
      <c r="B157" s="26" t="s">
        <v>31</v>
      </c>
    </row>
    <row r="158" spans="1:18" outlineLevel="1">
      <c r="B158" s="14" t="s">
        <v>19</v>
      </c>
      <c r="C158" s="15"/>
      <c r="D158" s="15"/>
      <c r="E158" s="15"/>
      <c r="F158" s="15"/>
      <c r="G158" s="21"/>
      <c r="H158" s="21"/>
      <c r="I158" s="21">
        <v>0.55000000000000004</v>
      </c>
      <c r="J158" s="21">
        <v>0.6</v>
      </c>
      <c r="K158" s="21">
        <v>0.65</v>
      </c>
      <c r="L158" s="21">
        <v>0.75</v>
      </c>
      <c r="M158" s="21">
        <v>0.8</v>
      </c>
      <c r="N158" s="21">
        <v>0.8</v>
      </c>
      <c r="O158" s="21">
        <v>0.8</v>
      </c>
      <c r="P158" s="21">
        <v>0.8</v>
      </c>
      <c r="Q158" s="21">
        <v>0.8</v>
      </c>
      <c r="R158" s="21">
        <v>0.8</v>
      </c>
    </row>
    <row r="159" spans="1:18" outlineLevel="1">
      <c r="B159" s="14" t="s">
        <v>20</v>
      </c>
      <c r="C159" s="15"/>
      <c r="D159" s="15"/>
      <c r="E159" s="15"/>
      <c r="F159" s="15"/>
      <c r="G159" s="21"/>
      <c r="H159" s="21"/>
      <c r="I159" s="21">
        <v>0.55000000000000004</v>
      </c>
      <c r="J159" s="21">
        <v>0.6</v>
      </c>
      <c r="K159" s="21">
        <v>0.65</v>
      </c>
      <c r="L159" s="21">
        <v>0.75</v>
      </c>
      <c r="M159" s="21">
        <v>0.8</v>
      </c>
      <c r="N159" s="21">
        <v>0.8</v>
      </c>
      <c r="O159" s="21">
        <v>0.8</v>
      </c>
      <c r="P159" s="21">
        <v>0.8</v>
      </c>
      <c r="Q159" s="21">
        <v>0.8</v>
      </c>
      <c r="R159" s="21">
        <v>0.8</v>
      </c>
    </row>
    <row r="160" spans="1:18" outlineLevel="1">
      <c r="B160" s="16" t="s">
        <v>21</v>
      </c>
      <c r="C160" s="17"/>
      <c r="D160" s="17"/>
      <c r="E160" s="17"/>
      <c r="F160" s="17"/>
      <c r="G160" s="21"/>
      <c r="H160" s="21"/>
      <c r="I160" s="21">
        <v>0.55000000000000004</v>
      </c>
      <c r="J160" s="21">
        <v>0.6</v>
      </c>
      <c r="K160" s="21">
        <v>0.65</v>
      </c>
      <c r="L160" s="21">
        <v>0.75</v>
      </c>
      <c r="M160" s="21">
        <v>0.8</v>
      </c>
      <c r="N160" s="21">
        <v>0.8</v>
      </c>
      <c r="O160" s="21">
        <v>0.8</v>
      </c>
      <c r="P160" s="21">
        <v>0.8</v>
      </c>
      <c r="Q160" s="21">
        <v>0.8</v>
      </c>
      <c r="R160" s="21">
        <v>0.8</v>
      </c>
    </row>
    <row r="161" spans="1:18" outlineLevel="1">
      <c r="B161" s="257" t="s">
        <v>28</v>
      </c>
      <c r="C161" s="258"/>
      <c r="D161" s="258"/>
      <c r="E161" s="258"/>
      <c r="F161" s="258"/>
      <c r="G161" s="260"/>
      <c r="H161" s="260"/>
      <c r="I161" s="260">
        <f t="shared" ref="I161:M161" si="66">CHOOSE($G$4,I158,I159,I160)</f>
        <v>0.55000000000000004</v>
      </c>
      <c r="J161" s="260">
        <f t="shared" si="66"/>
        <v>0.6</v>
      </c>
      <c r="K161" s="260">
        <f t="shared" si="66"/>
        <v>0.65</v>
      </c>
      <c r="L161" s="260">
        <f t="shared" si="66"/>
        <v>0.75</v>
      </c>
      <c r="M161" s="260">
        <f t="shared" si="66"/>
        <v>0.8</v>
      </c>
      <c r="N161" s="260">
        <f t="shared" ref="N161:R161" si="67">CHOOSE($G$4,N158,N159,N160)</f>
        <v>0.8</v>
      </c>
      <c r="O161" s="260">
        <f t="shared" si="67"/>
        <v>0.8</v>
      </c>
      <c r="P161" s="260">
        <f t="shared" si="67"/>
        <v>0.8</v>
      </c>
      <c r="Q161" s="260">
        <f t="shared" si="67"/>
        <v>0.8</v>
      </c>
      <c r="R161" s="260">
        <f t="shared" si="67"/>
        <v>0.8</v>
      </c>
    </row>
    <row r="163" spans="1:18" ht="15.6">
      <c r="A163" t="s">
        <v>18</v>
      </c>
      <c r="B163" s="463" t="s">
        <v>448</v>
      </c>
      <c r="C163" s="463"/>
      <c r="D163" s="463"/>
      <c r="E163" s="463"/>
      <c r="F163" s="463"/>
      <c r="G163" s="463"/>
      <c r="H163" s="463"/>
      <c r="I163" s="463"/>
      <c r="J163" s="463"/>
      <c r="K163" s="463"/>
      <c r="L163" s="463"/>
      <c r="M163" s="463"/>
      <c r="N163" s="463"/>
      <c r="O163" s="463"/>
      <c r="P163" s="463"/>
      <c r="Q163" s="463"/>
      <c r="R163" s="463"/>
    </row>
    <row r="165" spans="1:18">
      <c r="B165" s="26" t="s">
        <v>449</v>
      </c>
    </row>
    <row r="166" spans="1:18">
      <c r="B166" s="14" t="s">
        <v>19</v>
      </c>
      <c r="C166" s="15"/>
      <c r="D166" s="15"/>
      <c r="E166" s="15"/>
      <c r="F166" s="15"/>
      <c r="G166" s="21"/>
      <c r="H166" s="21"/>
      <c r="I166" s="21">
        <v>5.1999999999999998E-2</v>
      </c>
      <c r="J166" s="21">
        <v>5.1999999999999998E-2</v>
      </c>
      <c r="K166" s="21">
        <v>5.1999999999999998E-2</v>
      </c>
      <c r="L166" s="21">
        <v>5.1999999999999998E-2</v>
      </c>
      <c r="M166" s="21">
        <v>5.1999999999999998E-2</v>
      </c>
      <c r="N166" s="21">
        <v>5.1999999999999998E-2</v>
      </c>
      <c r="O166" s="21">
        <v>5.1999999999999998E-2</v>
      </c>
      <c r="P166" s="21">
        <v>5.1999999999999998E-2</v>
      </c>
      <c r="Q166" s="21">
        <v>5.1999999999999998E-2</v>
      </c>
      <c r="R166" s="21">
        <v>5.1999999999999998E-2</v>
      </c>
    </row>
    <row r="167" spans="1:18">
      <c r="B167" s="14" t="s">
        <v>20</v>
      </c>
      <c r="C167" s="15"/>
      <c r="D167" s="15"/>
      <c r="E167" s="15"/>
      <c r="F167" s="15"/>
      <c r="G167" s="21"/>
      <c r="H167" s="21"/>
      <c r="I167" s="21">
        <v>5.1999999999999998E-2</v>
      </c>
      <c r="J167" s="21">
        <v>5.1999999999999998E-2</v>
      </c>
      <c r="K167" s="21">
        <v>5.1999999999999998E-2</v>
      </c>
      <c r="L167" s="21">
        <v>5.1999999999999998E-2</v>
      </c>
      <c r="M167" s="21">
        <v>5.1999999999999998E-2</v>
      </c>
      <c r="N167" s="21">
        <v>5.1999999999999998E-2</v>
      </c>
      <c r="O167" s="21">
        <v>5.1999999999999998E-2</v>
      </c>
      <c r="P167" s="21">
        <v>5.1999999999999998E-2</v>
      </c>
      <c r="Q167" s="21">
        <v>5.1999999999999998E-2</v>
      </c>
      <c r="R167" s="21">
        <v>5.1999999999999998E-2</v>
      </c>
    </row>
    <row r="168" spans="1:18">
      <c r="B168" s="16" t="s">
        <v>21</v>
      </c>
      <c r="C168" s="17"/>
      <c r="D168" s="17"/>
      <c r="E168" s="17"/>
      <c r="F168" s="17"/>
      <c r="G168" s="21"/>
      <c r="H168" s="21"/>
      <c r="I168" s="21">
        <v>5.1999999999999998E-2</v>
      </c>
      <c r="J168" s="21">
        <v>5.1999999999999998E-2</v>
      </c>
      <c r="K168" s="21">
        <v>5.1999999999999998E-2</v>
      </c>
      <c r="L168" s="21">
        <v>5.1999999999999998E-2</v>
      </c>
      <c r="M168" s="21">
        <v>5.1999999999999998E-2</v>
      </c>
      <c r="N168" s="21">
        <v>5.1999999999999998E-2</v>
      </c>
      <c r="O168" s="21">
        <v>5.1999999999999998E-2</v>
      </c>
      <c r="P168" s="21">
        <v>5.1999999999999998E-2</v>
      </c>
      <c r="Q168" s="21">
        <v>5.1999999999999998E-2</v>
      </c>
      <c r="R168" s="21">
        <v>5.1999999999999998E-2</v>
      </c>
    </row>
    <row r="169" spans="1:18">
      <c r="B169" s="257" t="s">
        <v>28</v>
      </c>
      <c r="C169" s="258"/>
      <c r="D169" s="258"/>
      <c r="E169" s="258"/>
      <c r="F169" s="258"/>
      <c r="G169" s="260"/>
      <c r="H169" s="260"/>
      <c r="I169" s="260">
        <f t="shared" ref="I169:M169" si="68">CHOOSE($G$4,I166,I167,I168)</f>
        <v>5.1999999999999998E-2</v>
      </c>
      <c r="J169" s="260">
        <f t="shared" si="68"/>
        <v>5.1999999999999998E-2</v>
      </c>
      <c r="K169" s="260">
        <f t="shared" si="68"/>
        <v>5.1999999999999998E-2</v>
      </c>
      <c r="L169" s="260">
        <f t="shared" si="68"/>
        <v>5.1999999999999998E-2</v>
      </c>
      <c r="M169" s="260">
        <f t="shared" si="68"/>
        <v>5.1999999999999998E-2</v>
      </c>
      <c r="N169" s="260">
        <f t="shared" ref="N169:R169" si="69">CHOOSE($G$4,N166,N167,N168)</f>
        <v>5.1999999999999998E-2</v>
      </c>
      <c r="O169" s="260">
        <f t="shared" si="69"/>
        <v>5.1999999999999998E-2</v>
      </c>
      <c r="P169" s="260">
        <f t="shared" si="69"/>
        <v>5.1999999999999998E-2</v>
      </c>
      <c r="Q169" s="260">
        <f t="shared" si="69"/>
        <v>5.1999999999999998E-2</v>
      </c>
      <c r="R169" s="260">
        <f t="shared" si="69"/>
        <v>5.1999999999999998E-2</v>
      </c>
    </row>
  </sheetData>
  <sheetProtection algorithmName="SHA-512" hashValue="bCwSP9bd0qT4KHUx4VhjnTz84O/PtADeUCLWhUKgrpyHV7c59/IoRJ1fQW7ZWIosDSFmxR1ktDdDXYV7o1FPUw==" saltValue="TWuuX5/Df2/jOtOeuHtKnA==" spinCount="100000" sheet="1" objects="1" scenarios="1" selectLockedCells="1" selectUnlockedCells="1"/>
  <mergeCells count="2">
    <mergeCell ref="I8:M8"/>
    <mergeCell ref="N8:R8"/>
  </mergeCells>
  <pageMargins left="0.7" right="0.7" top="0.75" bottom="0.75" header="0.3" footer="0.3"/>
  <ignoredErrors>
    <ignoredError sqref="J135:L135" 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6</xdr:col>
                    <xdr:colOff>7620</xdr:colOff>
                    <xdr:row>2</xdr:row>
                    <xdr:rowOff>182880</xdr:rowOff>
                  </from>
                  <to>
                    <xdr:col>7</xdr:col>
                    <xdr:colOff>403860</xdr:colOff>
                    <xdr:row>4</xdr:row>
                    <xdr:rowOff>7620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4736-3D30-44C6-8AB7-361E24B21063}">
  <dimension ref="A1:T254"/>
  <sheetViews>
    <sheetView showGridLines="0" zoomScale="59" zoomScaleNormal="60" workbookViewId="0">
      <pane ySplit="9" topLeftCell="A189" activePane="bottomLeft" state="frozen"/>
      <selection pane="bottomLeft" activeCell="J204" sqref="J204"/>
    </sheetView>
  </sheetViews>
  <sheetFormatPr defaultRowHeight="14.4" outlineLevelRow="1"/>
  <cols>
    <col min="1" max="1" width="1.88671875" customWidth="1"/>
    <col min="2" max="2" width="37" customWidth="1"/>
    <col min="3" max="3" width="27" bestFit="1" customWidth="1"/>
    <col min="4" max="5" width="18.33203125" bestFit="1" customWidth="1"/>
    <col min="6" max="7" width="18.5546875" bestFit="1" customWidth="1"/>
    <col min="8" max="8" width="12.109375" customWidth="1"/>
    <col min="9" max="13" width="10.5546875" bestFit="1" customWidth="1"/>
    <col min="14" max="18" width="10.5546875" customWidth="1"/>
  </cols>
  <sheetData>
    <row r="1" spans="1:18" ht="6.6" customHeight="1"/>
    <row r="2" spans="1:18" ht="21">
      <c r="B2" s="462" t="str">
        <f>'Input Sheet'!C5</f>
        <v>Eicher Motors</v>
      </c>
    </row>
    <row r="3" spans="1:18" ht="15.6">
      <c r="B3" s="9" t="s">
        <v>55</v>
      </c>
    </row>
    <row r="4" spans="1:18">
      <c r="H4" t="s">
        <v>22</v>
      </c>
      <c r="I4">
        <v>0</v>
      </c>
    </row>
    <row r="8" spans="1:18" ht="15.6">
      <c r="H8" s="253" t="s">
        <v>16</v>
      </c>
      <c r="I8" s="549" t="s">
        <v>17</v>
      </c>
      <c r="J8" s="549"/>
      <c r="K8" s="549"/>
      <c r="L8" s="549"/>
      <c r="M8" s="549"/>
      <c r="N8" s="550" t="s">
        <v>936</v>
      </c>
      <c r="O8" s="550"/>
      <c r="P8" s="550"/>
      <c r="Q8" s="550"/>
      <c r="R8" s="550"/>
    </row>
    <row r="9" spans="1:18">
      <c r="B9" s="495" t="s">
        <v>15</v>
      </c>
      <c r="C9" s="11"/>
      <c r="D9" s="51">
        <f>Controlsheet!D9</f>
        <v>2021</v>
      </c>
      <c r="E9" s="51">
        <f>Controlsheet!E9</f>
        <v>2022</v>
      </c>
      <c r="F9" s="51">
        <f>Controlsheet!F9</f>
        <v>2023</v>
      </c>
      <c r="G9" s="51">
        <f>Controlsheet!G9</f>
        <v>2024</v>
      </c>
      <c r="H9" s="51">
        <f>Controlsheet!H9</f>
        <v>2025</v>
      </c>
      <c r="I9" s="51">
        <f>H9+1</f>
        <v>2026</v>
      </c>
      <c r="J9" s="51">
        <f t="shared" ref="J9:M9" si="0">I9+1</f>
        <v>2027</v>
      </c>
      <c r="K9" s="51">
        <f t="shared" si="0"/>
        <v>2028</v>
      </c>
      <c r="L9" s="51">
        <f t="shared" si="0"/>
        <v>2029</v>
      </c>
      <c r="M9" s="51">
        <f t="shared" si="0"/>
        <v>2030</v>
      </c>
      <c r="N9" s="51">
        <f t="shared" ref="N9" si="1">M9+1</f>
        <v>2031</v>
      </c>
      <c r="O9" s="51">
        <f t="shared" ref="O9" si="2">N9+1</f>
        <v>2032</v>
      </c>
      <c r="P9" s="51">
        <f t="shared" ref="P9" si="3">O9+1</f>
        <v>2033</v>
      </c>
      <c r="Q9" s="51">
        <f t="shared" ref="Q9" si="4">P9+1</f>
        <v>2034</v>
      </c>
      <c r="R9" s="51">
        <f t="shared" ref="R9" si="5">Q9+1</f>
        <v>2035</v>
      </c>
    </row>
    <row r="11" spans="1:18" ht="15.6">
      <c r="A11" t="s">
        <v>18</v>
      </c>
      <c r="B11" s="463" t="s">
        <v>250</v>
      </c>
      <c r="C11" s="463"/>
      <c r="D11" s="463"/>
      <c r="E11" s="463"/>
      <c r="F11" s="463"/>
      <c r="G11" s="463"/>
      <c r="H11" s="463"/>
      <c r="I11" s="463"/>
      <c r="J11" s="463"/>
      <c r="K11" s="463"/>
      <c r="L11" s="463"/>
      <c r="M11" s="463"/>
      <c r="N11" s="463"/>
      <c r="O11" s="463"/>
      <c r="P11" s="463"/>
      <c r="Q11" s="463"/>
      <c r="R11" s="463"/>
    </row>
    <row r="12" spans="1:18" outlineLevel="1"/>
    <row r="13" spans="1:18" outlineLevel="1">
      <c r="B13" s="27" t="s">
        <v>38</v>
      </c>
      <c r="C13" s="27"/>
      <c r="D13" s="281">
        <f>'ConsolidatedP&amp;L'!E6</f>
        <v>8720.35</v>
      </c>
      <c r="E13" s="281">
        <f>'ConsolidatedP&amp;L'!F6</f>
        <v>10297.83</v>
      </c>
      <c r="F13" s="281">
        <f>'ConsolidatedP&amp;L'!G6</f>
        <v>14442.18</v>
      </c>
      <c r="G13" s="281">
        <f>'ConsolidatedP&amp;L'!H6</f>
        <v>16535.78</v>
      </c>
      <c r="H13" s="281">
        <f>'ConsolidatedP&amp;L'!I6</f>
        <v>18870.349999999999</v>
      </c>
      <c r="I13" s="282">
        <f>H13*(1+I15)</f>
        <v>21700.902499999997</v>
      </c>
      <c r="J13" s="282">
        <f t="shared" ref="J13:M13" si="6">I13*(1+J15)</f>
        <v>24793.281106249997</v>
      </c>
      <c r="K13" s="282">
        <f t="shared" si="6"/>
        <v>28140.374055593747</v>
      </c>
      <c r="L13" s="282">
        <f t="shared" si="6"/>
        <v>31728.271747681949</v>
      </c>
      <c r="M13" s="282">
        <f t="shared" si="6"/>
        <v>35535.664357403788</v>
      </c>
      <c r="N13" s="282">
        <f t="shared" ref="N13" si="7">M13*(1+N15)</f>
        <v>39799.944080292247</v>
      </c>
      <c r="O13" s="282">
        <f t="shared" ref="O13" si="8">N13*(1+O15)</f>
        <v>44575.93736992732</v>
      </c>
      <c r="P13" s="282">
        <f t="shared" ref="P13" si="9">O13*(1+P15)</f>
        <v>49925.049854318604</v>
      </c>
      <c r="Q13" s="282">
        <f t="shared" ref="Q13" si="10">P13*(1+Q15)</f>
        <v>55916.055836836844</v>
      </c>
      <c r="R13" s="282">
        <f t="shared" ref="R13" si="11">Q13*(1+R15)</f>
        <v>62625.982537257274</v>
      </c>
    </row>
    <row r="14" spans="1:18" outlineLevel="1">
      <c r="B14" s="26"/>
      <c r="C14" s="26"/>
      <c r="D14" s="234"/>
      <c r="E14" s="234"/>
      <c r="F14" s="234"/>
      <c r="G14" s="234"/>
      <c r="H14" s="234"/>
      <c r="I14" s="140"/>
      <c r="J14" s="140"/>
      <c r="K14" s="140"/>
      <c r="L14" s="140"/>
      <c r="M14" s="140"/>
      <c r="N14" s="140"/>
      <c r="O14" s="140"/>
      <c r="P14" s="140"/>
      <c r="Q14" s="140"/>
      <c r="R14" s="140"/>
    </row>
    <row r="15" spans="1:18" outlineLevel="1">
      <c r="B15" s="167" t="s">
        <v>363</v>
      </c>
      <c r="C15" s="26"/>
      <c r="D15" s="234"/>
      <c r="E15" s="147">
        <f>E13/D13-1</f>
        <v>0.18089640897441028</v>
      </c>
      <c r="F15" s="147">
        <f t="shared" ref="F15:H15" si="12">F13/E13-1</f>
        <v>0.40244886544058311</v>
      </c>
      <c r="G15" s="147">
        <f t="shared" si="12"/>
        <v>0.14496426439775711</v>
      </c>
      <c r="H15" s="147">
        <f t="shared" si="12"/>
        <v>0.14118293784750402</v>
      </c>
      <c r="I15" s="236">
        <f>Controlsheet!I19</f>
        <v>0.15</v>
      </c>
      <c r="J15" s="236">
        <f>Controlsheet!J19</f>
        <v>0.14249999999999999</v>
      </c>
      <c r="K15" s="236">
        <f>Controlsheet!K19</f>
        <v>0.13499999999999998</v>
      </c>
      <c r="L15" s="236">
        <f>Controlsheet!L19</f>
        <v>0.12749999999999997</v>
      </c>
      <c r="M15" s="236">
        <f>Controlsheet!M19</f>
        <v>0.12</v>
      </c>
      <c r="N15" s="236">
        <f>Controlsheet!N19</f>
        <v>0.12</v>
      </c>
      <c r="O15" s="236">
        <f>Controlsheet!O19</f>
        <v>0.12</v>
      </c>
      <c r="P15" s="236">
        <f>Controlsheet!P19</f>
        <v>0.12</v>
      </c>
      <c r="Q15" s="236">
        <f>Controlsheet!Q19</f>
        <v>0.12</v>
      </c>
      <c r="R15" s="236">
        <f>Controlsheet!R19</f>
        <v>0.12</v>
      </c>
    </row>
    <row r="17" spans="1:18" ht="15.6">
      <c r="A17" t="s">
        <v>18</v>
      </c>
      <c r="B17" s="463" t="s">
        <v>24</v>
      </c>
      <c r="C17" s="463"/>
      <c r="D17" s="463"/>
      <c r="E17" s="463"/>
      <c r="F17" s="463"/>
      <c r="G17" s="463"/>
      <c r="H17" s="463"/>
      <c r="I17" s="463"/>
      <c r="J17" s="463"/>
      <c r="K17" s="463"/>
      <c r="L17" s="463"/>
      <c r="M17" s="463"/>
      <c r="N17" s="463"/>
      <c r="O17" s="463"/>
      <c r="P17" s="463"/>
      <c r="Q17" s="463"/>
      <c r="R17" s="463"/>
    </row>
    <row r="18" spans="1:18" outlineLevel="1"/>
    <row r="19" spans="1:18" outlineLevel="1"/>
    <row r="20" spans="1:18" outlineLevel="1">
      <c r="B20" s="27" t="s">
        <v>49</v>
      </c>
      <c r="C20" s="27"/>
      <c r="D20" s="126">
        <f>'ConsolidatedP&amp;L'!E16*-1</f>
        <v>5112.2700000000004</v>
      </c>
      <c r="E20" s="126">
        <f>'ConsolidatedP&amp;L'!F16*-1</f>
        <v>5955.6799999999994</v>
      </c>
      <c r="F20" s="126">
        <f>'ConsolidatedP&amp;L'!G16*-1</f>
        <v>8211.9</v>
      </c>
      <c r="G20" s="126">
        <f>'ConsolidatedP&amp;L'!H16*-1</f>
        <v>8980.65</v>
      </c>
      <c r="H20" s="126">
        <f>'ConsolidatedP&amp;L'!I16*-1</f>
        <v>10297.08</v>
      </c>
      <c r="I20" s="28">
        <f>I13*I22</f>
        <v>11935.496374999999</v>
      </c>
      <c r="J20" s="28">
        <f>J13*J22</f>
        <v>13785.064295074999</v>
      </c>
      <c r="K20" s="28">
        <f>K13*K22</f>
        <v>15814.890219243687</v>
      </c>
      <c r="L20" s="28">
        <f>L13*L22</f>
        <v>18021.658352683349</v>
      </c>
      <c r="M20" s="28">
        <f>M13*M22</f>
        <v>20397.471341149776</v>
      </c>
      <c r="N20" s="28">
        <f t="shared" ref="N20:R20" si="13">N13*N22</f>
        <v>22845.167902087753</v>
      </c>
      <c r="O20" s="28">
        <f t="shared" si="13"/>
        <v>25586.588050338283</v>
      </c>
      <c r="P20" s="28">
        <f t="shared" si="13"/>
        <v>28656.978616378881</v>
      </c>
      <c r="Q20" s="28">
        <f t="shared" si="13"/>
        <v>32095.816050344351</v>
      </c>
      <c r="R20" s="28">
        <f t="shared" si="13"/>
        <v>35947.313976385682</v>
      </c>
    </row>
    <row r="21" spans="1:18" outlineLevel="1">
      <c r="B21" s="26"/>
      <c r="C21" s="26"/>
      <c r="D21" s="235"/>
      <c r="E21" s="235"/>
      <c r="F21" s="235"/>
      <c r="G21" s="235"/>
      <c r="H21" s="235"/>
      <c r="I21" s="158"/>
      <c r="J21" s="158"/>
      <c r="K21" s="158"/>
      <c r="L21" s="158"/>
      <c r="M21" s="158"/>
      <c r="N21" s="158"/>
      <c r="O21" s="158"/>
      <c r="P21" s="158"/>
      <c r="Q21" s="158"/>
      <c r="R21" s="158"/>
    </row>
    <row r="22" spans="1:18" outlineLevel="1">
      <c r="B22" t="s">
        <v>253</v>
      </c>
      <c r="D22" s="147">
        <f>D20/D13</f>
        <v>0.58624596489819791</v>
      </c>
      <c r="E22" s="147">
        <f t="shared" ref="E22:H22" si="14">E20/E13</f>
        <v>0.57834320434499298</v>
      </c>
      <c r="F22" s="147">
        <f t="shared" si="14"/>
        <v>0.56860529366065227</v>
      </c>
      <c r="G22" s="147">
        <f t="shared" si="14"/>
        <v>0.54310410515863183</v>
      </c>
      <c r="H22" s="147">
        <f t="shared" si="14"/>
        <v>0.54567509346673493</v>
      </c>
      <c r="I22" s="236">
        <f>Controlsheet!I30</f>
        <v>0.55000000000000004</v>
      </c>
      <c r="J22" s="236">
        <f>Controlsheet!J30</f>
        <v>0.55600000000000005</v>
      </c>
      <c r="K22" s="236">
        <f>Controlsheet!K30</f>
        <v>0.56200000000000006</v>
      </c>
      <c r="L22" s="236">
        <f>Controlsheet!L30</f>
        <v>0.56800000000000006</v>
      </c>
      <c r="M22" s="236">
        <f>Controlsheet!M30</f>
        <v>0.57400000000000007</v>
      </c>
      <c r="N22" s="236">
        <f>Controlsheet!N30</f>
        <v>0.57400000000000007</v>
      </c>
      <c r="O22" s="236">
        <f>Controlsheet!O30</f>
        <v>0.57400000000000007</v>
      </c>
      <c r="P22" s="236">
        <f>Controlsheet!P30</f>
        <v>0.57400000000000007</v>
      </c>
      <c r="Q22" s="236">
        <f>Controlsheet!Q30</f>
        <v>0.57400000000000007</v>
      </c>
      <c r="R22" s="236">
        <f>Controlsheet!R30</f>
        <v>0.57400000000000007</v>
      </c>
    </row>
    <row r="23" spans="1:18" ht="18">
      <c r="A23" s="19"/>
      <c r="B23" s="31"/>
      <c r="C23" s="32"/>
      <c r="D23" s="32"/>
      <c r="E23" s="32"/>
      <c r="F23" s="32"/>
      <c r="G23" s="32"/>
      <c r="H23" s="32"/>
      <c r="I23" s="32"/>
      <c r="J23" s="32"/>
      <c r="K23" s="32"/>
      <c r="L23" s="32"/>
      <c r="M23" s="32"/>
      <c r="N23" s="32"/>
      <c r="O23" s="32"/>
      <c r="P23" s="32"/>
      <c r="Q23" s="32"/>
      <c r="R23" s="32"/>
    </row>
    <row r="24" spans="1:18" ht="15.6">
      <c r="A24" t="s">
        <v>18</v>
      </c>
      <c r="B24" s="463" t="s">
        <v>25</v>
      </c>
      <c r="C24" s="463"/>
      <c r="D24" s="463"/>
      <c r="E24" s="463"/>
      <c r="F24" s="463"/>
      <c r="G24" s="463"/>
      <c r="H24" s="463"/>
      <c r="I24" s="463"/>
      <c r="J24" s="463"/>
      <c r="K24" s="463"/>
      <c r="L24" s="463"/>
      <c r="M24" s="463"/>
      <c r="N24" s="463"/>
      <c r="O24" s="463"/>
      <c r="P24" s="463"/>
      <c r="Q24" s="463"/>
      <c r="R24" s="463"/>
    </row>
    <row r="25" spans="1:18" outlineLevel="1"/>
    <row r="26" spans="1:18" outlineLevel="1">
      <c r="B26" s="254" t="s">
        <v>314</v>
      </c>
      <c r="C26" s="255"/>
      <c r="D26" s="255"/>
      <c r="E26" s="255"/>
      <c r="F26" s="255"/>
      <c r="G26" s="255"/>
      <c r="H26" s="255"/>
      <c r="I26" s="255"/>
      <c r="J26" s="255"/>
      <c r="K26" s="255"/>
      <c r="L26" s="255"/>
      <c r="M26" s="255"/>
      <c r="N26" s="255"/>
      <c r="O26" s="255"/>
      <c r="P26" s="255"/>
      <c r="Q26" s="255"/>
      <c r="R26" s="255"/>
    </row>
    <row r="27" spans="1:18" outlineLevel="1"/>
    <row r="28" spans="1:18" outlineLevel="1">
      <c r="B28" t="s">
        <v>314</v>
      </c>
      <c r="D28" s="206">
        <f>'Assumptions Working'!F247</f>
        <v>843.23</v>
      </c>
      <c r="E28" s="206">
        <f>'Assumptions Working'!G247</f>
        <v>821.02</v>
      </c>
      <c r="F28" s="206">
        <f>'Assumptions Working'!H247</f>
        <v>1001.93</v>
      </c>
      <c r="G28" s="206">
        <f>'Assumptions Working'!I247</f>
        <v>1235.69</v>
      </c>
      <c r="H28" s="206">
        <f>'Assumptions Working'!J247</f>
        <v>1391.23</v>
      </c>
      <c r="I28" s="165">
        <f>I$13*I29</f>
        <v>1627.5676874999997</v>
      </c>
      <c r="J28" s="165">
        <f>J$13*J29</f>
        <v>1859.4960829687498</v>
      </c>
      <c r="K28" s="165">
        <f t="shared" ref="K28:R28" si="15">K$13*K29</f>
        <v>2110.5280541695311</v>
      </c>
      <c r="L28" s="165">
        <f t="shared" si="15"/>
        <v>2379.6203810761463</v>
      </c>
      <c r="M28" s="165">
        <f t="shared" si="15"/>
        <v>2665.1748268052838</v>
      </c>
      <c r="N28" s="165">
        <f t="shared" si="15"/>
        <v>2984.9958060219183</v>
      </c>
      <c r="O28" s="165">
        <f t="shared" si="15"/>
        <v>3343.1953027445488</v>
      </c>
      <c r="P28" s="165">
        <f t="shared" si="15"/>
        <v>3744.3787390738953</v>
      </c>
      <c r="Q28" s="165">
        <f t="shared" si="15"/>
        <v>4193.7041877627635</v>
      </c>
      <c r="R28" s="165">
        <f t="shared" si="15"/>
        <v>4696.9486902942954</v>
      </c>
    </row>
    <row r="29" spans="1:18" outlineLevel="1">
      <c r="B29" s="22" t="s">
        <v>312</v>
      </c>
      <c r="C29" s="22"/>
      <c r="D29" s="41">
        <f>'Assumptions Working'!F248</f>
        <v>9.6696806894218695E-2</v>
      </c>
      <c r="E29" s="41">
        <f>'Assumptions Working'!G248</f>
        <v>7.9727476565451164E-2</v>
      </c>
      <c r="F29" s="41">
        <f>'Assumptions Working'!H248</f>
        <v>6.9375260521610999E-2</v>
      </c>
      <c r="G29" s="41">
        <f>'Assumptions Working'!I248</f>
        <v>7.4728255939544436E-2</v>
      </c>
      <c r="H29" s="41">
        <f>'Assumptions Working'!J248</f>
        <v>7.3725712559650464E-2</v>
      </c>
      <c r="I29" s="41">
        <f>Controlsheet!I39</f>
        <v>7.4999999999999997E-2</v>
      </c>
      <c r="J29" s="41">
        <f>Controlsheet!J39</f>
        <v>7.4999999999999997E-2</v>
      </c>
      <c r="K29" s="41">
        <f>Controlsheet!K39</f>
        <v>7.4999999999999997E-2</v>
      </c>
      <c r="L29" s="41">
        <f>Controlsheet!L39</f>
        <v>7.4999999999999997E-2</v>
      </c>
      <c r="M29" s="41">
        <f>Controlsheet!M39</f>
        <v>7.4999999999999997E-2</v>
      </c>
      <c r="N29" s="41">
        <f>Controlsheet!N39</f>
        <v>7.4999999999999997E-2</v>
      </c>
      <c r="O29" s="41">
        <f>Controlsheet!O39</f>
        <v>7.4999999999999997E-2</v>
      </c>
      <c r="P29" s="41">
        <f>Controlsheet!P39</f>
        <v>7.4999999999999997E-2</v>
      </c>
      <c r="Q29" s="41">
        <f>Controlsheet!Q39</f>
        <v>7.4999999999999997E-2</v>
      </c>
      <c r="R29" s="41">
        <f>Controlsheet!R39</f>
        <v>7.4999999999999997E-2</v>
      </c>
    </row>
    <row r="30" spans="1:18" outlineLevel="1"/>
    <row r="31" spans="1:18" outlineLevel="1">
      <c r="B31" s="254" t="s">
        <v>306</v>
      </c>
      <c r="C31" s="255"/>
      <c r="D31" s="255"/>
      <c r="E31" s="255"/>
      <c r="F31" s="255"/>
      <c r="G31" s="255"/>
      <c r="H31" s="255"/>
      <c r="I31" s="255"/>
      <c r="J31" s="255"/>
      <c r="K31" s="255"/>
      <c r="L31" s="255"/>
      <c r="M31" s="255"/>
      <c r="N31" s="255"/>
      <c r="O31" s="255"/>
      <c r="P31" s="255"/>
      <c r="Q31" s="255"/>
      <c r="R31" s="255"/>
    </row>
    <row r="32" spans="1:18" outlineLevel="1"/>
    <row r="33" spans="2:18" outlineLevel="1">
      <c r="B33" t="s">
        <v>306</v>
      </c>
      <c r="D33" s="154">
        <f>'Assumptions Working'!F250</f>
        <v>139.51</v>
      </c>
      <c r="E33" s="154">
        <f>'Assumptions Working'!G250</f>
        <v>198.56</v>
      </c>
      <c r="F33" s="154">
        <f>'Assumptions Working'!H250</f>
        <v>262.25</v>
      </c>
      <c r="G33" s="154">
        <f>'Assumptions Working'!I250</f>
        <v>239.14</v>
      </c>
      <c r="H33" s="154">
        <f>'Assumptions Working'!J250</f>
        <v>286.56</v>
      </c>
      <c r="I33" s="165">
        <f>I$13*I34</f>
        <v>368.91534249999995</v>
      </c>
      <c r="J33" s="165">
        <f>J$13*J34</f>
        <v>421.48577880624998</v>
      </c>
      <c r="K33" s="165">
        <f t="shared" ref="K33" si="16">K$13*K34</f>
        <v>478.38635894509372</v>
      </c>
      <c r="L33" s="165">
        <f t="shared" ref="L33" si="17">L$13*L34</f>
        <v>539.38061971059312</v>
      </c>
      <c r="M33" s="165">
        <f t="shared" ref="M33:R33" si="18">M$13*M34</f>
        <v>604.10629407586441</v>
      </c>
      <c r="N33" s="165">
        <f t="shared" si="18"/>
        <v>676.59904936496821</v>
      </c>
      <c r="O33" s="165">
        <f t="shared" si="18"/>
        <v>757.79093528876444</v>
      </c>
      <c r="P33" s="165">
        <f t="shared" si="18"/>
        <v>848.72584752341629</v>
      </c>
      <c r="Q33" s="165">
        <f t="shared" si="18"/>
        <v>950.57294922622646</v>
      </c>
      <c r="R33" s="165">
        <f t="shared" si="18"/>
        <v>1064.6417031333738</v>
      </c>
    </row>
    <row r="34" spans="2:18" outlineLevel="1">
      <c r="B34" s="22" t="s">
        <v>307</v>
      </c>
      <c r="C34" s="22"/>
      <c r="D34" s="41">
        <f>'Assumptions Working'!F251</f>
        <v>1.5998211080977251E-2</v>
      </c>
      <c r="E34" s="41">
        <f>'Assumptions Working'!G251</f>
        <v>1.9281732170758306E-2</v>
      </c>
      <c r="F34" s="41">
        <f>'Assumptions Working'!H251</f>
        <v>1.8158615943022451E-2</v>
      </c>
      <c r="G34" s="41">
        <f>'Assumptions Working'!I251</f>
        <v>1.4461972764514283E-2</v>
      </c>
      <c r="H34" s="41">
        <f>'Assumptions Working'!J251</f>
        <v>1.518572787468171E-2</v>
      </c>
      <c r="I34" s="41">
        <f>Controlsheet!I45</f>
        <v>1.7000000000000001E-2</v>
      </c>
      <c r="J34" s="41">
        <f>Controlsheet!J45</f>
        <v>1.7000000000000001E-2</v>
      </c>
      <c r="K34" s="41">
        <f>Controlsheet!K45</f>
        <v>1.7000000000000001E-2</v>
      </c>
      <c r="L34" s="41">
        <f>Controlsheet!L45</f>
        <v>1.7000000000000001E-2</v>
      </c>
      <c r="M34" s="41">
        <f>Controlsheet!M45</f>
        <v>1.7000000000000001E-2</v>
      </c>
      <c r="N34" s="41">
        <f>Controlsheet!N45</f>
        <v>1.7000000000000001E-2</v>
      </c>
      <c r="O34" s="41">
        <f>Controlsheet!O45</f>
        <v>1.7000000000000001E-2</v>
      </c>
      <c r="P34" s="41">
        <f>Controlsheet!P45</f>
        <v>1.7000000000000001E-2</v>
      </c>
      <c r="Q34" s="41">
        <f>Controlsheet!Q45</f>
        <v>1.7000000000000001E-2</v>
      </c>
      <c r="R34" s="41">
        <f>Controlsheet!R45</f>
        <v>1.7000000000000001E-2</v>
      </c>
    </row>
    <row r="35" spans="2:18" outlineLevel="1"/>
    <row r="36" spans="2:18" outlineLevel="1">
      <c r="B36" s="254" t="s">
        <v>294</v>
      </c>
      <c r="C36" s="255"/>
      <c r="D36" s="255"/>
      <c r="E36" s="255"/>
      <c r="F36" s="255"/>
      <c r="G36" s="255"/>
      <c r="H36" s="255"/>
      <c r="I36" s="255"/>
      <c r="J36" s="255"/>
      <c r="K36" s="255"/>
      <c r="L36" s="255"/>
      <c r="M36" s="255"/>
      <c r="N36" s="255"/>
      <c r="O36" s="255"/>
      <c r="P36" s="255"/>
      <c r="Q36" s="255"/>
      <c r="R36" s="255"/>
    </row>
    <row r="37" spans="2:18" outlineLevel="1"/>
    <row r="38" spans="2:18" outlineLevel="1">
      <c r="B38" t="s">
        <v>294</v>
      </c>
      <c r="D38" s="154">
        <f>'Assumptions Working'!F253</f>
        <v>121.1</v>
      </c>
      <c r="E38" s="154">
        <f>'Assumptions Working'!G253</f>
        <v>180.97</v>
      </c>
      <c r="F38" s="154">
        <f>'Assumptions Working'!H253</f>
        <v>272.83</v>
      </c>
      <c r="G38" s="154">
        <f>'Assumptions Working'!I253</f>
        <v>265.57</v>
      </c>
      <c r="H38" s="154">
        <f>'Assumptions Working'!J253</f>
        <v>330.64</v>
      </c>
      <c r="I38" s="165">
        <f>I$13*I39</f>
        <v>347.21443999999997</v>
      </c>
      <c r="J38" s="165">
        <f>J$13*J39</f>
        <v>396.69249769999993</v>
      </c>
      <c r="K38" s="165">
        <f t="shared" ref="K38" si="19">K$13*K39</f>
        <v>450.24598488949999</v>
      </c>
      <c r="L38" s="165">
        <f t="shared" ref="L38" si="20">L$13*L39</f>
        <v>507.65234796291116</v>
      </c>
      <c r="M38" s="165">
        <f t="shared" ref="M38:R38" si="21">M$13*M39</f>
        <v>568.57062971846062</v>
      </c>
      <c r="N38" s="165">
        <f t="shared" si="21"/>
        <v>636.79910528467599</v>
      </c>
      <c r="O38" s="165">
        <f t="shared" si="21"/>
        <v>713.21499791883718</v>
      </c>
      <c r="P38" s="165">
        <f t="shared" si="21"/>
        <v>798.80079766909773</v>
      </c>
      <c r="Q38" s="165">
        <f t="shared" si="21"/>
        <v>894.65689338938955</v>
      </c>
      <c r="R38" s="165">
        <f t="shared" si="21"/>
        <v>1002.0157205961164</v>
      </c>
    </row>
    <row r="39" spans="2:18" outlineLevel="1">
      <c r="B39" s="22" t="s">
        <v>308</v>
      </c>
      <c r="C39" s="22"/>
      <c r="D39" s="41">
        <f>'Assumptions Working'!F254</f>
        <v>1.388705728554473E-2</v>
      </c>
      <c r="E39" s="41">
        <f>'Assumptions Working'!G254</f>
        <v>1.7573605312963994E-2</v>
      </c>
      <c r="F39" s="41">
        <f>'Assumptions Working'!H254</f>
        <v>1.8891192326920173E-2</v>
      </c>
      <c r="G39" s="41">
        <f>'Assumptions Working'!I254</f>
        <v>1.6060324943849034E-2</v>
      </c>
      <c r="H39" s="41">
        <f>'Assumptions Working'!J254</f>
        <v>1.7521667589631352E-2</v>
      </c>
      <c r="I39" s="41">
        <f>Controlsheet!I51</f>
        <v>1.6E-2</v>
      </c>
      <c r="J39" s="41">
        <f>Controlsheet!J51</f>
        <v>1.6E-2</v>
      </c>
      <c r="K39" s="41">
        <f>Controlsheet!K51</f>
        <v>1.6E-2</v>
      </c>
      <c r="L39" s="41">
        <f>Controlsheet!L51</f>
        <v>1.6E-2</v>
      </c>
      <c r="M39" s="41">
        <f>Controlsheet!M51</f>
        <v>1.6E-2</v>
      </c>
      <c r="N39" s="41">
        <f>Controlsheet!N51</f>
        <v>1.6E-2</v>
      </c>
      <c r="O39" s="41">
        <f>Controlsheet!O51</f>
        <v>1.6E-2</v>
      </c>
      <c r="P39" s="41">
        <f>Controlsheet!P51</f>
        <v>1.6E-2</v>
      </c>
      <c r="Q39" s="41">
        <f>Controlsheet!Q51</f>
        <v>1.6E-2</v>
      </c>
      <c r="R39" s="41">
        <f>Controlsheet!R51</f>
        <v>1.6E-2</v>
      </c>
    </row>
    <row r="40" spans="2:18" outlineLevel="1"/>
    <row r="41" spans="2:18" outlineLevel="1">
      <c r="B41" s="254" t="s">
        <v>315</v>
      </c>
      <c r="C41" s="255"/>
      <c r="D41" s="255"/>
      <c r="E41" s="255"/>
      <c r="F41" s="255"/>
      <c r="G41" s="255"/>
      <c r="H41" s="255"/>
      <c r="I41" s="255"/>
      <c r="J41" s="255"/>
      <c r="K41" s="255"/>
      <c r="L41" s="255"/>
      <c r="M41" s="255"/>
      <c r="N41" s="255"/>
      <c r="O41" s="255"/>
      <c r="P41" s="255"/>
      <c r="Q41" s="255"/>
      <c r="R41" s="255"/>
    </row>
    <row r="42" spans="2:18" outlineLevel="1"/>
    <row r="43" spans="2:18" outlineLevel="1">
      <c r="B43" t="s">
        <v>315</v>
      </c>
      <c r="D43" s="154">
        <f>'Assumptions Working'!F256</f>
        <v>180.93</v>
      </c>
      <c r="E43" s="154">
        <f>'Assumptions Working'!G256</f>
        <v>284.69</v>
      </c>
      <c r="F43" s="154">
        <f>'Assumptions Working'!H256</f>
        <v>426.39</v>
      </c>
      <c r="G43" s="154">
        <f>'Assumptions Working'!I256</f>
        <v>546.20000000000005</v>
      </c>
      <c r="H43" s="154">
        <f>'Assumptions Working'!J256</f>
        <v>760.88</v>
      </c>
      <c r="I43" s="165">
        <f>I$13*I44</f>
        <v>607.62526999999989</v>
      </c>
      <c r="J43" s="165">
        <f>J$13*J44</f>
        <v>694.2118709749999</v>
      </c>
      <c r="K43" s="165">
        <f t="shared" ref="K43" si="22">K$13*K44</f>
        <v>787.93047355662497</v>
      </c>
      <c r="L43" s="165">
        <f t="shared" ref="L43" si="23">L$13*L44</f>
        <v>888.39160893509461</v>
      </c>
      <c r="M43" s="165">
        <f t="shared" ref="M43:R43" si="24">M$13*M44</f>
        <v>994.99860200730609</v>
      </c>
      <c r="N43" s="165">
        <f t="shared" si="24"/>
        <v>1114.3984342481829</v>
      </c>
      <c r="O43" s="165">
        <f t="shared" si="24"/>
        <v>1248.1262463579651</v>
      </c>
      <c r="P43" s="165">
        <f t="shared" si="24"/>
        <v>1397.901395920921</v>
      </c>
      <c r="Q43" s="165">
        <f t="shared" si="24"/>
        <v>1565.6495634314317</v>
      </c>
      <c r="R43" s="165">
        <f t="shared" si="24"/>
        <v>1753.5275110432037</v>
      </c>
    </row>
    <row r="44" spans="2:18" outlineLevel="1">
      <c r="B44" s="22" t="s">
        <v>316</v>
      </c>
      <c r="C44" s="22"/>
      <c r="D44" s="41">
        <f>'Assumptions Working'!F257</f>
        <v>2.0748020434959605E-2</v>
      </c>
      <c r="E44" s="41">
        <f>'Assumptions Working'!G257</f>
        <v>2.7645630195876219E-2</v>
      </c>
      <c r="F44" s="41">
        <f>'Assumptions Working'!H257</f>
        <v>2.9523936137065179E-2</v>
      </c>
      <c r="G44" s="41">
        <f>'Assumptions Working'!I257</f>
        <v>3.3031402207818444E-2</v>
      </c>
      <c r="H44" s="41">
        <f>'Assumptions Working'!J257</f>
        <v>4.0321456676744208E-2</v>
      </c>
      <c r="I44" s="41">
        <f>Controlsheet!I57</f>
        <v>2.8000000000000001E-2</v>
      </c>
      <c r="J44" s="41">
        <f>Controlsheet!J57</f>
        <v>2.8000000000000001E-2</v>
      </c>
      <c r="K44" s="41">
        <f>Controlsheet!K57</f>
        <v>2.8000000000000001E-2</v>
      </c>
      <c r="L44" s="41">
        <f>Controlsheet!L57</f>
        <v>2.8000000000000001E-2</v>
      </c>
      <c r="M44" s="41">
        <f>Controlsheet!M57</f>
        <v>2.8000000000000001E-2</v>
      </c>
      <c r="N44" s="41">
        <f>Controlsheet!N57</f>
        <v>2.8000000000000001E-2</v>
      </c>
      <c r="O44" s="41">
        <f>Controlsheet!O57</f>
        <v>2.8000000000000001E-2</v>
      </c>
      <c r="P44" s="41">
        <f>Controlsheet!P57</f>
        <v>2.8000000000000001E-2</v>
      </c>
      <c r="Q44" s="41">
        <f>Controlsheet!Q57</f>
        <v>2.8000000000000001E-2</v>
      </c>
      <c r="R44" s="41">
        <f>Controlsheet!R57</f>
        <v>2.8000000000000001E-2</v>
      </c>
    </row>
    <row r="45" spans="2:18" outlineLevel="1"/>
    <row r="46" spans="2:18" outlineLevel="1">
      <c r="B46" s="254" t="s">
        <v>309</v>
      </c>
      <c r="C46" s="255"/>
      <c r="D46" s="255"/>
      <c r="E46" s="255"/>
      <c r="F46" s="255"/>
      <c r="G46" s="255"/>
      <c r="H46" s="255"/>
      <c r="I46" s="255"/>
      <c r="J46" s="255"/>
      <c r="K46" s="255"/>
      <c r="L46" s="255"/>
      <c r="M46" s="255"/>
      <c r="N46" s="255"/>
      <c r="O46" s="255"/>
      <c r="P46" s="255"/>
      <c r="Q46" s="255"/>
      <c r="R46" s="255"/>
    </row>
    <row r="47" spans="2:18" outlineLevel="1"/>
    <row r="48" spans="2:18" outlineLevel="1">
      <c r="B48" t="s">
        <v>309</v>
      </c>
      <c r="D48" s="154">
        <f>'Assumptions Working'!F259</f>
        <v>541.98</v>
      </c>
      <c r="E48" s="154">
        <f>'Assumptions Working'!G259</f>
        <v>684.66000000000008</v>
      </c>
      <c r="F48" s="154">
        <f>'Assumptions Working'!H259</f>
        <v>823.3</v>
      </c>
      <c r="G48" s="154">
        <f>'Assumptions Working'!I259</f>
        <v>941.62</v>
      </c>
      <c r="H48" s="154">
        <f>'Assumptions Working'!J259</f>
        <v>1091.93</v>
      </c>
      <c r="I48" s="165">
        <f>I$13*I49</f>
        <v>1323.7550524999997</v>
      </c>
      <c r="J48" s="165">
        <f>J$13*J49</f>
        <v>1512.3901474812499</v>
      </c>
      <c r="K48" s="165">
        <f t="shared" ref="K48" si="25">K$13*K49</f>
        <v>1716.5628173912185</v>
      </c>
      <c r="L48" s="165">
        <f t="shared" ref="L48" si="26">L$13*L49</f>
        <v>1935.424576608599</v>
      </c>
      <c r="M48" s="165">
        <f t="shared" ref="M48:R48" si="27">M$13*M49</f>
        <v>2167.675525801631</v>
      </c>
      <c r="N48" s="165">
        <f t="shared" si="27"/>
        <v>2427.796588897827</v>
      </c>
      <c r="O48" s="165">
        <f t="shared" si="27"/>
        <v>2719.1321795655663</v>
      </c>
      <c r="P48" s="165">
        <f t="shared" si="27"/>
        <v>3045.4280411134346</v>
      </c>
      <c r="Q48" s="165">
        <f t="shared" si="27"/>
        <v>3410.8794060470473</v>
      </c>
      <c r="R48" s="165">
        <f t="shared" si="27"/>
        <v>3820.1849347726939</v>
      </c>
    </row>
    <row r="49" spans="1:18" outlineLevel="1">
      <c r="B49" s="22" t="s">
        <v>310</v>
      </c>
      <c r="C49" s="22"/>
      <c r="D49" s="41">
        <f>'Assumptions Working'!F260</f>
        <v>6.2151175124851639E-2</v>
      </c>
      <c r="E49" s="41">
        <f>'Assumptions Working'!G260</f>
        <v>6.6485851873647181E-2</v>
      </c>
      <c r="F49" s="41">
        <f>'Assumptions Working'!H260</f>
        <v>5.700662919309965E-2</v>
      </c>
      <c r="G49" s="41">
        <f>'Assumptions Working'!I260</f>
        <v>5.6944395728535338E-2</v>
      </c>
      <c r="H49" s="41">
        <f>'Assumptions Working'!J260</f>
        <v>5.786485147334311E-2</v>
      </c>
      <c r="I49" s="41">
        <f>Controlsheet!I63</f>
        <v>6.0999999999999999E-2</v>
      </c>
      <c r="J49" s="41">
        <f>Controlsheet!J63</f>
        <v>6.0999999999999999E-2</v>
      </c>
      <c r="K49" s="41">
        <f>Controlsheet!K63</f>
        <v>6.0999999999999999E-2</v>
      </c>
      <c r="L49" s="41">
        <f>Controlsheet!L63</f>
        <v>6.0999999999999999E-2</v>
      </c>
      <c r="M49" s="41">
        <f>Controlsheet!M63</f>
        <v>6.0999999999999999E-2</v>
      </c>
      <c r="N49" s="41">
        <f>Controlsheet!N63</f>
        <v>6.0999999999999999E-2</v>
      </c>
      <c r="O49" s="41">
        <f>Controlsheet!O63</f>
        <v>6.0999999999999999E-2</v>
      </c>
      <c r="P49" s="41">
        <f>Controlsheet!P63</f>
        <v>6.0999999999999999E-2</v>
      </c>
      <c r="Q49" s="41">
        <f>Controlsheet!Q63</f>
        <v>6.0999999999999999E-2</v>
      </c>
      <c r="R49" s="41">
        <f>Controlsheet!R63</f>
        <v>6.0999999999999999E-2</v>
      </c>
    </row>
    <row r="50" spans="1:18" outlineLevel="1">
      <c r="B50" s="18"/>
      <c r="C50" s="19"/>
      <c r="D50" s="19"/>
      <c r="E50" s="19"/>
      <c r="F50" s="19"/>
      <c r="G50" s="19"/>
      <c r="H50" s="19"/>
      <c r="I50" s="19"/>
      <c r="J50" s="19"/>
      <c r="K50" s="19"/>
      <c r="L50" s="19"/>
      <c r="M50" s="19"/>
      <c r="N50" s="19"/>
      <c r="O50" s="19"/>
      <c r="P50" s="19"/>
      <c r="Q50" s="19"/>
      <c r="R50" s="19"/>
    </row>
    <row r="51" spans="1:18" ht="15" outlineLevel="1" thickBot="1">
      <c r="B51" s="29" t="s">
        <v>26</v>
      </c>
      <c r="C51" s="29"/>
      <c r="D51" s="155">
        <f>SUM(D28,D33,D38,D43,D48)</f>
        <v>1826.75</v>
      </c>
      <c r="E51" s="155">
        <f t="shared" ref="E51:M51" si="28">SUM(E28,E33,E38,E43,E48)</f>
        <v>2169.9</v>
      </c>
      <c r="F51" s="155">
        <f t="shared" si="28"/>
        <v>2786.7</v>
      </c>
      <c r="G51" s="155">
        <f t="shared" si="28"/>
        <v>3228.22</v>
      </c>
      <c r="H51" s="155">
        <f t="shared" si="28"/>
        <v>3861.24</v>
      </c>
      <c r="I51" s="155">
        <f t="shared" si="28"/>
        <v>4275.0777924999993</v>
      </c>
      <c r="J51" s="155">
        <f t="shared" si="28"/>
        <v>4884.276377931249</v>
      </c>
      <c r="K51" s="155">
        <f t="shared" si="28"/>
        <v>5543.6536889519684</v>
      </c>
      <c r="L51" s="155">
        <f t="shared" si="28"/>
        <v>6250.4695342933446</v>
      </c>
      <c r="M51" s="155">
        <f t="shared" si="28"/>
        <v>7000.5258784085454</v>
      </c>
      <c r="N51" s="155">
        <f t="shared" ref="N51:R51" si="29">SUM(N28,N33,N38,N43,N48)</f>
        <v>7840.5889838175726</v>
      </c>
      <c r="O51" s="155">
        <f t="shared" si="29"/>
        <v>8781.4596618756823</v>
      </c>
      <c r="P51" s="155">
        <f t="shared" si="29"/>
        <v>9835.2348213007663</v>
      </c>
      <c r="Q51" s="155">
        <f t="shared" si="29"/>
        <v>11015.462999856858</v>
      </c>
      <c r="R51" s="155">
        <f t="shared" si="29"/>
        <v>12337.318559839681</v>
      </c>
    </row>
    <row r="52" spans="1:18" ht="15" outlineLevel="1" thickTop="1">
      <c r="B52" s="19" t="s">
        <v>27</v>
      </c>
      <c r="D52" s="35">
        <f t="shared" ref="D52:M52" si="30">D51/D13</f>
        <v>0.20948127082055193</v>
      </c>
      <c r="E52" s="35">
        <f t="shared" si="30"/>
        <v>0.21071429611869685</v>
      </c>
      <c r="F52" s="35">
        <f t="shared" si="30"/>
        <v>0.19295563412171846</v>
      </c>
      <c r="G52" s="35">
        <f t="shared" si="30"/>
        <v>0.19522635158426152</v>
      </c>
      <c r="H52" s="35">
        <f t="shared" si="30"/>
        <v>0.20461941617405083</v>
      </c>
      <c r="I52" s="35">
        <f t="shared" si="30"/>
        <v>0.19700000000000001</v>
      </c>
      <c r="J52" s="35">
        <f t="shared" si="30"/>
        <v>0.19699999999999998</v>
      </c>
      <c r="K52" s="35">
        <f t="shared" si="30"/>
        <v>0.19700000000000001</v>
      </c>
      <c r="L52" s="35">
        <f t="shared" si="30"/>
        <v>0.19700000000000001</v>
      </c>
      <c r="M52" s="35">
        <f t="shared" si="30"/>
        <v>0.19699999999999998</v>
      </c>
      <c r="N52" s="35">
        <f t="shared" ref="N52:R52" si="31">N51/N13</f>
        <v>0.19700000000000001</v>
      </c>
      <c r="O52" s="35">
        <f t="shared" si="31"/>
        <v>0.19700000000000001</v>
      </c>
      <c r="P52" s="35">
        <f t="shared" si="31"/>
        <v>0.19700000000000004</v>
      </c>
      <c r="Q52" s="35">
        <f t="shared" si="31"/>
        <v>0.19700000000000001</v>
      </c>
      <c r="R52" s="35">
        <f t="shared" si="31"/>
        <v>0.19699999999999998</v>
      </c>
    </row>
    <row r="54" spans="1:18" ht="15.6">
      <c r="A54" t="s">
        <v>18</v>
      </c>
      <c r="B54" s="463" t="s">
        <v>32</v>
      </c>
      <c r="C54" s="463"/>
      <c r="D54" s="463"/>
      <c r="E54" s="463"/>
      <c r="F54" s="463"/>
      <c r="G54" s="463"/>
      <c r="H54" s="463"/>
      <c r="I54" s="463"/>
      <c r="J54" s="463"/>
      <c r="K54" s="463"/>
      <c r="L54" s="463"/>
      <c r="M54" s="463"/>
      <c r="N54" s="463"/>
      <c r="O54" s="463"/>
      <c r="P54" s="463"/>
      <c r="Q54" s="463"/>
      <c r="R54" s="463"/>
    </row>
    <row r="56" spans="1:18">
      <c r="B56" s="254" t="s">
        <v>398</v>
      </c>
      <c r="C56" s="255"/>
      <c r="D56" s="255"/>
      <c r="E56" s="255"/>
      <c r="F56" s="255"/>
      <c r="G56" s="255"/>
      <c r="H56" s="255"/>
      <c r="I56" s="255"/>
      <c r="J56" s="255"/>
      <c r="K56" s="255"/>
      <c r="L56" s="255"/>
      <c r="M56" s="255"/>
      <c r="N56" s="255"/>
      <c r="O56" s="255"/>
      <c r="P56" s="255"/>
      <c r="Q56" s="255"/>
      <c r="R56" s="255"/>
    </row>
    <row r="57" spans="1:18">
      <c r="B57" s="18"/>
      <c r="C57" s="19"/>
      <c r="D57" s="19"/>
      <c r="E57" s="19"/>
      <c r="F57" s="19"/>
      <c r="G57" s="19"/>
      <c r="H57" s="19"/>
      <c r="I57" s="19"/>
      <c r="J57" s="19"/>
      <c r="K57" s="19"/>
      <c r="L57" s="19"/>
      <c r="M57" s="19"/>
      <c r="N57" s="19"/>
      <c r="O57" s="19"/>
      <c r="P57" s="19"/>
      <c r="Q57" s="19"/>
      <c r="R57" s="19"/>
    </row>
    <row r="58" spans="1:18">
      <c r="B58" s="18" t="s">
        <v>440</v>
      </c>
      <c r="C58" s="19"/>
      <c r="D58" s="19"/>
      <c r="E58" s="19"/>
      <c r="F58" s="19"/>
      <c r="G58" s="19"/>
      <c r="H58" s="19"/>
      <c r="I58" s="206">
        <f>ConsolidatedBS!I6</f>
        <v>2268.6999999999998</v>
      </c>
      <c r="J58" s="206">
        <f>I61</f>
        <v>2919.4430600523006</v>
      </c>
      <c r="K58" s="206">
        <f t="shared" ref="K58:M58" si="32">J61</f>
        <v>3450.1861201046017</v>
      </c>
      <c r="L58" s="206">
        <f t="shared" si="32"/>
        <v>3860.929180156902</v>
      </c>
      <c r="M58" s="206">
        <f t="shared" si="32"/>
        <v>4151.6722402092018</v>
      </c>
      <c r="N58" s="206">
        <f t="shared" ref="N58" si="33">M61</f>
        <v>4322.4153002615021</v>
      </c>
      <c r="O58" s="206">
        <f t="shared" ref="O58" si="34">N61</f>
        <v>4373.1583603138024</v>
      </c>
      <c r="P58" s="206">
        <f t="shared" ref="P58" si="35">O61</f>
        <v>4303.9014203661027</v>
      </c>
      <c r="Q58" s="206">
        <f t="shared" ref="Q58" si="36">P61</f>
        <v>4114.644480418403</v>
      </c>
      <c r="R58" s="206">
        <f t="shared" ref="R58" si="37">Q61</f>
        <v>3805.3875404707037</v>
      </c>
    </row>
    <row r="59" spans="1:18">
      <c r="B59" s="19" t="s">
        <v>436</v>
      </c>
      <c r="C59" s="19"/>
      <c r="D59" s="19"/>
      <c r="E59" s="19"/>
      <c r="F59" s="19"/>
      <c r="G59" s="19"/>
      <c r="H59" s="19"/>
      <c r="I59" s="283">
        <v>1200</v>
      </c>
      <c r="J59" s="283">
        <v>1200</v>
      </c>
      <c r="K59" s="283">
        <v>1200</v>
      </c>
      <c r="L59" s="283">
        <v>1200</v>
      </c>
      <c r="M59" s="283">
        <v>1200</v>
      </c>
      <c r="N59" s="283">
        <v>1200</v>
      </c>
      <c r="O59" s="283">
        <v>1200</v>
      </c>
      <c r="P59" s="283">
        <v>1200</v>
      </c>
      <c r="Q59" s="283">
        <v>1200</v>
      </c>
      <c r="R59" s="283">
        <v>1200</v>
      </c>
    </row>
    <row r="60" spans="1:18">
      <c r="B60" s="19" t="s">
        <v>123</v>
      </c>
      <c r="C60" s="19"/>
      <c r="D60" s="19"/>
      <c r="E60" s="19"/>
      <c r="F60" s="19"/>
      <c r="G60" s="19"/>
      <c r="H60" s="279">
        <f>('ConsolidatedP&amp;L'!I35*-1)/(SUM(ConsolidatedBS!I6,ConsolidatedBS!I10,ConsolidatedBS!I9,ConsolidatedBS!I11))*ConsolidatedBS!I6</f>
        <v>429.25693994769938</v>
      </c>
      <c r="I60" s="284">
        <f>H60+I59/$C$114</f>
        <v>549.25693994769938</v>
      </c>
      <c r="J60" s="284">
        <f>I60+J59/$C$114</f>
        <v>669.25693994769938</v>
      </c>
      <c r="K60" s="284">
        <f>J60+K59/$C$114</f>
        <v>789.25693994769938</v>
      </c>
      <c r="L60" s="284">
        <f>K60+L59/$C$114</f>
        <v>909.25693994769938</v>
      </c>
      <c r="M60" s="284">
        <f>L60+M59/$C$114</f>
        <v>1029.2569399476993</v>
      </c>
      <c r="N60" s="284">
        <f t="shared" ref="N60:R60" si="38">M60+N59/$C$114</f>
        <v>1149.2569399476993</v>
      </c>
      <c r="O60" s="284">
        <f t="shared" si="38"/>
        <v>1269.2569399476993</v>
      </c>
      <c r="P60" s="284">
        <f t="shared" si="38"/>
        <v>1389.2569399476993</v>
      </c>
      <c r="Q60" s="284">
        <f t="shared" si="38"/>
        <v>1509.2569399476993</v>
      </c>
      <c r="R60" s="284">
        <f t="shared" si="38"/>
        <v>1629.2569399476993</v>
      </c>
    </row>
    <row r="61" spans="1:18">
      <c r="B61" s="75" t="s">
        <v>441</v>
      </c>
      <c r="C61" s="75"/>
      <c r="D61" s="75"/>
      <c r="E61" s="75"/>
      <c r="F61" s="75"/>
      <c r="G61" s="75"/>
      <c r="H61" s="75"/>
      <c r="I61" s="285">
        <f>I58+I59-I60</f>
        <v>2919.4430600523006</v>
      </c>
      <c r="J61" s="285">
        <f t="shared" ref="J61:M61" si="39">J58+J59-J60</f>
        <v>3450.1861201046017</v>
      </c>
      <c r="K61" s="285">
        <f t="shared" si="39"/>
        <v>3860.929180156902</v>
      </c>
      <c r="L61" s="285">
        <f t="shared" si="39"/>
        <v>4151.6722402092018</v>
      </c>
      <c r="M61" s="285">
        <f t="shared" si="39"/>
        <v>4322.4153002615021</v>
      </c>
      <c r="N61" s="285">
        <f t="shared" ref="N61:R61" si="40">N58+N59-N60</f>
        <v>4373.1583603138024</v>
      </c>
      <c r="O61" s="285">
        <f t="shared" si="40"/>
        <v>4303.9014203661027</v>
      </c>
      <c r="P61" s="285">
        <f t="shared" si="40"/>
        <v>4114.644480418403</v>
      </c>
      <c r="Q61" s="285">
        <f t="shared" si="40"/>
        <v>3805.3875404707037</v>
      </c>
      <c r="R61" s="285">
        <f t="shared" si="40"/>
        <v>3376.130600523004</v>
      </c>
    </row>
    <row r="62" spans="1:18">
      <c r="B62" s="22" t="s">
        <v>399</v>
      </c>
      <c r="C62" s="22"/>
      <c r="D62" s="22"/>
      <c r="E62" s="24"/>
      <c r="F62" s="24"/>
      <c r="G62" s="24"/>
      <c r="H62" s="24"/>
      <c r="I62" s="25"/>
      <c r="J62" s="280">
        <f>J61/I61-1</f>
        <v>0.18179599640583266</v>
      </c>
      <c r="K62" s="280">
        <f t="shared" ref="K62:M62" si="41">K61/J61-1</f>
        <v>0.1190495369681237</v>
      </c>
      <c r="L62" s="280">
        <f t="shared" si="41"/>
        <v>7.5303909107310885E-2</v>
      </c>
      <c r="M62" s="280">
        <f t="shared" si="41"/>
        <v>4.1126334203033466E-2</v>
      </c>
      <c r="N62" s="280">
        <f t="shared" ref="N62" si="42">N61/M61-1</f>
        <v>1.1739515184769678E-2</v>
      </c>
      <c r="O62" s="280">
        <f t="shared" ref="O62" si="43">O61/N61-1</f>
        <v>-1.5836824153500406E-2</v>
      </c>
      <c r="P62" s="280">
        <f t="shared" ref="P62" si="44">P61/O61-1</f>
        <v>-4.397334452228252E-2</v>
      </c>
      <c r="Q62" s="280">
        <f t="shared" ref="Q62" si="45">Q61/P61-1</f>
        <v>-7.516006338322867E-2</v>
      </c>
      <c r="R62" s="280">
        <f t="shared" ref="R62" si="46">R61/Q61-1</f>
        <v>-0.11280242429516207</v>
      </c>
    </row>
    <row r="63" spans="1:18">
      <c r="B63" s="19"/>
      <c r="C63" s="19"/>
      <c r="D63" s="19"/>
      <c r="E63" s="19"/>
      <c r="F63" s="19"/>
      <c r="G63" s="19"/>
      <c r="H63" s="145"/>
      <c r="I63" s="181"/>
      <c r="J63" s="181"/>
      <c r="K63" s="181"/>
      <c r="L63" s="181"/>
      <c r="M63" s="181"/>
      <c r="N63" s="181"/>
      <c r="O63" s="181"/>
      <c r="P63" s="181"/>
      <c r="Q63" s="181"/>
      <c r="R63" s="181"/>
    </row>
    <row r="64" spans="1:18">
      <c r="B64" s="254" t="s">
        <v>400</v>
      </c>
      <c r="C64" s="255"/>
      <c r="D64" s="255"/>
      <c r="E64" s="255"/>
      <c r="F64" s="255"/>
      <c r="G64" s="255"/>
      <c r="H64" s="255"/>
      <c r="I64" s="255"/>
      <c r="J64" s="255"/>
      <c r="K64" s="255"/>
      <c r="L64" s="255"/>
      <c r="M64" s="255"/>
      <c r="N64" s="255"/>
      <c r="O64" s="255"/>
      <c r="P64" s="255"/>
      <c r="Q64" s="255"/>
      <c r="R64" s="255"/>
    </row>
    <row r="65" spans="2:18">
      <c r="B65" t="s">
        <v>400</v>
      </c>
      <c r="D65" s="154">
        <f>ConsolidatedBS!E10</f>
        <v>197.62</v>
      </c>
      <c r="E65" s="154">
        <f>ConsolidatedBS!F10</f>
        <v>183.66</v>
      </c>
      <c r="F65" s="154">
        <f>ConsolidatedBS!G10</f>
        <v>226.13</v>
      </c>
      <c r="G65" s="154">
        <f>ConsolidatedBS!H10</f>
        <v>271.99</v>
      </c>
      <c r="H65" s="154">
        <f>ConsolidatedBS!I10</f>
        <v>317.04000000000002</v>
      </c>
      <c r="I65" s="285">
        <f>H65*(1+I71)</f>
        <v>317.04000000000002</v>
      </c>
      <c r="J65" s="285">
        <f>I68</f>
        <v>257.05339082248929</v>
      </c>
      <c r="K65" s="285">
        <f t="shared" ref="K65:M65" si="47">J68</f>
        <v>197.06678164497856</v>
      </c>
      <c r="L65" s="285">
        <f t="shared" si="47"/>
        <v>137.08017246746783</v>
      </c>
      <c r="M65" s="285">
        <f t="shared" si="47"/>
        <v>77.093563289957089</v>
      </c>
      <c r="N65" s="285">
        <f t="shared" ref="N65" si="48">M68</f>
        <v>17.106954112446346</v>
      </c>
      <c r="O65" s="285">
        <f t="shared" ref="O65" si="49">N68</f>
        <v>-42.879655065064398</v>
      </c>
      <c r="P65" s="285">
        <f t="shared" ref="P65" si="50">O68</f>
        <v>-102.86626424257514</v>
      </c>
      <c r="Q65" s="285">
        <f t="shared" ref="Q65" si="51">P68</f>
        <v>-162.85287342008587</v>
      </c>
      <c r="R65" s="285">
        <f t="shared" ref="R65" si="52">Q68</f>
        <v>-222.8394825975966</v>
      </c>
    </row>
    <row r="66" spans="2:18">
      <c r="B66" s="19" t="s">
        <v>442</v>
      </c>
      <c r="C66" s="19"/>
      <c r="D66" s="19"/>
      <c r="E66" s="19"/>
      <c r="F66" s="19"/>
      <c r="G66" s="19"/>
      <c r="H66" s="19"/>
      <c r="I66" s="187">
        <f>H65*(I71)</f>
        <v>0</v>
      </c>
      <c r="J66" s="187">
        <f>I65*(J71)</f>
        <v>0</v>
      </c>
      <c r="K66" s="187">
        <f>J65*(K71)</f>
        <v>0</v>
      </c>
      <c r="L66" s="187">
        <f>K65*(L71)</f>
        <v>0</v>
      </c>
      <c r="M66" s="187">
        <f>L65*(M71)</f>
        <v>0</v>
      </c>
      <c r="N66" s="187">
        <f t="shared" ref="N66:R66" si="53">M65*(N71)</f>
        <v>0</v>
      </c>
      <c r="O66" s="187">
        <f t="shared" si="53"/>
        <v>0</v>
      </c>
      <c r="P66" s="187">
        <f t="shared" si="53"/>
        <v>0</v>
      </c>
      <c r="Q66" s="187">
        <f t="shared" si="53"/>
        <v>0</v>
      </c>
      <c r="R66" s="187">
        <f t="shared" si="53"/>
        <v>0</v>
      </c>
    </row>
    <row r="67" spans="2:18">
      <c r="B67" s="19" t="s">
        <v>123</v>
      </c>
      <c r="C67" s="19"/>
      <c r="D67" s="19"/>
      <c r="E67" s="19"/>
      <c r="F67" s="19"/>
      <c r="G67" s="19"/>
      <c r="H67" s="279">
        <f>('ConsolidatedP&amp;L'!I35*-1)/(SUM(ConsolidatedBS!I6,ConsolidatedBS!I10,ConsolidatedBS!I9,ConsolidatedBS!I11))*ConsolidatedBS!I10</f>
        <v>59.986609177510744</v>
      </c>
      <c r="I67" s="187">
        <f>H67+I66/$C$114</f>
        <v>59.986609177510744</v>
      </c>
      <c r="J67" s="187">
        <f>I67+J66/$C$114</f>
        <v>59.986609177510744</v>
      </c>
      <c r="K67" s="187">
        <f>J67+K66/$C$114</f>
        <v>59.986609177510744</v>
      </c>
      <c r="L67" s="187">
        <f>K67+L66/$C$114</f>
        <v>59.986609177510744</v>
      </c>
      <c r="M67" s="187">
        <f>L67+M66/$C$114</f>
        <v>59.986609177510744</v>
      </c>
      <c r="N67" s="187">
        <f t="shared" ref="N67:R67" si="54">M67+N66/$C$114</f>
        <v>59.986609177510744</v>
      </c>
      <c r="O67" s="187">
        <f t="shared" si="54"/>
        <v>59.986609177510744</v>
      </c>
      <c r="P67" s="187">
        <f t="shared" si="54"/>
        <v>59.986609177510744</v>
      </c>
      <c r="Q67" s="187">
        <f t="shared" si="54"/>
        <v>59.986609177510744</v>
      </c>
      <c r="R67" s="187">
        <f t="shared" si="54"/>
        <v>59.986609177510744</v>
      </c>
    </row>
    <row r="68" spans="2:18">
      <c r="B68" s="75" t="s">
        <v>443</v>
      </c>
      <c r="C68" s="75"/>
      <c r="D68" s="75"/>
      <c r="E68" s="75"/>
      <c r="F68" s="75"/>
      <c r="G68" s="75"/>
      <c r="H68" s="75"/>
      <c r="I68" s="188">
        <f>I65+I66-I67</f>
        <v>257.05339082248929</v>
      </c>
      <c r="J68" s="188">
        <f t="shared" ref="J68" si="55">J65+J66-J67</f>
        <v>197.06678164497856</v>
      </c>
      <c r="K68" s="188">
        <f t="shared" ref="K68" si="56">K65+K66-K67</f>
        <v>137.08017246746783</v>
      </c>
      <c r="L68" s="188">
        <f t="shared" ref="L68" si="57">L65+L66-L67</f>
        <v>77.093563289957089</v>
      </c>
      <c r="M68" s="188">
        <f t="shared" ref="M68:R68" si="58">M65+M66-M67</f>
        <v>17.106954112446346</v>
      </c>
      <c r="N68" s="188">
        <f t="shared" si="58"/>
        <v>-42.879655065064398</v>
      </c>
      <c r="O68" s="188">
        <f t="shared" si="58"/>
        <v>-102.86626424257514</v>
      </c>
      <c r="P68" s="188">
        <f t="shared" si="58"/>
        <v>-162.85287342008587</v>
      </c>
      <c r="Q68" s="188">
        <f t="shared" si="58"/>
        <v>-222.8394825975966</v>
      </c>
      <c r="R68" s="188">
        <f t="shared" si="58"/>
        <v>-282.82609177510733</v>
      </c>
    </row>
    <row r="69" spans="2:18">
      <c r="B69" s="22" t="s">
        <v>399</v>
      </c>
      <c r="C69" s="22"/>
      <c r="D69" s="22"/>
      <c r="E69" s="24"/>
      <c r="F69" s="24"/>
      <c r="G69" s="24"/>
      <c r="H69" s="24"/>
      <c r="I69" s="25"/>
      <c r="J69" s="280">
        <f>J68/I68-1</f>
        <v>-0.23336245044491577</v>
      </c>
      <c r="K69" s="280">
        <f t="shared" ref="K69" si="59">K68/J68-1</f>
        <v>-0.30439736558735875</v>
      </c>
      <c r="L69" s="280">
        <f t="shared" ref="L69" si="60">L68/K68-1</f>
        <v>-0.43760237602376006</v>
      </c>
      <c r="M69" s="280">
        <f t="shared" ref="M69" si="61">M68/L68-1</f>
        <v>-0.77810139546792934</v>
      </c>
      <c r="N69" s="280">
        <f t="shared" ref="N69" si="62">N68/M68-1</f>
        <v>-3.5065628155199673</v>
      </c>
      <c r="O69" s="280">
        <f t="shared" ref="O69" si="63">O68/N68-1</f>
        <v>1.3989526988145946</v>
      </c>
      <c r="P69" s="280">
        <f t="shared" ref="P69" si="64">P68/O68-1</f>
        <v>0.58315143083307364</v>
      </c>
      <c r="Q69" s="280">
        <f t="shared" ref="Q69" si="65">Q68/P68-1</f>
        <v>0.36834848484848481</v>
      </c>
      <c r="R69" s="280">
        <f t="shared" ref="R69" si="66">R68/Q68-1</f>
        <v>0.2691920142618287</v>
      </c>
    </row>
    <row r="70" spans="2:18">
      <c r="D70" s="154"/>
      <c r="E70" s="154"/>
      <c r="F70" s="154"/>
      <c r="G70" s="154"/>
      <c r="H70" s="154"/>
      <c r="I70" s="34"/>
      <c r="J70" s="34"/>
      <c r="K70" s="34"/>
      <c r="L70" s="34"/>
      <c r="M70" s="34"/>
      <c r="N70" s="34"/>
      <c r="O70" s="34"/>
      <c r="P70" s="34"/>
      <c r="Q70" s="34"/>
      <c r="R70" s="34"/>
    </row>
    <row r="71" spans="2:18">
      <c r="B71" s="22" t="s">
        <v>399</v>
      </c>
      <c r="C71" s="22"/>
      <c r="D71" s="22"/>
      <c r="E71" s="24">
        <f>E65/D65-1</f>
        <v>-7.064062341868238E-2</v>
      </c>
      <c r="F71" s="24">
        <f t="shared" ref="F71" si="67">F65/E65-1</f>
        <v>0.23124251333986723</v>
      </c>
      <c r="G71" s="24">
        <f t="shared" ref="G71" si="68">G65/F65-1</f>
        <v>0.20280369698845813</v>
      </c>
      <c r="H71" s="24">
        <f t="shared" ref="H71" si="69">H65/G65-1</f>
        <v>0.16563108937828597</v>
      </c>
      <c r="I71" s="25">
        <f>Controlsheet!I75</f>
        <v>0</v>
      </c>
      <c r="J71" s="25">
        <f>Controlsheet!J75</f>
        <v>0</v>
      </c>
      <c r="K71" s="25">
        <f>Controlsheet!K75</f>
        <v>0</v>
      </c>
      <c r="L71" s="25">
        <f>Controlsheet!L75</f>
        <v>0</v>
      </c>
      <c r="M71" s="25">
        <f>Controlsheet!M75</f>
        <v>0</v>
      </c>
      <c r="N71" s="25">
        <f>Controlsheet!N75</f>
        <v>0</v>
      </c>
      <c r="O71" s="25">
        <f>Controlsheet!O75</f>
        <v>0</v>
      </c>
      <c r="P71" s="25">
        <f>Controlsheet!P75</f>
        <v>0</v>
      </c>
      <c r="Q71" s="25">
        <f>Controlsheet!Q75</f>
        <v>0</v>
      </c>
      <c r="R71" s="25">
        <f>Controlsheet!R75</f>
        <v>0</v>
      </c>
    </row>
    <row r="72" spans="2:18">
      <c r="B72" s="19"/>
      <c r="C72" s="19"/>
      <c r="D72" s="19"/>
      <c r="E72" s="19"/>
      <c r="F72" s="19"/>
      <c r="G72" s="19"/>
      <c r="H72" s="145"/>
      <c r="I72" s="181"/>
      <c r="J72" s="181"/>
      <c r="K72" s="181"/>
      <c r="L72" s="181"/>
      <c r="M72" s="181"/>
      <c r="N72" s="181"/>
      <c r="O72" s="181"/>
      <c r="P72" s="181"/>
      <c r="Q72" s="181"/>
      <c r="R72" s="181"/>
    </row>
    <row r="73" spans="2:18">
      <c r="B73" s="254" t="s">
        <v>401</v>
      </c>
      <c r="C73" s="255"/>
      <c r="D73" s="255"/>
      <c r="E73" s="255"/>
      <c r="F73" s="255"/>
      <c r="G73" s="255"/>
      <c r="H73" s="255"/>
      <c r="I73" s="255"/>
      <c r="J73" s="255"/>
      <c r="K73" s="255"/>
      <c r="L73" s="255"/>
      <c r="M73" s="255"/>
      <c r="N73" s="255"/>
      <c r="O73" s="255"/>
      <c r="P73" s="255"/>
      <c r="Q73" s="255"/>
      <c r="R73" s="255"/>
    </row>
    <row r="74" spans="2:18">
      <c r="B74" t="s">
        <v>401</v>
      </c>
      <c r="D74" s="154">
        <f>ConsolidatedBS!E7</f>
        <v>63.91</v>
      </c>
      <c r="E74" s="154">
        <f>ConsolidatedBS!F7</f>
        <v>133.97999999999999</v>
      </c>
      <c r="F74" s="154">
        <f>ConsolidatedBS!G7</f>
        <v>77.75</v>
      </c>
      <c r="G74" s="154">
        <f>ConsolidatedBS!H7</f>
        <v>211.65</v>
      </c>
      <c r="H74" s="154">
        <f>ConsolidatedBS!I7</f>
        <v>110.3</v>
      </c>
      <c r="I74" s="286">
        <v>0</v>
      </c>
      <c r="J74" s="286">
        <v>0</v>
      </c>
      <c r="K74" s="286">
        <v>0</v>
      </c>
      <c r="L74" s="286">
        <v>0</v>
      </c>
      <c r="M74" s="286">
        <v>0</v>
      </c>
      <c r="N74" s="286">
        <v>0</v>
      </c>
      <c r="O74" s="286">
        <v>0</v>
      </c>
      <c r="P74" s="286">
        <v>0</v>
      </c>
      <c r="Q74" s="286">
        <v>0</v>
      </c>
      <c r="R74" s="286">
        <v>0</v>
      </c>
    </row>
    <row r="75" spans="2:18">
      <c r="B75" s="22" t="s">
        <v>399</v>
      </c>
      <c r="C75" s="22"/>
      <c r="D75" s="22"/>
      <c r="E75" s="24"/>
      <c r="F75" s="24"/>
      <c r="G75" s="24"/>
      <c r="H75" s="24"/>
      <c r="I75" s="25">
        <f>Controlsheet!I81</f>
        <v>0</v>
      </c>
      <c r="J75" s="25">
        <f>Controlsheet!J81</f>
        <v>0</v>
      </c>
      <c r="K75" s="25">
        <f>Controlsheet!K81</f>
        <v>0</v>
      </c>
      <c r="L75" s="25">
        <f>Controlsheet!L81</f>
        <v>0</v>
      </c>
      <c r="M75" s="25">
        <f>Controlsheet!M81</f>
        <v>0</v>
      </c>
      <c r="N75" s="25">
        <f>Controlsheet!N81</f>
        <v>0</v>
      </c>
      <c r="O75" s="25">
        <f>Controlsheet!O81</f>
        <v>0</v>
      </c>
      <c r="P75" s="25">
        <f>Controlsheet!P81</f>
        <v>0</v>
      </c>
      <c r="Q75" s="25">
        <f>Controlsheet!Q81</f>
        <v>0</v>
      </c>
      <c r="R75" s="25">
        <f>Controlsheet!R81</f>
        <v>0</v>
      </c>
    </row>
    <row r="77" spans="2:18">
      <c r="B77" s="254" t="s">
        <v>427</v>
      </c>
      <c r="C77" s="255"/>
      <c r="D77" s="255"/>
      <c r="E77" s="255"/>
      <c r="F77" s="255"/>
      <c r="G77" s="255"/>
      <c r="H77" s="255"/>
      <c r="I77" s="255"/>
      <c r="J77" s="255"/>
      <c r="K77" s="255"/>
      <c r="L77" s="255"/>
      <c r="M77" s="255"/>
      <c r="N77" s="255"/>
      <c r="O77" s="255"/>
      <c r="P77" s="255"/>
      <c r="Q77" s="255"/>
      <c r="R77" s="255"/>
    </row>
    <row r="78" spans="2:18">
      <c r="B78" t="s">
        <v>427</v>
      </c>
      <c r="D78" s="154">
        <f>'Assumptions Working'!F649</f>
        <v>341.17</v>
      </c>
      <c r="E78" s="154">
        <f>'Assumptions Working'!G649</f>
        <v>329.84</v>
      </c>
      <c r="F78" s="154">
        <f>'Assumptions Working'!H649</f>
        <v>464.21</v>
      </c>
      <c r="G78" s="154">
        <f>'Assumptions Working'!I649</f>
        <v>692.13</v>
      </c>
      <c r="H78" s="154">
        <f>'Assumptions Working'!J649</f>
        <v>887.73</v>
      </c>
      <c r="I78" s="285">
        <f>H78*(1+I84)</f>
        <v>887.73</v>
      </c>
      <c r="J78" s="285">
        <f>I81</f>
        <v>719.76408855301656</v>
      </c>
      <c r="K78" s="285">
        <f t="shared" ref="K78:M78" si="70">J81</f>
        <v>551.79817710603311</v>
      </c>
      <c r="L78" s="285">
        <f t="shared" si="70"/>
        <v>383.83226565904971</v>
      </c>
      <c r="M78" s="285">
        <f t="shared" si="70"/>
        <v>215.86635421206631</v>
      </c>
      <c r="N78" s="285">
        <f t="shared" ref="N78" si="71">M81</f>
        <v>47.900442765082914</v>
      </c>
      <c r="O78" s="285">
        <f t="shared" ref="O78" si="72">N81</f>
        <v>-120.06546868190048</v>
      </c>
      <c r="P78" s="285">
        <f t="shared" ref="P78" si="73">O81</f>
        <v>-288.03138012888388</v>
      </c>
      <c r="Q78" s="285">
        <f t="shared" ref="Q78" si="74">P81</f>
        <v>-455.99729157586728</v>
      </c>
      <c r="R78" s="285">
        <f t="shared" ref="R78" si="75">Q81</f>
        <v>-623.96320302285062</v>
      </c>
    </row>
    <row r="79" spans="2:18">
      <c r="B79" s="19" t="s">
        <v>442</v>
      </c>
      <c r="C79" s="19"/>
      <c r="D79" s="19"/>
      <c r="E79" s="19"/>
      <c r="F79" s="19"/>
      <c r="G79" s="19"/>
      <c r="H79" s="19"/>
      <c r="I79" s="187">
        <f>H78*(I84)</f>
        <v>0</v>
      </c>
      <c r="J79" s="187">
        <f t="shared" ref="J79:M79" si="76">I78*(J84)</f>
        <v>0</v>
      </c>
      <c r="K79" s="187">
        <f t="shared" si="76"/>
        <v>0</v>
      </c>
      <c r="L79" s="187">
        <f t="shared" si="76"/>
        <v>0</v>
      </c>
      <c r="M79" s="187">
        <f t="shared" si="76"/>
        <v>0</v>
      </c>
      <c r="N79" s="187">
        <f t="shared" ref="N79" si="77">M78*(N84)</f>
        <v>0</v>
      </c>
      <c r="O79" s="187">
        <f t="shared" ref="O79" si="78">N78*(O84)</f>
        <v>0</v>
      </c>
      <c r="P79" s="187">
        <f t="shared" ref="P79" si="79">O78*(P84)</f>
        <v>0</v>
      </c>
      <c r="Q79" s="187">
        <f t="shared" ref="Q79" si="80">P78*(Q84)</f>
        <v>0</v>
      </c>
      <c r="R79" s="187">
        <f t="shared" ref="R79" si="81">Q78*(R84)</f>
        <v>0</v>
      </c>
    </row>
    <row r="80" spans="2:18">
      <c r="B80" s="19" t="s">
        <v>123</v>
      </c>
      <c r="C80" s="19"/>
      <c r="D80" s="19"/>
      <c r="E80" s="19"/>
      <c r="F80" s="19"/>
      <c r="G80" s="19"/>
      <c r="H80" s="279">
        <f>('ConsolidatedP&amp;L'!I35*-1)/(SUM(ConsolidatedBS!I6,ConsolidatedBS!I10,ConsolidatedBS!I9,ConsolidatedBS!I11))*ConsolidatedBS!I9</f>
        <v>167.9659114469834</v>
      </c>
      <c r="I80" s="187">
        <f>H80+I79/$C$114</f>
        <v>167.9659114469834</v>
      </c>
      <c r="J80" s="187">
        <f>I80+J79/$C$114</f>
        <v>167.9659114469834</v>
      </c>
      <c r="K80" s="187">
        <f>J80+K79/$C$114</f>
        <v>167.9659114469834</v>
      </c>
      <c r="L80" s="187">
        <f>K80+L79/$C$114</f>
        <v>167.9659114469834</v>
      </c>
      <c r="M80" s="187">
        <f>L80+M79/$C$114</f>
        <v>167.9659114469834</v>
      </c>
      <c r="N80" s="187">
        <f t="shared" ref="N80:R80" si="82">M80+N79/$C$114</f>
        <v>167.9659114469834</v>
      </c>
      <c r="O80" s="187">
        <f t="shared" si="82"/>
        <v>167.9659114469834</v>
      </c>
      <c r="P80" s="187">
        <f t="shared" si="82"/>
        <v>167.9659114469834</v>
      </c>
      <c r="Q80" s="187">
        <f t="shared" si="82"/>
        <v>167.9659114469834</v>
      </c>
      <c r="R80" s="187">
        <f t="shared" si="82"/>
        <v>167.9659114469834</v>
      </c>
    </row>
    <row r="81" spans="2:18">
      <c r="B81" s="75" t="s">
        <v>444</v>
      </c>
      <c r="C81" s="75"/>
      <c r="D81" s="75"/>
      <c r="E81" s="75"/>
      <c r="F81" s="75"/>
      <c r="G81" s="75"/>
      <c r="H81" s="75"/>
      <c r="I81" s="188">
        <f>I78+I79-I80</f>
        <v>719.76408855301656</v>
      </c>
      <c r="J81" s="188">
        <f t="shared" ref="J81" si="83">J78+J79-J80</f>
        <v>551.79817710603311</v>
      </c>
      <c r="K81" s="188">
        <f t="shared" ref="K81" si="84">K78+K79-K80</f>
        <v>383.83226565904971</v>
      </c>
      <c r="L81" s="188">
        <f t="shared" ref="L81" si="85">L78+L79-L80</f>
        <v>215.86635421206631</v>
      </c>
      <c r="M81" s="188">
        <f t="shared" ref="M81:R81" si="86">M78+M79-M80</f>
        <v>47.900442765082914</v>
      </c>
      <c r="N81" s="188">
        <f t="shared" si="86"/>
        <v>-120.06546868190048</v>
      </c>
      <c r="O81" s="188">
        <f t="shared" si="86"/>
        <v>-288.03138012888388</v>
      </c>
      <c r="P81" s="188">
        <f t="shared" si="86"/>
        <v>-455.99729157586728</v>
      </c>
      <c r="Q81" s="188">
        <f t="shared" si="86"/>
        <v>-623.96320302285062</v>
      </c>
      <c r="R81" s="188">
        <f t="shared" si="86"/>
        <v>-791.92911446983408</v>
      </c>
    </row>
    <row r="82" spans="2:18">
      <c r="B82" s="22" t="s">
        <v>399</v>
      </c>
      <c r="C82" s="22"/>
      <c r="D82" s="22"/>
      <c r="E82" s="24"/>
      <c r="F82" s="24"/>
      <c r="G82" s="24"/>
      <c r="H82" s="24"/>
      <c r="I82" s="25"/>
      <c r="J82" s="280">
        <f>J81/I81-1</f>
        <v>-0.23336245044491599</v>
      </c>
      <c r="K82" s="280">
        <f t="shared" ref="K82" si="87">K81/J81-1</f>
        <v>-0.30439736558735897</v>
      </c>
      <c r="L82" s="280">
        <f t="shared" ref="L82" si="88">L81/K81-1</f>
        <v>-0.43760237602376051</v>
      </c>
      <c r="M82" s="280">
        <f t="shared" ref="M82" si="89">M81/L81-1</f>
        <v>-0.77810139546793056</v>
      </c>
      <c r="N82" s="280">
        <f t="shared" ref="N82" si="90">N81/M81-1</f>
        <v>-3.5065628155199926</v>
      </c>
      <c r="O82" s="280">
        <f t="shared" ref="O82" si="91">O81/N81-1</f>
        <v>1.3989526988145906</v>
      </c>
      <c r="P82" s="280">
        <f t="shared" ref="P82" si="92">P81/O81-1</f>
        <v>0.58315143083307297</v>
      </c>
      <c r="Q82" s="280">
        <f t="shared" ref="Q82" si="93">Q81/P81-1</f>
        <v>0.36834848484848459</v>
      </c>
      <c r="R82" s="280">
        <f t="shared" ref="R82" si="94">R81/Q81-1</f>
        <v>0.2691920142618287</v>
      </c>
    </row>
    <row r="83" spans="2:18">
      <c r="B83" s="19"/>
      <c r="C83" s="19"/>
      <c r="D83" s="19"/>
      <c r="E83" s="145"/>
      <c r="F83" s="145"/>
      <c r="G83" s="145"/>
      <c r="H83" s="145"/>
      <c r="I83" s="181"/>
      <c r="J83" s="181"/>
      <c r="K83" s="181"/>
      <c r="L83" s="181"/>
      <c r="M83" s="181"/>
      <c r="N83" s="181"/>
      <c r="O83" s="181"/>
      <c r="P83" s="181"/>
      <c r="Q83" s="181"/>
      <c r="R83" s="181"/>
    </row>
    <row r="84" spans="2:18">
      <c r="B84" s="22" t="s">
        <v>399</v>
      </c>
      <c r="C84" s="22"/>
      <c r="D84" s="22"/>
      <c r="E84" s="24">
        <f>E78/D78-1</f>
        <v>-3.3209250520268574E-2</v>
      </c>
      <c r="F84" s="24">
        <f t="shared" ref="F84" si="95">F78/E78-1</f>
        <v>0.40737933543536275</v>
      </c>
      <c r="G84" s="24">
        <f t="shared" ref="G84" si="96">G78/F78-1</f>
        <v>0.49098468365610404</v>
      </c>
      <c r="H84" s="24">
        <f t="shared" ref="H84" si="97">H78/G78-1</f>
        <v>0.28260586883966887</v>
      </c>
      <c r="I84" s="25">
        <f>Controlsheet!I89</f>
        <v>0</v>
      </c>
      <c r="J84" s="25">
        <f>Controlsheet!J89</f>
        <v>0</v>
      </c>
      <c r="K84" s="25">
        <f>Controlsheet!K89</f>
        <v>0</v>
      </c>
      <c r="L84" s="25">
        <f>Controlsheet!L89</f>
        <v>0</v>
      </c>
      <c r="M84" s="25">
        <f>Controlsheet!M89</f>
        <v>0</v>
      </c>
      <c r="N84" s="25">
        <f>Controlsheet!N89</f>
        <v>0</v>
      </c>
      <c r="O84" s="25">
        <f>Controlsheet!O89</f>
        <v>0</v>
      </c>
      <c r="P84" s="25">
        <f>Controlsheet!P89</f>
        <v>0</v>
      </c>
      <c r="Q84" s="25">
        <f>Controlsheet!Q89</f>
        <v>0</v>
      </c>
      <c r="R84" s="25">
        <f>Controlsheet!R89</f>
        <v>0</v>
      </c>
    </row>
    <row r="85" spans="2:18">
      <c r="B85" s="19"/>
      <c r="C85" s="19"/>
      <c r="D85" s="19"/>
      <c r="E85" s="145"/>
      <c r="F85" s="145"/>
      <c r="G85" s="145"/>
      <c r="H85" s="145"/>
      <c r="I85" s="181"/>
      <c r="J85" s="181"/>
      <c r="K85" s="181"/>
      <c r="L85" s="181"/>
      <c r="M85" s="181"/>
      <c r="N85" s="181"/>
      <c r="O85" s="181"/>
      <c r="P85" s="181"/>
      <c r="Q85" s="181"/>
      <c r="R85" s="181"/>
    </row>
    <row r="86" spans="2:18">
      <c r="B86" s="254" t="s">
        <v>188</v>
      </c>
      <c r="C86" s="255"/>
      <c r="D86" s="255"/>
      <c r="E86" s="255"/>
      <c r="F86" s="255"/>
      <c r="G86" s="255"/>
      <c r="H86" s="255"/>
      <c r="I86" s="255"/>
      <c r="J86" s="255"/>
      <c r="K86" s="255"/>
      <c r="L86" s="255"/>
      <c r="M86" s="255"/>
      <c r="N86" s="255"/>
      <c r="O86" s="255"/>
      <c r="P86" s="255"/>
      <c r="Q86" s="255"/>
      <c r="R86" s="255"/>
    </row>
    <row r="87" spans="2:18">
      <c r="B87" t="s">
        <v>188</v>
      </c>
      <c r="D87" s="154">
        <f>'Assumptions Working'!F650</f>
        <v>250.38</v>
      </c>
      <c r="E87" s="154">
        <f>'Assumptions Working'!G650</f>
        <v>370.8</v>
      </c>
      <c r="F87" s="154">
        <f>'Assumptions Working'!H650</f>
        <v>394.32</v>
      </c>
      <c r="G87" s="154">
        <f>'Assumptions Working'!I650</f>
        <v>343.45</v>
      </c>
      <c r="H87" s="154">
        <f>'Assumptions Working'!J650</f>
        <v>381.17</v>
      </c>
      <c r="I87" s="285">
        <f>H87*(1+I93)</f>
        <v>381.17</v>
      </c>
      <c r="J87" s="285">
        <f>I90</f>
        <v>309.04946057219354</v>
      </c>
      <c r="K87" s="285">
        <f t="shared" ref="K87:M87" si="98">J90</f>
        <v>236.92892114438706</v>
      </c>
      <c r="L87" s="285">
        <f t="shared" si="98"/>
        <v>164.80838171658058</v>
      </c>
      <c r="M87" s="285">
        <f t="shared" si="98"/>
        <v>92.687842288774092</v>
      </c>
      <c r="N87" s="285">
        <f t="shared" ref="N87" si="99">M90</f>
        <v>20.567302860967601</v>
      </c>
      <c r="O87" s="285">
        <f t="shared" ref="O87" si="100">N90</f>
        <v>-51.553236566838891</v>
      </c>
      <c r="P87" s="285">
        <f t="shared" ref="P87" si="101">O90</f>
        <v>-123.67377599464538</v>
      </c>
      <c r="Q87" s="285">
        <f t="shared" ref="Q87" si="102">P90</f>
        <v>-195.79431542245186</v>
      </c>
      <c r="R87" s="285">
        <f t="shared" ref="R87" si="103">Q90</f>
        <v>-267.91485485025834</v>
      </c>
    </row>
    <row r="88" spans="2:18">
      <c r="B88" s="19" t="s">
        <v>442</v>
      </c>
      <c r="C88" s="19"/>
      <c r="D88" s="19"/>
      <c r="E88" s="19"/>
      <c r="F88" s="19"/>
      <c r="G88" s="19"/>
      <c r="H88" s="19"/>
      <c r="I88" s="187">
        <f>H87*(I93)</f>
        <v>0</v>
      </c>
      <c r="J88" s="187">
        <f t="shared" ref="J88:M88" si="104">I87*(J93)</f>
        <v>0</v>
      </c>
      <c r="K88" s="187">
        <f t="shared" si="104"/>
        <v>0</v>
      </c>
      <c r="L88" s="187">
        <f t="shared" si="104"/>
        <v>0</v>
      </c>
      <c r="M88" s="187">
        <f t="shared" si="104"/>
        <v>0</v>
      </c>
      <c r="N88" s="187">
        <f t="shared" ref="N88" si="105">M87*(N93)</f>
        <v>0</v>
      </c>
      <c r="O88" s="187">
        <f t="shared" ref="O88" si="106">N87*(O93)</f>
        <v>0</v>
      </c>
      <c r="P88" s="187">
        <f t="shared" ref="P88" si="107">O87*(P93)</f>
        <v>0</v>
      </c>
      <c r="Q88" s="187">
        <f t="shared" ref="Q88" si="108">P87*(Q93)</f>
        <v>0</v>
      </c>
      <c r="R88" s="187">
        <f t="shared" ref="R88" si="109">Q87*(R93)</f>
        <v>0</v>
      </c>
    </row>
    <row r="89" spans="2:18">
      <c r="B89" s="19" t="s">
        <v>123</v>
      </c>
      <c r="C89" s="19"/>
      <c r="D89" s="19"/>
      <c r="E89" s="19"/>
      <c r="F89" s="19"/>
      <c r="G89" s="19"/>
      <c r="H89" s="279">
        <f>('ConsolidatedP&amp;L'!I35*-1)/(SUM(ConsolidatedBS!I6,ConsolidatedBS!I10,ConsolidatedBS!I9,ConsolidatedBS!I11))*ConsolidatedBS!I11</f>
        <v>72.120539427806492</v>
      </c>
      <c r="I89" s="187">
        <f>H89+I88/$C$114</f>
        <v>72.120539427806492</v>
      </c>
      <c r="J89" s="187">
        <f>I89+J88/$C$114</f>
        <v>72.120539427806492</v>
      </c>
      <c r="K89" s="187">
        <f>J89+K88/$C$114</f>
        <v>72.120539427806492</v>
      </c>
      <c r="L89" s="187">
        <f>K89+L88/$C$114</f>
        <v>72.120539427806492</v>
      </c>
      <c r="M89" s="187">
        <f>L89+M88/$C$114</f>
        <v>72.120539427806492</v>
      </c>
      <c r="N89" s="187">
        <f t="shared" ref="N89:R89" si="110">M89+N88/$C$114</f>
        <v>72.120539427806492</v>
      </c>
      <c r="O89" s="187">
        <f t="shared" si="110"/>
        <v>72.120539427806492</v>
      </c>
      <c r="P89" s="187">
        <f t="shared" si="110"/>
        <v>72.120539427806492</v>
      </c>
      <c r="Q89" s="187">
        <f t="shared" si="110"/>
        <v>72.120539427806492</v>
      </c>
      <c r="R89" s="187">
        <f t="shared" si="110"/>
        <v>72.120539427806492</v>
      </c>
    </row>
    <row r="90" spans="2:18">
      <c r="B90" s="75" t="s">
        <v>446</v>
      </c>
      <c r="C90" s="75"/>
      <c r="D90" s="75"/>
      <c r="E90" s="75"/>
      <c r="F90" s="75"/>
      <c r="G90" s="75"/>
      <c r="H90" s="75"/>
      <c r="I90" s="188">
        <f>I87+I88-I89</f>
        <v>309.04946057219354</v>
      </c>
      <c r="J90" s="188">
        <f t="shared" ref="J90" si="111">J87+J88-J89</f>
        <v>236.92892114438706</v>
      </c>
      <c r="K90" s="188">
        <f t="shared" ref="K90" si="112">K87+K88-K89</f>
        <v>164.80838171658058</v>
      </c>
      <c r="L90" s="188">
        <f t="shared" ref="L90" si="113">L87+L88-L89</f>
        <v>92.687842288774092</v>
      </c>
      <c r="M90" s="188">
        <f t="shared" ref="M90:R90" si="114">M87+M88-M89</f>
        <v>20.567302860967601</v>
      </c>
      <c r="N90" s="188">
        <f t="shared" si="114"/>
        <v>-51.553236566838891</v>
      </c>
      <c r="O90" s="188">
        <f t="shared" si="114"/>
        <v>-123.67377599464538</v>
      </c>
      <c r="P90" s="188">
        <f t="shared" si="114"/>
        <v>-195.79431542245186</v>
      </c>
      <c r="Q90" s="188">
        <f t="shared" si="114"/>
        <v>-267.91485485025834</v>
      </c>
      <c r="R90" s="188">
        <f t="shared" si="114"/>
        <v>-340.03539427806481</v>
      </c>
    </row>
    <row r="91" spans="2:18">
      <c r="B91" s="22" t="s">
        <v>399</v>
      </c>
      <c r="C91" s="22"/>
      <c r="D91" s="22"/>
      <c r="E91" s="24"/>
      <c r="F91" s="24"/>
      <c r="G91" s="24"/>
      <c r="H91" s="24"/>
      <c r="I91" s="25"/>
      <c r="J91" s="280">
        <f>J90/I90-1</f>
        <v>-0.23336245044491577</v>
      </c>
      <c r="K91" s="280">
        <f t="shared" ref="K91" si="115">K90/J90-1</f>
        <v>-0.30439736558735875</v>
      </c>
      <c r="L91" s="280">
        <f t="shared" ref="L91" si="116">L90/K90-1</f>
        <v>-0.43760237602376018</v>
      </c>
      <c r="M91" s="280">
        <f t="shared" ref="M91" si="117">M90/L90-1</f>
        <v>-0.77810139546792956</v>
      </c>
      <c r="N91" s="280">
        <f t="shared" ref="N91" si="118">N90/M90-1</f>
        <v>-3.5065628155199704</v>
      </c>
      <c r="O91" s="280">
        <f t="shared" ref="O91" si="119">O90/N90-1</f>
        <v>1.3989526988145942</v>
      </c>
      <c r="P91" s="280">
        <f t="shared" ref="P91" si="120">P90/O90-1</f>
        <v>0.58315143083307364</v>
      </c>
      <c r="Q91" s="280">
        <f t="shared" ref="Q91" si="121">Q90/P90-1</f>
        <v>0.36834848484848481</v>
      </c>
      <c r="R91" s="280">
        <f t="shared" ref="R91" si="122">R90/Q90-1</f>
        <v>0.26919201426182848</v>
      </c>
    </row>
    <row r="92" spans="2:18">
      <c r="B92" s="19"/>
      <c r="C92" s="19"/>
      <c r="D92" s="19"/>
      <c r="E92" s="145"/>
      <c r="F92" s="145"/>
      <c r="G92" s="145"/>
      <c r="H92" s="145"/>
      <c r="I92" s="181"/>
      <c r="J92" s="181"/>
      <c r="K92" s="181"/>
      <c r="L92" s="181"/>
      <c r="M92" s="181"/>
      <c r="N92" s="181"/>
      <c r="O92" s="181"/>
      <c r="P92" s="181"/>
      <c r="Q92" s="181"/>
      <c r="R92" s="181"/>
    </row>
    <row r="93" spans="2:18">
      <c r="B93" s="22" t="s">
        <v>399</v>
      </c>
      <c r="C93" s="22"/>
      <c r="D93" s="22"/>
      <c r="E93" s="24">
        <f>E87/D87-1</f>
        <v>0.48094895758447165</v>
      </c>
      <c r="F93" s="24">
        <f t="shared" ref="F93:H93" si="123">F87/E87-1</f>
        <v>6.3430420711974023E-2</v>
      </c>
      <c r="G93" s="24">
        <f t="shared" si="123"/>
        <v>-0.12900689795090281</v>
      </c>
      <c r="H93" s="24">
        <f t="shared" si="123"/>
        <v>0.10982675789780183</v>
      </c>
      <c r="I93" s="25">
        <f>Controlsheet!I95</f>
        <v>0</v>
      </c>
      <c r="J93" s="25">
        <f>Controlsheet!J95</f>
        <v>0</v>
      </c>
      <c r="K93" s="25">
        <f>Controlsheet!K95</f>
        <v>0</v>
      </c>
      <c r="L93" s="25">
        <f>Controlsheet!L95</f>
        <v>0</v>
      </c>
      <c r="M93" s="25">
        <f>Controlsheet!M95</f>
        <v>0</v>
      </c>
      <c r="N93" s="25">
        <f>Controlsheet!N95</f>
        <v>0</v>
      </c>
      <c r="O93" s="25">
        <f>Controlsheet!O95</f>
        <v>0</v>
      </c>
      <c r="P93" s="25">
        <f>Controlsheet!P95</f>
        <v>0</v>
      </c>
      <c r="Q93" s="25">
        <f>Controlsheet!Q95</f>
        <v>0</v>
      </c>
      <c r="R93" s="25">
        <f>Controlsheet!R95</f>
        <v>0</v>
      </c>
    </row>
    <row r="94" spans="2:18">
      <c r="B94" s="19"/>
      <c r="C94" s="19"/>
      <c r="D94" s="19"/>
      <c r="E94" s="145"/>
      <c r="F94" s="145"/>
      <c r="G94" s="145"/>
      <c r="H94" s="145"/>
      <c r="I94" s="181"/>
      <c r="J94" s="181"/>
      <c r="K94" s="181"/>
      <c r="L94" s="181"/>
      <c r="M94" s="181"/>
      <c r="N94" s="181"/>
      <c r="O94" s="181"/>
      <c r="P94" s="181"/>
      <c r="Q94" s="181"/>
      <c r="R94" s="181"/>
    </row>
    <row r="95" spans="2:18">
      <c r="B95" s="254" t="s">
        <v>411</v>
      </c>
      <c r="C95" s="255"/>
      <c r="D95" s="255"/>
      <c r="E95" s="255"/>
      <c r="F95" s="255"/>
      <c r="G95" s="255"/>
      <c r="H95" s="255"/>
      <c r="I95" s="255"/>
      <c r="J95" s="255"/>
      <c r="K95" s="255"/>
      <c r="L95" s="255"/>
      <c r="M95" s="255"/>
      <c r="N95" s="255"/>
      <c r="O95" s="255"/>
      <c r="P95" s="255"/>
      <c r="Q95" s="255"/>
      <c r="R95" s="255"/>
    </row>
    <row r="96" spans="2:18">
      <c r="B96" t="s">
        <v>411</v>
      </c>
      <c r="D96" s="154">
        <f>ConsolidatedBS!E14+ConsolidatedBS!E15+ConsolidatedBS!E16</f>
        <v>2848.92</v>
      </c>
      <c r="E96" s="154">
        <f>ConsolidatedBS!F14+ConsolidatedBS!F15+ConsolidatedBS!F16</f>
        <v>7368.9</v>
      </c>
      <c r="F96" s="154">
        <f>ConsolidatedBS!G14+ConsolidatedBS!G15+ConsolidatedBS!G16</f>
        <v>12120.050000000001</v>
      </c>
      <c r="G96" s="154">
        <f>ConsolidatedBS!H14+ConsolidatedBS!H15+ConsolidatedBS!H16</f>
        <v>15202.14</v>
      </c>
      <c r="H96" s="154">
        <f>ConsolidatedBS!I14+ConsolidatedBS!I15+ConsolidatedBS!I16</f>
        <v>16013.75</v>
      </c>
      <c r="I96" s="287">
        <f>H96*(1+I97)</f>
        <v>17022.616249999999</v>
      </c>
      <c r="J96" s="287">
        <f t="shared" ref="J96" si="124">I96*(1+J97)</f>
        <v>18095.041073749999</v>
      </c>
      <c r="K96" s="287">
        <f>J96*(1+K97)</f>
        <v>19235.028661396249</v>
      </c>
      <c r="L96" s="287">
        <f t="shared" ref="L96" si="125">K96*(1+L97)</f>
        <v>20446.835467064211</v>
      </c>
      <c r="M96" s="287">
        <f t="shared" ref="M96" si="126">L96*(1+M97)</f>
        <v>21734.986101489256</v>
      </c>
      <c r="N96" s="287">
        <f t="shared" ref="N96" si="127">M96*(1+N97)</f>
        <v>23104.290225883076</v>
      </c>
      <c r="O96" s="287">
        <f t="shared" ref="O96" si="128">N96*(1+O97)</f>
        <v>24559.860510113707</v>
      </c>
      <c r="P96" s="287">
        <f t="shared" ref="P96" si="129">O96*(1+P97)</f>
        <v>26107.13172225087</v>
      </c>
      <c r="Q96" s="287">
        <f t="shared" ref="Q96" si="130">P96*(1+Q97)</f>
        <v>27751.881020752673</v>
      </c>
      <c r="R96" s="287">
        <f t="shared" ref="R96" si="131">Q96*(1+R97)</f>
        <v>29500.249525060091</v>
      </c>
    </row>
    <row r="97" spans="1:18">
      <c r="B97" s="22" t="s">
        <v>399</v>
      </c>
      <c r="C97" s="22"/>
      <c r="D97" s="22"/>
      <c r="E97" s="24">
        <f>E96/D96-1</f>
        <v>1.5865591171391262</v>
      </c>
      <c r="F97" s="24">
        <f t="shared" ref="F97" si="132">F96/E96-1</f>
        <v>0.64475701936517016</v>
      </c>
      <c r="G97" s="24">
        <f t="shared" ref="G97" si="133">G96/F96-1</f>
        <v>0.25429680570624691</v>
      </c>
      <c r="H97" s="24">
        <f t="shared" ref="H97" si="134">H96/G96-1</f>
        <v>5.3387878285557244E-2</v>
      </c>
      <c r="I97" s="25">
        <f>Controlsheet!I103</f>
        <v>6.3E-2</v>
      </c>
      <c r="J97" s="25">
        <f>Controlsheet!J103</f>
        <v>6.3E-2</v>
      </c>
      <c r="K97" s="25">
        <f>Controlsheet!K103</f>
        <v>6.3E-2</v>
      </c>
      <c r="L97" s="25">
        <f>Controlsheet!L103</f>
        <v>6.3E-2</v>
      </c>
      <c r="M97" s="25">
        <f>Controlsheet!M103</f>
        <v>6.3E-2</v>
      </c>
      <c r="N97" s="25">
        <f>Controlsheet!N103</f>
        <v>6.3E-2</v>
      </c>
      <c r="O97" s="25">
        <f>Controlsheet!O103</f>
        <v>6.3E-2</v>
      </c>
      <c r="P97" s="25">
        <f>Controlsheet!P103</f>
        <v>6.3E-2</v>
      </c>
      <c r="Q97" s="25">
        <f>Controlsheet!Q103</f>
        <v>6.3E-2</v>
      </c>
      <c r="R97" s="25">
        <f>Controlsheet!R103</f>
        <v>6.3E-2</v>
      </c>
    </row>
    <row r="98" spans="1:18">
      <c r="B98" s="19"/>
      <c r="C98" s="19"/>
      <c r="D98" s="19"/>
      <c r="E98" s="145"/>
      <c r="F98" s="145"/>
      <c r="G98" s="145"/>
      <c r="H98" s="145"/>
      <c r="I98" s="181"/>
      <c r="J98" s="181"/>
      <c r="K98" s="181"/>
      <c r="L98" s="181"/>
      <c r="M98" s="181"/>
      <c r="N98" s="181"/>
      <c r="O98" s="181"/>
      <c r="P98" s="181"/>
      <c r="Q98" s="181"/>
      <c r="R98" s="181"/>
    </row>
    <row r="99" spans="1:18">
      <c r="B99" s="254" t="s">
        <v>412</v>
      </c>
      <c r="C99" s="255"/>
      <c r="D99" s="255"/>
      <c r="E99" s="255"/>
      <c r="F99" s="255"/>
      <c r="G99" s="255"/>
      <c r="H99" s="255"/>
      <c r="I99" s="255"/>
      <c r="J99" s="255"/>
      <c r="K99" s="255"/>
      <c r="L99" s="255"/>
      <c r="M99" s="255"/>
      <c r="N99" s="255"/>
      <c r="O99" s="255"/>
      <c r="P99" s="255"/>
      <c r="Q99" s="255"/>
      <c r="R99" s="255"/>
    </row>
    <row r="100" spans="1:18">
      <c r="B100" t="s">
        <v>412</v>
      </c>
      <c r="D100" s="154">
        <f>ConsolidatedBS!E21</f>
        <v>102.29</v>
      </c>
      <c r="E100" s="154">
        <f>ConsolidatedBS!F21</f>
        <v>139.41</v>
      </c>
      <c r="F100" s="154">
        <f>ConsolidatedBS!G21</f>
        <v>145.83000000000001</v>
      </c>
      <c r="G100" s="154">
        <f>ConsolidatedBS!H21</f>
        <v>188.77</v>
      </c>
      <c r="H100" s="154">
        <f>ConsolidatedBS!I21</f>
        <v>151.85</v>
      </c>
      <c r="I100" s="287">
        <f>H100*(1+I101)</f>
        <v>151.85</v>
      </c>
      <c r="J100" s="287">
        <f t="shared" ref="J100:M100" si="135">I100*(1+J101)</f>
        <v>151.85</v>
      </c>
      <c r="K100" s="287">
        <f t="shared" si="135"/>
        <v>151.85</v>
      </c>
      <c r="L100" s="287">
        <f t="shared" si="135"/>
        <v>151.85</v>
      </c>
      <c r="M100" s="287">
        <f t="shared" si="135"/>
        <v>151.85</v>
      </c>
      <c r="N100" s="287">
        <f t="shared" ref="N100" si="136">M100*(1+N101)</f>
        <v>151.85</v>
      </c>
      <c r="O100" s="287">
        <f t="shared" ref="O100" si="137">N100*(1+O101)</f>
        <v>151.85</v>
      </c>
      <c r="P100" s="287">
        <f t="shared" ref="P100" si="138">O100*(1+P101)</f>
        <v>151.85</v>
      </c>
      <c r="Q100" s="287">
        <f t="shared" ref="Q100" si="139">P100*(1+Q101)</f>
        <v>151.85</v>
      </c>
      <c r="R100" s="287">
        <f t="shared" ref="R100" si="140">Q100*(1+R101)</f>
        <v>151.85</v>
      </c>
    </row>
    <row r="101" spans="1:18">
      <c r="B101" s="22" t="s">
        <v>415</v>
      </c>
      <c r="C101" s="22"/>
      <c r="D101" s="22"/>
      <c r="E101" s="24">
        <f>E100/D13</f>
        <v>1.5986743651344268E-2</v>
      </c>
      <c r="F101" s="24">
        <f>F100/E13</f>
        <v>1.4161235910866659E-2</v>
      </c>
      <c r="G101" s="24">
        <f>G100/F13</f>
        <v>1.307074139776682E-2</v>
      </c>
      <c r="H101" s="24">
        <f>H100/G13</f>
        <v>9.1831168532721177E-3</v>
      </c>
      <c r="I101" s="25">
        <f>Controlsheet!I109</f>
        <v>0</v>
      </c>
      <c r="J101" s="25">
        <f>Controlsheet!J109</f>
        <v>0</v>
      </c>
      <c r="K101" s="25">
        <f>Controlsheet!K109</f>
        <v>0</v>
      </c>
      <c r="L101" s="25">
        <f>Controlsheet!L109</f>
        <v>0</v>
      </c>
      <c r="M101" s="25">
        <f>Controlsheet!M109</f>
        <v>0</v>
      </c>
      <c r="N101" s="25">
        <f>Controlsheet!N109</f>
        <v>0</v>
      </c>
      <c r="O101" s="25">
        <f>Controlsheet!O109</f>
        <v>0</v>
      </c>
      <c r="P101" s="25">
        <f>Controlsheet!P109</f>
        <v>0</v>
      </c>
      <c r="Q101" s="25">
        <f>Controlsheet!Q109</f>
        <v>0</v>
      </c>
      <c r="R101" s="25">
        <f>Controlsheet!R109</f>
        <v>0</v>
      </c>
    </row>
    <row r="102" spans="1:18">
      <c r="B102" s="19"/>
      <c r="C102" s="19"/>
      <c r="D102" s="19"/>
      <c r="E102" s="145"/>
      <c r="F102" s="145"/>
      <c r="G102" s="145"/>
      <c r="H102" s="145"/>
      <c r="I102" s="181"/>
      <c r="J102" s="181"/>
      <c r="K102" s="181"/>
      <c r="L102" s="181"/>
      <c r="M102" s="181"/>
      <c r="N102" s="181"/>
      <c r="O102" s="181"/>
      <c r="P102" s="181"/>
      <c r="Q102" s="181"/>
      <c r="R102" s="181"/>
    </row>
    <row r="103" spans="1:18">
      <c r="B103" s="254" t="s">
        <v>413</v>
      </c>
      <c r="C103" s="255"/>
      <c r="D103" s="255"/>
      <c r="E103" s="255"/>
      <c r="F103" s="255"/>
      <c r="G103" s="255"/>
      <c r="H103" s="255"/>
      <c r="I103" s="255"/>
      <c r="J103" s="255"/>
      <c r="K103" s="255"/>
      <c r="L103" s="255"/>
      <c r="M103" s="255"/>
      <c r="N103" s="255"/>
      <c r="O103" s="255"/>
      <c r="P103" s="255"/>
      <c r="Q103" s="255"/>
      <c r="R103" s="255"/>
    </row>
    <row r="104" spans="1:18">
      <c r="B104" t="s">
        <v>413</v>
      </c>
      <c r="D104" s="154">
        <f>ConsolidatedBS!E19</f>
        <v>0</v>
      </c>
      <c r="E104" s="154">
        <f>ConsolidatedBS!F19</f>
        <v>0</v>
      </c>
      <c r="F104" s="154">
        <f>ConsolidatedBS!G19</f>
        <v>0</v>
      </c>
      <c r="G104" s="154">
        <f>ConsolidatedBS!H19</f>
        <v>12.8</v>
      </c>
      <c r="H104" s="154">
        <f>ConsolidatedBS!I19</f>
        <v>0</v>
      </c>
      <c r="I104" s="140">
        <f>H104*(1+I105)</f>
        <v>0</v>
      </c>
      <c r="J104" s="140">
        <f t="shared" ref="J104" si="141">I104*(1+J105)</f>
        <v>0</v>
      </c>
      <c r="K104" s="140">
        <f>J104*(1+K105)</f>
        <v>0</v>
      </c>
      <c r="L104" s="140">
        <f t="shared" ref="L104" si="142">K104*(1+L105)</f>
        <v>0</v>
      </c>
      <c r="M104" s="140">
        <f t="shared" ref="M104" si="143">L104*(1+M105)</f>
        <v>0</v>
      </c>
      <c r="N104" s="140">
        <f t="shared" ref="N104" si="144">M104*(1+N105)</f>
        <v>0</v>
      </c>
      <c r="O104" s="140">
        <f t="shared" ref="O104" si="145">N104*(1+O105)</f>
        <v>0</v>
      </c>
      <c r="P104" s="140">
        <f t="shared" ref="P104" si="146">O104*(1+P105)</f>
        <v>0</v>
      </c>
      <c r="Q104" s="140">
        <f t="shared" ref="Q104" si="147">P104*(1+Q105)</f>
        <v>0</v>
      </c>
      <c r="R104" s="140">
        <f t="shared" ref="R104" si="148">Q104*(1+R105)</f>
        <v>0</v>
      </c>
    </row>
    <row r="105" spans="1:18">
      <c r="B105" s="22" t="s">
        <v>399</v>
      </c>
      <c r="C105" s="22"/>
      <c r="D105" s="22"/>
      <c r="E105" s="24">
        <f>IFERROR(E104/D104-1,0)</f>
        <v>0</v>
      </c>
      <c r="F105" s="24">
        <f t="shared" ref="F105:H105" si="149">IFERROR(F104/E104-1,0)</f>
        <v>0</v>
      </c>
      <c r="G105" s="24">
        <f t="shared" si="149"/>
        <v>0</v>
      </c>
      <c r="H105" s="24">
        <f t="shared" si="149"/>
        <v>-1</v>
      </c>
      <c r="I105" s="25">
        <f>Controlsheet!I115</f>
        <v>0</v>
      </c>
      <c r="J105" s="25">
        <f>Controlsheet!J115</f>
        <v>0</v>
      </c>
      <c r="K105" s="25">
        <f>Controlsheet!K115</f>
        <v>0</v>
      </c>
      <c r="L105" s="25">
        <f>Controlsheet!L115</f>
        <v>0</v>
      </c>
      <c r="M105" s="25">
        <f>Controlsheet!M115</f>
        <v>0</v>
      </c>
      <c r="N105" s="25">
        <f>Controlsheet!N115</f>
        <v>0</v>
      </c>
      <c r="O105" s="25">
        <f>Controlsheet!O115</f>
        <v>0</v>
      </c>
      <c r="P105" s="25">
        <f>Controlsheet!P115</f>
        <v>0</v>
      </c>
      <c r="Q105" s="25">
        <f>Controlsheet!Q115</f>
        <v>0</v>
      </c>
      <c r="R105" s="25">
        <f>Controlsheet!R115</f>
        <v>0</v>
      </c>
    </row>
    <row r="106" spans="1:18">
      <c r="B106" s="19"/>
      <c r="C106" s="19"/>
      <c r="D106" s="19"/>
      <c r="E106" s="145"/>
      <c r="F106" s="145"/>
      <c r="G106" s="145"/>
      <c r="H106" s="145"/>
      <c r="I106" s="181"/>
      <c r="J106" s="181"/>
      <c r="K106" s="181"/>
      <c r="L106" s="181"/>
      <c r="M106" s="181"/>
      <c r="N106" s="181"/>
      <c r="O106" s="181"/>
      <c r="P106" s="181"/>
      <c r="Q106" s="181"/>
      <c r="R106" s="181"/>
    </row>
    <row r="107" spans="1:18">
      <c r="B107" s="254" t="s">
        <v>414</v>
      </c>
      <c r="C107" s="255"/>
      <c r="D107" s="255"/>
      <c r="E107" s="255"/>
      <c r="F107" s="255"/>
      <c r="G107" s="255"/>
      <c r="H107" s="255"/>
      <c r="I107" s="255"/>
      <c r="J107" s="255"/>
      <c r="K107" s="255"/>
      <c r="L107" s="255"/>
      <c r="M107" s="255"/>
      <c r="N107" s="255"/>
      <c r="O107" s="255"/>
      <c r="P107" s="255"/>
      <c r="Q107" s="255"/>
      <c r="R107" s="255"/>
    </row>
    <row r="108" spans="1:18">
      <c r="B108" t="s">
        <v>414</v>
      </c>
      <c r="D108" s="154">
        <f>ConsolidatedBS!E20</f>
        <v>51.33</v>
      </c>
      <c r="E108" s="154">
        <f>ConsolidatedBS!F20</f>
        <v>83.12</v>
      </c>
      <c r="F108" s="154">
        <f>ConsolidatedBS!G20</f>
        <v>86.47</v>
      </c>
      <c r="G108" s="154">
        <f>ConsolidatedBS!H20</f>
        <v>103.41</v>
      </c>
      <c r="H108" s="154">
        <f>ConsolidatedBS!I20</f>
        <v>89.71</v>
      </c>
      <c r="I108" s="140">
        <f>H108*(1+I109)</f>
        <v>89.71</v>
      </c>
      <c r="J108" s="140">
        <f t="shared" ref="J108" si="150">I108*(1+J109)</f>
        <v>89.71</v>
      </c>
      <c r="K108" s="140">
        <f>J108*(1+K109)</f>
        <v>89.71</v>
      </c>
      <c r="L108" s="140">
        <f t="shared" ref="L108" si="151">K108*(1+L109)</f>
        <v>89.71</v>
      </c>
      <c r="M108" s="140">
        <f t="shared" ref="M108" si="152">L108*(1+M109)</f>
        <v>89.71</v>
      </c>
      <c r="N108" s="140">
        <f t="shared" ref="N108" si="153">M108*(1+N109)</f>
        <v>89.71</v>
      </c>
      <c r="O108" s="140">
        <f t="shared" ref="O108" si="154">N108*(1+O109)</f>
        <v>89.71</v>
      </c>
      <c r="P108" s="140">
        <f t="shared" ref="P108" si="155">O108*(1+P109)</f>
        <v>89.71</v>
      </c>
      <c r="Q108" s="140">
        <f t="shared" ref="Q108" si="156">P108*(1+Q109)</f>
        <v>89.71</v>
      </c>
      <c r="R108" s="140">
        <f t="shared" ref="R108" si="157">Q108*(1+R109)</f>
        <v>89.71</v>
      </c>
    </row>
    <row r="109" spans="1:18">
      <c r="B109" s="22" t="s">
        <v>399</v>
      </c>
      <c r="C109" s="22"/>
      <c r="D109" s="22"/>
      <c r="E109" s="24">
        <f>E108/D108-1</f>
        <v>0.61932593025521143</v>
      </c>
      <c r="F109" s="24">
        <f t="shared" ref="F109" si="158">F108/E108-1</f>
        <v>4.0303176130894958E-2</v>
      </c>
      <c r="G109" s="24">
        <f t="shared" ref="G109" si="159">G108/F108-1</f>
        <v>0.19590609459928299</v>
      </c>
      <c r="H109" s="24">
        <f t="shared" ref="H109" si="160">H108/G108-1</f>
        <v>-0.13248235180350065</v>
      </c>
      <c r="I109" s="25">
        <f>Controlsheet!I121</f>
        <v>0</v>
      </c>
      <c r="J109" s="25">
        <f>Controlsheet!J121</f>
        <v>0</v>
      </c>
      <c r="K109" s="25">
        <f>Controlsheet!K121</f>
        <v>0</v>
      </c>
      <c r="L109" s="25">
        <f>Controlsheet!L121</f>
        <v>0</v>
      </c>
      <c r="M109" s="25">
        <f>Controlsheet!M121</f>
        <v>0</v>
      </c>
      <c r="N109" s="25">
        <f>Controlsheet!N121</f>
        <v>0</v>
      </c>
      <c r="O109" s="25">
        <f>Controlsheet!O121</f>
        <v>0</v>
      </c>
      <c r="P109" s="25">
        <f>Controlsheet!P121</f>
        <v>0</v>
      </c>
      <c r="Q109" s="25">
        <f>Controlsheet!Q121</f>
        <v>0</v>
      </c>
      <c r="R109" s="25">
        <f>Controlsheet!R121</f>
        <v>0</v>
      </c>
    </row>
    <row r="110" spans="1:18">
      <c r="B110" s="19"/>
      <c r="C110" s="19"/>
      <c r="D110" s="19"/>
      <c r="E110" s="145"/>
      <c r="F110" s="145"/>
      <c r="G110" s="145"/>
      <c r="H110" s="145"/>
      <c r="I110" s="181"/>
      <c r="J110" s="181"/>
      <c r="K110" s="181"/>
      <c r="L110" s="181"/>
      <c r="M110" s="181"/>
      <c r="N110" s="181"/>
      <c r="O110" s="181"/>
      <c r="P110" s="181"/>
      <c r="Q110" s="181"/>
      <c r="R110" s="181"/>
    </row>
    <row r="111" spans="1:18" ht="15.6">
      <c r="A111" t="s">
        <v>18</v>
      </c>
      <c r="B111" s="463" t="s">
        <v>33</v>
      </c>
      <c r="C111" s="463"/>
      <c r="D111" s="463"/>
      <c r="E111" s="463"/>
      <c r="F111" s="463"/>
      <c r="G111" s="463"/>
      <c r="H111" s="463"/>
      <c r="I111" s="463"/>
      <c r="J111" s="463"/>
      <c r="K111" s="463"/>
      <c r="L111" s="463"/>
      <c r="M111" s="463"/>
      <c r="N111" s="463"/>
      <c r="O111" s="463"/>
      <c r="P111" s="463"/>
      <c r="Q111" s="463"/>
      <c r="R111" s="463"/>
    </row>
    <row r="113" spans="2:18">
      <c r="D113" s="140"/>
      <c r="E113" s="140"/>
      <c r="F113" s="140"/>
      <c r="G113" s="140"/>
      <c r="H113" s="140"/>
      <c r="I113" s="140"/>
      <c r="J113" s="140"/>
      <c r="K113" s="140"/>
      <c r="L113" s="140"/>
      <c r="M113" s="140"/>
      <c r="N113" s="140"/>
      <c r="O113" s="140"/>
      <c r="P113" s="140"/>
      <c r="Q113" s="140"/>
      <c r="R113" s="140"/>
    </row>
    <row r="114" spans="2:18">
      <c r="B114" s="36"/>
      <c r="C114" s="464">
        <v>10</v>
      </c>
      <c r="D114" s="140"/>
      <c r="E114" s="140"/>
      <c r="F114" s="140"/>
      <c r="G114" s="140"/>
      <c r="H114" s="140"/>
      <c r="I114" s="140"/>
      <c r="J114" s="140"/>
      <c r="K114" s="140"/>
      <c r="L114" s="140"/>
      <c r="M114" s="140"/>
      <c r="N114" s="140"/>
      <c r="O114" s="140"/>
      <c r="P114" s="140"/>
      <c r="Q114" s="140"/>
      <c r="R114" s="140"/>
    </row>
    <row r="115" spans="2:18">
      <c r="B115" s="36"/>
      <c r="D115" s="140"/>
      <c r="E115" s="140"/>
      <c r="F115" s="140"/>
      <c r="G115" s="140"/>
      <c r="H115" s="140"/>
      <c r="I115" s="34"/>
      <c r="J115" s="34"/>
      <c r="K115" s="34"/>
      <c r="L115" s="34"/>
      <c r="M115" s="34"/>
      <c r="N115" s="34"/>
      <c r="O115" s="34"/>
      <c r="P115" s="34"/>
      <c r="Q115" s="34"/>
      <c r="R115" s="34"/>
    </row>
    <row r="116" spans="2:18">
      <c r="B116" s="36" t="s">
        <v>36</v>
      </c>
      <c r="D116" s="140"/>
      <c r="E116" s="140"/>
      <c r="F116" s="140"/>
      <c r="G116" s="140"/>
      <c r="H116" s="140"/>
      <c r="I116" s="288">
        <f>SUM(I60,I67,I80,I89)</f>
        <v>849.33000000000015</v>
      </c>
      <c r="J116" s="288">
        <f t="shared" ref="J116:M116" si="161">SUM(J60,J67,J80,J89)</f>
        <v>969.33000000000015</v>
      </c>
      <c r="K116" s="288">
        <f t="shared" si="161"/>
        <v>1089.3300000000002</v>
      </c>
      <c r="L116" s="288">
        <f t="shared" si="161"/>
        <v>1209.3300000000002</v>
      </c>
      <c r="M116" s="288">
        <f t="shared" si="161"/>
        <v>1329.33</v>
      </c>
      <c r="N116" s="288">
        <f t="shared" ref="N116:R116" si="162">SUM(N60,N67,N80,N89)</f>
        <v>1449.33</v>
      </c>
      <c r="O116" s="288">
        <f t="shared" si="162"/>
        <v>1569.33</v>
      </c>
      <c r="P116" s="288">
        <f t="shared" si="162"/>
        <v>1689.33</v>
      </c>
      <c r="Q116" s="288">
        <f t="shared" si="162"/>
        <v>1809.33</v>
      </c>
      <c r="R116" s="288">
        <f t="shared" si="162"/>
        <v>1929.33</v>
      </c>
    </row>
    <row r="117" spans="2:18">
      <c r="B117" s="189" t="s">
        <v>445</v>
      </c>
      <c r="C117" s="13"/>
      <c r="D117" s="183"/>
      <c r="E117" s="183"/>
      <c r="F117" s="183"/>
      <c r="G117" s="183"/>
      <c r="H117" s="183"/>
      <c r="I117" s="285">
        <f>SUM(I61,I68,I81,I90)</f>
        <v>4205.3099999999995</v>
      </c>
      <c r="J117" s="285">
        <f t="shared" ref="J117:M117" si="163">SUM(J61,J68,J81,J90)</f>
        <v>4435.9800000000005</v>
      </c>
      <c r="K117" s="285">
        <f t="shared" si="163"/>
        <v>4546.6500000000005</v>
      </c>
      <c r="L117" s="285">
        <f t="shared" si="163"/>
        <v>4537.32</v>
      </c>
      <c r="M117" s="285">
        <f t="shared" si="163"/>
        <v>4407.989999999998</v>
      </c>
      <c r="N117" s="285">
        <f t="shared" ref="N117:R117" si="164">SUM(N61,N68,N81,N90)</f>
        <v>4158.6599999999989</v>
      </c>
      <c r="O117" s="285">
        <f t="shared" si="164"/>
        <v>3789.3299999999981</v>
      </c>
      <c r="P117" s="285">
        <f t="shared" si="164"/>
        <v>3299.9999999999982</v>
      </c>
      <c r="Q117" s="285">
        <f t="shared" si="164"/>
        <v>2690.6699999999978</v>
      </c>
      <c r="R117" s="285">
        <f t="shared" si="164"/>
        <v>1961.3399999999979</v>
      </c>
    </row>
    <row r="119" spans="2:18">
      <c r="B119" t="s">
        <v>437</v>
      </c>
      <c r="D119" s="106"/>
      <c r="E119" s="106"/>
      <c r="F119" s="106"/>
      <c r="G119" s="106"/>
      <c r="H119" s="106"/>
      <c r="I119" s="106">
        <f>I116/I13</f>
        <v>3.9138003592246923E-2</v>
      </c>
      <c r="J119" s="106">
        <f t="shared" ref="J119:M119" si="165">J116/J13</f>
        <v>3.9096479237499843E-2</v>
      </c>
      <c r="K119" s="106">
        <f t="shared" si="165"/>
        <v>3.8710572853364864E-2</v>
      </c>
      <c r="L119" s="106">
        <f t="shared" si="165"/>
        <v>3.8115218175674925E-2</v>
      </c>
      <c r="M119" s="106">
        <f t="shared" si="165"/>
        <v>3.7408333966409621E-2</v>
      </c>
      <c r="N119" s="106">
        <f t="shared" ref="N119:R119" si="166">N116/N13</f>
        <v>3.6415377797419199E-2</v>
      </c>
      <c r="O119" s="106">
        <f t="shared" si="166"/>
        <v>3.5205765545128651E-2</v>
      </c>
      <c r="P119" s="106">
        <f t="shared" si="166"/>
        <v>3.3837322244634073E-2</v>
      </c>
      <c r="Q119" s="106">
        <f t="shared" si="166"/>
        <v>3.2357968975487615E-2</v>
      </c>
      <c r="R119" s="106">
        <f t="shared" si="166"/>
        <v>3.0807181330084654E-2</v>
      </c>
    </row>
    <row r="120" spans="2:18">
      <c r="B120" t="s">
        <v>433</v>
      </c>
      <c r="D120" s="106"/>
      <c r="E120" s="106"/>
      <c r="F120" s="106"/>
      <c r="G120" s="106"/>
      <c r="H120" s="106"/>
      <c r="I120" s="106">
        <f>I116/I117</f>
        <v>0.20196608573446434</v>
      </c>
      <c r="J120" s="106">
        <f t="shared" ref="J120:L120" si="167">J116/J117</f>
        <v>0.21851541260330301</v>
      </c>
      <c r="K120" s="106">
        <f t="shared" si="167"/>
        <v>0.23958958793837221</v>
      </c>
      <c r="L120" s="106">
        <f t="shared" si="167"/>
        <v>0.26652958133876392</v>
      </c>
      <c r="M120" s="106">
        <f>M116/M117</f>
        <v>0.30157282570967731</v>
      </c>
      <c r="N120" s="106">
        <f t="shared" ref="N120:R120" si="168">N116/N117</f>
        <v>0.34850889469204027</v>
      </c>
      <c r="O120" s="106">
        <f t="shared" si="168"/>
        <v>0.41414445297717556</v>
      </c>
      <c r="P120" s="106">
        <f t="shared" si="168"/>
        <v>0.51191818181818205</v>
      </c>
      <c r="Q120" s="106">
        <f t="shared" si="168"/>
        <v>0.67244589637525276</v>
      </c>
      <c r="R120" s="106">
        <f t="shared" si="168"/>
        <v>0.98367952522255298</v>
      </c>
    </row>
    <row r="122" spans="2:18">
      <c r="B122" s="33" t="s">
        <v>35</v>
      </c>
    </row>
    <row r="124" spans="2:18">
      <c r="B124" s="37">
        <f>H9</f>
        <v>2025</v>
      </c>
      <c r="H124" s="289">
        <f>SUM(H60,H67,H80,H89)</f>
        <v>729.33</v>
      </c>
      <c r="I124" s="289">
        <f>H124</f>
        <v>729.33</v>
      </c>
      <c r="J124" s="289">
        <f t="shared" ref="J124:M126" si="169">I124</f>
        <v>729.33</v>
      </c>
      <c r="K124" s="289">
        <f>J124</f>
        <v>729.33</v>
      </c>
      <c r="L124" s="289">
        <f t="shared" si="169"/>
        <v>729.33</v>
      </c>
      <c r="M124" s="289">
        <f t="shared" si="169"/>
        <v>729.33</v>
      </c>
      <c r="N124" s="289">
        <f t="shared" ref="N124:N128" si="170">M124</f>
        <v>729.33</v>
      </c>
      <c r="O124" s="289">
        <f t="shared" ref="O124:O128" si="171">N124</f>
        <v>729.33</v>
      </c>
      <c r="P124" s="289">
        <f t="shared" ref="P124:P128" si="172">O124</f>
        <v>729.33</v>
      </c>
      <c r="Q124" s="289">
        <f t="shared" ref="Q124:Q128" si="173">P124</f>
        <v>729.33</v>
      </c>
      <c r="R124" s="289">
        <f t="shared" ref="R124:R128" si="174">Q124</f>
        <v>729.33</v>
      </c>
    </row>
    <row r="125" spans="2:18">
      <c r="B125" s="37">
        <f>B124+1</f>
        <v>2026</v>
      </c>
      <c r="H125" s="22"/>
      <c r="I125" s="289">
        <f>I116-I124</f>
        <v>120.00000000000011</v>
      </c>
      <c r="J125" s="289">
        <f>I125</f>
        <v>120.00000000000011</v>
      </c>
      <c r="K125" s="289">
        <f t="shared" ref="K125" si="175">J125</f>
        <v>120.00000000000011</v>
      </c>
      <c r="L125" s="289">
        <f t="shared" si="169"/>
        <v>120.00000000000011</v>
      </c>
      <c r="M125" s="289">
        <f t="shared" si="169"/>
        <v>120.00000000000011</v>
      </c>
      <c r="N125" s="289">
        <f t="shared" si="170"/>
        <v>120.00000000000011</v>
      </c>
      <c r="O125" s="289">
        <f t="shared" si="171"/>
        <v>120.00000000000011</v>
      </c>
      <c r="P125" s="289">
        <f t="shared" si="172"/>
        <v>120.00000000000011</v>
      </c>
      <c r="Q125" s="289">
        <f t="shared" si="173"/>
        <v>120.00000000000011</v>
      </c>
      <c r="R125" s="289">
        <f t="shared" si="174"/>
        <v>120.00000000000011</v>
      </c>
    </row>
    <row r="126" spans="2:18">
      <c r="B126" s="37">
        <f t="shared" ref="B126:B128" si="176">B125+1</f>
        <v>2027</v>
      </c>
      <c r="H126" s="22"/>
      <c r="I126" s="39"/>
      <c r="J126" s="289">
        <f>J116-I116</f>
        <v>120</v>
      </c>
      <c r="K126" s="289">
        <f>J126</f>
        <v>120</v>
      </c>
      <c r="L126" s="289">
        <f t="shared" si="169"/>
        <v>120</v>
      </c>
      <c r="M126" s="289">
        <f t="shared" si="169"/>
        <v>120</v>
      </c>
      <c r="N126" s="289">
        <f t="shared" si="170"/>
        <v>120</v>
      </c>
      <c r="O126" s="289">
        <f t="shared" si="171"/>
        <v>120</v>
      </c>
      <c r="P126" s="289">
        <f t="shared" si="172"/>
        <v>120</v>
      </c>
      <c r="Q126" s="289">
        <f t="shared" si="173"/>
        <v>120</v>
      </c>
      <c r="R126" s="289">
        <f t="shared" si="174"/>
        <v>120</v>
      </c>
    </row>
    <row r="127" spans="2:18">
      <c r="B127" s="37">
        <f t="shared" si="176"/>
        <v>2028</v>
      </c>
      <c r="H127" s="22"/>
      <c r="I127" s="39"/>
      <c r="J127" s="39"/>
      <c r="K127" s="289">
        <f>K116-J116</f>
        <v>120</v>
      </c>
      <c r="L127" s="289">
        <f>K127</f>
        <v>120</v>
      </c>
      <c r="M127" s="289">
        <f>L127</f>
        <v>120</v>
      </c>
      <c r="N127" s="289">
        <f t="shared" si="170"/>
        <v>120</v>
      </c>
      <c r="O127" s="289">
        <f t="shared" si="171"/>
        <v>120</v>
      </c>
      <c r="P127" s="289">
        <f t="shared" si="172"/>
        <v>120</v>
      </c>
      <c r="Q127" s="289">
        <f t="shared" si="173"/>
        <v>120</v>
      </c>
      <c r="R127" s="289">
        <f t="shared" si="174"/>
        <v>120</v>
      </c>
    </row>
    <row r="128" spans="2:18">
      <c r="B128" s="37">
        <f t="shared" si="176"/>
        <v>2029</v>
      </c>
      <c r="H128" s="22"/>
      <c r="I128" s="39"/>
      <c r="J128" s="39"/>
      <c r="K128" s="39"/>
      <c r="L128" s="289">
        <f>L116-K116</f>
        <v>120</v>
      </c>
      <c r="M128" s="289">
        <f>L128</f>
        <v>120</v>
      </c>
      <c r="N128" s="289">
        <f t="shared" si="170"/>
        <v>120</v>
      </c>
      <c r="O128" s="289">
        <f t="shared" si="171"/>
        <v>120</v>
      </c>
      <c r="P128" s="289">
        <f t="shared" si="172"/>
        <v>120</v>
      </c>
      <c r="Q128" s="289">
        <f t="shared" si="173"/>
        <v>120</v>
      </c>
      <c r="R128" s="289">
        <f t="shared" si="174"/>
        <v>120</v>
      </c>
    </row>
    <row r="129" spans="1:18">
      <c r="B129" s="37">
        <f>B128+1</f>
        <v>2030</v>
      </c>
      <c r="H129" s="22"/>
      <c r="I129" s="39"/>
      <c r="J129" s="39"/>
      <c r="K129" s="39"/>
      <c r="L129" s="39"/>
      <c r="M129" s="289">
        <f>M116-L116</f>
        <v>119.99999999999977</v>
      </c>
      <c r="N129" s="289">
        <f t="shared" ref="N129:R129" si="177">N116-M116</f>
        <v>120</v>
      </c>
      <c r="O129" s="289">
        <f t="shared" si="177"/>
        <v>120</v>
      </c>
      <c r="P129" s="289">
        <f t="shared" si="177"/>
        <v>120</v>
      </c>
      <c r="Q129" s="289">
        <f t="shared" si="177"/>
        <v>120</v>
      </c>
      <c r="R129" s="289">
        <f t="shared" si="177"/>
        <v>120</v>
      </c>
    </row>
    <row r="130" spans="1:18">
      <c r="B130" s="13" t="s">
        <v>36</v>
      </c>
      <c r="C130" s="13"/>
      <c r="D130" s="13"/>
      <c r="E130" s="13"/>
      <c r="F130" s="13"/>
      <c r="G130" s="13"/>
      <c r="H130" s="285">
        <f>SUM(H124:H129)</f>
        <v>729.33</v>
      </c>
      <c r="I130" s="285">
        <f t="shared" ref="I130:M130" si="178">SUM(I124:I129)</f>
        <v>849.33000000000015</v>
      </c>
      <c r="J130" s="285">
        <f t="shared" si="178"/>
        <v>969.33000000000015</v>
      </c>
      <c r="K130" s="285">
        <f t="shared" si="178"/>
        <v>1089.3300000000002</v>
      </c>
      <c r="L130" s="285">
        <f t="shared" si="178"/>
        <v>1209.3300000000002</v>
      </c>
      <c r="M130" s="285">
        <f t="shared" si="178"/>
        <v>1329.33</v>
      </c>
      <c r="N130" s="285">
        <f t="shared" ref="N130:R130" si="179">SUM(N124:N129)</f>
        <v>1329.3300000000002</v>
      </c>
      <c r="O130" s="285">
        <f t="shared" si="179"/>
        <v>1329.3300000000002</v>
      </c>
      <c r="P130" s="285">
        <f t="shared" si="179"/>
        <v>1329.3300000000002</v>
      </c>
      <c r="Q130" s="285">
        <f t="shared" si="179"/>
        <v>1329.3300000000002</v>
      </c>
      <c r="R130" s="285">
        <f t="shared" si="179"/>
        <v>1329.3300000000002</v>
      </c>
    </row>
    <row r="132" spans="1:18" ht="15.6">
      <c r="A132" t="s">
        <v>18</v>
      </c>
      <c r="B132" s="463" t="s">
        <v>37</v>
      </c>
      <c r="C132" s="463"/>
      <c r="D132" s="463"/>
      <c r="E132" s="463"/>
      <c r="F132" s="463"/>
      <c r="G132" s="463"/>
      <c r="H132" s="463"/>
      <c r="I132" s="463"/>
      <c r="J132" s="463"/>
      <c r="K132" s="463"/>
      <c r="L132" s="463"/>
      <c r="M132" s="463"/>
      <c r="N132" s="463"/>
      <c r="O132" s="463"/>
      <c r="P132" s="463"/>
      <c r="Q132" s="463"/>
      <c r="R132" s="463"/>
    </row>
    <row r="134" spans="1:18">
      <c r="B134" t="s">
        <v>38</v>
      </c>
      <c r="H134" s="138">
        <f>'3StatementModel'!H13</f>
        <v>18870.349999999999</v>
      </c>
      <c r="I134" s="138">
        <f>'3StatementModel'!I13</f>
        <v>21700.902499999997</v>
      </c>
      <c r="J134" s="138">
        <f>'3StatementModel'!J13</f>
        <v>24793.281106249997</v>
      </c>
      <c r="K134" s="138">
        <f>'3StatementModel'!K13</f>
        <v>28140.374055593747</v>
      </c>
      <c r="L134" s="138">
        <f>'3StatementModel'!L13</f>
        <v>31728.271747681949</v>
      </c>
      <c r="M134" s="138">
        <f>'3StatementModel'!M13</f>
        <v>35535.664357403788</v>
      </c>
      <c r="N134" s="138">
        <f>'3StatementModel'!N13</f>
        <v>39799.944080292247</v>
      </c>
      <c r="O134" s="138">
        <f>'3StatementModel'!O13</f>
        <v>44575.93736992732</v>
      </c>
      <c r="P134" s="138">
        <f>'3StatementModel'!P13</f>
        <v>49925.049854318604</v>
      </c>
      <c r="Q134" s="138">
        <f>'3StatementModel'!Q13</f>
        <v>55916.055836836844</v>
      </c>
      <c r="R134" s="138">
        <f>'3StatementModel'!R13</f>
        <v>62625.982537257274</v>
      </c>
    </row>
    <row r="135" spans="1:18">
      <c r="B135" s="36" t="s">
        <v>39</v>
      </c>
      <c r="H135" s="138">
        <f>'3StatementModel'!H14*-1</f>
        <v>-10297.08</v>
      </c>
      <c r="I135" s="138">
        <f>'3StatementModel'!I14*-1</f>
        <v>-11935.496374999999</v>
      </c>
      <c r="J135" s="138">
        <f>'3StatementModel'!J14*-1</f>
        <v>-13785.064295074999</v>
      </c>
      <c r="K135" s="138">
        <f>'3StatementModel'!K14*-1</f>
        <v>-15814.890219243687</v>
      </c>
      <c r="L135" s="138">
        <f>'3StatementModel'!L14*-1</f>
        <v>-18021.658352683349</v>
      </c>
      <c r="M135" s="138">
        <f>'3StatementModel'!M14*-1</f>
        <v>-20397.471341149776</v>
      </c>
      <c r="N135" s="138">
        <f>'3StatementModel'!N14*-1</f>
        <v>-22845.167902087753</v>
      </c>
      <c r="O135" s="138">
        <f>'3StatementModel'!O14*-1</f>
        <v>-25586.588050338283</v>
      </c>
      <c r="P135" s="138">
        <f>'3StatementModel'!P14*-1</f>
        <v>-28656.978616378881</v>
      </c>
      <c r="Q135" s="138">
        <f>'3StatementModel'!Q14*-1</f>
        <v>-32095.816050344351</v>
      </c>
      <c r="R135" s="138">
        <f>'3StatementModel'!R14*-1</f>
        <v>-35947.313976385682</v>
      </c>
    </row>
    <row r="136" spans="1:18">
      <c r="B136" s="36" t="s">
        <v>40</v>
      </c>
      <c r="H136" s="138">
        <f>SUM('3StatementModel'!H20:H24)*-1</f>
        <v>-3861.24</v>
      </c>
      <c r="I136" s="138">
        <f>SUM('3StatementModel'!I20:I24)*-1</f>
        <v>-4275.0777924999993</v>
      </c>
      <c r="J136" s="138">
        <f>SUM('3StatementModel'!J20:J24)*-1</f>
        <v>-4884.276377931249</v>
      </c>
      <c r="K136" s="138">
        <f>SUM('3StatementModel'!K20:K24)*-1</f>
        <v>-5543.6536889519684</v>
      </c>
      <c r="L136" s="138">
        <f>SUM('3StatementModel'!L20:L24)*-1</f>
        <v>-6250.4695342933446</v>
      </c>
      <c r="M136" s="138">
        <f>SUM('3StatementModel'!M20:M24)*-1</f>
        <v>-7000.5258784085454</v>
      </c>
      <c r="N136" s="138">
        <f>SUM('3StatementModel'!N20:N24)*-1</f>
        <v>-7840.5889838175726</v>
      </c>
      <c r="O136" s="138">
        <f>SUM('3StatementModel'!O20:O24)*-1</f>
        <v>-8781.4596618756823</v>
      </c>
      <c r="P136" s="138">
        <f>SUM('3StatementModel'!P20:P24)*-1</f>
        <v>-9835.2348213007663</v>
      </c>
      <c r="Q136" s="138">
        <f>SUM('3StatementModel'!Q20:Q24)*-1</f>
        <v>-11015.462999856858</v>
      </c>
      <c r="R136" s="138">
        <f>SUM('3StatementModel'!R20:R24)*-1</f>
        <v>-12337.318559839681</v>
      </c>
    </row>
    <row r="137" spans="1:18">
      <c r="B137" s="36" t="s">
        <v>41</v>
      </c>
      <c r="H137" s="138">
        <f>'3StatementModel'!H29*-1</f>
        <v>-729.33</v>
      </c>
      <c r="I137" s="138">
        <f>'3StatementModel'!I29*-1</f>
        <v>-849.33000000000015</v>
      </c>
      <c r="J137" s="138">
        <f>'3StatementModel'!J29*-1</f>
        <v>-969.33000000000015</v>
      </c>
      <c r="K137" s="138">
        <f>'3StatementModel'!K29*-1</f>
        <v>-1089.3300000000002</v>
      </c>
      <c r="L137" s="138">
        <f>'3StatementModel'!L29*-1</f>
        <v>-1209.3300000000002</v>
      </c>
      <c r="M137" s="138">
        <f>'3StatementModel'!M29*-1</f>
        <v>-1329.33</v>
      </c>
      <c r="N137" s="138">
        <f>'3StatementModel'!N29*-1</f>
        <v>-1449.33</v>
      </c>
      <c r="O137" s="138">
        <f>'3StatementModel'!O29*-1</f>
        <v>-1569.33</v>
      </c>
      <c r="P137" s="138">
        <f>'3StatementModel'!P29*-1</f>
        <v>-1689.33</v>
      </c>
      <c r="Q137" s="138">
        <f>'3StatementModel'!Q29*-1</f>
        <v>-1809.33</v>
      </c>
      <c r="R137" s="138">
        <f>'3StatementModel'!R29*-1</f>
        <v>-1929.33</v>
      </c>
    </row>
    <row r="138" spans="1:18">
      <c r="B138" s="78" t="s">
        <v>42</v>
      </c>
      <c r="C138" s="19"/>
      <c r="D138" s="19"/>
      <c r="E138" s="19"/>
      <c r="F138" s="19"/>
      <c r="G138" s="19"/>
      <c r="H138" s="138">
        <f>'3StatementModel'!H34*-1</f>
        <v>-54.34</v>
      </c>
      <c r="I138" s="138">
        <f>'3StatementModel'!I34*-1</f>
        <v>-22.2384869875</v>
      </c>
      <c r="J138" s="138">
        <f>'3StatementModel'!J34*-1</f>
        <v>-25.711568358601561</v>
      </c>
      <c r="K138" s="138">
        <f>'3StatementModel'!K34*-1</f>
        <v>-25.110945020423827</v>
      </c>
      <c r="L138" s="138">
        <f>'3StatementModel'!L34*-1</f>
        <v>-23.693931138803165</v>
      </c>
      <c r="M138" s="138">
        <f>'3StatementModel'!M34*-1</f>
        <v>-21.332503509553963</v>
      </c>
      <c r="N138" s="138">
        <f>'3StatementModel'!N34*-1</f>
        <v>-21.093970362554892</v>
      </c>
      <c r="O138" s="138">
        <f>'3StatementModel'!O34*-1</f>
        <v>-23.62524680606148</v>
      </c>
      <c r="P138" s="138">
        <f>'3StatementModel'!P34*-1</f>
        <v>-26.460276422788862</v>
      </c>
      <c r="Q138" s="138">
        <f>'3StatementModel'!Q34*-1</f>
        <v>-29.635509593523533</v>
      </c>
      <c r="R138" s="138">
        <f>'3StatementModel'!R34*-1</f>
        <v>-33.191770744746357</v>
      </c>
    </row>
    <row r="139" spans="1:18">
      <c r="B139" s="13" t="s">
        <v>43</v>
      </c>
      <c r="C139" s="12"/>
      <c r="D139" s="12"/>
      <c r="E139" s="12"/>
      <c r="F139" s="12"/>
      <c r="G139" s="12"/>
      <c r="H139" s="290">
        <f>SUM(H134:H138)</f>
        <v>3928.3599999999988</v>
      </c>
      <c r="I139" s="290">
        <f t="shared" ref="I139:M139" si="180">SUM(I134:I138)</f>
        <v>4618.759845512498</v>
      </c>
      <c r="J139" s="290">
        <f t="shared" si="180"/>
        <v>5128.8988648851473</v>
      </c>
      <c r="K139" s="290">
        <f t="shared" si="180"/>
        <v>5667.389202377668</v>
      </c>
      <c r="L139" s="290">
        <f t="shared" si="180"/>
        <v>6223.1199295664519</v>
      </c>
      <c r="M139" s="290">
        <f t="shared" si="180"/>
        <v>6787.0046343359127</v>
      </c>
      <c r="N139" s="290">
        <f t="shared" ref="N139:R139" si="181">SUM(N134:N138)</f>
        <v>7643.7632240243684</v>
      </c>
      <c r="O139" s="290">
        <f t="shared" si="181"/>
        <v>8614.9344109072936</v>
      </c>
      <c r="P139" s="290">
        <f t="shared" si="181"/>
        <v>9717.0461402161673</v>
      </c>
      <c r="Q139" s="290">
        <f t="shared" si="181"/>
        <v>10965.811277042112</v>
      </c>
      <c r="R139" s="290">
        <f t="shared" si="181"/>
        <v>12378.828230287165</v>
      </c>
    </row>
    <row r="140" spans="1:18">
      <c r="B140" t="s">
        <v>44</v>
      </c>
      <c r="H140" s="138">
        <f>'3StatementModel'!H39*-1</f>
        <v>-1198.6300000000001</v>
      </c>
      <c r="I140" s="291">
        <f>I139*-I143</f>
        <v>-1160.2324731927395</v>
      </c>
      <c r="J140" s="291">
        <f>J139*-J143</f>
        <v>-1288.379394859149</v>
      </c>
      <c r="K140" s="291">
        <f t="shared" ref="K140:M140" si="182">K139*-K143</f>
        <v>-1423.64816763727</v>
      </c>
      <c r="L140" s="291">
        <f t="shared" si="182"/>
        <v>-1563.2477263070925</v>
      </c>
      <c r="M140" s="291">
        <f t="shared" si="182"/>
        <v>-1704.8955641451812</v>
      </c>
      <c r="N140" s="291">
        <f t="shared" ref="N140:R140" si="183">N139*-N143</f>
        <v>-1920.1133218749212</v>
      </c>
      <c r="O140" s="291">
        <f t="shared" si="183"/>
        <v>-2164.071524019912</v>
      </c>
      <c r="P140" s="291">
        <f t="shared" si="183"/>
        <v>-2440.921990422301</v>
      </c>
      <c r="Q140" s="291">
        <f t="shared" si="183"/>
        <v>-2754.6117927929781</v>
      </c>
      <c r="R140" s="291">
        <f t="shared" si="183"/>
        <v>-3109.5616514481358</v>
      </c>
    </row>
    <row r="141" spans="1:18">
      <c r="B141" s="13" t="s">
        <v>4</v>
      </c>
      <c r="C141" s="12"/>
      <c r="D141" s="12"/>
      <c r="E141" s="12"/>
      <c r="F141" s="12"/>
      <c r="G141" s="12"/>
      <c r="H141" s="290">
        <f>H139+H140</f>
        <v>2729.7299999999987</v>
      </c>
      <c r="I141" s="290">
        <f t="shared" ref="I141:M141" si="184">I139+I140</f>
        <v>3458.5273723197588</v>
      </c>
      <c r="J141" s="290">
        <f t="shared" si="184"/>
        <v>3840.5194700259981</v>
      </c>
      <c r="K141" s="290">
        <f t="shared" si="184"/>
        <v>4243.7410347403984</v>
      </c>
      <c r="L141" s="290">
        <f t="shared" si="184"/>
        <v>4659.8722032593596</v>
      </c>
      <c r="M141" s="290">
        <f t="shared" si="184"/>
        <v>5082.1090701907315</v>
      </c>
      <c r="N141" s="290">
        <f t="shared" ref="N141:R141" si="185">N139+N140</f>
        <v>5723.6499021494474</v>
      </c>
      <c r="O141" s="290">
        <f t="shared" si="185"/>
        <v>6450.862886887382</v>
      </c>
      <c r="P141" s="290">
        <f t="shared" si="185"/>
        <v>7276.1241497938663</v>
      </c>
      <c r="Q141" s="290">
        <f t="shared" si="185"/>
        <v>8211.1994842491331</v>
      </c>
      <c r="R141" s="290">
        <f t="shared" si="185"/>
        <v>9269.2665788390295</v>
      </c>
    </row>
    <row r="143" spans="1:18">
      <c r="B143" s="22" t="s">
        <v>30</v>
      </c>
      <c r="C143" s="22"/>
      <c r="D143" s="22"/>
      <c r="E143" s="22"/>
      <c r="F143" s="22"/>
      <c r="G143" s="22"/>
      <c r="H143" s="22"/>
      <c r="I143" s="41">
        <f>Controlsheet!I129</f>
        <v>0.25119999999999998</v>
      </c>
      <c r="J143" s="41">
        <f>Controlsheet!J129</f>
        <v>0.25119999999999998</v>
      </c>
      <c r="K143" s="41">
        <f>Controlsheet!K129</f>
        <v>0.25119999999999998</v>
      </c>
      <c r="L143" s="41">
        <f>Controlsheet!L129</f>
        <v>0.25119999999999998</v>
      </c>
      <c r="M143" s="41">
        <f>Controlsheet!M129</f>
        <v>0.25119999999999998</v>
      </c>
      <c r="N143" s="41">
        <f>Controlsheet!N129</f>
        <v>0.25119999999999998</v>
      </c>
      <c r="O143" s="41">
        <f>Controlsheet!O129</f>
        <v>0.25119999999999998</v>
      </c>
      <c r="P143" s="41">
        <f>Controlsheet!P129</f>
        <v>0.25119999999999998</v>
      </c>
      <c r="Q143" s="41">
        <f>Controlsheet!Q129</f>
        <v>0.25119999999999998</v>
      </c>
      <c r="R143" s="41">
        <f>Controlsheet!R129</f>
        <v>0.25119999999999998</v>
      </c>
    </row>
    <row r="145" spans="1:18" ht="15.6">
      <c r="A145" t="s">
        <v>18</v>
      </c>
      <c r="B145" s="463" t="s">
        <v>546</v>
      </c>
      <c r="C145" s="463"/>
      <c r="D145" s="463"/>
      <c r="E145" s="463"/>
      <c r="F145" s="463"/>
      <c r="G145" s="463"/>
      <c r="H145" s="463"/>
      <c r="I145" s="463"/>
      <c r="J145" s="463"/>
      <c r="K145" s="463"/>
      <c r="L145" s="463"/>
      <c r="M145" s="463"/>
      <c r="N145" s="463"/>
      <c r="O145" s="463"/>
      <c r="P145" s="463"/>
      <c r="Q145" s="463"/>
      <c r="R145" s="463"/>
    </row>
    <row r="147" spans="1:18">
      <c r="B147" t="s">
        <v>547</v>
      </c>
      <c r="I147" s="138">
        <f>'3StatementModel'!H82</f>
        <v>21269.07</v>
      </c>
      <c r="J147" s="291">
        <f t="shared" ref="J147:M147" si="186">I150</f>
        <v>23648.122936043888</v>
      </c>
      <c r="K147" s="291">
        <f>J150</f>
        <v>25979.954971064286</v>
      </c>
      <c r="L147" s="291">
        <f t="shared" si="186"/>
        <v>28222.352641035231</v>
      </c>
      <c r="M147" s="291">
        <f t="shared" si="186"/>
        <v>29974.740724569936</v>
      </c>
      <c r="N147" s="291">
        <f t="shared" ref="N147" si="187">M150</f>
        <v>31500.695447925085</v>
      </c>
      <c r="O147" s="291">
        <f t="shared" ref="O147" si="188">N150</f>
        <v>33199.306846790016</v>
      </c>
      <c r="P147" s="291">
        <f t="shared" ref="P147" si="189">O150</f>
        <v>35093.031172814735</v>
      </c>
      <c r="Q147" s="291">
        <f t="shared" ref="Q147" si="190">P150</f>
        <v>37207.438521258424</v>
      </c>
      <c r="R147" s="291">
        <f t="shared" ref="R147" si="191">Q150</f>
        <v>39571.167398811347</v>
      </c>
    </row>
    <row r="148" spans="1:18">
      <c r="B148" s="36" t="s">
        <v>45</v>
      </c>
      <c r="I148" s="138">
        <f>'3StatementModel'!I40</f>
        <v>5286.7843023197584</v>
      </c>
      <c r="J148" s="138">
        <f>'3StatementModel'!J40</f>
        <v>5829.5800875509976</v>
      </c>
      <c r="K148" s="138">
        <f>'3StatementModel'!K40</f>
        <v>6406.850485631272</v>
      </c>
      <c r="L148" s="138">
        <f>'3StatementModel'!L40</f>
        <v>7009.5523341388198</v>
      </c>
      <c r="M148" s="138">
        <f>'3StatementModel'!M40</f>
        <v>7629.7736167757284</v>
      </c>
      <c r="N148" s="138">
        <f>'3StatementModel'!N40</f>
        <v>8493.0569943246428</v>
      </c>
      <c r="O148" s="138">
        <f>'3StatementModel'!O40</f>
        <v>9468.6216301236036</v>
      </c>
      <c r="P148" s="138">
        <f>'3StatementModel'!P40</f>
        <v>10572.036742218434</v>
      </c>
      <c r="Q148" s="138">
        <f>'3StatementModel'!Q40</f>
        <v>11818.644387764649</v>
      </c>
      <c r="R148" s="138">
        <f>'3StatementModel'!R40</f>
        <v>13225.627670776408</v>
      </c>
    </row>
    <row r="149" spans="1:18">
      <c r="B149" s="36" t="s">
        <v>46</v>
      </c>
      <c r="I149" s="291">
        <f>I148*-I152</f>
        <v>-2907.7313662758675</v>
      </c>
      <c r="J149" s="291">
        <f t="shared" ref="J149:M149" si="192">J148*-J152</f>
        <v>-3497.7480525305987</v>
      </c>
      <c r="K149" s="291">
        <f t="shared" si="192"/>
        <v>-4164.4528156603274</v>
      </c>
      <c r="L149" s="291">
        <f t="shared" si="192"/>
        <v>-5257.1642506041153</v>
      </c>
      <c r="M149" s="291">
        <f t="shared" si="192"/>
        <v>-6103.8188934205828</v>
      </c>
      <c r="N149" s="291">
        <f t="shared" ref="N149:R149" si="193">N148*-N152</f>
        <v>-6794.4455954597142</v>
      </c>
      <c r="O149" s="291">
        <f t="shared" si="193"/>
        <v>-7574.8973040988831</v>
      </c>
      <c r="P149" s="291">
        <f t="shared" si="193"/>
        <v>-8457.6293937747469</v>
      </c>
      <c r="Q149" s="291">
        <f t="shared" si="193"/>
        <v>-9454.9155102117202</v>
      </c>
      <c r="R149" s="291">
        <f t="shared" si="193"/>
        <v>-10580.502136621128</v>
      </c>
    </row>
    <row r="150" spans="1:18">
      <c r="B150" s="13" t="s">
        <v>548</v>
      </c>
      <c r="C150" s="13"/>
      <c r="D150" s="13"/>
      <c r="E150" s="13"/>
      <c r="F150" s="13"/>
      <c r="G150" s="13"/>
      <c r="H150" s="42"/>
      <c r="I150" s="292">
        <f>SUM(I147:I149)</f>
        <v>23648.122936043888</v>
      </c>
      <c r="J150" s="292">
        <f t="shared" ref="J150:M150" si="194">SUM(J147:J149)</f>
        <v>25979.954971064286</v>
      </c>
      <c r="K150" s="292">
        <f t="shared" si="194"/>
        <v>28222.352641035231</v>
      </c>
      <c r="L150" s="292">
        <f t="shared" si="194"/>
        <v>29974.740724569936</v>
      </c>
      <c r="M150" s="292">
        <f t="shared" si="194"/>
        <v>31500.695447925085</v>
      </c>
      <c r="N150" s="292">
        <f t="shared" ref="N150:R150" si="195">SUM(N147:N149)</f>
        <v>33199.306846790016</v>
      </c>
      <c r="O150" s="292">
        <f t="shared" si="195"/>
        <v>35093.031172814735</v>
      </c>
      <c r="P150" s="292">
        <f t="shared" si="195"/>
        <v>37207.438521258424</v>
      </c>
      <c r="Q150" s="292">
        <f t="shared" si="195"/>
        <v>39571.167398811347</v>
      </c>
      <c r="R150" s="292">
        <f t="shared" si="195"/>
        <v>42216.292932966622</v>
      </c>
    </row>
    <row r="152" spans="1:18">
      <c r="B152" s="22" t="s">
        <v>47</v>
      </c>
      <c r="C152" s="22"/>
      <c r="D152" s="22"/>
      <c r="E152" s="22"/>
      <c r="F152" s="22"/>
      <c r="G152" s="22"/>
      <c r="H152" s="22"/>
      <c r="I152" s="41">
        <f>Controlsheet!I161</f>
        <v>0.55000000000000004</v>
      </c>
      <c r="J152" s="41">
        <f>Controlsheet!J161</f>
        <v>0.6</v>
      </c>
      <c r="K152" s="41">
        <f>Controlsheet!K161</f>
        <v>0.65</v>
      </c>
      <c r="L152" s="41">
        <f>Controlsheet!L161</f>
        <v>0.75</v>
      </c>
      <c r="M152" s="41">
        <f>Controlsheet!M161</f>
        <v>0.8</v>
      </c>
      <c r="N152" s="41">
        <f>Controlsheet!N161</f>
        <v>0.8</v>
      </c>
      <c r="O152" s="41">
        <f>Controlsheet!O161</f>
        <v>0.8</v>
      </c>
      <c r="P152" s="41">
        <f>Controlsheet!P161</f>
        <v>0.8</v>
      </c>
      <c r="Q152" s="41">
        <f>Controlsheet!Q161</f>
        <v>0.8</v>
      </c>
      <c r="R152" s="41">
        <f>Controlsheet!R161</f>
        <v>0.8</v>
      </c>
    </row>
    <row r="154" spans="1:18" ht="15.6">
      <c r="A154" t="s">
        <v>18</v>
      </c>
      <c r="B154" s="463" t="s">
        <v>48</v>
      </c>
      <c r="C154" s="463"/>
      <c r="D154" s="463"/>
      <c r="E154" s="463"/>
      <c r="F154" s="463"/>
      <c r="G154" s="463"/>
      <c r="H154" s="463"/>
      <c r="I154" s="463"/>
      <c r="J154" s="463"/>
      <c r="K154" s="463"/>
      <c r="L154" s="463"/>
      <c r="M154" s="463"/>
      <c r="N154" s="463"/>
      <c r="O154" s="463"/>
      <c r="P154" s="463"/>
      <c r="Q154" s="463"/>
      <c r="R154" s="463"/>
    </row>
    <row r="155" spans="1:18">
      <c r="M155" s="44">
        <v>365</v>
      </c>
      <c r="N155" s="44"/>
      <c r="O155" s="44"/>
      <c r="P155" s="44"/>
      <c r="Q155" s="44"/>
      <c r="R155" s="44"/>
    </row>
    <row r="156" spans="1:18">
      <c r="B156" s="33" t="s">
        <v>364</v>
      </c>
    </row>
    <row r="157" spans="1:18">
      <c r="B157" t="s">
        <v>38</v>
      </c>
      <c r="D157" s="165">
        <f t="shared" ref="D157:M157" si="196">D13</f>
        <v>8720.35</v>
      </c>
      <c r="E157" s="165">
        <f t="shared" si="196"/>
        <v>10297.83</v>
      </c>
      <c r="F157" s="165">
        <f t="shared" si="196"/>
        <v>14442.18</v>
      </c>
      <c r="G157" s="165">
        <f t="shared" si="196"/>
        <v>16535.78</v>
      </c>
      <c r="H157" s="165">
        <f t="shared" si="196"/>
        <v>18870.349999999999</v>
      </c>
      <c r="I157" s="165">
        <f t="shared" si="196"/>
        <v>21700.902499999997</v>
      </c>
      <c r="J157" s="165">
        <f t="shared" si="196"/>
        <v>24793.281106249997</v>
      </c>
      <c r="K157" s="165">
        <f t="shared" si="196"/>
        <v>28140.374055593747</v>
      </c>
      <c r="L157" s="165">
        <f t="shared" si="196"/>
        <v>31728.271747681949</v>
      </c>
      <c r="M157" s="165">
        <f t="shared" si="196"/>
        <v>35535.664357403788</v>
      </c>
      <c r="N157" s="165">
        <f t="shared" ref="N157:R157" si="197">N13</f>
        <v>39799.944080292247</v>
      </c>
      <c r="O157" s="165">
        <f t="shared" si="197"/>
        <v>44575.93736992732</v>
      </c>
      <c r="P157" s="165">
        <f t="shared" si="197"/>
        <v>49925.049854318604</v>
      </c>
      <c r="Q157" s="165">
        <f t="shared" si="197"/>
        <v>55916.055836836844</v>
      </c>
      <c r="R157" s="165">
        <f t="shared" si="197"/>
        <v>62625.982537257274</v>
      </c>
    </row>
    <row r="158" spans="1:18">
      <c r="B158" t="s">
        <v>364</v>
      </c>
      <c r="D158" s="154">
        <f>ConsolidatedBS!E26</f>
        <v>158.16</v>
      </c>
      <c r="E158" s="154">
        <f>ConsolidatedBS!F26</f>
        <v>302.04000000000002</v>
      </c>
      <c r="F158" s="154">
        <f>ConsolidatedBS!G26</f>
        <v>368.92</v>
      </c>
      <c r="G158" s="154">
        <f>ConsolidatedBS!H26</f>
        <v>373.78</v>
      </c>
      <c r="H158" s="154">
        <f>ConsolidatedBS!I26</f>
        <v>549.64</v>
      </c>
      <c r="I158" s="165">
        <f>I157/$M$155*I159</f>
        <v>713.45432876712312</v>
      </c>
      <c r="J158" s="165">
        <f t="shared" ref="J158:M158" si="198">J157/$M$155*J159</f>
        <v>815.12157061643825</v>
      </c>
      <c r="K158" s="165">
        <f t="shared" si="198"/>
        <v>770.96915220804794</v>
      </c>
      <c r="L158" s="165">
        <f t="shared" si="198"/>
        <v>869.26771911457399</v>
      </c>
      <c r="M158" s="165">
        <f t="shared" si="198"/>
        <v>973.57984540832285</v>
      </c>
      <c r="N158" s="165">
        <f t="shared" ref="N158:R158" si="199">N157/$M$155*N159</f>
        <v>1090.4094268573219</v>
      </c>
      <c r="O158" s="165">
        <f t="shared" si="199"/>
        <v>1221.2585580802006</v>
      </c>
      <c r="P158" s="165">
        <f t="shared" si="199"/>
        <v>1367.8095850498246</v>
      </c>
      <c r="Q158" s="165">
        <f t="shared" si="199"/>
        <v>1531.9467352558038</v>
      </c>
      <c r="R158" s="165">
        <f t="shared" si="199"/>
        <v>1715.7803434865009</v>
      </c>
    </row>
    <row r="159" spans="1:18">
      <c r="B159" s="256" t="s">
        <v>365</v>
      </c>
      <c r="C159" s="256"/>
      <c r="D159" s="263">
        <f>D158/D157*$M$155</f>
        <v>6.6199636482480626</v>
      </c>
      <c r="E159" s="263">
        <f>E158/E157*$M$155</f>
        <v>10.705614678043821</v>
      </c>
      <c r="F159" s="263">
        <f t="shared" ref="F159:H159" si="200">F158/F157*$M$155</f>
        <v>9.3237862981904396</v>
      </c>
      <c r="G159" s="263">
        <f t="shared" si="200"/>
        <v>8.2505754188795457</v>
      </c>
      <c r="H159" s="263">
        <f t="shared" si="200"/>
        <v>10.631419131070702</v>
      </c>
      <c r="I159" s="264">
        <v>12</v>
      </c>
      <c r="J159" s="264">
        <v>12</v>
      </c>
      <c r="K159" s="264">
        <v>10</v>
      </c>
      <c r="L159" s="264">
        <v>10</v>
      </c>
      <c r="M159" s="264">
        <v>10</v>
      </c>
      <c r="N159" s="264">
        <v>10</v>
      </c>
      <c r="O159" s="264">
        <v>10</v>
      </c>
      <c r="P159" s="264">
        <v>10</v>
      </c>
      <c r="Q159" s="264">
        <v>10</v>
      </c>
      <c r="R159" s="264">
        <v>10</v>
      </c>
    </row>
    <row r="160" spans="1:18">
      <c r="B160" s="256" t="s">
        <v>366</v>
      </c>
      <c r="C160" s="256"/>
      <c r="D160" s="265">
        <f>D158/D157</f>
        <v>1.813688670752894E-2</v>
      </c>
      <c r="E160" s="265">
        <f t="shared" ref="E160:M160" si="201">E158/E157</f>
        <v>2.9330451172722798E-2</v>
      </c>
      <c r="F160" s="265">
        <f t="shared" si="201"/>
        <v>2.55446199950423E-2</v>
      </c>
      <c r="G160" s="265">
        <f t="shared" si="201"/>
        <v>2.2604316216108342E-2</v>
      </c>
      <c r="H160" s="265">
        <f t="shared" si="201"/>
        <v>2.9127175701563566E-2</v>
      </c>
      <c r="I160" s="265">
        <f t="shared" si="201"/>
        <v>3.287671232876712E-2</v>
      </c>
      <c r="J160" s="265">
        <f t="shared" si="201"/>
        <v>3.287671232876712E-2</v>
      </c>
      <c r="K160" s="265">
        <f t="shared" si="201"/>
        <v>2.7397260273972605E-2</v>
      </c>
      <c r="L160" s="265">
        <f t="shared" si="201"/>
        <v>2.7397260273972605E-2</v>
      </c>
      <c r="M160" s="265">
        <f t="shared" si="201"/>
        <v>2.7397260273972601E-2</v>
      </c>
      <c r="N160" s="265">
        <f t="shared" ref="N160:R160" si="202">N158/N157</f>
        <v>2.7397260273972605E-2</v>
      </c>
      <c r="O160" s="265">
        <f t="shared" si="202"/>
        <v>2.7397260273972605E-2</v>
      </c>
      <c r="P160" s="265">
        <f t="shared" si="202"/>
        <v>2.7397260273972598E-2</v>
      </c>
      <c r="Q160" s="265">
        <f t="shared" si="202"/>
        <v>2.7397260273972601E-2</v>
      </c>
      <c r="R160" s="265">
        <f t="shared" si="202"/>
        <v>2.7397260273972608E-2</v>
      </c>
    </row>
    <row r="162" spans="2:20">
      <c r="B162" s="33" t="s">
        <v>6</v>
      </c>
    </row>
    <row r="163" spans="2:20">
      <c r="B163" t="s">
        <v>38</v>
      </c>
      <c r="D163" s="165">
        <f t="shared" ref="D163:M163" si="203">D13</f>
        <v>8720.35</v>
      </c>
      <c r="E163" s="165">
        <f t="shared" si="203"/>
        <v>10297.83</v>
      </c>
      <c r="F163" s="165">
        <f t="shared" si="203"/>
        <v>14442.18</v>
      </c>
      <c r="G163" s="165">
        <f t="shared" si="203"/>
        <v>16535.78</v>
      </c>
      <c r="H163" s="165">
        <f t="shared" si="203"/>
        <v>18870.349999999999</v>
      </c>
      <c r="I163" s="165">
        <f t="shared" si="203"/>
        <v>21700.902499999997</v>
      </c>
      <c r="J163" s="165">
        <f t="shared" si="203"/>
        <v>24793.281106249997</v>
      </c>
      <c r="K163" s="165">
        <f t="shared" si="203"/>
        <v>28140.374055593747</v>
      </c>
      <c r="L163" s="165">
        <f t="shared" si="203"/>
        <v>31728.271747681949</v>
      </c>
      <c r="M163" s="165">
        <f t="shared" si="203"/>
        <v>35535.664357403788</v>
      </c>
      <c r="N163" s="165">
        <f t="shared" ref="N163:R163" si="204">N13</f>
        <v>39799.944080292247</v>
      </c>
      <c r="O163" s="165">
        <f t="shared" si="204"/>
        <v>44575.93736992732</v>
      </c>
      <c r="P163" s="165">
        <f t="shared" si="204"/>
        <v>49925.049854318604</v>
      </c>
      <c r="Q163" s="165">
        <f t="shared" si="204"/>
        <v>55916.055836836844</v>
      </c>
      <c r="R163" s="165">
        <f t="shared" si="204"/>
        <v>62625.982537257274</v>
      </c>
    </row>
    <row r="164" spans="2:20">
      <c r="B164" t="s">
        <v>6</v>
      </c>
      <c r="D164" s="154">
        <f>ConsolidatedBS!E25</f>
        <v>874.6</v>
      </c>
      <c r="E164" s="154">
        <f>ConsolidatedBS!F25</f>
        <v>1132.4000000000001</v>
      </c>
      <c r="F164" s="154">
        <f>ConsolidatedBS!G25</f>
        <v>1278.44</v>
      </c>
      <c r="G164" s="154">
        <f>ConsolidatedBS!H25</f>
        <v>1409.64</v>
      </c>
      <c r="H164" s="154">
        <f>ConsolidatedBS!I25</f>
        <v>1563.75</v>
      </c>
      <c r="I164" s="165">
        <f>I163/$M$155*I165</f>
        <v>1783.635821917808</v>
      </c>
      <c r="J164" s="165">
        <f t="shared" ref="J164:M164" si="205">J163/$M$155*J165</f>
        <v>2037.8039265410957</v>
      </c>
      <c r="K164" s="165">
        <f t="shared" si="205"/>
        <v>2312.9074566241438</v>
      </c>
      <c r="L164" s="165">
        <f t="shared" si="205"/>
        <v>2607.803157343722</v>
      </c>
      <c r="M164" s="165">
        <f t="shared" si="205"/>
        <v>2920.7395362249686</v>
      </c>
      <c r="N164" s="165">
        <f t="shared" ref="N164:R164" si="206">N163/$M$155*N165</f>
        <v>3271.2282805719656</v>
      </c>
      <c r="O164" s="165">
        <f t="shared" si="206"/>
        <v>3663.7756742406013</v>
      </c>
      <c r="P164" s="165">
        <f t="shared" si="206"/>
        <v>4103.4287551494735</v>
      </c>
      <c r="Q164" s="165">
        <f t="shared" si="206"/>
        <v>4595.8402057674111</v>
      </c>
      <c r="R164" s="165">
        <f t="shared" si="206"/>
        <v>5147.3410304595027</v>
      </c>
      <c r="S164" s="140"/>
    </row>
    <row r="165" spans="2:20">
      <c r="B165" s="22" t="s">
        <v>51</v>
      </c>
      <c r="C165" s="22"/>
      <c r="D165" s="266">
        <f>(AVERAGE(C164:D164)/D163*$M$155)</f>
        <v>36.607360943081417</v>
      </c>
      <c r="E165" s="266">
        <f>(AVERAGE(D164:E164)/E163*$M$155)</f>
        <v>35.568415870139631</v>
      </c>
      <c r="F165" s="266">
        <f t="shared" ref="F165:H165" si="207">(AVERAGE(E164:F164)/F163*$M$155)</f>
        <v>30.464812099004448</v>
      </c>
      <c r="G165" s="266">
        <f t="shared" si="207"/>
        <v>29.667460500804925</v>
      </c>
      <c r="H165" s="266">
        <f t="shared" si="207"/>
        <v>28.756418137448435</v>
      </c>
      <c r="I165" s="267">
        <v>30</v>
      </c>
      <c r="J165" s="267">
        <f t="shared" ref="J165:M165" si="208">I165</f>
        <v>30</v>
      </c>
      <c r="K165" s="267">
        <f>J165</f>
        <v>30</v>
      </c>
      <c r="L165" s="267">
        <f t="shared" si="208"/>
        <v>30</v>
      </c>
      <c r="M165" s="267">
        <f t="shared" si="208"/>
        <v>30</v>
      </c>
      <c r="N165" s="267">
        <f t="shared" ref="N165" si="209">M165</f>
        <v>30</v>
      </c>
      <c r="O165" s="267">
        <f t="shared" ref="O165" si="210">N165</f>
        <v>30</v>
      </c>
      <c r="P165" s="267">
        <f t="shared" ref="P165" si="211">O165</f>
        <v>30</v>
      </c>
      <c r="Q165" s="267">
        <f t="shared" ref="Q165" si="212">P165</f>
        <v>30</v>
      </c>
      <c r="R165" s="267">
        <f t="shared" ref="R165" si="213">Q165</f>
        <v>30</v>
      </c>
    </row>
    <row r="166" spans="2:20">
      <c r="B166" s="22" t="s">
        <v>346</v>
      </c>
      <c r="C166" s="22"/>
      <c r="D166" s="268">
        <f>D164/D163</f>
        <v>0.10029413957008607</v>
      </c>
      <c r="E166" s="268">
        <f t="shared" ref="E166:M166" si="214">E164/E163</f>
        <v>0.10996491493838995</v>
      </c>
      <c r="F166" s="268">
        <f t="shared" si="214"/>
        <v>8.8521262025539088E-2</v>
      </c>
      <c r="G166" s="268">
        <f t="shared" si="214"/>
        <v>8.5247868561386289E-2</v>
      </c>
      <c r="H166" s="268">
        <f t="shared" si="214"/>
        <v>8.2868097306091307E-2</v>
      </c>
      <c r="I166" s="268">
        <f t="shared" si="214"/>
        <v>8.2191780821917818E-2</v>
      </c>
      <c r="J166" s="268">
        <f t="shared" si="214"/>
        <v>8.2191780821917818E-2</v>
      </c>
      <c r="K166" s="268">
        <f t="shared" si="214"/>
        <v>8.2191780821917818E-2</v>
      </c>
      <c r="L166" s="268">
        <f t="shared" si="214"/>
        <v>8.2191780821917818E-2</v>
      </c>
      <c r="M166" s="268">
        <f t="shared" si="214"/>
        <v>8.2191780821917804E-2</v>
      </c>
      <c r="N166" s="268">
        <f t="shared" ref="N166:R166" si="215">N164/N163</f>
        <v>8.2191780821917804E-2</v>
      </c>
      <c r="O166" s="268">
        <f t="shared" si="215"/>
        <v>8.2191780821917804E-2</v>
      </c>
      <c r="P166" s="268">
        <f t="shared" si="215"/>
        <v>8.219178082191779E-2</v>
      </c>
      <c r="Q166" s="268">
        <f t="shared" si="215"/>
        <v>8.219178082191779E-2</v>
      </c>
      <c r="R166" s="268">
        <f t="shared" si="215"/>
        <v>8.2191780821917818E-2</v>
      </c>
    </row>
    <row r="168" spans="2:20">
      <c r="B168" s="33" t="s">
        <v>9</v>
      </c>
    </row>
    <row r="169" spans="2:20">
      <c r="B169" t="s">
        <v>38</v>
      </c>
      <c r="D169" s="165">
        <f t="shared" ref="D169:M169" si="216">D13</f>
        <v>8720.35</v>
      </c>
      <c r="E169" s="165">
        <f t="shared" si="216"/>
        <v>10297.83</v>
      </c>
      <c r="F169" s="165">
        <f t="shared" si="216"/>
        <v>14442.18</v>
      </c>
      <c r="G169" s="165">
        <f t="shared" si="216"/>
        <v>16535.78</v>
      </c>
      <c r="H169" s="165">
        <f t="shared" si="216"/>
        <v>18870.349999999999</v>
      </c>
      <c r="I169" s="165">
        <f t="shared" si="216"/>
        <v>21700.902499999997</v>
      </c>
      <c r="J169" s="165">
        <f t="shared" si="216"/>
        <v>24793.281106249997</v>
      </c>
      <c r="K169" s="165">
        <f t="shared" si="216"/>
        <v>28140.374055593747</v>
      </c>
      <c r="L169" s="165">
        <f t="shared" si="216"/>
        <v>31728.271747681949</v>
      </c>
      <c r="M169" s="165">
        <f t="shared" si="216"/>
        <v>35535.664357403788</v>
      </c>
      <c r="N169" s="165">
        <f t="shared" ref="N169:R169" si="217">N13</f>
        <v>39799.944080292247</v>
      </c>
      <c r="O169" s="165">
        <f t="shared" si="217"/>
        <v>44575.93736992732</v>
      </c>
      <c r="P169" s="165">
        <f t="shared" si="217"/>
        <v>49925.049854318604</v>
      </c>
      <c r="Q169" s="165">
        <f t="shared" si="217"/>
        <v>55916.055836836844</v>
      </c>
      <c r="R169" s="165">
        <f t="shared" si="217"/>
        <v>62625.982537257274</v>
      </c>
    </row>
    <row r="170" spans="2:20">
      <c r="B170" t="s">
        <v>9</v>
      </c>
      <c r="D170" s="154">
        <f>ConsolidatedBS!E31</f>
        <v>195.19</v>
      </c>
      <c r="E170" s="154">
        <f>ConsolidatedBS!F31</f>
        <v>295.2</v>
      </c>
      <c r="F170" s="154">
        <f>ConsolidatedBS!G31</f>
        <v>335.5</v>
      </c>
      <c r="G170" s="154">
        <f>ConsolidatedBS!H31</f>
        <v>310.48</v>
      </c>
      <c r="H170" s="154">
        <f>ConsolidatedBS!I31</f>
        <v>416.13</v>
      </c>
      <c r="I170" s="158">
        <f>I169*I171</f>
        <v>477.41985499999987</v>
      </c>
      <c r="J170" s="158">
        <f t="shared" ref="J170:M170" si="218">J169*J171</f>
        <v>545.45218433749994</v>
      </c>
      <c r="K170" s="158">
        <f t="shared" si="218"/>
        <v>619.0882292230624</v>
      </c>
      <c r="L170" s="158">
        <f t="shared" si="218"/>
        <v>698.02197844900286</v>
      </c>
      <c r="M170" s="158">
        <f t="shared" si="218"/>
        <v>781.78461586288324</v>
      </c>
      <c r="N170" s="158">
        <f t="shared" ref="N170:R170" si="219">N169*N171</f>
        <v>875.59876976642943</v>
      </c>
      <c r="O170" s="158">
        <f t="shared" si="219"/>
        <v>980.67062213840097</v>
      </c>
      <c r="P170" s="158">
        <f t="shared" si="219"/>
        <v>1098.3510967950092</v>
      </c>
      <c r="Q170" s="158">
        <f t="shared" si="219"/>
        <v>1230.1532284104105</v>
      </c>
      <c r="R170" s="158">
        <f t="shared" si="219"/>
        <v>1377.7716158196599</v>
      </c>
      <c r="S170" s="201"/>
      <c r="T170" s="201"/>
    </row>
    <row r="171" spans="2:20">
      <c r="B171" s="256" t="s">
        <v>369</v>
      </c>
      <c r="C171" s="256"/>
      <c r="D171" s="265">
        <f>D170/D169</f>
        <v>2.2383275900623254E-2</v>
      </c>
      <c r="E171" s="265">
        <f t="shared" ref="E171:H171" si="220">E170/E169</f>
        <v>2.8666233565712386E-2</v>
      </c>
      <c r="F171" s="265">
        <f t="shared" si="220"/>
        <v>2.3230564914715091E-2</v>
      </c>
      <c r="G171" s="265">
        <f t="shared" si="220"/>
        <v>1.8776253675363366E-2</v>
      </c>
      <c r="H171" s="265">
        <f t="shared" si="220"/>
        <v>2.2052055208302973E-2</v>
      </c>
      <c r="I171" s="269">
        <v>2.1999999999999999E-2</v>
      </c>
      <c r="J171" s="269">
        <v>2.1999999999999999E-2</v>
      </c>
      <c r="K171" s="269">
        <v>2.1999999999999999E-2</v>
      </c>
      <c r="L171" s="269">
        <v>2.1999999999999999E-2</v>
      </c>
      <c r="M171" s="269">
        <v>2.1999999999999999E-2</v>
      </c>
      <c r="N171" s="269">
        <v>2.1999999999999999E-2</v>
      </c>
      <c r="O171" s="269">
        <v>2.1999999999999999E-2</v>
      </c>
      <c r="P171" s="269">
        <v>2.1999999999999999E-2</v>
      </c>
      <c r="Q171" s="269">
        <v>2.1999999999999999E-2</v>
      </c>
      <c r="R171" s="269">
        <v>2.1999999999999999E-2</v>
      </c>
      <c r="S171" s="35"/>
    </row>
    <row r="172" spans="2:20">
      <c r="F172" s="106"/>
      <c r="G172" s="106"/>
      <c r="H172" s="106"/>
    </row>
    <row r="173" spans="2:20">
      <c r="B173" s="33" t="s">
        <v>500</v>
      </c>
    </row>
    <row r="174" spans="2:20">
      <c r="B174" t="s">
        <v>49</v>
      </c>
      <c r="D174" s="138">
        <f>'ConsolidatedP&amp;L'!E16*-1</f>
        <v>5112.2700000000004</v>
      </c>
      <c r="E174" s="138">
        <f>'ConsolidatedP&amp;L'!F16*-1</f>
        <v>5955.6799999999994</v>
      </c>
      <c r="F174" s="138">
        <f>'ConsolidatedP&amp;L'!G16*-1</f>
        <v>8211.9</v>
      </c>
      <c r="G174" s="138">
        <f>'ConsolidatedP&amp;L'!H16*-1</f>
        <v>8980.65</v>
      </c>
      <c r="H174" s="138">
        <f>'ConsolidatedP&amp;L'!I16*-1</f>
        <v>10297.08</v>
      </c>
      <c r="I174" s="138">
        <f>'3StatementModel'!I14</f>
        <v>11935.496374999999</v>
      </c>
      <c r="J174" s="138">
        <f>'3StatementModel'!J14</f>
        <v>13785.064295074999</v>
      </c>
      <c r="K174" s="138">
        <f>'3StatementModel'!K14</f>
        <v>15814.890219243687</v>
      </c>
      <c r="L174" s="138">
        <f>'3StatementModel'!L14</f>
        <v>18021.658352683349</v>
      </c>
      <c r="M174" s="138">
        <f>'3StatementModel'!M14</f>
        <v>20397.471341149776</v>
      </c>
      <c r="N174" s="138">
        <f>'3StatementModel'!N14</f>
        <v>22845.167902087753</v>
      </c>
      <c r="O174" s="138">
        <f>'3StatementModel'!O14</f>
        <v>25586.588050338283</v>
      </c>
      <c r="P174" s="138">
        <f>'3StatementModel'!P14</f>
        <v>28656.978616378881</v>
      </c>
      <c r="Q174" s="138">
        <f>'3StatementModel'!Q14</f>
        <v>32095.816050344351</v>
      </c>
      <c r="R174" s="138">
        <f>'3StatementModel'!R14</f>
        <v>35947.313976385682</v>
      </c>
    </row>
    <row r="175" spans="2:20">
      <c r="B175" t="s">
        <v>12</v>
      </c>
      <c r="D175" s="138">
        <f>ConsolidatedBS!E56</f>
        <v>1513.23</v>
      </c>
      <c r="E175" s="138">
        <f>ConsolidatedBS!F56</f>
        <v>1788.09</v>
      </c>
      <c r="F175" s="138">
        <f>ConsolidatedBS!G56</f>
        <v>1810.44</v>
      </c>
      <c r="G175" s="138">
        <f>ConsolidatedBS!H56</f>
        <v>2090.1299999999997</v>
      </c>
      <c r="H175" s="138">
        <f>ConsolidatedBS!I56</f>
        <v>2529.75</v>
      </c>
      <c r="I175" s="291">
        <f>I174/$M$155*I176</f>
        <v>2942.9991061643836</v>
      </c>
      <c r="J175" s="291">
        <f t="shared" ref="J175:M175" si="221">J174/$M$155*J176</f>
        <v>3399.0569494705478</v>
      </c>
      <c r="K175" s="291">
        <f t="shared" si="221"/>
        <v>3899.5619718683065</v>
      </c>
      <c r="L175" s="291">
        <f t="shared" si="221"/>
        <v>4443.6965801137021</v>
      </c>
      <c r="M175" s="291">
        <f t="shared" si="221"/>
        <v>5029.5134813793975</v>
      </c>
      <c r="N175" s="291">
        <f t="shared" ref="N175:R175" si="222">N174/$M$155*N176</f>
        <v>5633.0550991449254</v>
      </c>
      <c r="O175" s="291">
        <f t="shared" si="222"/>
        <v>6309.0217110423164</v>
      </c>
      <c r="P175" s="291">
        <f t="shared" si="222"/>
        <v>7066.1043163673949</v>
      </c>
      <c r="Q175" s="291">
        <f t="shared" si="222"/>
        <v>7914.036834331484</v>
      </c>
      <c r="R175" s="291">
        <f t="shared" si="222"/>
        <v>8863.721254451264</v>
      </c>
    </row>
    <row r="176" spans="2:20">
      <c r="B176" s="256" t="s">
        <v>575</v>
      </c>
      <c r="C176" s="256"/>
      <c r="D176" s="266">
        <f>D175/D174*$M$155</f>
        <v>108.03986291803835</v>
      </c>
      <c r="E176" s="266">
        <f>E175/E174*$M$155</f>
        <v>109.58494244150123</v>
      </c>
      <c r="F176" s="266">
        <f t="shared" ref="F176:H176" si="223">F175/F174*$M$155</f>
        <v>80.469879077923508</v>
      </c>
      <c r="G176" s="266">
        <f t="shared" si="223"/>
        <v>84.9490237343622</v>
      </c>
      <c r="H176" s="266">
        <f t="shared" si="223"/>
        <v>89.671902131478049</v>
      </c>
      <c r="I176" s="270">
        <v>90</v>
      </c>
      <c r="J176" s="270">
        <v>90</v>
      </c>
      <c r="K176" s="270">
        <v>90</v>
      </c>
      <c r="L176" s="270">
        <v>90</v>
      </c>
      <c r="M176" s="270">
        <v>90</v>
      </c>
      <c r="N176" s="270">
        <v>90</v>
      </c>
      <c r="O176" s="270">
        <v>90</v>
      </c>
      <c r="P176" s="270">
        <v>90</v>
      </c>
      <c r="Q176" s="270">
        <v>90</v>
      </c>
      <c r="R176" s="270">
        <v>90</v>
      </c>
    </row>
    <row r="177" spans="2:18">
      <c r="B177" s="18"/>
      <c r="C177" s="18"/>
      <c r="D177" s="18"/>
      <c r="E177" s="207"/>
      <c r="F177" s="207"/>
      <c r="G177" s="207"/>
      <c r="H177" s="207"/>
      <c r="I177" s="208"/>
      <c r="J177" s="208"/>
      <c r="K177" s="208"/>
      <c r="L177" s="208"/>
      <c r="M177" s="208"/>
      <c r="N177" s="208"/>
      <c r="O177" s="208"/>
      <c r="P177" s="208"/>
      <c r="Q177" s="208"/>
      <c r="R177" s="208"/>
    </row>
    <row r="178" spans="2:18">
      <c r="B178" s="33" t="s">
        <v>517</v>
      </c>
    </row>
    <row r="179" spans="2:18">
      <c r="B179" t="s">
        <v>517</v>
      </c>
      <c r="D179" s="293">
        <f>'3StatementModel'!D98</f>
        <v>157.41</v>
      </c>
      <c r="E179" s="293">
        <f>'3StatementModel'!E98</f>
        <v>58.84</v>
      </c>
      <c r="F179" s="293">
        <f>'3StatementModel'!F98</f>
        <v>132.74</v>
      </c>
      <c r="G179" s="293">
        <f>'3StatementModel'!G98</f>
        <v>112.12</v>
      </c>
      <c r="H179" s="293">
        <f>'3StatementModel'!H98</f>
        <v>82.11</v>
      </c>
      <c r="I179" s="291">
        <f>I181*I180</f>
        <v>151.90631749999997</v>
      </c>
      <c r="J179" s="291">
        <f t="shared" ref="J179:M179" si="224">J181*J180</f>
        <v>173.55296774374997</v>
      </c>
      <c r="K179" s="291">
        <f t="shared" si="224"/>
        <v>196.98261838915624</v>
      </c>
      <c r="L179" s="291">
        <f t="shared" si="224"/>
        <v>222.09790223377365</v>
      </c>
      <c r="M179" s="291">
        <f t="shared" si="224"/>
        <v>248.74965050182652</v>
      </c>
      <c r="N179" s="291">
        <f t="shared" ref="N179:R179" si="225">N181*N180</f>
        <v>278.59960856204572</v>
      </c>
      <c r="O179" s="291">
        <f t="shared" si="225"/>
        <v>312.03156158949128</v>
      </c>
      <c r="P179" s="291">
        <f t="shared" si="225"/>
        <v>349.47534898023025</v>
      </c>
      <c r="Q179" s="291">
        <f t="shared" si="225"/>
        <v>391.41239085785793</v>
      </c>
      <c r="R179" s="291">
        <f t="shared" si="225"/>
        <v>438.38187776080093</v>
      </c>
    </row>
    <row r="180" spans="2:18">
      <c r="B180" t="s">
        <v>38</v>
      </c>
      <c r="D180" s="293">
        <f>'3StatementModel'!D13</f>
        <v>8720.35</v>
      </c>
      <c r="E180" s="293">
        <f>'3StatementModel'!E13</f>
        <v>10297.83</v>
      </c>
      <c r="F180" s="293">
        <f>'3StatementModel'!F13</f>
        <v>14442.18</v>
      </c>
      <c r="G180" s="293">
        <f>'3StatementModel'!G13</f>
        <v>16535.78</v>
      </c>
      <c r="H180" s="293">
        <f>'3StatementModel'!H13</f>
        <v>18870.349999999999</v>
      </c>
      <c r="I180" s="293">
        <f>'3StatementModel'!I13</f>
        <v>21700.902499999997</v>
      </c>
      <c r="J180" s="293">
        <f>'3StatementModel'!J13</f>
        <v>24793.281106249997</v>
      </c>
      <c r="K180" s="293">
        <f>'3StatementModel'!K13</f>
        <v>28140.374055593747</v>
      </c>
      <c r="L180" s="293">
        <f>'3StatementModel'!L13</f>
        <v>31728.271747681949</v>
      </c>
      <c r="M180" s="293">
        <f>'3StatementModel'!M13</f>
        <v>35535.664357403788</v>
      </c>
      <c r="N180" s="293">
        <f>'3StatementModel'!N13</f>
        <v>39799.944080292247</v>
      </c>
      <c r="O180" s="293">
        <f>'3StatementModel'!O13</f>
        <v>44575.93736992732</v>
      </c>
      <c r="P180" s="293">
        <f>'3StatementModel'!P13</f>
        <v>49925.049854318604</v>
      </c>
      <c r="Q180" s="293">
        <f>'3StatementModel'!Q13</f>
        <v>55916.055836836844</v>
      </c>
      <c r="R180" s="293">
        <f>'3StatementModel'!R13</f>
        <v>62625.982537257274</v>
      </c>
    </row>
    <row r="181" spans="2:18">
      <c r="B181" s="45" t="s">
        <v>449</v>
      </c>
      <c r="C181" s="45"/>
      <c r="D181" s="46">
        <f>D179/D180</f>
        <v>1.8050880985281553E-2</v>
      </c>
      <c r="E181" s="46">
        <f t="shared" ref="E181:H181" si="226">E179/E180</f>
        <v>5.7138251456860332E-3</v>
      </c>
      <c r="F181" s="46">
        <f t="shared" si="226"/>
        <v>9.1911331945731187E-3</v>
      </c>
      <c r="G181" s="46">
        <f t="shared" si="226"/>
        <v>6.7804482159293366E-3</v>
      </c>
      <c r="H181" s="46">
        <f t="shared" si="226"/>
        <v>4.3512706441586934E-3</v>
      </c>
      <c r="I181" s="49">
        <f>Controlsheet!I145</f>
        <v>7.0000000000000001E-3</v>
      </c>
      <c r="J181" s="49">
        <f>Controlsheet!J145</f>
        <v>7.0000000000000001E-3</v>
      </c>
      <c r="K181" s="49">
        <f>Controlsheet!K145</f>
        <v>7.0000000000000001E-3</v>
      </c>
      <c r="L181" s="49">
        <f>Controlsheet!L145</f>
        <v>7.0000000000000001E-3</v>
      </c>
      <c r="M181" s="49">
        <f>Controlsheet!M145</f>
        <v>7.0000000000000001E-3</v>
      </c>
      <c r="N181" s="49">
        <f>Controlsheet!N145</f>
        <v>7.0000000000000001E-3</v>
      </c>
      <c r="O181" s="49">
        <f>Controlsheet!O145</f>
        <v>7.0000000000000001E-3</v>
      </c>
      <c r="P181" s="49">
        <f>Controlsheet!P145</f>
        <v>7.0000000000000001E-3</v>
      </c>
      <c r="Q181" s="49">
        <f>Controlsheet!Q145</f>
        <v>7.0000000000000001E-3</v>
      </c>
      <c r="R181" s="49">
        <f>Controlsheet!R145</f>
        <v>7.0000000000000001E-3</v>
      </c>
    </row>
    <row r="183" spans="2:18">
      <c r="B183" s="33" t="s">
        <v>549</v>
      </c>
    </row>
    <row r="184" spans="2:18">
      <c r="B184" t="s">
        <v>549</v>
      </c>
      <c r="D184" s="206">
        <f>'3StatementModel'!D99</f>
        <v>15.72</v>
      </c>
      <c r="E184" s="206">
        <f>'3StatementModel'!E99</f>
        <v>13.55</v>
      </c>
      <c r="F184" s="206">
        <f>'3StatementModel'!F99</f>
        <v>24.92</v>
      </c>
      <c r="G184" s="206">
        <f>'3StatementModel'!G99</f>
        <v>35.880000000000003</v>
      </c>
      <c r="H184" s="206">
        <f>'3StatementModel'!H99</f>
        <v>67.849999999999994</v>
      </c>
      <c r="I184" s="291">
        <f>H184*(1+I185)</f>
        <v>67.849999999999994</v>
      </c>
      <c r="J184" s="291">
        <f t="shared" ref="J184:M184" si="227">I184*(1+J185)</f>
        <v>67.849999999999994</v>
      </c>
      <c r="K184" s="291">
        <f t="shared" si="227"/>
        <v>67.849999999999994</v>
      </c>
      <c r="L184" s="291">
        <f t="shared" si="227"/>
        <v>67.849999999999994</v>
      </c>
      <c r="M184" s="291">
        <f t="shared" si="227"/>
        <v>67.849999999999994</v>
      </c>
      <c r="N184" s="291">
        <f t="shared" ref="N184" si="228">M184*(1+N185)</f>
        <v>67.849999999999994</v>
      </c>
      <c r="O184" s="291">
        <f t="shared" ref="O184" si="229">N184*(1+O185)</f>
        <v>67.849999999999994</v>
      </c>
      <c r="P184" s="291">
        <f t="shared" ref="P184" si="230">O184*(1+P185)</f>
        <v>67.849999999999994</v>
      </c>
      <c r="Q184" s="291">
        <f t="shared" ref="Q184" si="231">P184*(1+Q185)</f>
        <v>67.849999999999994</v>
      </c>
      <c r="R184" s="291">
        <f t="shared" ref="R184" si="232">Q184*(1+R185)</f>
        <v>67.849999999999994</v>
      </c>
    </row>
    <row r="185" spans="2:18">
      <c r="B185" s="256" t="s">
        <v>363</v>
      </c>
      <c r="C185" s="256"/>
      <c r="D185" s="256"/>
      <c r="E185" s="256"/>
      <c r="F185" s="256"/>
      <c r="G185" s="256"/>
      <c r="H185" s="265"/>
      <c r="I185" s="271">
        <v>0</v>
      </c>
      <c r="J185" s="271">
        <v>0</v>
      </c>
      <c r="K185" s="271">
        <v>0</v>
      </c>
      <c r="L185" s="271">
        <v>0</v>
      </c>
      <c r="M185" s="271">
        <v>0</v>
      </c>
      <c r="N185" s="271">
        <v>0</v>
      </c>
      <c r="O185" s="271">
        <v>0</v>
      </c>
      <c r="P185" s="271">
        <v>0</v>
      </c>
      <c r="Q185" s="271">
        <v>0</v>
      </c>
      <c r="R185" s="271">
        <v>0</v>
      </c>
    </row>
    <row r="187" spans="2:18">
      <c r="B187" s="33" t="s">
        <v>216</v>
      </c>
    </row>
    <row r="188" spans="2:18">
      <c r="B188" t="s">
        <v>216</v>
      </c>
      <c r="D188" s="206">
        <f>'3StatementModel'!D100</f>
        <v>204.9</v>
      </c>
      <c r="E188" s="206">
        <f>'3StatementModel'!E100</f>
        <v>250</v>
      </c>
      <c r="F188" s="206">
        <f>'3StatementModel'!F100</f>
        <v>221.98</v>
      </c>
      <c r="G188" s="206">
        <f>'3StatementModel'!G100</f>
        <v>306.10000000000002</v>
      </c>
      <c r="H188" s="206">
        <f>'3StatementModel'!H100</f>
        <v>354.85</v>
      </c>
      <c r="I188" s="291">
        <f>H188*(1+I189)</f>
        <v>354.85</v>
      </c>
      <c r="J188" s="291">
        <f t="shared" ref="J188:M188" si="233">I188*(1+J189)</f>
        <v>354.85</v>
      </c>
      <c r="K188" s="291">
        <f t="shared" si="233"/>
        <v>354.85</v>
      </c>
      <c r="L188" s="291">
        <f t="shared" si="233"/>
        <v>354.85</v>
      </c>
      <c r="M188" s="291">
        <f t="shared" si="233"/>
        <v>354.85</v>
      </c>
      <c r="N188" s="291">
        <f t="shared" ref="N188" si="234">M188*(1+N189)</f>
        <v>354.85</v>
      </c>
      <c r="O188" s="291">
        <f t="shared" ref="O188" si="235">N188*(1+O189)</f>
        <v>354.85</v>
      </c>
      <c r="P188" s="291">
        <f t="shared" ref="P188" si="236">O188*(1+P189)</f>
        <v>354.85</v>
      </c>
      <c r="Q188" s="291">
        <f t="shared" ref="Q188" si="237">P188*(1+Q189)</f>
        <v>354.85</v>
      </c>
      <c r="R188" s="291">
        <f t="shared" ref="R188" si="238">Q188*(1+R189)</f>
        <v>354.85</v>
      </c>
    </row>
    <row r="189" spans="2:18">
      <c r="B189" s="256" t="s">
        <v>363</v>
      </c>
      <c r="C189" s="22"/>
      <c r="D189" s="22"/>
      <c r="E189" s="22"/>
      <c r="F189" s="22"/>
      <c r="G189" s="22"/>
      <c r="H189" s="265"/>
      <c r="I189" s="271">
        <v>0</v>
      </c>
      <c r="J189" s="271">
        <v>0</v>
      </c>
      <c r="K189" s="271">
        <v>0</v>
      </c>
      <c r="L189" s="271">
        <v>0</v>
      </c>
      <c r="M189" s="271">
        <v>0</v>
      </c>
      <c r="N189" s="271">
        <v>0</v>
      </c>
      <c r="O189" s="271">
        <v>0</v>
      </c>
      <c r="P189" s="271">
        <v>0</v>
      </c>
      <c r="Q189" s="271">
        <v>0</v>
      </c>
      <c r="R189" s="271">
        <v>0</v>
      </c>
    </row>
    <row r="190" spans="2:18">
      <c r="B190" s="18"/>
      <c r="C190" s="19"/>
      <c r="D190" s="19"/>
      <c r="E190" s="19"/>
      <c r="F190" s="19"/>
      <c r="G190" s="19"/>
      <c r="H190" s="70"/>
      <c r="I190" s="214"/>
      <c r="J190" s="214"/>
      <c r="K190" s="214"/>
      <c r="L190" s="214"/>
      <c r="M190" s="214"/>
      <c r="N190" s="214"/>
      <c r="O190" s="214"/>
      <c r="P190" s="214"/>
      <c r="Q190" s="214"/>
      <c r="R190" s="214"/>
    </row>
    <row r="191" spans="2:18">
      <c r="B191" s="33" t="s">
        <v>217</v>
      </c>
    </row>
    <row r="192" spans="2:18">
      <c r="B192" t="s">
        <v>217</v>
      </c>
      <c r="D192" s="206">
        <f>'3StatementModel'!D101</f>
        <v>90.19</v>
      </c>
      <c r="E192" s="206">
        <f>'3StatementModel'!E101</f>
        <v>121.82</v>
      </c>
      <c r="F192" s="206">
        <f>'3StatementModel'!F101</f>
        <v>155.47999999999999</v>
      </c>
      <c r="G192" s="206">
        <f>'3StatementModel'!G101</f>
        <v>99.55</v>
      </c>
      <c r="H192" s="206">
        <f>'3StatementModel'!H101</f>
        <v>122.8</v>
      </c>
      <c r="I192" s="291">
        <f>H192*(1+I193)</f>
        <v>122.8</v>
      </c>
      <c r="J192" s="291">
        <f t="shared" ref="J192" si="239">I192*(1+J193)</f>
        <v>122.8</v>
      </c>
      <c r="K192" s="291">
        <f t="shared" ref="K192" si="240">J192*(1+K193)</f>
        <v>122.8</v>
      </c>
      <c r="L192" s="291">
        <f t="shared" ref="L192" si="241">K192*(1+L193)</f>
        <v>122.8</v>
      </c>
      <c r="M192" s="291">
        <f t="shared" ref="M192" si="242">L192*(1+M193)</f>
        <v>122.8</v>
      </c>
      <c r="N192" s="291">
        <f t="shared" ref="N192" si="243">M192*(1+N193)</f>
        <v>122.8</v>
      </c>
      <c r="O192" s="291">
        <f t="shared" ref="O192" si="244">N192*(1+O193)</f>
        <v>122.8</v>
      </c>
      <c r="P192" s="291">
        <f t="shared" ref="P192" si="245">O192*(1+P193)</f>
        <v>122.8</v>
      </c>
      <c r="Q192" s="291">
        <f t="shared" ref="Q192" si="246">P192*(1+Q193)</f>
        <v>122.8</v>
      </c>
      <c r="R192" s="291">
        <f t="shared" ref="R192" si="247">Q192*(1+R193)</f>
        <v>122.8</v>
      </c>
    </row>
    <row r="193" spans="2:18">
      <c r="B193" s="256" t="s">
        <v>363</v>
      </c>
      <c r="C193" s="22"/>
      <c r="D193" s="22"/>
      <c r="E193" s="22"/>
      <c r="F193" s="22"/>
      <c r="G193" s="22"/>
      <c r="H193" s="265"/>
      <c r="I193" s="271">
        <v>0</v>
      </c>
      <c r="J193" s="271">
        <v>0</v>
      </c>
      <c r="K193" s="271">
        <v>0</v>
      </c>
      <c r="L193" s="271">
        <v>0</v>
      </c>
      <c r="M193" s="271">
        <v>0</v>
      </c>
      <c r="N193" s="271">
        <v>0</v>
      </c>
      <c r="O193" s="271">
        <v>0</v>
      </c>
      <c r="P193" s="271">
        <v>0</v>
      </c>
      <c r="Q193" s="271">
        <v>0</v>
      </c>
      <c r="R193" s="271">
        <v>0</v>
      </c>
    </row>
    <row r="194" spans="2:18">
      <c r="B194" s="18"/>
      <c r="C194" s="19"/>
      <c r="D194" s="19"/>
      <c r="E194" s="19"/>
      <c r="F194" s="19"/>
      <c r="G194" s="19"/>
      <c r="H194" s="70"/>
      <c r="I194" s="214"/>
      <c r="J194" s="214"/>
      <c r="K194" s="214"/>
      <c r="L194" s="214"/>
      <c r="M194" s="214"/>
      <c r="N194" s="214"/>
      <c r="O194" s="214"/>
      <c r="P194" s="214"/>
      <c r="Q194" s="214"/>
      <c r="R194" s="214"/>
    </row>
    <row r="195" spans="2:18">
      <c r="B195" s="33" t="s">
        <v>554</v>
      </c>
    </row>
    <row r="196" spans="2:18">
      <c r="B196" t="s">
        <v>554</v>
      </c>
      <c r="D196" s="206">
        <f>'3StatementModel'!D103</f>
        <v>227.67</v>
      </c>
      <c r="E196" s="206">
        <f>'3StatementModel'!E103</f>
        <v>170.14</v>
      </c>
      <c r="F196" s="206">
        <f>'3StatementModel'!F103</f>
        <v>180.1</v>
      </c>
      <c r="G196" s="206">
        <f>'3StatementModel'!G103</f>
        <v>262.58</v>
      </c>
      <c r="H196" s="206">
        <f>'3StatementModel'!H103</f>
        <v>270.68</v>
      </c>
      <c r="I196" s="291">
        <f>H196*(1+I197)</f>
        <v>270.68</v>
      </c>
      <c r="J196" s="291">
        <f t="shared" ref="J196" si="248">I196*(1+J197)</f>
        <v>270.68</v>
      </c>
      <c r="K196" s="291">
        <f t="shared" ref="K196" si="249">J196*(1+K197)</f>
        <v>270.68</v>
      </c>
      <c r="L196" s="291">
        <f t="shared" ref="L196" si="250">K196*(1+L197)</f>
        <v>270.68</v>
      </c>
      <c r="M196" s="291">
        <f t="shared" ref="M196" si="251">L196*(1+M197)</f>
        <v>270.68</v>
      </c>
      <c r="N196" s="291">
        <f t="shared" ref="N196" si="252">M196*(1+N197)</f>
        <v>270.68</v>
      </c>
      <c r="O196" s="291">
        <f t="shared" ref="O196" si="253">N196*(1+O197)</f>
        <v>270.68</v>
      </c>
      <c r="P196" s="291">
        <f t="shared" ref="P196" si="254">O196*(1+P197)</f>
        <v>270.68</v>
      </c>
      <c r="Q196" s="291">
        <f t="shared" ref="Q196" si="255">P196*(1+Q197)</f>
        <v>270.68</v>
      </c>
      <c r="R196" s="291">
        <f t="shared" ref="R196" si="256">Q196*(1+R197)</f>
        <v>270.68</v>
      </c>
    </row>
    <row r="197" spans="2:18">
      <c r="B197" s="256" t="s">
        <v>363</v>
      </c>
      <c r="C197" s="22"/>
      <c r="D197" s="22"/>
      <c r="E197" s="22"/>
      <c r="F197" s="22"/>
      <c r="G197" s="22"/>
      <c r="H197" s="265"/>
      <c r="I197" s="271">
        <v>0</v>
      </c>
      <c r="J197" s="271">
        <v>0</v>
      </c>
      <c r="K197" s="271">
        <v>0</v>
      </c>
      <c r="L197" s="271">
        <v>0</v>
      </c>
      <c r="M197" s="271">
        <v>0</v>
      </c>
      <c r="N197" s="271">
        <v>0</v>
      </c>
      <c r="O197" s="271">
        <v>0</v>
      </c>
      <c r="P197" s="271">
        <v>0</v>
      </c>
      <c r="Q197" s="271">
        <v>0</v>
      </c>
      <c r="R197" s="271">
        <v>0</v>
      </c>
    </row>
    <row r="198" spans="2:18">
      <c r="B198" s="18"/>
      <c r="C198" s="19"/>
      <c r="D198" s="19"/>
      <c r="E198" s="19"/>
      <c r="F198" s="19"/>
      <c r="G198" s="19"/>
      <c r="H198" s="70"/>
      <c r="I198" s="214"/>
      <c r="J198" s="214"/>
      <c r="K198" s="214"/>
      <c r="L198" s="214"/>
      <c r="M198" s="214"/>
      <c r="N198" s="214"/>
      <c r="O198" s="214"/>
      <c r="P198" s="214"/>
      <c r="Q198" s="214"/>
      <c r="R198" s="214"/>
    </row>
    <row r="199" spans="2:18">
      <c r="B199" s="33" t="s">
        <v>219</v>
      </c>
    </row>
    <row r="200" spans="2:18">
      <c r="B200" t="s">
        <v>219</v>
      </c>
      <c r="D200" s="206">
        <f>'3StatementModel'!D102</f>
        <v>15.61</v>
      </c>
      <c r="E200" s="206">
        <f>'3StatementModel'!E102</f>
        <v>19.38</v>
      </c>
      <c r="F200" s="206">
        <f>'3StatementModel'!F102</f>
        <v>32.450000000000003</v>
      </c>
      <c r="G200" s="206">
        <f>'3StatementModel'!G102</f>
        <v>25.69</v>
      </c>
      <c r="H200" s="206">
        <f>'3StatementModel'!H102</f>
        <v>40.479999999999997</v>
      </c>
      <c r="I200" s="291">
        <f>H200*(1+I201)</f>
        <v>40.479999999999997</v>
      </c>
      <c r="J200" s="291">
        <f t="shared" ref="J200" si="257">I200*(1+J201)</f>
        <v>40.479999999999997</v>
      </c>
      <c r="K200" s="291">
        <f t="shared" ref="K200" si="258">J200*(1+K201)</f>
        <v>40.479999999999997</v>
      </c>
      <c r="L200" s="291">
        <f t="shared" ref="L200" si="259">K200*(1+L201)</f>
        <v>40.479999999999997</v>
      </c>
      <c r="M200" s="291">
        <f t="shared" ref="M200" si="260">L200*(1+M201)</f>
        <v>40.479999999999997</v>
      </c>
      <c r="N200" s="291">
        <f t="shared" ref="N200" si="261">M200*(1+N201)</f>
        <v>40.479999999999997</v>
      </c>
      <c r="O200" s="291">
        <f t="shared" ref="O200" si="262">N200*(1+O201)</f>
        <v>40.479999999999997</v>
      </c>
      <c r="P200" s="291">
        <f t="shared" ref="P200" si="263">O200*(1+P201)</f>
        <v>40.479999999999997</v>
      </c>
      <c r="Q200" s="291">
        <f t="shared" ref="Q200" si="264">P200*(1+Q201)</f>
        <v>40.479999999999997</v>
      </c>
      <c r="R200" s="291">
        <f t="shared" ref="R200" si="265">Q200*(1+R201)</f>
        <v>40.479999999999997</v>
      </c>
    </row>
    <row r="201" spans="2:18">
      <c r="B201" s="256" t="s">
        <v>363</v>
      </c>
      <c r="C201" s="22"/>
      <c r="D201" s="22"/>
      <c r="E201" s="22"/>
      <c r="F201" s="22"/>
      <c r="G201" s="22"/>
      <c r="H201" s="265"/>
      <c r="I201" s="271">
        <v>0</v>
      </c>
      <c r="J201" s="271">
        <v>0</v>
      </c>
      <c r="K201" s="271">
        <v>0</v>
      </c>
      <c r="L201" s="271">
        <v>0</v>
      </c>
      <c r="M201" s="271">
        <v>0</v>
      </c>
      <c r="N201" s="271">
        <v>0</v>
      </c>
      <c r="O201" s="271">
        <v>0</v>
      </c>
      <c r="P201" s="271">
        <v>0</v>
      </c>
      <c r="Q201" s="271">
        <v>0</v>
      </c>
      <c r="R201" s="271">
        <v>0</v>
      </c>
    </row>
    <row r="202" spans="2:18">
      <c r="B202" s="18"/>
      <c r="C202" s="19"/>
      <c r="D202" s="19"/>
      <c r="E202" s="19"/>
      <c r="F202" s="19"/>
      <c r="G202" s="19"/>
      <c r="H202" s="70"/>
      <c r="I202" s="214"/>
      <c r="J202" s="214"/>
      <c r="K202" s="214"/>
      <c r="L202" s="214"/>
      <c r="M202" s="214"/>
      <c r="N202" s="214"/>
      <c r="O202" s="214"/>
      <c r="P202" s="214"/>
      <c r="Q202" s="214"/>
      <c r="R202" s="214"/>
    </row>
    <row r="203" spans="2:18">
      <c r="B203" s="33" t="s">
        <v>555</v>
      </c>
    </row>
    <row r="204" spans="2:18">
      <c r="B204" t="s">
        <v>555</v>
      </c>
      <c r="D204" s="206">
        <f>'3StatementModel'!D104</f>
        <v>273.05</v>
      </c>
      <c r="E204" s="206">
        <f>'3StatementModel'!E104</f>
        <v>300.93</v>
      </c>
      <c r="F204" s="206">
        <f>'3StatementModel'!F104</f>
        <v>453.64</v>
      </c>
      <c r="G204" s="206">
        <f>'3StatementModel'!G104</f>
        <v>454.34</v>
      </c>
      <c r="H204" s="206">
        <f>'3StatementModel'!H104</f>
        <v>558.58000000000004</v>
      </c>
      <c r="I204" s="291">
        <f>H204*(1+I205)</f>
        <v>558.58000000000004</v>
      </c>
      <c r="J204" s="291">
        <f t="shared" ref="J204" si="266">I204*(1+J205)</f>
        <v>558.58000000000004</v>
      </c>
      <c r="K204" s="291">
        <f t="shared" ref="K204" si="267">J204*(1+K205)</f>
        <v>558.58000000000004</v>
      </c>
      <c r="L204" s="291">
        <f t="shared" ref="L204" si="268">K204*(1+L205)</f>
        <v>558.58000000000004</v>
      </c>
      <c r="M204" s="291">
        <f t="shared" ref="M204" si="269">L204*(1+M205)</f>
        <v>558.58000000000004</v>
      </c>
      <c r="N204" s="291">
        <f t="shared" ref="N204" si="270">M204*(1+N205)</f>
        <v>558.58000000000004</v>
      </c>
      <c r="O204" s="291">
        <f t="shared" ref="O204" si="271">N204*(1+O205)</f>
        <v>558.58000000000004</v>
      </c>
      <c r="P204" s="291">
        <f t="shared" ref="P204" si="272">O204*(1+P205)</f>
        <v>558.58000000000004</v>
      </c>
      <c r="Q204" s="291">
        <f t="shared" ref="Q204" si="273">P204*(1+Q205)</f>
        <v>558.58000000000004</v>
      </c>
      <c r="R204" s="291">
        <f t="shared" ref="R204" si="274">Q204*(1+R205)</f>
        <v>558.58000000000004</v>
      </c>
    </row>
    <row r="205" spans="2:18">
      <c r="B205" s="256" t="s">
        <v>363</v>
      </c>
      <c r="C205" s="22"/>
      <c r="D205" s="22"/>
      <c r="E205" s="22"/>
      <c r="F205" s="22"/>
      <c r="G205" s="22"/>
      <c r="H205" s="265"/>
      <c r="I205" s="271">
        <v>0</v>
      </c>
      <c r="J205" s="271">
        <v>0</v>
      </c>
      <c r="K205" s="271">
        <v>0</v>
      </c>
      <c r="L205" s="271">
        <v>0</v>
      </c>
      <c r="M205" s="271">
        <v>0</v>
      </c>
      <c r="N205" s="271">
        <v>0</v>
      </c>
      <c r="O205" s="271">
        <v>0</v>
      </c>
      <c r="P205" s="271">
        <v>0</v>
      </c>
      <c r="Q205" s="271">
        <v>0</v>
      </c>
      <c r="R205" s="271">
        <v>0</v>
      </c>
    </row>
    <row r="206" spans="2:18">
      <c r="B206" s="18"/>
      <c r="C206" s="19"/>
      <c r="D206" s="19"/>
      <c r="E206" s="19"/>
      <c r="F206" s="19"/>
      <c r="G206" s="19"/>
      <c r="H206" s="70"/>
      <c r="I206" s="214"/>
      <c r="J206" s="214"/>
      <c r="K206" s="214"/>
      <c r="L206" s="214"/>
      <c r="M206" s="214"/>
      <c r="N206" s="214"/>
      <c r="O206" s="214"/>
      <c r="P206" s="214"/>
      <c r="Q206" s="214"/>
      <c r="R206" s="214"/>
    </row>
    <row r="207" spans="2:18">
      <c r="B207" s="33" t="s">
        <v>226</v>
      </c>
    </row>
    <row r="208" spans="2:18">
      <c r="B208" t="s">
        <v>226</v>
      </c>
      <c r="D208" s="206">
        <f>'3StatementModel'!D105</f>
        <v>131.03</v>
      </c>
      <c r="E208" s="206">
        <f>'3StatementModel'!E105</f>
        <v>170.62</v>
      </c>
      <c r="F208" s="206">
        <f>'3StatementModel'!F105</f>
        <v>222.83</v>
      </c>
      <c r="G208" s="206">
        <f>'3StatementModel'!G105</f>
        <v>212.02</v>
      </c>
      <c r="H208" s="206">
        <f>'3StatementModel'!H105</f>
        <v>238.68</v>
      </c>
      <c r="I208" s="291">
        <f>H208*(1+I209)</f>
        <v>238.68</v>
      </c>
      <c r="J208" s="291">
        <f t="shared" ref="J208" si="275">I208*(1+J209)</f>
        <v>238.68</v>
      </c>
      <c r="K208" s="291">
        <f t="shared" ref="K208" si="276">J208*(1+K209)</f>
        <v>238.68</v>
      </c>
      <c r="L208" s="291">
        <f t="shared" ref="L208" si="277">K208*(1+L209)</f>
        <v>238.68</v>
      </c>
      <c r="M208" s="291">
        <f t="shared" ref="M208" si="278">L208*(1+M209)</f>
        <v>238.68</v>
      </c>
      <c r="N208" s="291">
        <f t="shared" ref="N208" si="279">M208*(1+N209)</f>
        <v>238.68</v>
      </c>
      <c r="O208" s="291">
        <f t="shared" ref="O208" si="280">N208*(1+O209)</f>
        <v>238.68</v>
      </c>
      <c r="P208" s="291">
        <f t="shared" ref="P208" si="281">O208*(1+P209)</f>
        <v>238.68</v>
      </c>
      <c r="Q208" s="291">
        <f t="shared" ref="Q208" si="282">P208*(1+Q209)</f>
        <v>238.68</v>
      </c>
      <c r="R208" s="291">
        <f t="shared" ref="R208" si="283">Q208*(1+R209)</f>
        <v>238.68</v>
      </c>
    </row>
    <row r="209" spans="2:18">
      <c r="B209" s="256" t="s">
        <v>363</v>
      </c>
      <c r="C209" s="22"/>
      <c r="D209" s="22"/>
      <c r="E209" s="22"/>
      <c r="F209" s="22"/>
      <c r="G209" s="22"/>
      <c r="H209" s="265"/>
      <c r="I209" s="271">
        <v>0</v>
      </c>
      <c r="J209" s="271">
        <v>0</v>
      </c>
      <c r="K209" s="271">
        <v>0</v>
      </c>
      <c r="L209" s="271">
        <v>0</v>
      </c>
      <c r="M209" s="271">
        <v>0</v>
      </c>
      <c r="N209" s="271">
        <v>0</v>
      </c>
      <c r="O209" s="271">
        <v>0</v>
      </c>
      <c r="P209" s="271">
        <v>0</v>
      </c>
      <c r="Q209" s="271">
        <v>0</v>
      </c>
      <c r="R209" s="271">
        <v>0</v>
      </c>
    </row>
    <row r="210" spans="2:18">
      <c r="B210" s="19"/>
      <c r="C210" s="19"/>
      <c r="D210" s="19"/>
      <c r="E210" s="19"/>
      <c r="F210" s="19"/>
      <c r="G210" s="19"/>
      <c r="H210" s="70"/>
      <c r="I210" s="71"/>
      <c r="J210" s="71"/>
      <c r="K210" s="71"/>
      <c r="L210" s="71"/>
      <c r="M210" s="71"/>
      <c r="N210" s="71"/>
      <c r="O210" s="71"/>
      <c r="P210" s="71"/>
      <c r="Q210" s="71"/>
      <c r="R210" s="71"/>
    </row>
    <row r="211" spans="2:18">
      <c r="B211" s="72" t="s">
        <v>73</v>
      </c>
      <c r="C211" s="19"/>
      <c r="D211" s="19"/>
      <c r="E211" s="19"/>
      <c r="F211" s="19"/>
      <c r="G211" s="19"/>
      <c r="H211" s="70"/>
      <c r="I211" s="71"/>
      <c r="J211" s="71"/>
      <c r="K211" s="71"/>
      <c r="L211" s="71"/>
      <c r="M211" s="71"/>
      <c r="N211" s="71"/>
      <c r="O211" s="71"/>
      <c r="P211" s="71"/>
      <c r="Q211" s="71"/>
      <c r="R211" s="71"/>
    </row>
    <row r="212" spans="2:18">
      <c r="B212" s="19"/>
      <c r="C212" s="19"/>
      <c r="D212" s="19"/>
      <c r="E212" s="19"/>
      <c r="F212" s="19"/>
      <c r="G212" s="19"/>
      <c r="H212" s="70"/>
      <c r="I212" s="71"/>
      <c r="J212" s="71"/>
      <c r="K212" s="71"/>
      <c r="L212" s="71"/>
      <c r="M212" s="71"/>
      <c r="N212" s="71"/>
      <c r="O212" s="71"/>
      <c r="P212" s="71"/>
      <c r="Q212" s="71"/>
      <c r="R212" s="71"/>
    </row>
    <row r="213" spans="2:18">
      <c r="B213" s="73" t="s">
        <v>74</v>
      </c>
      <c r="C213" s="19"/>
      <c r="D213" s="34"/>
      <c r="E213" s="218"/>
      <c r="F213" s="218"/>
      <c r="G213" s="218"/>
      <c r="H213" s="218"/>
      <c r="I213" s="291">
        <f>I164-H164</f>
        <v>219.88582191780802</v>
      </c>
      <c r="J213" s="291">
        <f>J164-I164</f>
        <v>254.16810462328772</v>
      </c>
      <c r="K213" s="291">
        <f>K164-J164</f>
        <v>275.1035300830481</v>
      </c>
      <c r="L213" s="291">
        <f>L164-K164</f>
        <v>294.89570071957814</v>
      </c>
      <c r="M213" s="291">
        <f>M164-L164</f>
        <v>312.93637888124658</v>
      </c>
      <c r="N213" s="291">
        <f t="shared" ref="N213:R213" si="284">N164-M164</f>
        <v>350.48874434699701</v>
      </c>
      <c r="O213" s="291">
        <f t="shared" si="284"/>
        <v>392.54739366863578</v>
      </c>
      <c r="P213" s="291">
        <f t="shared" si="284"/>
        <v>439.6530809088722</v>
      </c>
      <c r="Q213" s="291">
        <f t="shared" si="284"/>
        <v>492.41145061793759</v>
      </c>
      <c r="R213" s="291">
        <f t="shared" si="284"/>
        <v>551.50082469209156</v>
      </c>
    </row>
    <row r="214" spans="2:18">
      <c r="B214" s="73" t="s">
        <v>550</v>
      </c>
      <c r="C214" s="19"/>
      <c r="D214" s="34"/>
      <c r="E214" s="218"/>
      <c r="F214" s="218"/>
      <c r="G214" s="218"/>
      <c r="H214" s="218"/>
      <c r="I214" s="291">
        <f>I158-H158</f>
        <v>163.81432876712313</v>
      </c>
      <c r="J214" s="291">
        <f>J158-I158</f>
        <v>101.66724184931513</v>
      </c>
      <c r="K214" s="291">
        <f>K158-J158</f>
        <v>-44.152418408390304</v>
      </c>
      <c r="L214" s="291">
        <f>L158-K158</f>
        <v>98.298566906526048</v>
      </c>
      <c r="M214" s="291">
        <f>M158-L158</f>
        <v>104.31212629374886</v>
      </c>
      <c r="N214" s="291">
        <f t="shared" ref="N214:R214" si="285">N158-M158</f>
        <v>116.82958144899908</v>
      </c>
      <c r="O214" s="291">
        <f t="shared" si="285"/>
        <v>130.84913122287867</v>
      </c>
      <c r="P214" s="291">
        <f t="shared" si="285"/>
        <v>146.55102696962399</v>
      </c>
      <c r="Q214" s="291">
        <f t="shared" si="285"/>
        <v>164.1371502059792</v>
      </c>
      <c r="R214" s="291">
        <f t="shared" si="285"/>
        <v>183.83360823069711</v>
      </c>
    </row>
    <row r="215" spans="2:18">
      <c r="B215" s="73" t="s">
        <v>75</v>
      </c>
      <c r="C215" s="19"/>
      <c r="D215" s="34"/>
      <c r="E215" s="218"/>
      <c r="F215" s="218"/>
      <c r="G215" s="218"/>
      <c r="H215" s="218"/>
      <c r="I215" s="291">
        <f>I170-H170</f>
        <v>61.289854999999875</v>
      </c>
      <c r="J215" s="291">
        <f>J170-I170</f>
        <v>68.032329337500073</v>
      </c>
      <c r="K215" s="291">
        <f>K170-J170</f>
        <v>73.636044885562455</v>
      </c>
      <c r="L215" s="291">
        <f>L170-K170</f>
        <v>78.93374922594046</v>
      </c>
      <c r="M215" s="291">
        <f>M170-L170</f>
        <v>83.762637413880384</v>
      </c>
      <c r="N215" s="291">
        <f t="shared" ref="N215:R215" si="286">N170-M170</f>
        <v>93.814153903546185</v>
      </c>
      <c r="O215" s="291">
        <f t="shared" si="286"/>
        <v>105.07185237197154</v>
      </c>
      <c r="P215" s="291">
        <f t="shared" si="286"/>
        <v>117.68047465660823</v>
      </c>
      <c r="Q215" s="291">
        <f t="shared" si="286"/>
        <v>131.80213161540132</v>
      </c>
      <c r="R215" s="291">
        <f t="shared" si="286"/>
        <v>147.61838740924941</v>
      </c>
    </row>
    <row r="216" spans="2:18">
      <c r="B216" s="74" t="s">
        <v>76</v>
      </c>
      <c r="C216" s="75"/>
      <c r="D216" s="23"/>
      <c r="E216" s="219"/>
      <c r="F216" s="219"/>
      <c r="G216" s="219"/>
      <c r="H216" s="219"/>
      <c r="I216" s="292">
        <f>SUM(I213:I215)</f>
        <v>444.99000568493102</v>
      </c>
      <c r="J216" s="292">
        <f>SUM(J213:J215)</f>
        <v>423.86767581010292</v>
      </c>
      <c r="K216" s="292">
        <f>SUM(K213:K215)</f>
        <v>304.58715656022025</v>
      </c>
      <c r="L216" s="292">
        <f>SUM(L213:L215)</f>
        <v>472.12801685204465</v>
      </c>
      <c r="M216" s="292">
        <f>SUM(M213:M215)</f>
        <v>501.01114258887583</v>
      </c>
      <c r="N216" s="292">
        <f t="shared" ref="N216:R216" si="287">SUM(N213:N215)</f>
        <v>561.13247969954227</v>
      </c>
      <c r="O216" s="292">
        <f t="shared" si="287"/>
        <v>628.46837726348599</v>
      </c>
      <c r="P216" s="292">
        <f t="shared" si="287"/>
        <v>703.88458253510441</v>
      </c>
      <c r="Q216" s="292">
        <f t="shared" si="287"/>
        <v>788.35073243931811</v>
      </c>
      <c r="R216" s="292">
        <f t="shared" si="287"/>
        <v>882.95282033203807</v>
      </c>
    </row>
    <row r="217" spans="2:18">
      <c r="B217" s="19"/>
      <c r="C217" s="19"/>
      <c r="D217" s="19"/>
      <c r="E217" s="19"/>
      <c r="F217" s="19"/>
      <c r="G217" s="19"/>
      <c r="H217" s="70"/>
      <c r="I217" s="34"/>
      <c r="J217" s="34"/>
      <c r="K217" s="34"/>
      <c r="L217" s="34"/>
      <c r="M217" s="34"/>
      <c r="N217" s="34"/>
      <c r="O217" s="34"/>
      <c r="P217" s="34"/>
      <c r="Q217" s="34"/>
      <c r="R217" s="34"/>
    </row>
    <row r="218" spans="2:18">
      <c r="B218" s="220" t="s">
        <v>529</v>
      </c>
      <c r="C218" s="19"/>
      <c r="D218" s="19"/>
      <c r="E218" s="218"/>
      <c r="F218" s="218"/>
      <c r="G218" s="218"/>
      <c r="H218" s="218"/>
      <c r="I218" s="291">
        <f>I175-H175</f>
        <v>413.24910616438365</v>
      </c>
      <c r="J218" s="291">
        <f>J175-I175</f>
        <v>456.05784330616416</v>
      </c>
      <c r="K218" s="291">
        <f>K175-J175</f>
        <v>500.50502239775869</v>
      </c>
      <c r="L218" s="291">
        <f>L175-K175</f>
        <v>544.13460824539561</v>
      </c>
      <c r="M218" s="291">
        <f>M175-L175</f>
        <v>585.81690126569538</v>
      </c>
      <c r="N218" s="291">
        <f t="shared" ref="N218:R218" si="288">N175-M175</f>
        <v>603.54161776552792</v>
      </c>
      <c r="O218" s="291">
        <f t="shared" si="288"/>
        <v>675.96661189739098</v>
      </c>
      <c r="P218" s="291">
        <f t="shared" si="288"/>
        <v>757.08260532507848</v>
      </c>
      <c r="Q218" s="291">
        <f t="shared" si="288"/>
        <v>847.93251796408913</v>
      </c>
      <c r="R218" s="291">
        <f t="shared" si="288"/>
        <v>949.68442011978004</v>
      </c>
    </row>
    <row r="219" spans="2:18">
      <c r="B219" s="220" t="s">
        <v>551</v>
      </c>
      <c r="C219" s="19"/>
      <c r="D219" s="19"/>
      <c r="E219" s="218"/>
      <c r="F219" s="218"/>
      <c r="G219" s="218"/>
      <c r="H219" s="218"/>
      <c r="I219" s="291">
        <f>I179-H179</f>
        <v>69.796317499999972</v>
      </c>
      <c r="J219" s="291">
        <f t="shared" ref="J219:M219" si="289">J179-I179</f>
        <v>21.646650243750003</v>
      </c>
      <c r="K219" s="291">
        <f t="shared" si="289"/>
        <v>23.429650645406269</v>
      </c>
      <c r="L219" s="291">
        <f t="shared" si="289"/>
        <v>25.115283844617409</v>
      </c>
      <c r="M219" s="291">
        <f t="shared" si="289"/>
        <v>26.65174826805287</v>
      </c>
      <c r="N219" s="291">
        <f t="shared" ref="N219" si="290">N179-M179</f>
        <v>29.849958060219194</v>
      </c>
      <c r="O219" s="291">
        <f t="shared" ref="O219" si="291">O179-N179</f>
        <v>33.431953027445559</v>
      </c>
      <c r="P219" s="291">
        <f t="shared" ref="P219" si="292">P179-O179</f>
        <v>37.443787390738976</v>
      </c>
      <c r="Q219" s="291">
        <f t="shared" ref="Q219" si="293">Q179-P179</f>
        <v>41.937041877627678</v>
      </c>
      <c r="R219" s="291">
        <f t="shared" ref="R219" si="294">R179-Q179</f>
        <v>46.969486902943004</v>
      </c>
    </row>
    <row r="220" spans="2:18">
      <c r="B220" s="220" t="s">
        <v>552</v>
      </c>
      <c r="C220" s="19"/>
      <c r="D220" s="19"/>
      <c r="E220" s="218"/>
      <c r="F220" s="218"/>
      <c r="G220" s="218"/>
      <c r="H220" s="218"/>
      <c r="I220" s="291">
        <f>I184-H184</f>
        <v>0</v>
      </c>
      <c r="J220" s="291">
        <f t="shared" ref="J220:M220" si="295">J184-I184</f>
        <v>0</v>
      </c>
      <c r="K220" s="291">
        <f t="shared" si="295"/>
        <v>0</v>
      </c>
      <c r="L220" s="291">
        <f t="shared" si="295"/>
        <v>0</v>
      </c>
      <c r="M220" s="291">
        <f t="shared" si="295"/>
        <v>0</v>
      </c>
      <c r="N220" s="291">
        <f t="shared" ref="N220" si="296">N184-M184</f>
        <v>0</v>
      </c>
      <c r="O220" s="291">
        <f t="shared" ref="O220" si="297">O184-N184</f>
        <v>0</v>
      </c>
      <c r="P220" s="291">
        <f t="shared" ref="P220" si="298">P184-O184</f>
        <v>0</v>
      </c>
      <c r="Q220" s="291">
        <f t="shared" ref="Q220" si="299">Q184-P184</f>
        <v>0</v>
      </c>
      <c r="R220" s="291">
        <f t="shared" ref="R220" si="300">R184-Q184</f>
        <v>0</v>
      </c>
    </row>
    <row r="221" spans="2:18">
      <c r="B221" s="220" t="s">
        <v>216</v>
      </c>
      <c r="C221" s="19"/>
      <c r="D221" s="19"/>
      <c r="E221" s="218"/>
      <c r="F221" s="218"/>
      <c r="G221" s="218"/>
      <c r="H221" s="218"/>
      <c r="I221" s="291">
        <f>I188-H188</f>
        <v>0</v>
      </c>
      <c r="J221" s="291">
        <f t="shared" ref="J221:M221" si="301">J188-I188</f>
        <v>0</v>
      </c>
      <c r="K221" s="291">
        <f t="shared" si="301"/>
        <v>0</v>
      </c>
      <c r="L221" s="291">
        <f t="shared" si="301"/>
        <v>0</v>
      </c>
      <c r="M221" s="291">
        <f t="shared" si="301"/>
        <v>0</v>
      </c>
      <c r="N221" s="291">
        <f t="shared" ref="N221" si="302">N188-M188</f>
        <v>0</v>
      </c>
      <c r="O221" s="291">
        <f t="shared" ref="O221" si="303">O188-N188</f>
        <v>0</v>
      </c>
      <c r="P221" s="291">
        <f t="shared" ref="P221" si="304">P188-O188</f>
        <v>0</v>
      </c>
      <c r="Q221" s="291">
        <f t="shared" ref="Q221" si="305">Q188-P188</f>
        <v>0</v>
      </c>
      <c r="R221" s="291">
        <f t="shared" ref="R221" si="306">R188-Q188</f>
        <v>0</v>
      </c>
    </row>
    <row r="222" spans="2:18">
      <c r="B222" s="19" t="s">
        <v>217</v>
      </c>
      <c r="C222" s="19"/>
      <c r="D222" s="19"/>
      <c r="E222" s="218"/>
      <c r="F222" s="218"/>
      <c r="G222" s="218"/>
      <c r="H222" s="218"/>
      <c r="I222" s="291">
        <f>I192-H192</f>
        <v>0</v>
      </c>
      <c r="J222" s="291">
        <f t="shared" ref="J222:M222" si="307">J192-I192</f>
        <v>0</v>
      </c>
      <c r="K222" s="291">
        <f t="shared" si="307"/>
        <v>0</v>
      </c>
      <c r="L222" s="291">
        <f t="shared" si="307"/>
        <v>0</v>
      </c>
      <c r="M222" s="291">
        <f t="shared" si="307"/>
        <v>0</v>
      </c>
      <c r="N222" s="291">
        <f t="shared" ref="N222" si="308">N192-M192</f>
        <v>0</v>
      </c>
      <c r="O222" s="291">
        <f t="shared" ref="O222" si="309">O192-N192</f>
        <v>0</v>
      </c>
      <c r="P222" s="291">
        <f t="shared" ref="P222" si="310">P192-O192</f>
        <v>0</v>
      </c>
      <c r="Q222" s="291">
        <f t="shared" ref="Q222" si="311">Q192-P192</f>
        <v>0</v>
      </c>
      <c r="R222" s="291">
        <f t="shared" ref="R222" si="312">R192-Q192</f>
        <v>0</v>
      </c>
    </row>
    <row r="223" spans="2:18">
      <c r="B223" s="19" t="s">
        <v>554</v>
      </c>
      <c r="C223" s="19"/>
      <c r="D223" s="19"/>
      <c r="E223" s="218"/>
      <c r="F223" s="218"/>
      <c r="G223" s="218"/>
      <c r="H223" s="218"/>
      <c r="I223" s="291">
        <f>I196-H196</f>
        <v>0</v>
      </c>
      <c r="J223" s="291">
        <f t="shared" ref="J223:M223" si="313">J196-I196</f>
        <v>0</v>
      </c>
      <c r="K223" s="291">
        <f t="shared" si="313"/>
        <v>0</v>
      </c>
      <c r="L223" s="291">
        <f t="shared" si="313"/>
        <v>0</v>
      </c>
      <c r="M223" s="291">
        <f t="shared" si="313"/>
        <v>0</v>
      </c>
      <c r="N223" s="291">
        <f t="shared" ref="N223" si="314">N196-M196</f>
        <v>0</v>
      </c>
      <c r="O223" s="291">
        <f t="shared" ref="O223" si="315">O196-N196</f>
        <v>0</v>
      </c>
      <c r="P223" s="291">
        <f t="shared" ref="P223" si="316">P196-O196</f>
        <v>0</v>
      </c>
      <c r="Q223" s="291">
        <f t="shared" ref="Q223" si="317">Q196-P196</f>
        <v>0</v>
      </c>
      <c r="R223" s="291">
        <f t="shared" ref="R223" si="318">R196-Q196</f>
        <v>0</v>
      </c>
    </row>
    <row r="224" spans="2:18">
      <c r="B224" s="19" t="s">
        <v>219</v>
      </c>
      <c r="C224" s="19"/>
      <c r="D224" s="19"/>
      <c r="E224" s="218"/>
      <c r="F224" s="218"/>
      <c r="G224" s="218"/>
      <c r="H224" s="218"/>
      <c r="I224" s="291">
        <f>I200-H200</f>
        <v>0</v>
      </c>
      <c r="J224" s="291">
        <f t="shared" ref="J224:M224" si="319">J200-I200</f>
        <v>0</v>
      </c>
      <c r="K224" s="291">
        <f t="shared" si="319"/>
        <v>0</v>
      </c>
      <c r="L224" s="291">
        <f t="shared" si="319"/>
        <v>0</v>
      </c>
      <c r="M224" s="291">
        <f t="shared" si="319"/>
        <v>0</v>
      </c>
      <c r="N224" s="291">
        <f t="shared" ref="N224" si="320">N200-M200</f>
        <v>0</v>
      </c>
      <c r="O224" s="291">
        <f t="shared" ref="O224" si="321">O200-N200</f>
        <v>0</v>
      </c>
      <c r="P224" s="291">
        <f t="shared" ref="P224" si="322">P200-O200</f>
        <v>0</v>
      </c>
      <c r="Q224" s="291">
        <f t="shared" ref="Q224" si="323">Q200-P200</f>
        <v>0</v>
      </c>
      <c r="R224" s="291">
        <f t="shared" ref="R224" si="324">R200-Q200</f>
        <v>0</v>
      </c>
    </row>
    <row r="225" spans="1:19">
      <c r="B225" s="19" t="s">
        <v>555</v>
      </c>
      <c r="C225" s="19"/>
      <c r="D225" s="19"/>
      <c r="E225" s="218"/>
      <c r="F225" s="218"/>
      <c r="G225" s="218"/>
      <c r="H225" s="218"/>
      <c r="I225" s="291">
        <f>I204-H204</f>
        <v>0</v>
      </c>
      <c r="J225" s="291">
        <f t="shared" ref="J225:M225" si="325">J204-I204</f>
        <v>0</v>
      </c>
      <c r="K225" s="291">
        <f t="shared" si="325"/>
        <v>0</v>
      </c>
      <c r="L225" s="291">
        <f t="shared" si="325"/>
        <v>0</v>
      </c>
      <c r="M225" s="291">
        <f t="shared" si="325"/>
        <v>0</v>
      </c>
      <c r="N225" s="291">
        <f t="shared" ref="N225" si="326">N204-M204</f>
        <v>0</v>
      </c>
      <c r="O225" s="291">
        <f t="shared" ref="O225" si="327">O204-N204</f>
        <v>0</v>
      </c>
      <c r="P225" s="291">
        <f t="shared" ref="P225" si="328">P204-O204</f>
        <v>0</v>
      </c>
      <c r="Q225" s="291">
        <f t="shared" ref="Q225" si="329">Q204-P204</f>
        <v>0</v>
      </c>
      <c r="R225" s="291">
        <f t="shared" ref="R225" si="330">R204-Q204</f>
        <v>0</v>
      </c>
    </row>
    <row r="226" spans="1:19">
      <c r="B226" s="19" t="s">
        <v>226</v>
      </c>
      <c r="C226" s="19"/>
      <c r="D226" s="19"/>
      <c r="E226" s="218"/>
      <c r="F226" s="218"/>
      <c r="G226" s="218"/>
      <c r="H226" s="218"/>
      <c r="I226" s="291">
        <f>I208-H208</f>
        <v>0</v>
      </c>
      <c r="J226" s="291">
        <f t="shared" ref="J226:M226" si="331">J208-I208</f>
        <v>0</v>
      </c>
      <c r="K226" s="291">
        <f t="shared" si="331"/>
        <v>0</v>
      </c>
      <c r="L226" s="291">
        <f t="shared" si="331"/>
        <v>0</v>
      </c>
      <c r="M226" s="291">
        <f t="shared" si="331"/>
        <v>0</v>
      </c>
      <c r="N226" s="291">
        <f t="shared" ref="N226" si="332">N208-M208</f>
        <v>0</v>
      </c>
      <c r="O226" s="291">
        <f t="shared" ref="O226" si="333">O208-N208</f>
        <v>0</v>
      </c>
      <c r="P226" s="291">
        <f t="shared" ref="P226" si="334">P208-O208</f>
        <v>0</v>
      </c>
      <c r="Q226" s="291">
        <f t="shared" ref="Q226" si="335">Q208-P208</f>
        <v>0</v>
      </c>
      <c r="R226" s="291">
        <f t="shared" ref="R226" si="336">R208-Q208</f>
        <v>0</v>
      </c>
    </row>
    <row r="227" spans="1:19">
      <c r="B227" s="74" t="s">
        <v>77</v>
      </c>
      <c r="C227" s="75"/>
      <c r="D227" s="75"/>
      <c r="E227" s="219"/>
      <c r="F227" s="219"/>
      <c r="G227" s="219"/>
      <c r="H227" s="219"/>
      <c r="I227" s="292">
        <f>SUM(I218:I226)</f>
        <v>483.04542366438363</v>
      </c>
      <c r="J227" s="292">
        <f t="shared" ref="J227:M227" si="337">SUM(J218:J226)</f>
        <v>477.70449354991416</v>
      </c>
      <c r="K227" s="292">
        <f t="shared" si="337"/>
        <v>523.93467304316493</v>
      </c>
      <c r="L227" s="292">
        <f t="shared" si="337"/>
        <v>569.24989209001296</v>
      </c>
      <c r="M227" s="292">
        <f t="shared" si="337"/>
        <v>612.46864953374825</v>
      </c>
      <c r="N227" s="292">
        <f t="shared" ref="N227:R227" si="338">SUM(N218:N226)</f>
        <v>633.39157582574717</v>
      </c>
      <c r="O227" s="292">
        <f t="shared" si="338"/>
        <v>709.39856492483659</v>
      </c>
      <c r="P227" s="292">
        <f t="shared" si="338"/>
        <v>794.52639271581745</v>
      </c>
      <c r="Q227" s="292">
        <f t="shared" si="338"/>
        <v>889.86955984171686</v>
      </c>
      <c r="R227" s="292">
        <f t="shared" si="338"/>
        <v>996.65390702272305</v>
      </c>
    </row>
    <row r="228" spans="1:19">
      <c r="B228" s="19"/>
      <c r="C228" s="19"/>
      <c r="D228" s="19"/>
      <c r="E228" s="19"/>
      <c r="F228" s="19"/>
      <c r="G228" s="19"/>
      <c r="H228" s="70"/>
      <c r="I228" s="71"/>
      <c r="J228" s="71"/>
      <c r="K228" s="71"/>
      <c r="L228" s="71"/>
      <c r="M228" s="71"/>
      <c r="N228" s="71"/>
      <c r="O228" s="71"/>
      <c r="P228" s="71"/>
      <c r="Q228" s="71"/>
      <c r="R228" s="71"/>
    </row>
    <row r="229" spans="1:19">
      <c r="B229" s="18" t="s">
        <v>528</v>
      </c>
      <c r="C229" s="19"/>
      <c r="D229" s="19"/>
      <c r="E229" s="215"/>
      <c r="F229" s="215"/>
      <c r="G229" s="215"/>
      <c r="H229" s="215"/>
      <c r="I229" s="294">
        <f>I216-I218</f>
        <v>31.740899520547373</v>
      </c>
      <c r="J229" s="294">
        <f t="shared" ref="J229:M229" si="339">J216-J218</f>
        <v>-32.190167496061235</v>
      </c>
      <c r="K229" s="294">
        <f t="shared" si="339"/>
        <v>-195.91786583753844</v>
      </c>
      <c r="L229" s="294">
        <f t="shared" si="339"/>
        <v>-72.006591393350959</v>
      </c>
      <c r="M229" s="294">
        <f t="shared" si="339"/>
        <v>-84.805758676819551</v>
      </c>
      <c r="N229" s="294">
        <f t="shared" ref="N229:R229" si="340">N216-N218</f>
        <v>-42.409138065985644</v>
      </c>
      <c r="O229" s="294">
        <f t="shared" si="340"/>
        <v>-47.498234633904985</v>
      </c>
      <c r="P229" s="294">
        <f t="shared" si="340"/>
        <v>-53.198022789974061</v>
      </c>
      <c r="Q229" s="294">
        <f t="shared" si="340"/>
        <v>-59.581785524771021</v>
      </c>
      <c r="R229" s="294">
        <f t="shared" si="340"/>
        <v>-66.73159978774197</v>
      </c>
    </row>
    <row r="230" spans="1:19">
      <c r="B230" s="18" t="s">
        <v>553</v>
      </c>
      <c r="C230" s="19"/>
      <c r="D230" s="19"/>
      <c r="E230" s="215"/>
      <c r="F230" s="215"/>
      <c r="G230" s="215"/>
      <c r="H230" s="215"/>
      <c r="I230" s="294">
        <f>I216-I227</f>
        <v>-38.055417979452614</v>
      </c>
      <c r="J230" s="294">
        <f t="shared" ref="J230:M230" si="341">J216-J227</f>
        <v>-53.836817739811238</v>
      </c>
      <c r="K230" s="294">
        <f t="shared" si="341"/>
        <v>-219.34751648294468</v>
      </c>
      <c r="L230" s="294">
        <f t="shared" si="341"/>
        <v>-97.121875237968311</v>
      </c>
      <c r="M230" s="294">
        <f t="shared" si="341"/>
        <v>-111.45750694487242</v>
      </c>
      <c r="N230" s="294">
        <f t="shared" ref="N230:R230" si="342">N216-N227</f>
        <v>-72.259096126204895</v>
      </c>
      <c r="O230" s="294">
        <f t="shared" si="342"/>
        <v>-80.930187661350601</v>
      </c>
      <c r="P230" s="294">
        <f t="shared" si="342"/>
        <v>-90.641810180713037</v>
      </c>
      <c r="Q230" s="294">
        <f t="shared" si="342"/>
        <v>-101.51882740239876</v>
      </c>
      <c r="R230" s="294">
        <f t="shared" si="342"/>
        <v>-113.70108669068497</v>
      </c>
    </row>
    <row r="232" spans="1:19" ht="15.6">
      <c r="A232" t="s">
        <v>18</v>
      </c>
      <c r="B232" s="463" t="s">
        <v>53</v>
      </c>
      <c r="C232" s="463"/>
      <c r="D232" s="463"/>
      <c r="E232" s="463"/>
      <c r="F232" s="463"/>
      <c r="G232" s="463"/>
      <c r="H232" s="463"/>
      <c r="I232" s="463"/>
      <c r="J232" s="463"/>
      <c r="K232" s="463"/>
      <c r="L232" s="463"/>
      <c r="M232" s="463"/>
      <c r="N232" s="463"/>
      <c r="O232" s="463"/>
      <c r="P232" s="463"/>
      <c r="Q232" s="463"/>
      <c r="R232" s="463"/>
    </row>
    <row r="234" spans="1:19">
      <c r="B234" t="s">
        <v>530</v>
      </c>
      <c r="D234" s="138">
        <f>'3StatementModel'!D86</f>
        <v>0</v>
      </c>
      <c r="E234" s="138">
        <f>'3StatementModel'!E86</f>
        <v>0</v>
      </c>
      <c r="F234" s="138">
        <f>'3StatementModel'!F86</f>
        <v>62.96</v>
      </c>
      <c r="G234" s="138">
        <f>'3StatementModel'!G86</f>
        <v>163.46</v>
      </c>
      <c r="H234" s="138">
        <f>'3StatementModel'!H86</f>
        <v>184.36</v>
      </c>
      <c r="I234" s="291">
        <f>I236*I235</f>
        <v>217.00902499999998</v>
      </c>
      <c r="J234" s="291">
        <f t="shared" ref="J234:M234" si="343">J236*J235</f>
        <v>192.14792857343747</v>
      </c>
      <c r="K234" s="291">
        <f t="shared" si="343"/>
        <v>154.7720573057656</v>
      </c>
      <c r="L234" s="291">
        <f t="shared" si="343"/>
        <v>103.11688317996632</v>
      </c>
      <c r="M234" s="291">
        <f t="shared" si="343"/>
        <v>35.535664357403789</v>
      </c>
      <c r="N234" s="291">
        <f t="shared" ref="N234:R234" si="344">N236*N235</f>
        <v>39.799944080292249</v>
      </c>
      <c r="O234" s="291">
        <f t="shared" si="344"/>
        <v>44.575937369927324</v>
      </c>
      <c r="P234" s="291">
        <f t="shared" si="344"/>
        <v>49.925049854318608</v>
      </c>
      <c r="Q234" s="291">
        <f t="shared" si="344"/>
        <v>55.916055836836847</v>
      </c>
      <c r="R234" s="291">
        <f t="shared" si="344"/>
        <v>62.625982537257272</v>
      </c>
    </row>
    <row r="235" spans="1:19">
      <c r="B235" s="80" t="s">
        <v>38</v>
      </c>
      <c r="C235" s="205"/>
      <c r="D235" s="293">
        <f>'3StatementModel'!D13</f>
        <v>8720.35</v>
      </c>
      <c r="E235" s="293">
        <f>'3StatementModel'!E13</f>
        <v>10297.83</v>
      </c>
      <c r="F235" s="293">
        <f>'3StatementModel'!F13</f>
        <v>14442.18</v>
      </c>
      <c r="G235" s="293">
        <f>'3StatementModel'!G13</f>
        <v>16535.78</v>
      </c>
      <c r="H235" s="293">
        <f>'3StatementModel'!H13</f>
        <v>18870.349999999999</v>
      </c>
      <c r="I235" s="293">
        <f>'3StatementModel'!I13</f>
        <v>21700.902499999997</v>
      </c>
      <c r="J235" s="293">
        <f>'3StatementModel'!J13</f>
        <v>24793.281106249997</v>
      </c>
      <c r="K235" s="293">
        <f>'3StatementModel'!K13</f>
        <v>28140.374055593747</v>
      </c>
      <c r="L235" s="293">
        <f>'3StatementModel'!L13</f>
        <v>31728.271747681949</v>
      </c>
      <c r="M235" s="293">
        <f>'3StatementModel'!M13</f>
        <v>35535.664357403788</v>
      </c>
      <c r="N235" s="293">
        <f>'3StatementModel'!N13</f>
        <v>39799.944080292247</v>
      </c>
      <c r="O235" s="293">
        <f>'3StatementModel'!O13</f>
        <v>44575.93736992732</v>
      </c>
      <c r="P235" s="293">
        <f>'3StatementModel'!P13</f>
        <v>49925.049854318604</v>
      </c>
      <c r="Q235" s="293">
        <f>'3StatementModel'!Q13</f>
        <v>55916.055836836844</v>
      </c>
      <c r="R235" s="293">
        <f>'3StatementModel'!R13</f>
        <v>62625.982537257274</v>
      </c>
    </row>
    <row r="236" spans="1:19">
      <c r="B236" s="272" t="s">
        <v>449</v>
      </c>
      <c r="C236" s="22"/>
      <c r="D236" s="22">
        <f>D234/D235</f>
        <v>0</v>
      </c>
      <c r="E236" s="22">
        <f t="shared" ref="E236:H236" si="345">E234/E235</f>
        <v>0</v>
      </c>
      <c r="F236" s="24">
        <f t="shared" si="345"/>
        <v>4.3594526588091268E-3</v>
      </c>
      <c r="G236" s="24">
        <f t="shared" si="345"/>
        <v>9.8852306936836384E-3</v>
      </c>
      <c r="H236" s="24">
        <f t="shared" si="345"/>
        <v>9.7698240891133468E-3</v>
      </c>
      <c r="I236" s="273">
        <f>Controlsheet!I137</f>
        <v>0.01</v>
      </c>
      <c r="J236" s="273">
        <f>Controlsheet!J137</f>
        <v>7.7499999999999999E-3</v>
      </c>
      <c r="K236" s="273">
        <f>Controlsheet!K137</f>
        <v>5.4999999999999997E-3</v>
      </c>
      <c r="L236" s="273">
        <f>Controlsheet!L137</f>
        <v>3.2499999999999994E-3</v>
      </c>
      <c r="M236" s="273">
        <f>Controlsheet!M137</f>
        <v>1E-3</v>
      </c>
      <c r="N236" s="273">
        <f>Controlsheet!N137</f>
        <v>1E-3</v>
      </c>
      <c r="O236" s="273">
        <f>Controlsheet!O137</f>
        <v>1E-3</v>
      </c>
      <c r="P236" s="273">
        <f>Controlsheet!P137</f>
        <v>1E-3</v>
      </c>
      <c r="Q236" s="273">
        <f>Controlsheet!Q137</f>
        <v>1E-3</v>
      </c>
      <c r="R236" s="273">
        <f>Controlsheet!R137</f>
        <v>1E-3</v>
      </c>
    </row>
    <row r="237" spans="1:19">
      <c r="B237" s="36"/>
      <c r="H237" s="34"/>
      <c r="I237" s="34"/>
      <c r="J237" s="34"/>
      <c r="K237" s="34"/>
      <c r="L237" s="34"/>
      <c r="M237" s="34"/>
      <c r="N237" s="34"/>
      <c r="O237" s="34"/>
      <c r="P237" s="34"/>
      <c r="Q237" s="34"/>
      <c r="R237" s="34"/>
    </row>
    <row r="238" spans="1:19">
      <c r="B238" s="272" t="s">
        <v>531</v>
      </c>
      <c r="C238" s="272"/>
      <c r="D238" s="274">
        <f>D179</f>
        <v>157.41</v>
      </c>
      <c r="E238" s="274">
        <f t="shared" ref="E238:M238" si="346">E179</f>
        <v>58.84</v>
      </c>
      <c r="F238" s="274">
        <f t="shared" si="346"/>
        <v>132.74</v>
      </c>
      <c r="G238" s="274">
        <f t="shared" si="346"/>
        <v>112.12</v>
      </c>
      <c r="H238" s="274">
        <f t="shared" si="346"/>
        <v>82.11</v>
      </c>
      <c r="I238" s="274">
        <f t="shared" si="346"/>
        <v>151.90631749999997</v>
      </c>
      <c r="J238" s="274">
        <f t="shared" si="346"/>
        <v>173.55296774374997</v>
      </c>
      <c r="K238" s="274">
        <f t="shared" si="346"/>
        <v>196.98261838915624</v>
      </c>
      <c r="L238" s="274">
        <f t="shared" si="346"/>
        <v>222.09790223377365</v>
      </c>
      <c r="M238" s="274">
        <f t="shared" si="346"/>
        <v>248.74965050182652</v>
      </c>
      <c r="N238" s="274">
        <f t="shared" ref="N238:R238" si="347">N179</f>
        <v>278.59960856204572</v>
      </c>
      <c r="O238" s="274">
        <f t="shared" si="347"/>
        <v>312.03156158949128</v>
      </c>
      <c r="P238" s="274">
        <f t="shared" si="347"/>
        <v>349.47534898023025</v>
      </c>
      <c r="Q238" s="274">
        <f t="shared" si="347"/>
        <v>391.41239085785793</v>
      </c>
      <c r="R238" s="274">
        <f t="shared" si="347"/>
        <v>438.38187776080093</v>
      </c>
    </row>
    <row r="239" spans="1:19">
      <c r="B239" s="272" t="s">
        <v>532</v>
      </c>
      <c r="C239" s="272"/>
      <c r="D239" s="274">
        <f>D234+D238</f>
        <v>157.41</v>
      </c>
      <c r="E239" s="274">
        <f t="shared" ref="E239:M239" si="348">E234+E238</f>
        <v>58.84</v>
      </c>
      <c r="F239" s="274">
        <f t="shared" si="348"/>
        <v>195.70000000000002</v>
      </c>
      <c r="G239" s="274">
        <f t="shared" si="348"/>
        <v>275.58000000000004</v>
      </c>
      <c r="H239" s="274">
        <f t="shared" si="348"/>
        <v>266.47000000000003</v>
      </c>
      <c r="I239" s="274">
        <f t="shared" si="348"/>
        <v>368.91534249999995</v>
      </c>
      <c r="J239" s="274">
        <f t="shared" si="348"/>
        <v>365.70089631718747</v>
      </c>
      <c r="K239" s="274">
        <f t="shared" si="348"/>
        <v>351.75467569492184</v>
      </c>
      <c r="L239" s="274">
        <f t="shared" si="348"/>
        <v>325.21478541373995</v>
      </c>
      <c r="M239" s="274">
        <f t="shared" si="348"/>
        <v>284.28531485923031</v>
      </c>
      <c r="N239" s="274">
        <f t="shared" ref="N239:R239" si="349">N234+N238</f>
        <v>318.39955264233799</v>
      </c>
      <c r="O239" s="274">
        <f t="shared" si="349"/>
        <v>356.60749895941859</v>
      </c>
      <c r="P239" s="274">
        <f t="shared" si="349"/>
        <v>399.40039883454887</v>
      </c>
      <c r="Q239" s="274">
        <f t="shared" si="349"/>
        <v>447.32844669469478</v>
      </c>
      <c r="R239" s="274">
        <f t="shared" si="349"/>
        <v>501.00786029805818</v>
      </c>
      <c r="S239" s="140"/>
    </row>
    <row r="240" spans="1:19">
      <c r="B240" s="272" t="s">
        <v>519</v>
      </c>
      <c r="C240" s="272"/>
      <c r="D240" s="275">
        <f>D234/D239</f>
        <v>0</v>
      </c>
      <c r="E240" s="275">
        <f t="shared" ref="E240:M240" si="350">E234/E239</f>
        <v>0</v>
      </c>
      <c r="F240" s="275">
        <f t="shared" si="350"/>
        <v>0.3217169136433316</v>
      </c>
      <c r="G240" s="275">
        <f t="shared" si="350"/>
        <v>0.59314899484723127</v>
      </c>
      <c r="H240" s="275">
        <f t="shared" si="350"/>
        <v>0.69186024693211245</v>
      </c>
      <c r="I240" s="275">
        <f t="shared" si="350"/>
        <v>0.58823529411764708</v>
      </c>
      <c r="J240" s="275">
        <f t="shared" si="350"/>
        <v>0.52542372881355925</v>
      </c>
      <c r="K240" s="275">
        <f t="shared" si="350"/>
        <v>0.43999999999999995</v>
      </c>
      <c r="L240" s="275">
        <f t="shared" si="350"/>
        <v>0.31707317073170732</v>
      </c>
      <c r="M240" s="275">
        <f t="shared" si="350"/>
        <v>0.125</v>
      </c>
      <c r="N240" s="275">
        <f t="shared" ref="N240:R240" si="351">N234/N239</f>
        <v>0.125</v>
      </c>
      <c r="O240" s="275">
        <f t="shared" si="351"/>
        <v>0.125</v>
      </c>
      <c r="P240" s="275">
        <f t="shared" si="351"/>
        <v>0.125</v>
      </c>
      <c r="Q240" s="275">
        <f t="shared" si="351"/>
        <v>0.125</v>
      </c>
      <c r="R240" s="275">
        <f t="shared" si="351"/>
        <v>0.125</v>
      </c>
    </row>
    <row r="241" spans="1:18">
      <c r="B241" s="272" t="s">
        <v>520</v>
      </c>
      <c r="C241" s="272"/>
      <c r="D241" s="275">
        <f>D238/D239</f>
        <v>1</v>
      </c>
      <c r="E241" s="275">
        <f t="shared" ref="E241:M241" si="352">E238/E239</f>
        <v>1</v>
      </c>
      <c r="F241" s="275">
        <f t="shared" si="352"/>
        <v>0.67828308635666834</v>
      </c>
      <c r="G241" s="275">
        <f t="shared" si="352"/>
        <v>0.40685100515276867</v>
      </c>
      <c r="H241" s="275">
        <f t="shared" si="352"/>
        <v>0.30813975306788755</v>
      </c>
      <c r="I241" s="275">
        <f t="shared" si="352"/>
        <v>0.41176470588235292</v>
      </c>
      <c r="J241" s="275">
        <f t="shared" si="352"/>
        <v>0.47457627118644063</v>
      </c>
      <c r="K241" s="275">
        <f t="shared" si="352"/>
        <v>0.56000000000000005</v>
      </c>
      <c r="L241" s="275">
        <f t="shared" si="352"/>
        <v>0.68292682926829273</v>
      </c>
      <c r="M241" s="275">
        <f t="shared" si="352"/>
        <v>0.875</v>
      </c>
      <c r="N241" s="275">
        <f t="shared" ref="N241:R241" si="353">N238/N239</f>
        <v>0.87499999999999989</v>
      </c>
      <c r="O241" s="275">
        <f t="shared" si="353"/>
        <v>0.875</v>
      </c>
      <c r="P241" s="275">
        <f t="shared" si="353"/>
        <v>0.875</v>
      </c>
      <c r="Q241" s="275">
        <f t="shared" si="353"/>
        <v>0.875</v>
      </c>
      <c r="R241" s="275">
        <f t="shared" si="353"/>
        <v>0.87500000000000011</v>
      </c>
    </row>
    <row r="242" spans="1:18">
      <c r="B242" s="36"/>
      <c r="H242" s="34"/>
      <c r="I242" s="34"/>
      <c r="J242" s="34"/>
      <c r="K242" s="34"/>
      <c r="L242" s="34"/>
      <c r="M242" s="34"/>
      <c r="N242" s="34"/>
      <c r="O242" s="34"/>
      <c r="P242" s="34"/>
      <c r="Q242" s="34"/>
      <c r="R242" s="34"/>
    </row>
    <row r="243" spans="1:18" ht="15.6">
      <c r="A243" t="s">
        <v>18</v>
      </c>
      <c r="B243" s="463" t="s">
        <v>54</v>
      </c>
      <c r="C243" s="463"/>
      <c r="D243" s="463"/>
      <c r="E243" s="463"/>
      <c r="F243" s="463"/>
      <c r="G243" s="463"/>
      <c r="H243" s="463"/>
      <c r="I243" s="463"/>
      <c r="J243" s="463"/>
      <c r="K243" s="463"/>
      <c r="L243" s="463"/>
      <c r="M243" s="463"/>
      <c r="N243" s="463"/>
      <c r="O243" s="463"/>
      <c r="P243" s="463"/>
      <c r="Q243" s="463"/>
      <c r="R243" s="463"/>
    </row>
    <row r="245" spans="1:18">
      <c r="B245" t="s">
        <v>535</v>
      </c>
      <c r="H245" s="48"/>
      <c r="I245" s="213">
        <f>Controlsheet!I153</f>
        <v>7.0000000000000007E-2</v>
      </c>
      <c r="J245" s="213">
        <f>Controlsheet!J153</f>
        <v>7.0000000000000007E-2</v>
      </c>
      <c r="K245" s="213">
        <f>Controlsheet!K153</f>
        <v>7.0000000000000007E-2</v>
      </c>
      <c r="L245" s="213">
        <f>Controlsheet!L153</f>
        <v>7.0000000000000007E-2</v>
      </c>
      <c r="M245" s="213">
        <f>Controlsheet!M153</f>
        <v>7.0000000000000007E-2</v>
      </c>
      <c r="N245" s="213">
        <f>Controlsheet!N153</f>
        <v>7.0000000000000007E-2</v>
      </c>
      <c r="O245" s="213">
        <f>Controlsheet!O153</f>
        <v>7.0000000000000007E-2</v>
      </c>
      <c r="P245" s="213">
        <f>Controlsheet!P153</f>
        <v>7.0000000000000007E-2</v>
      </c>
      <c r="Q245" s="213">
        <f>Controlsheet!Q153</f>
        <v>7.0000000000000007E-2</v>
      </c>
      <c r="R245" s="213">
        <f>Controlsheet!R153</f>
        <v>7.0000000000000007E-2</v>
      </c>
    </row>
    <row r="246" spans="1:18">
      <c r="B246" t="s">
        <v>538</v>
      </c>
      <c r="H246" s="48"/>
      <c r="I246" s="140">
        <f>AVERAGE(H239:I239)</f>
        <v>317.69267124999999</v>
      </c>
      <c r="J246" s="140">
        <f t="shared" ref="J246:M246" si="354">AVERAGE(I239:J239)</f>
        <v>367.30811940859371</v>
      </c>
      <c r="K246" s="140">
        <f t="shared" si="354"/>
        <v>358.72778600605466</v>
      </c>
      <c r="L246" s="140">
        <f t="shared" si="354"/>
        <v>338.48473055433089</v>
      </c>
      <c r="M246" s="140">
        <f t="shared" si="354"/>
        <v>304.75005013648513</v>
      </c>
      <c r="N246" s="140">
        <f t="shared" ref="N246" si="355">AVERAGE(M239:N239)</f>
        <v>301.34243375078415</v>
      </c>
      <c r="O246" s="140">
        <f t="shared" ref="O246" si="356">AVERAGE(N239:O239)</f>
        <v>337.50352580087826</v>
      </c>
      <c r="P246" s="140">
        <f t="shared" ref="P246" si="357">AVERAGE(O239:P239)</f>
        <v>378.00394889698373</v>
      </c>
      <c r="Q246" s="140">
        <f t="shared" ref="Q246" si="358">AVERAGE(P239:Q239)</f>
        <v>423.36442276462185</v>
      </c>
      <c r="R246" s="140">
        <f t="shared" ref="R246" si="359">AVERAGE(Q239:R239)</f>
        <v>474.16815349637648</v>
      </c>
    </row>
    <row r="247" spans="1:18">
      <c r="B247" s="13" t="s">
        <v>539</v>
      </c>
      <c r="C247" s="13"/>
      <c r="D247" s="13"/>
      <c r="E247" s="13"/>
      <c r="F247" s="13"/>
      <c r="G247" s="13"/>
      <c r="H247" s="209"/>
      <c r="I247" s="183">
        <f>I246*I245</f>
        <v>22.2384869875</v>
      </c>
      <c r="J247" s="183">
        <f t="shared" ref="J247:M247" si="360">J246*J245</f>
        <v>25.711568358601561</v>
      </c>
      <c r="K247" s="183">
        <f t="shared" si="360"/>
        <v>25.110945020423827</v>
      </c>
      <c r="L247" s="183">
        <f t="shared" si="360"/>
        <v>23.693931138803165</v>
      </c>
      <c r="M247" s="183">
        <f t="shared" si="360"/>
        <v>21.332503509553963</v>
      </c>
      <c r="N247" s="183">
        <f t="shared" ref="N247:R247" si="361">N246*N245</f>
        <v>21.093970362554892</v>
      </c>
      <c r="O247" s="183">
        <f t="shared" si="361"/>
        <v>23.62524680606148</v>
      </c>
      <c r="P247" s="183">
        <f t="shared" si="361"/>
        <v>26.460276422788862</v>
      </c>
      <c r="Q247" s="183">
        <f t="shared" si="361"/>
        <v>29.635509593523533</v>
      </c>
      <c r="R247" s="183">
        <f t="shared" si="361"/>
        <v>33.191770744746357</v>
      </c>
    </row>
    <row r="248" spans="1:18">
      <c r="H248" s="48"/>
      <c r="I248" s="47"/>
      <c r="J248" s="47"/>
      <c r="K248" s="47"/>
      <c r="L248" s="47"/>
      <c r="M248" s="47"/>
      <c r="N248" s="47"/>
      <c r="O248" s="47"/>
      <c r="P248" s="47"/>
      <c r="Q248" s="47"/>
      <c r="R248" s="47"/>
    </row>
    <row r="249" spans="1:18">
      <c r="H249" s="48"/>
      <c r="I249" s="47"/>
      <c r="J249" s="47"/>
      <c r="K249" s="47"/>
      <c r="L249" s="47"/>
      <c r="M249" s="47"/>
      <c r="N249" s="47"/>
      <c r="O249" s="47"/>
      <c r="P249" s="47"/>
      <c r="Q249" s="47"/>
      <c r="R249" s="47"/>
    </row>
    <row r="250" spans="1:18" ht="15.6">
      <c r="A250" t="s">
        <v>18</v>
      </c>
      <c r="B250" s="463" t="s">
        <v>448</v>
      </c>
      <c r="C250" s="463"/>
      <c r="D250" s="463"/>
      <c r="E250" s="463"/>
      <c r="F250" s="463"/>
      <c r="G250" s="463"/>
      <c r="H250" s="463"/>
      <c r="I250" s="463"/>
      <c r="J250" s="463"/>
      <c r="K250" s="463"/>
      <c r="L250" s="463"/>
      <c r="M250" s="463"/>
      <c r="N250" s="463"/>
      <c r="O250" s="463"/>
      <c r="P250" s="463"/>
      <c r="Q250" s="463"/>
      <c r="R250" s="463"/>
    </row>
    <row r="252" spans="1:18">
      <c r="B252" t="s">
        <v>38</v>
      </c>
      <c r="H252" s="48"/>
      <c r="I252" s="206">
        <f>'3StatementModel'!I13</f>
        <v>21700.902499999997</v>
      </c>
      <c r="J252" s="206">
        <f>'3StatementModel'!J13</f>
        <v>24793.281106249997</v>
      </c>
      <c r="K252" s="206">
        <f>'3StatementModel'!K13</f>
        <v>28140.374055593747</v>
      </c>
      <c r="L252" s="206">
        <f>'3StatementModel'!L13</f>
        <v>31728.271747681949</v>
      </c>
      <c r="M252" s="206">
        <f>'3StatementModel'!M13</f>
        <v>35535.664357403788</v>
      </c>
      <c r="N252" s="206">
        <f>'3StatementModel'!N13</f>
        <v>39799.944080292247</v>
      </c>
      <c r="O252" s="206">
        <f>'3StatementModel'!O13</f>
        <v>44575.93736992732</v>
      </c>
      <c r="P252" s="206">
        <f>'3StatementModel'!P13</f>
        <v>49925.049854318604</v>
      </c>
      <c r="Q252" s="206">
        <f>'3StatementModel'!Q13</f>
        <v>55916.055836836844</v>
      </c>
      <c r="R252" s="206">
        <f>'3StatementModel'!R13</f>
        <v>62625.982537257274</v>
      </c>
    </row>
    <row r="253" spans="1:18">
      <c r="B253" t="s">
        <v>540</v>
      </c>
      <c r="H253" s="48"/>
      <c r="I253" s="213">
        <f>Controlsheet!I169</f>
        <v>5.1999999999999998E-2</v>
      </c>
      <c r="J253" s="213">
        <f>Controlsheet!J169</f>
        <v>5.1999999999999998E-2</v>
      </c>
      <c r="K253" s="213">
        <f>Controlsheet!K169</f>
        <v>5.1999999999999998E-2</v>
      </c>
      <c r="L253" s="213">
        <f>Controlsheet!L169</f>
        <v>5.1999999999999998E-2</v>
      </c>
      <c r="M253" s="213">
        <f>Controlsheet!M169</f>
        <v>5.1999999999999998E-2</v>
      </c>
      <c r="N253" s="213">
        <f>Controlsheet!N169</f>
        <v>5.1999999999999998E-2</v>
      </c>
      <c r="O253" s="213">
        <f>Controlsheet!O169</f>
        <v>5.1999999999999998E-2</v>
      </c>
      <c r="P253" s="213">
        <f>Controlsheet!P169</f>
        <v>5.1999999999999998E-2</v>
      </c>
      <c r="Q253" s="213">
        <f>Controlsheet!Q169</f>
        <v>5.1999999999999998E-2</v>
      </c>
      <c r="R253" s="213">
        <f>Controlsheet!R169</f>
        <v>5.1999999999999998E-2</v>
      </c>
    </row>
    <row r="254" spans="1:18">
      <c r="B254" s="13" t="s">
        <v>448</v>
      </c>
      <c r="C254" s="13"/>
      <c r="D254" s="13"/>
      <c r="E254" s="13"/>
      <c r="F254" s="13"/>
      <c r="G254" s="13"/>
      <c r="H254" s="209"/>
      <c r="I254" s="292">
        <f>I253*I252</f>
        <v>1128.4469299999998</v>
      </c>
      <c r="J254" s="292">
        <f t="shared" ref="J254" si="362">J253*J252</f>
        <v>1289.2506175249998</v>
      </c>
      <c r="K254" s="292">
        <f t="shared" ref="K254" si="363">K253*K252</f>
        <v>1463.2994508908748</v>
      </c>
      <c r="L254" s="292">
        <f t="shared" ref="L254" si="364">L253*L252</f>
        <v>1649.8701308794612</v>
      </c>
      <c r="M254" s="292">
        <f t="shared" ref="M254:R254" si="365">M253*M252</f>
        <v>1847.8545465849968</v>
      </c>
      <c r="N254" s="292">
        <f t="shared" si="365"/>
        <v>2069.5970921751968</v>
      </c>
      <c r="O254" s="292">
        <f t="shared" si="365"/>
        <v>2317.9487432362207</v>
      </c>
      <c r="P254" s="292">
        <f t="shared" si="365"/>
        <v>2596.1025924245673</v>
      </c>
      <c r="Q254" s="292">
        <f t="shared" si="365"/>
        <v>2907.6349035155158</v>
      </c>
      <c r="R254" s="292">
        <f t="shared" si="365"/>
        <v>3256.5510919373783</v>
      </c>
    </row>
  </sheetData>
  <sheetProtection algorithmName="SHA-512" hashValue="6utUmCuL9HpthCQUEK0O5ZeNV2iEJY3JHmS2sF6URV2dtyPomslaz2X6OkaBHefItwhzNp/iZ2G3ByWYHzPxrw==" saltValue="vgbM1HzK3vDW9dQQ4XgU8g==" spinCount="100000" sheet="1" objects="1" scenarios="1" selectLockedCells="1" selectUnlockedCells="1"/>
  <mergeCells count="2">
    <mergeCell ref="I8:M8"/>
    <mergeCell ref="N8:R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Drop Down 1">
              <controlPr defaultSize="0" autoLine="0" autoPict="0">
                <anchor moveWithCells="1">
                  <from>
                    <xdr:col>8</xdr:col>
                    <xdr:colOff>7620</xdr:colOff>
                    <xdr:row>2</xdr:row>
                    <xdr:rowOff>182880</xdr:rowOff>
                  </from>
                  <to>
                    <xdr:col>9</xdr:col>
                    <xdr:colOff>289560</xdr:colOff>
                    <xdr:row>4</xdr:row>
                    <xdr:rowOff>7620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B496-A7C5-480E-8E6E-FF9362257085}">
  <dimension ref="A1:Z152"/>
  <sheetViews>
    <sheetView showGridLines="0" zoomScale="82" zoomScaleNormal="80" workbookViewId="0">
      <pane ySplit="9" topLeftCell="A109" activePane="bottomLeft" state="frozen"/>
      <selection pane="bottomLeft" activeCell="U116" sqref="U116"/>
    </sheetView>
  </sheetViews>
  <sheetFormatPr defaultRowHeight="14.4"/>
  <cols>
    <col min="1" max="1" width="1.88671875" customWidth="1"/>
    <col min="2" max="2" width="37" customWidth="1"/>
    <col min="3" max="3" width="20.44140625" bestFit="1" customWidth="1"/>
    <col min="4" max="7" width="8.88671875" customWidth="1"/>
    <col min="8" max="8" width="12.5546875" customWidth="1"/>
    <col min="9" max="18" width="8.88671875" customWidth="1"/>
    <col min="19" max="19" width="1.109375" customWidth="1"/>
    <col min="23" max="23" width="12" bestFit="1" customWidth="1"/>
  </cols>
  <sheetData>
    <row r="1" spans="1:21" ht="6.6" customHeight="1"/>
    <row r="2" spans="1:21" ht="21">
      <c r="B2" s="462" t="str">
        <f>'Input Sheet'!C5</f>
        <v>Eicher Motors</v>
      </c>
    </row>
    <row r="3" spans="1:21" ht="15.6">
      <c r="B3" s="9" t="s">
        <v>56</v>
      </c>
    </row>
    <row r="4" spans="1:21">
      <c r="H4" t="s">
        <v>22</v>
      </c>
      <c r="I4">
        <v>0</v>
      </c>
    </row>
    <row r="7" spans="1:21">
      <c r="T7" s="26" t="s">
        <v>60</v>
      </c>
    </row>
    <row r="8" spans="1:21" ht="15.6">
      <c r="D8" s="261"/>
      <c r="E8" s="261"/>
      <c r="F8" s="261" t="s">
        <v>252</v>
      </c>
      <c r="G8" s="262"/>
      <c r="H8" s="262"/>
      <c r="I8" s="463" t="s">
        <v>939</v>
      </c>
      <c r="J8" s="463"/>
      <c r="K8" s="463"/>
      <c r="L8" s="463"/>
      <c r="M8" s="463"/>
      <c r="N8" s="463"/>
      <c r="O8" s="463"/>
      <c r="P8" s="463"/>
      <c r="Q8" s="463"/>
      <c r="R8" s="463"/>
      <c r="T8" s="466" t="s">
        <v>61</v>
      </c>
      <c r="U8" s="466" t="s">
        <v>62</v>
      </c>
    </row>
    <row r="9" spans="1:21">
      <c r="B9" s="495" t="s">
        <v>15</v>
      </c>
      <c r="C9" s="11"/>
      <c r="D9" s="51">
        <f>Controlsheet!D9</f>
        <v>2021</v>
      </c>
      <c r="E9" s="51">
        <f>Controlsheet!E9</f>
        <v>2022</v>
      </c>
      <c r="F9" s="51">
        <f>Controlsheet!F9</f>
        <v>2023</v>
      </c>
      <c r="G9" s="51">
        <f>Controlsheet!G9</f>
        <v>2024</v>
      </c>
      <c r="H9" s="51">
        <f>Controlsheet!H9</f>
        <v>2025</v>
      </c>
      <c r="I9" s="51">
        <f>H9+1</f>
        <v>2026</v>
      </c>
      <c r="J9" s="51">
        <f>I9+1</f>
        <v>2027</v>
      </c>
      <c r="K9" s="51">
        <f>J9+1</f>
        <v>2028</v>
      </c>
      <c r="L9" s="51">
        <f t="shared" ref="L9:M9" si="0">K9+1</f>
        <v>2029</v>
      </c>
      <c r="M9" s="51">
        <f t="shared" si="0"/>
        <v>2030</v>
      </c>
      <c r="N9" s="51">
        <f t="shared" ref="N9" si="1">M9+1</f>
        <v>2031</v>
      </c>
      <c r="O9" s="51">
        <f t="shared" ref="O9" si="2">N9+1</f>
        <v>2032</v>
      </c>
      <c r="P9" s="51">
        <f t="shared" ref="P9" si="3">O9+1</f>
        <v>2033</v>
      </c>
      <c r="Q9" s="51">
        <f t="shared" ref="Q9" si="4">P9+1</f>
        <v>2034</v>
      </c>
      <c r="R9" s="51">
        <f t="shared" ref="R9" si="5">Q9+1</f>
        <v>2035</v>
      </c>
    </row>
    <row r="10" spans="1:21">
      <c r="B10" s="64"/>
      <c r="F10" s="65"/>
      <c r="G10" s="66"/>
      <c r="H10" s="66"/>
      <c r="I10" s="66"/>
      <c r="J10" s="66"/>
      <c r="K10" s="66"/>
      <c r="L10" s="66"/>
      <c r="M10" s="66"/>
      <c r="N10" s="66"/>
      <c r="O10" s="66"/>
      <c r="P10" s="66"/>
      <c r="Q10" s="66"/>
      <c r="R10" s="66"/>
    </row>
    <row r="11" spans="1:21" ht="15.6">
      <c r="A11" s="18" t="s">
        <v>18</v>
      </c>
      <c r="B11" s="463" t="s">
        <v>69</v>
      </c>
      <c r="C11" s="463"/>
      <c r="D11" s="463"/>
      <c r="E11" s="463"/>
      <c r="F11" s="465"/>
      <c r="G11" s="465"/>
      <c r="H11" s="465"/>
      <c r="I11" s="465"/>
      <c r="J11" s="465"/>
      <c r="K11" s="465"/>
      <c r="L11" s="465"/>
      <c r="M11" s="465"/>
      <c r="N11" s="465"/>
      <c r="O11" s="465"/>
      <c r="P11" s="465"/>
      <c r="Q11" s="465"/>
      <c r="R11" s="465"/>
    </row>
    <row r="13" spans="1:21">
      <c r="B13" s="52" t="s">
        <v>38</v>
      </c>
      <c r="D13" s="128">
        <f>Schedules!D13</f>
        <v>8720.35</v>
      </c>
      <c r="E13" s="128">
        <f>Schedules!E13</f>
        <v>10297.83</v>
      </c>
      <c r="F13" s="128">
        <f>Schedules!F13</f>
        <v>14442.18</v>
      </c>
      <c r="G13" s="128">
        <f>Schedules!G13</f>
        <v>16535.78</v>
      </c>
      <c r="H13" s="128">
        <f>Schedules!H13</f>
        <v>18870.349999999999</v>
      </c>
      <c r="I13" s="128">
        <f>Schedules!I13</f>
        <v>21700.902499999997</v>
      </c>
      <c r="J13" s="128">
        <f>Schedules!J13</f>
        <v>24793.281106249997</v>
      </c>
      <c r="K13" s="128">
        <f>Schedules!K13</f>
        <v>28140.374055593747</v>
      </c>
      <c r="L13" s="128">
        <f>Schedules!L13</f>
        <v>31728.271747681949</v>
      </c>
      <c r="M13" s="128">
        <f>Schedules!M13</f>
        <v>35535.664357403788</v>
      </c>
      <c r="N13" s="128">
        <f>Schedules!N13</f>
        <v>39799.944080292247</v>
      </c>
      <c r="O13" s="128">
        <f>Schedules!O13</f>
        <v>44575.93736992732</v>
      </c>
      <c r="P13" s="128">
        <f>Schedules!P13</f>
        <v>49925.049854318604</v>
      </c>
      <c r="Q13" s="128">
        <f>Schedules!Q13</f>
        <v>55916.055836836844</v>
      </c>
      <c r="R13" s="128">
        <f>Schedules!R13</f>
        <v>62625.982537257274</v>
      </c>
      <c r="T13" s="35">
        <f>_xlfn.RRI($M$9-$H$9,H13,M13)</f>
        <v>0.13495043793156847</v>
      </c>
      <c r="U13" s="35">
        <f>_xlfn.RRI($M$9-$J$9,J13,M13)</f>
        <v>0.12748337004296761</v>
      </c>
    </row>
    <row r="14" spans="1:21">
      <c r="B14" s="55" t="s">
        <v>0</v>
      </c>
      <c r="D14" s="138">
        <f>Schedules!D20</f>
        <v>5112.2700000000004</v>
      </c>
      <c r="E14" s="138">
        <f>Schedules!E20</f>
        <v>5955.6799999999994</v>
      </c>
      <c r="F14" s="138">
        <f>Schedules!F20</f>
        <v>8211.9</v>
      </c>
      <c r="G14" s="138">
        <f>Schedules!G20</f>
        <v>8980.65</v>
      </c>
      <c r="H14" s="138">
        <f>Schedules!H20</f>
        <v>10297.08</v>
      </c>
      <c r="I14" s="138">
        <f>Schedules!I20</f>
        <v>11935.496374999999</v>
      </c>
      <c r="J14" s="138">
        <f>Schedules!J20</f>
        <v>13785.064295074999</v>
      </c>
      <c r="K14" s="138">
        <f>Schedules!K20</f>
        <v>15814.890219243687</v>
      </c>
      <c r="L14" s="138">
        <f>Schedules!L20</f>
        <v>18021.658352683349</v>
      </c>
      <c r="M14" s="138">
        <f>Schedules!M20</f>
        <v>20397.471341149776</v>
      </c>
      <c r="N14" s="138">
        <f>Schedules!N20</f>
        <v>22845.167902087753</v>
      </c>
      <c r="O14" s="138">
        <f>Schedules!O20</f>
        <v>25586.588050338283</v>
      </c>
      <c r="P14" s="138">
        <f>Schedules!P20</f>
        <v>28656.978616378881</v>
      </c>
      <c r="Q14" s="138">
        <f>Schedules!Q20</f>
        <v>32095.816050344351</v>
      </c>
      <c r="R14" s="138">
        <f>Schedules!R20</f>
        <v>35947.313976385682</v>
      </c>
      <c r="T14" s="35">
        <f>_xlfn.RRI($M$9-$H$9,H14,M14)</f>
        <v>0.14649574943372623</v>
      </c>
      <c r="U14" s="35">
        <f>_xlfn.RRI($M$9-$J$9,J14,M14)</f>
        <v>0.13952146898741002</v>
      </c>
    </row>
    <row r="15" spans="1:21">
      <c r="B15" s="57" t="s">
        <v>1</v>
      </c>
      <c r="C15" s="12"/>
      <c r="D15" s="139">
        <f>D13-D14</f>
        <v>3608.08</v>
      </c>
      <c r="E15" s="139">
        <f t="shared" ref="E15:S15" si="6">E13-E14</f>
        <v>4342.1500000000005</v>
      </c>
      <c r="F15" s="139">
        <f t="shared" si="6"/>
        <v>6230.2800000000007</v>
      </c>
      <c r="G15" s="139">
        <f t="shared" si="6"/>
        <v>7555.1299999999992</v>
      </c>
      <c r="H15" s="139">
        <f t="shared" si="6"/>
        <v>8573.2699999999986</v>
      </c>
      <c r="I15" s="139">
        <f t="shared" si="6"/>
        <v>9765.4061249999977</v>
      </c>
      <c r="J15" s="139">
        <f t="shared" si="6"/>
        <v>11008.216811174998</v>
      </c>
      <c r="K15" s="139">
        <f t="shared" si="6"/>
        <v>12325.48383635006</v>
      </c>
      <c r="L15" s="139">
        <f t="shared" si="6"/>
        <v>13706.6133949986</v>
      </c>
      <c r="M15" s="139">
        <f t="shared" si="6"/>
        <v>15138.193016254012</v>
      </c>
      <c r="N15" s="139">
        <f t="shared" ref="N15:R15" si="7">N13-N14</f>
        <v>16954.776178204494</v>
      </c>
      <c r="O15" s="139">
        <f t="shared" si="7"/>
        <v>18989.349319589037</v>
      </c>
      <c r="P15" s="139">
        <f t="shared" si="7"/>
        <v>21268.071237939723</v>
      </c>
      <c r="Q15" s="139">
        <f t="shared" si="7"/>
        <v>23820.239786492493</v>
      </c>
      <c r="R15" s="139">
        <f t="shared" si="7"/>
        <v>26678.668560871592</v>
      </c>
      <c r="S15" s="137">
        <f t="shared" si="6"/>
        <v>0</v>
      </c>
      <c r="T15" s="35">
        <f>_xlfn.RRI($M$9-$H$9,H15,M15)</f>
        <v>0.12043200889727923</v>
      </c>
      <c r="U15" s="35">
        <f>_xlfn.RRI($M$9-$J$9,J15,M15)</f>
        <v>0.11203644639245791</v>
      </c>
    </row>
    <row r="16" spans="1:21">
      <c r="B16" s="156"/>
      <c r="D16" s="157"/>
      <c r="E16" s="157"/>
      <c r="F16" s="157"/>
      <c r="G16" s="157"/>
      <c r="H16" s="157"/>
      <c r="I16" s="157"/>
      <c r="J16" s="157"/>
      <c r="K16" s="157"/>
      <c r="L16" s="157"/>
      <c r="M16" s="157"/>
      <c r="N16" s="157"/>
      <c r="O16" s="157"/>
      <c r="P16" s="157"/>
      <c r="Q16" s="157"/>
      <c r="R16" s="157"/>
      <c r="S16" s="158"/>
      <c r="T16" s="35"/>
      <c r="U16" s="35"/>
    </row>
    <row r="17" spans="2:21">
      <c r="B17" s="276" t="s">
        <v>100</v>
      </c>
      <c r="C17" s="22"/>
      <c r="D17" s="277">
        <f>D15/D13</f>
        <v>0.41375403510180209</v>
      </c>
      <c r="E17" s="277">
        <f t="shared" ref="E17:M17" si="8">E15/E13</f>
        <v>0.42165679565500697</v>
      </c>
      <c r="F17" s="277">
        <f t="shared" si="8"/>
        <v>0.43139470633934768</v>
      </c>
      <c r="G17" s="277">
        <f t="shared" si="8"/>
        <v>0.45689589484136822</v>
      </c>
      <c r="H17" s="277">
        <f t="shared" si="8"/>
        <v>0.45432490653326513</v>
      </c>
      <c r="I17" s="277">
        <f t="shared" si="8"/>
        <v>0.44999999999999996</v>
      </c>
      <c r="J17" s="277">
        <f t="shared" si="8"/>
        <v>0.44399999999999995</v>
      </c>
      <c r="K17" s="277">
        <f t="shared" si="8"/>
        <v>0.43799999999999994</v>
      </c>
      <c r="L17" s="277">
        <f t="shared" si="8"/>
        <v>0.43199999999999994</v>
      </c>
      <c r="M17" s="277">
        <f t="shared" si="8"/>
        <v>0.42599999999999993</v>
      </c>
      <c r="N17" s="277">
        <f t="shared" ref="N17:R17" si="9">N15/N13</f>
        <v>0.42599999999999993</v>
      </c>
      <c r="O17" s="277">
        <f t="shared" si="9"/>
        <v>0.42599999999999999</v>
      </c>
      <c r="P17" s="277">
        <f t="shared" si="9"/>
        <v>0.42599999999999993</v>
      </c>
      <c r="Q17" s="277">
        <f t="shared" si="9"/>
        <v>0.42599999999999993</v>
      </c>
      <c r="R17" s="277">
        <f t="shared" si="9"/>
        <v>0.42599999999999988</v>
      </c>
      <c r="S17" s="158"/>
      <c r="T17" s="35"/>
      <c r="U17" s="35"/>
    </row>
    <row r="18" spans="2:21">
      <c r="B18" s="53"/>
      <c r="D18" s="26"/>
      <c r="F18" s="40"/>
      <c r="G18" s="40"/>
      <c r="H18" s="40"/>
      <c r="I18" s="40"/>
      <c r="J18" s="40"/>
      <c r="K18" s="40"/>
      <c r="L18" s="40"/>
      <c r="M18" s="40"/>
      <c r="N18" s="40"/>
      <c r="O18" s="40"/>
      <c r="P18" s="40"/>
      <c r="Q18" s="40"/>
      <c r="R18" s="40"/>
    </row>
    <row r="19" spans="2:21">
      <c r="B19" s="54" t="s">
        <v>57</v>
      </c>
      <c r="F19" s="40"/>
      <c r="G19" s="40"/>
      <c r="H19" s="40"/>
      <c r="I19" s="40"/>
      <c r="J19" s="40"/>
      <c r="K19" s="40"/>
      <c r="L19" s="40"/>
      <c r="M19" s="40"/>
      <c r="N19" s="40"/>
      <c r="O19" s="40"/>
      <c r="P19" s="40"/>
      <c r="Q19" s="40"/>
      <c r="R19" s="40"/>
    </row>
    <row r="20" spans="2:21">
      <c r="B20" s="55" t="s">
        <v>314</v>
      </c>
      <c r="D20" s="128">
        <f>Schedules!D28</f>
        <v>843.23</v>
      </c>
      <c r="E20" s="128">
        <f>Schedules!E28</f>
        <v>821.02</v>
      </c>
      <c r="F20" s="128">
        <f>Schedules!F28</f>
        <v>1001.93</v>
      </c>
      <c r="G20" s="128">
        <f>Schedules!G28</f>
        <v>1235.69</v>
      </c>
      <c r="H20" s="128">
        <f>Schedules!H28</f>
        <v>1391.23</v>
      </c>
      <c r="I20" s="128">
        <f>Schedules!I28</f>
        <v>1627.5676874999997</v>
      </c>
      <c r="J20" s="128">
        <f>Schedules!J28</f>
        <v>1859.4960829687498</v>
      </c>
      <c r="K20" s="128">
        <f>Schedules!K28</f>
        <v>2110.5280541695311</v>
      </c>
      <c r="L20" s="128">
        <f>Schedules!L28</f>
        <v>2379.6203810761463</v>
      </c>
      <c r="M20" s="128">
        <f>Schedules!M28</f>
        <v>2665.1748268052838</v>
      </c>
      <c r="N20" s="128">
        <f>Schedules!N28</f>
        <v>2984.9958060219183</v>
      </c>
      <c r="O20" s="128">
        <f>Schedules!O28</f>
        <v>3343.1953027445488</v>
      </c>
      <c r="P20" s="128">
        <f>Schedules!P28</f>
        <v>3744.3787390738953</v>
      </c>
      <c r="Q20" s="128">
        <f>Schedules!Q28</f>
        <v>4193.7041877627635</v>
      </c>
      <c r="R20" s="128">
        <f>Schedules!R28</f>
        <v>4696.9486902942954</v>
      </c>
      <c r="T20" s="35">
        <f t="shared" ref="T20:T25" si="10">_xlfn.RRI($M$9-$H$9,H20,M20)</f>
        <v>0.13884692555498135</v>
      </c>
      <c r="U20" s="35">
        <f t="shared" ref="U20:U25" si="11">_xlfn.RRI($M$9-$J$9,J20,M20)</f>
        <v>0.12748337004296761</v>
      </c>
    </row>
    <row r="21" spans="2:21">
      <c r="B21" s="55" t="s">
        <v>306</v>
      </c>
      <c r="D21" s="128">
        <f>Schedules!D33</f>
        <v>139.51</v>
      </c>
      <c r="E21" s="128">
        <f>Schedules!E33</f>
        <v>198.56</v>
      </c>
      <c r="F21" s="128">
        <f>Schedules!F33</f>
        <v>262.25</v>
      </c>
      <c r="G21" s="128">
        <f>Schedules!G33</f>
        <v>239.14</v>
      </c>
      <c r="H21" s="128">
        <f>Schedules!H33</f>
        <v>286.56</v>
      </c>
      <c r="I21" s="128">
        <f>Schedules!I33</f>
        <v>368.91534249999995</v>
      </c>
      <c r="J21" s="128">
        <f>Schedules!J33</f>
        <v>421.48577880624998</v>
      </c>
      <c r="K21" s="128">
        <f>Schedules!K33</f>
        <v>478.38635894509372</v>
      </c>
      <c r="L21" s="128">
        <f>Schedules!L33</f>
        <v>539.38061971059312</v>
      </c>
      <c r="M21" s="128">
        <f>Schedules!M33</f>
        <v>604.10629407586441</v>
      </c>
      <c r="N21" s="128">
        <f>Schedules!N33</f>
        <v>676.59904936496821</v>
      </c>
      <c r="O21" s="128">
        <f>Schedules!O33</f>
        <v>757.79093528876444</v>
      </c>
      <c r="P21" s="128">
        <f>Schedules!P33</f>
        <v>848.72584752341629</v>
      </c>
      <c r="Q21" s="128">
        <f>Schedules!Q33</f>
        <v>950.57294922622646</v>
      </c>
      <c r="R21" s="128">
        <f>Schedules!R33</f>
        <v>1064.6417031333738</v>
      </c>
      <c r="T21" s="35">
        <f t="shared" si="10"/>
        <v>0.16085922895582927</v>
      </c>
      <c r="U21" s="35">
        <f t="shared" si="11"/>
        <v>0.12748337004296761</v>
      </c>
    </row>
    <row r="22" spans="2:21">
      <c r="B22" s="56" t="s">
        <v>294</v>
      </c>
      <c r="D22" s="128">
        <f>Schedules!D38</f>
        <v>121.1</v>
      </c>
      <c r="E22" s="128">
        <f>Schedules!E38</f>
        <v>180.97</v>
      </c>
      <c r="F22" s="128">
        <f>Schedules!F38</f>
        <v>272.83</v>
      </c>
      <c r="G22" s="128">
        <f>Schedules!G38</f>
        <v>265.57</v>
      </c>
      <c r="H22" s="128">
        <f>Schedules!H38</f>
        <v>330.64</v>
      </c>
      <c r="I22" s="128">
        <f>Schedules!I38</f>
        <v>347.21443999999997</v>
      </c>
      <c r="J22" s="128">
        <f>Schedules!J38</f>
        <v>396.69249769999993</v>
      </c>
      <c r="K22" s="128">
        <f>Schedules!K38</f>
        <v>450.24598488949999</v>
      </c>
      <c r="L22" s="128">
        <f>Schedules!L38</f>
        <v>507.65234796291116</v>
      </c>
      <c r="M22" s="128">
        <f>Schedules!M38</f>
        <v>568.57062971846062</v>
      </c>
      <c r="N22" s="128">
        <f>Schedules!N38</f>
        <v>636.79910528467599</v>
      </c>
      <c r="O22" s="128">
        <f>Schedules!O38</f>
        <v>713.21499791883718</v>
      </c>
      <c r="P22" s="128">
        <f>Schedules!P38</f>
        <v>798.80079766909773</v>
      </c>
      <c r="Q22" s="128">
        <f>Schedules!Q38</f>
        <v>894.65689338938955</v>
      </c>
      <c r="R22" s="128">
        <f>Schedules!R38</f>
        <v>1002.0157205961164</v>
      </c>
      <c r="T22" s="35">
        <f t="shared" si="10"/>
        <v>0.11451471256301549</v>
      </c>
      <c r="U22" s="35">
        <f t="shared" si="11"/>
        <v>0.12748337004296761</v>
      </c>
    </row>
    <row r="23" spans="2:21">
      <c r="B23" s="55" t="s">
        <v>315</v>
      </c>
      <c r="D23" s="128">
        <f>Schedules!D43</f>
        <v>180.93</v>
      </c>
      <c r="E23" s="128">
        <f>Schedules!E43</f>
        <v>284.69</v>
      </c>
      <c r="F23" s="128">
        <f>Schedules!F43</f>
        <v>426.39</v>
      </c>
      <c r="G23" s="128">
        <f>Schedules!G43</f>
        <v>546.20000000000005</v>
      </c>
      <c r="H23" s="128">
        <f>Schedules!H43</f>
        <v>760.88</v>
      </c>
      <c r="I23" s="128">
        <f>Schedules!I43</f>
        <v>607.62526999999989</v>
      </c>
      <c r="J23" s="128">
        <f>Schedules!J43</f>
        <v>694.2118709749999</v>
      </c>
      <c r="K23" s="128">
        <f>Schedules!K43</f>
        <v>787.93047355662497</v>
      </c>
      <c r="L23" s="128">
        <f>Schedules!L43</f>
        <v>888.39160893509461</v>
      </c>
      <c r="M23" s="128">
        <f>Schedules!M43</f>
        <v>994.99860200730609</v>
      </c>
      <c r="N23" s="128">
        <f>Schedules!N43</f>
        <v>1114.3984342481829</v>
      </c>
      <c r="O23" s="128">
        <f>Schedules!O43</f>
        <v>1248.1262463579651</v>
      </c>
      <c r="P23" s="128">
        <f>Schedules!P43</f>
        <v>1397.901395920921</v>
      </c>
      <c r="Q23" s="128">
        <f>Schedules!Q43</f>
        <v>1565.6495634314317</v>
      </c>
      <c r="R23" s="128">
        <f>Schedules!R43</f>
        <v>1753.5275110432037</v>
      </c>
      <c r="T23" s="35">
        <f t="shared" si="10"/>
        <v>5.5118554758437632E-2</v>
      </c>
      <c r="U23" s="35">
        <f t="shared" si="11"/>
        <v>0.12748337004296761</v>
      </c>
    </row>
    <row r="24" spans="2:21">
      <c r="B24" s="55" t="s">
        <v>309</v>
      </c>
      <c r="D24" s="128">
        <f>Schedules!D48</f>
        <v>541.98</v>
      </c>
      <c r="E24" s="128">
        <f>Schedules!E48</f>
        <v>684.66000000000008</v>
      </c>
      <c r="F24" s="128">
        <f>Schedules!F48</f>
        <v>823.3</v>
      </c>
      <c r="G24" s="128">
        <f>Schedules!G48</f>
        <v>941.62</v>
      </c>
      <c r="H24" s="128">
        <f>Schedules!H48</f>
        <v>1091.93</v>
      </c>
      <c r="I24" s="128">
        <f>Schedules!I48</f>
        <v>1323.7550524999997</v>
      </c>
      <c r="J24" s="128">
        <f>Schedules!J48</f>
        <v>1512.3901474812499</v>
      </c>
      <c r="K24" s="128">
        <f>Schedules!K48</f>
        <v>1716.5628173912185</v>
      </c>
      <c r="L24" s="128">
        <f>Schedules!L48</f>
        <v>1935.424576608599</v>
      </c>
      <c r="M24" s="128">
        <f>Schedules!M48</f>
        <v>2167.675525801631</v>
      </c>
      <c r="N24" s="128">
        <f>Schedules!N48</f>
        <v>2427.796588897827</v>
      </c>
      <c r="O24" s="128">
        <f>Schedules!O48</f>
        <v>2719.1321795655663</v>
      </c>
      <c r="P24" s="128">
        <f>Schedules!P48</f>
        <v>3045.4280411134346</v>
      </c>
      <c r="Q24" s="128">
        <f>Schedules!Q48</f>
        <v>3410.8794060470473</v>
      </c>
      <c r="R24" s="128">
        <f>Schedules!R48</f>
        <v>3820.1849347726939</v>
      </c>
      <c r="T24" s="35">
        <f t="shared" si="10"/>
        <v>0.14699069642610696</v>
      </c>
      <c r="U24" s="35">
        <f t="shared" si="11"/>
        <v>0.12748337004296761</v>
      </c>
    </row>
    <row r="25" spans="2:21">
      <c r="B25" s="58" t="s">
        <v>59</v>
      </c>
      <c r="C25" s="12"/>
      <c r="D25" s="139">
        <f t="shared" ref="D25:M25" si="12">D15-SUM(D20:D24)</f>
        <v>1781.33</v>
      </c>
      <c r="E25" s="139">
        <f t="shared" si="12"/>
        <v>2172.2500000000005</v>
      </c>
      <c r="F25" s="139">
        <f t="shared" si="12"/>
        <v>3443.5800000000008</v>
      </c>
      <c r="G25" s="139">
        <f t="shared" si="12"/>
        <v>4326.91</v>
      </c>
      <c r="H25" s="139">
        <f t="shared" si="12"/>
        <v>4712.0299999999988</v>
      </c>
      <c r="I25" s="139">
        <f t="shared" si="12"/>
        <v>5490.3283324999984</v>
      </c>
      <c r="J25" s="139">
        <f t="shared" si="12"/>
        <v>6123.9404332437489</v>
      </c>
      <c r="K25" s="139">
        <f t="shared" si="12"/>
        <v>6781.8301473980919</v>
      </c>
      <c r="L25" s="139">
        <f t="shared" si="12"/>
        <v>7456.1438607052551</v>
      </c>
      <c r="M25" s="139">
        <f t="shared" si="12"/>
        <v>8137.6671378454666</v>
      </c>
      <c r="N25" s="139">
        <f t="shared" ref="N25:R25" si="13">N15-SUM(N20:N24)</f>
        <v>9114.1871943869228</v>
      </c>
      <c r="O25" s="139">
        <f t="shared" si="13"/>
        <v>10207.889657713355</v>
      </c>
      <c r="P25" s="139">
        <f t="shared" si="13"/>
        <v>11432.836416638957</v>
      </c>
      <c r="Q25" s="139">
        <f t="shared" si="13"/>
        <v>12804.776786635635</v>
      </c>
      <c r="R25" s="139">
        <f t="shared" si="13"/>
        <v>14341.350001031911</v>
      </c>
      <c r="T25" s="35">
        <f t="shared" si="10"/>
        <v>0.11547123364099998</v>
      </c>
      <c r="U25" s="35">
        <f t="shared" si="11"/>
        <v>9.9401490138052662E-2</v>
      </c>
    </row>
    <row r="26" spans="2:21">
      <c r="B26" s="61"/>
      <c r="D26" s="157"/>
      <c r="E26" s="157"/>
      <c r="F26" s="157"/>
      <c r="G26" s="157"/>
      <c r="H26" s="157"/>
      <c r="I26" s="157"/>
      <c r="J26" s="157"/>
      <c r="K26" s="157"/>
      <c r="L26" s="157"/>
      <c r="M26" s="157"/>
      <c r="N26" s="157"/>
      <c r="O26" s="157"/>
      <c r="P26" s="157"/>
      <c r="Q26" s="157"/>
      <c r="R26" s="157"/>
      <c r="T26" s="35"/>
      <c r="U26" s="35"/>
    </row>
    <row r="27" spans="2:21">
      <c r="B27" s="276" t="s">
        <v>103</v>
      </c>
      <c r="C27" s="22"/>
      <c r="D27" s="277">
        <f t="shared" ref="D27:M27" si="14">D25/D13</f>
        <v>0.20427276428125016</v>
      </c>
      <c r="E27" s="277">
        <f t="shared" si="14"/>
        <v>0.21094249953631011</v>
      </c>
      <c r="F27" s="277">
        <f t="shared" si="14"/>
        <v>0.23843907221762925</v>
      </c>
      <c r="G27" s="277">
        <f t="shared" si="14"/>
        <v>0.26166954325710673</v>
      </c>
      <c r="H27" s="277">
        <f t="shared" si="14"/>
        <v>0.24970549035921427</v>
      </c>
      <c r="I27" s="277">
        <f t="shared" si="14"/>
        <v>0.25299999999999995</v>
      </c>
      <c r="J27" s="277">
        <f t="shared" si="14"/>
        <v>0.247</v>
      </c>
      <c r="K27" s="277">
        <f t="shared" si="14"/>
        <v>0.24099999999999996</v>
      </c>
      <c r="L27" s="277">
        <f t="shared" si="14"/>
        <v>0.2349999999999999</v>
      </c>
      <c r="M27" s="277">
        <f t="shared" si="14"/>
        <v>0.22899999999999998</v>
      </c>
      <c r="N27" s="277">
        <f t="shared" ref="N27:R27" si="15">N25/N13</f>
        <v>0.22899999999999995</v>
      </c>
      <c r="O27" s="277">
        <f t="shared" si="15"/>
        <v>0.22899999999999995</v>
      </c>
      <c r="P27" s="277">
        <f t="shared" si="15"/>
        <v>0.22899999999999993</v>
      </c>
      <c r="Q27" s="277">
        <f t="shared" si="15"/>
        <v>0.22899999999999995</v>
      </c>
      <c r="R27" s="277">
        <f t="shared" si="15"/>
        <v>0.22899999999999993</v>
      </c>
      <c r="T27" s="35"/>
      <c r="U27" s="35"/>
    </row>
    <row r="28" spans="2:21">
      <c r="B28" s="61"/>
      <c r="F28" s="62"/>
      <c r="G28" s="62"/>
      <c r="H28" s="62"/>
      <c r="I28" s="40"/>
      <c r="J28" s="40"/>
      <c r="K28" s="40"/>
      <c r="L28" s="40"/>
      <c r="M28" s="40"/>
      <c r="N28" s="40"/>
      <c r="O28" s="40"/>
      <c r="P28" s="40"/>
      <c r="Q28" s="40"/>
      <c r="R28" s="40"/>
    </row>
    <row r="29" spans="2:21">
      <c r="B29" s="61" t="s">
        <v>41</v>
      </c>
      <c r="D29" s="128">
        <f>'ConsolidatedP&amp;L'!E35*-1</f>
        <v>450.73</v>
      </c>
      <c r="E29" s="128">
        <f>'ConsolidatedP&amp;L'!F35*-1</f>
        <v>451.93</v>
      </c>
      <c r="F29" s="128">
        <f>'ConsolidatedP&amp;L'!G35*-1</f>
        <v>526.21</v>
      </c>
      <c r="G29" s="128">
        <f>'ConsolidatedP&amp;L'!H35*-1</f>
        <v>597.6</v>
      </c>
      <c r="H29" s="128">
        <f>'ConsolidatedP&amp;L'!I35*-1</f>
        <v>729.33</v>
      </c>
      <c r="I29" s="128">
        <f>Schedules!I116</f>
        <v>849.33000000000015</v>
      </c>
      <c r="J29" s="128">
        <f>Schedules!J116</f>
        <v>969.33000000000015</v>
      </c>
      <c r="K29" s="128">
        <f>Schedules!K116</f>
        <v>1089.3300000000002</v>
      </c>
      <c r="L29" s="128">
        <f>Schedules!L116</f>
        <v>1209.3300000000002</v>
      </c>
      <c r="M29" s="128">
        <f>Schedules!M116</f>
        <v>1329.33</v>
      </c>
      <c r="N29" s="128">
        <f>Schedules!N116</f>
        <v>1449.33</v>
      </c>
      <c r="O29" s="128">
        <f>Schedules!O116</f>
        <v>1569.33</v>
      </c>
      <c r="P29" s="128">
        <f>Schedules!P116</f>
        <v>1689.33</v>
      </c>
      <c r="Q29" s="128">
        <f>Schedules!Q116</f>
        <v>1809.33</v>
      </c>
      <c r="R29" s="128">
        <f>Schedules!R116</f>
        <v>1929.33</v>
      </c>
      <c r="T29" s="35">
        <f>_xlfn.RRI($M$9-$H$9,H29,M29)</f>
        <v>0.12756541232948382</v>
      </c>
      <c r="U29" s="35">
        <f>_xlfn.RRI($M$9-$J$9,J29,M29)</f>
        <v>0.11101618062020213</v>
      </c>
    </row>
    <row r="30" spans="2:21">
      <c r="B30" s="58" t="s">
        <v>58</v>
      </c>
      <c r="C30" s="12"/>
      <c r="D30" s="139">
        <f>D25-D29</f>
        <v>1330.6</v>
      </c>
      <c r="E30" s="139">
        <f t="shared" ref="E30:M30" si="16">E25-E29</f>
        <v>1720.3200000000004</v>
      </c>
      <c r="F30" s="139">
        <f t="shared" si="16"/>
        <v>2917.3700000000008</v>
      </c>
      <c r="G30" s="139">
        <f t="shared" si="16"/>
        <v>3729.31</v>
      </c>
      <c r="H30" s="139">
        <f t="shared" si="16"/>
        <v>3982.6999999999989</v>
      </c>
      <c r="I30" s="139">
        <f t="shared" si="16"/>
        <v>4640.9983324999985</v>
      </c>
      <c r="J30" s="139">
        <f t="shared" si="16"/>
        <v>5154.610433243749</v>
      </c>
      <c r="K30" s="139">
        <f t="shared" si="16"/>
        <v>5692.5001473980919</v>
      </c>
      <c r="L30" s="139">
        <f t="shared" si="16"/>
        <v>6246.8138607052551</v>
      </c>
      <c r="M30" s="139">
        <f t="shared" si="16"/>
        <v>6808.3371378454667</v>
      </c>
      <c r="N30" s="139">
        <f t="shared" ref="N30:R30" si="17">N25-N29</f>
        <v>7664.8571943869229</v>
      </c>
      <c r="O30" s="139">
        <f t="shared" si="17"/>
        <v>8638.5596577133547</v>
      </c>
      <c r="P30" s="139">
        <f t="shared" si="17"/>
        <v>9743.5064166389566</v>
      </c>
      <c r="Q30" s="139">
        <f t="shared" si="17"/>
        <v>10995.446786635635</v>
      </c>
      <c r="R30" s="139">
        <f t="shared" si="17"/>
        <v>12412.020001031911</v>
      </c>
      <c r="T30" s="35">
        <f>_xlfn.RRI($M$9-$H$9,H30,M30)</f>
        <v>0.11319870340767735</v>
      </c>
      <c r="U30" s="35">
        <f>_xlfn.RRI($M$9-$J$9,J30,M30)</f>
        <v>9.7189732700450726E-2</v>
      </c>
    </row>
    <row r="31" spans="2:21">
      <c r="B31" s="61"/>
      <c r="D31" s="157"/>
      <c r="E31" s="157"/>
      <c r="F31" s="157"/>
      <c r="G31" s="157"/>
      <c r="H31" s="157"/>
      <c r="I31" s="157"/>
      <c r="J31" s="157"/>
      <c r="K31" s="157"/>
      <c r="L31" s="157"/>
      <c r="M31" s="157"/>
      <c r="N31" s="157"/>
      <c r="O31" s="157"/>
      <c r="P31" s="157"/>
      <c r="Q31" s="157"/>
      <c r="R31" s="157"/>
      <c r="T31" s="35"/>
      <c r="U31" s="35"/>
    </row>
    <row r="32" spans="2:21">
      <c r="B32" s="276" t="s">
        <v>104</v>
      </c>
      <c r="C32" s="22"/>
      <c r="D32" s="277">
        <f t="shared" ref="D32:M32" si="18">D30/D13</f>
        <v>0.15258561869649725</v>
      </c>
      <c r="E32" s="277">
        <f t="shared" si="18"/>
        <v>0.16705655463335484</v>
      </c>
      <c r="F32" s="277">
        <f t="shared" si="18"/>
        <v>0.2020034371542247</v>
      </c>
      <c r="G32" s="277">
        <f t="shared" si="18"/>
        <v>0.2255297300762347</v>
      </c>
      <c r="H32" s="277">
        <f t="shared" si="18"/>
        <v>0.21105596875521648</v>
      </c>
      <c r="I32" s="277">
        <f t="shared" si="18"/>
        <v>0.21386199640775305</v>
      </c>
      <c r="J32" s="277">
        <f t="shared" si="18"/>
        <v>0.20790352076250015</v>
      </c>
      <c r="K32" s="277">
        <f t="shared" si="18"/>
        <v>0.20228942714663511</v>
      </c>
      <c r="L32" s="277">
        <f t="shared" si="18"/>
        <v>0.19688478182432501</v>
      </c>
      <c r="M32" s="277">
        <f t="shared" si="18"/>
        <v>0.19159166603359035</v>
      </c>
      <c r="N32" s="277">
        <f t="shared" ref="N32:R32" si="19">N30/N13</f>
        <v>0.19258462220258077</v>
      </c>
      <c r="O32" s="277">
        <f t="shared" si="19"/>
        <v>0.19379423445487132</v>
      </c>
      <c r="P32" s="277">
        <f t="shared" si="19"/>
        <v>0.19516267775536586</v>
      </c>
      <c r="Q32" s="277">
        <f t="shared" si="19"/>
        <v>0.19664203102451236</v>
      </c>
      <c r="R32" s="277">
        <f t="shared" si="19"/>
        <v>0.19819281866991528</v>
      </c>
      <c r="S32" s="186"/>
      <c r="T32" s="35"/>
      <c r="U32" s="35"/>
    </row>
    <row r="33" spans="2:21">
      <c r="B33" s="63"/>
      <c r="C33" s="26"/>
      <c r="D33" s="26"/>
      <c r="E33" s="26"/>
      <c r="F33" s="62"/>
      <c r="G33" s="62"/>
      <c r="H33" s="62"/>
      <c r="I33" s="40"/>
      <c r="J33" s="40"/>
      <c r="K33" s="40"/>
      <c r="L33" s="40"/>
      <c r="M33" s="40"/>
      <c r="N33" s="40"/>
      <c r="O33" s="40"/>
      <c r="P33" s="40"/>
      <c r="Q33" s="40"/>
      <c r="R33" s="40"/>
    </row>
    <row r="34" spans="2:21">
      <c r="B34" s="52" t="s">
        <v>447</v>
      </c>
      <c r="C34" s="26"/>
      <c r="D34" s="128">
        <f>'ConsolidatedP&amp;L'!E38*-1</f>
        <v>16.45</v>
      </c>
      <c r="E34" s="128">
        <f>'ConsolidatedP&amp;L'!F38*-1</f>
        <v>18.78</v>
      </c>
      <c r="F34" s="128">
        <f>'ConsolidatedP&amp;L'!G38*-1</f>
        <v>28.02</v>
      </c>
      <c r="G34" s="128">
        <f>'ConsolidatedP&amp;L'!H38*-1</f>
        <v>50.88</v>
      </c>
      <c r="H34" s="128">
        <f>'ConsolidatedP&amp;L'!I38*-1</f>
        <v>54.34</v>
      </c>
      <c r="I34" s="128">
        <f>Schedules!I247</f>
        <v>22.2384869875</v>
      </c>
      <c r="J34" s="128">
        <f>Schedules!J247</f>
        <v>25.711568358601561</v>
      </c>
      <c r="K34" s="128">
        <f>Schedules!K247</f>
        <v>25.110945020423827</v>
      </c>
      <c r="L34" s="128">
        <f>Schedules!L247</f>
        <v>23.693931138803165</v>
      </c>
      <c r="M34" s="128">
        <f>Schedules!M247</f>
        <v>21.332503509553963</v>
      </c>
      <c r="N34" s="128">
        <f>Schedules!N247</f>
        <v>21.093970362554892</v>
      </c>
      <c r="O34" s="128">
        <f>Schedules!O247</f>
        <v>23.62524680606148</v>
      </c>
      <c r="P34" s="128">
        <f>Schedules!P247</f>
        <v>26.460276422788862</v>
      </c>
      <c r="Q34" s="128">
        <f>Schedules!Q247</f>
        <v>29.635509593523533</v>
      </c>
      <c r="R34" s="128">
        <f>Schedules!R247</f>
        <v>33.191770744746357</v>
      </c>
    </row>
    <row r="35" spans="2:21">
      <c r="B35" s="52" t="s">
        <v>451</v>
      </c>
      <c r="C35" s="26"/>
      <c r="D35" s="128">
        <f>'ConsolidatedP&amp;L'!E39</f>
        <v>453.19</v>
      </c>
      <c r="E35" s="128">
        <f>'ConsolidatedP&amp;L'!F39</f>
        <v>440.82</v>
      </c>
      <c r="F35" s="128">
        <f>'ConsolidatedP&amp;L'!G39</f>
        <v>595.11</v>
      </c>
      <c r="G35" s="128">
        <f>'ConsolidatedP&amp;L'!H39</f>
        <v>1075.8699999999999</v>
      </c>
      <c r="H35" s="128">
        <f>'ConsolidatedP&amp;L'!I39</f>
        <v>1304.9000000000001</v>
      </c>
      <c r="I35" s="128">
        <f>Schedules!I254</f>
        <v>1128.4469299999998</v>
      </c>
      <c r="J35" s="128">
        <f>Schedules!J254</f>
        <v>1289.2506175249998</v>
      </c>
      <c r="K35" s="128">
        <f>Schedules!K254</f>
        <v>1463.2994508908748</v>
      </c>
      <c r="L35" s="128">
        <f>Schedules!L254</f>
        <v>1649.8701308794612</v>
      </c>
      <c r="M35" s="128">
        <f>Schedules!M254</f>
        <v>1847.8545465849968</v>
      </c>
      <c r="N35" s="128">
        <f>Schedules!N254</f>
        <v>2069.5970921751968</v>
      </c>
      <c r="O35" s="128">
        <f>Schedules!O254</f>
        <v>2317.9487432362207</v>
      </c>
      <c r="P35" s="128">
        <f>Schedules!P254</f>
        <v>2596.1025924245673</v>
      </c>
      <c r="Q35" s="128">
        <f>Schedules!Q254</f>
        <v>2907.6349035155158</v>
      </c>
      <c r="R35" s="128">
        <f>Schedules!R254</f>
        <v>3256.5510919373783</v>
      </c>
    </row>
    <row r="36" spans="2:21">
      <c r="B36" s="52" t="s">
        <v>174</v>
      </c>
      <c r="C36" s="26"/>
      <c r="D36" s="128">
        <f>'ConsolidatedP&amp;L'!E42</f>
        <v>31.13</v>
      </c>
      <c r="E36" s="128">
        <f>'ConsolidatedP&amp;L'!F42</f>
        <v>60.15</v>
      </c>
      <c r="F36" s="128">
        <f>'ConsolidatedP&amp;L'!G42</f>
        <v>315.17</v>
      </c>
      <c r="G36" s="128">
        <f>'ConsolidatedP&amp;L'!H42</f>
        <v>447.72</v>
      </c>
      <c r="H36" s="128">
        <f>'ConsolidatedP&amp;L'!I42</f>
        <v>699.81</v>
      </c>
      <c r="I36" s="28">
        <f>H36</f>
        <v>699.81</v>
      </c>
      <c r="J36" s="28">
        <f>I36</f>
        <v>699.81</v>
      </c>
      <c r="K36" s="28">
        <f>J36</f>
        <v>699.81</v>
      </c>
      <c r="L36" s="28">
        <f t="shared" ref="L36:M36" si="20">K36</f>
        <v>699.81</v>
      </c>
      <c r="M36" s="28">
        <f t="shared" si="20"/>
        <v>699.81</v>
      </c>
      <c r="N36" s="28">
        <f t="shared" ref="N36" si="21">M36</f>
        <v>699.81</v>
      </c>
      <c r="O36" s="28">
        <f t="shared" ref="O36" si="22">N36</f>
        <v>699.81</v>
      </c>
      <c r="P36" s="28">
        <f t="shared" ref="P36" si="23">O36</f>
        <v>699.81</v>
      </c>
      <c r="Q36" s="28">
        <f t="shared" ref="Q36" si="24">P36</f>
        <v>699.81</v>
      </c>
      <c r="R36" s="28">
        <f t="shared" ref="R36" si="25">Q36</f>
        <v>699.81</v>
      </c>
    </row>
    <row r="37" spans="2:21">
      <c r="B37" s="58" t="s">
        <v>450</v>
      </c>
      <c r="C37" s="13"/>
      <c r="D37" s="211">
        <f>D30-D34+SUM(D35:D36)</f>
        <v>1798.4699999999998</v>
      </c>
      <c r="E37" s="211">
        <f t="shared" ref="E37:M37" si="26">E30-E34+SUM(E35:E36)</f>
        <v>2202.5100000000002</v>
      </c>
      <c r="F37" s="211">
        <f t="shared" si="26"/>
        <v>3799.630000000001</v>
      </c>
      <c r="G37" s="211">
        <f t="shared" si="26"/>
        <v>5202.0199999999995</v>
      </c>
      <c r="H37" s="211">
        <f t="shared" si="26"/>
        <v>5933.0699999999988</v>
      </c>
      <c r="I37" s="211">
        <f t="shared" si="26"/>
        <v>6447.0167755124976</v>
      </c>
      <c r="J37" s="211">
        <f t="shared" si="26"/>
        <v>7117.9594824101468</v>
      </c>
      <c r="K37" s="211">
        <f t="shared" si="26"/>
        <v>7830.4986532685425</v>
      </c>
      <c r="L37" s="211">
        <f t="shared" si="26"/>
        <v>8572.8000604459121</v>
      </c>
      <c r="M37" s="211">
        <f t="shared" si="26"/>
        <v>9334.6691809209096</v>
      </c>
      <c r="N37" s="211">
        <f t="shared" ref="N37:R37" si="27">N30-N34+SUM(N35:N36)</f>
        <v>10413.170316199565</v>
      </c>
      <c r="O37" s="211">
        <f t="shared" si="27"/>
        <v>11632.693154143515</v>
      </c>
      <c r="P37" s="211">
        <f t="shared" si="27"/>
        <v>13012.958732640735</v>
      </c>
      <c r="Q37" s="211">
        <f t="shared" si="27"/>
        <v>14573.256180557628</v>
      </c>
      <c r="R37" s="211">
        <f t="shared" si="27"/>
        <v>16335.189322224544</v>
      </c>
    </row>
    <row r="38" spans="2:21">
      <c r="B38" s="53"/>
      <c r="F38" s="40"/>
      <c r="G38" s="40"/>
      <c r="H38" s="40"/>
      <c r="I38" s="40"/>
      <c r="J38" s="40"/>
      <c r="K38" s="40"/>
      <c r="L38" s="40"/>
      <c r="M38" s="40"/>
      <c r="N38" s="40"/>
      <c r="O38" s="40"/>
      <c r="P38" s="40"/>
      <c r="Q38" s="40"/>
      <c r="R38" s="40"/>
    </row>
    <row r="39" spans="2:21">
      <c r="B39" s="52" t="s">
        <v>3</v>
      </c>
      <c r="D39" s="128">
        <f>'ConsolidatedP&amp;L'!E45*-1</f>
        <v>451.5</v>
      </c>
      <c r="E39" s="128">
        <f>'ConsolidatedP&amp;L'!F45*-1</f>
        <v>525.91</v>
      </c>
      <c r="F39" s="128">
        <f>'ConsolidatedP&amp;L'!G45*-1</f>
        <v>885.69</v>
      </c>
      <c r="G39" s="128">
        <f>'ConsolidatedP&amp;L'!H45*-1</f>
        <v>1201.01</v>
      </c>
      <c r="H39" s="128">
        <f>'ConsolidatedP&amp;L'!I45*-1</f>
        <v>1198.6300000000001</v>
      </c>
      <c r="I39" s="128">
        <f>Schedules!I140*-1</f>
        <v>1160.2324731927395</v>
      </c>
      <c r="J39" s="128">
        <f>Schedules!J140*-1</f>
        <v>1288.379394859149</v>
      </c>
      <c r="K39" s="128">
        <f>Schedules!K140*-1</f>
        <v>1423.64816763727</v>
      </c>
      <c r="L39" s="128">
        <f>Schedules!L140*-1</f>
        <v>1563.2477263070925</v>
      </c>
      <c r="M39" s="128">
        <f>Schedules!M140*-1</f>
        <v>1704.8955641451812</v>
      </c>
      <c r="N39" s="128">
        <f>Schedules!N140*-1</f>
        <v>1920.1133218749212</v>
      </c>
      <c r="O39" s="128">
        <f>Schedules!O140*-1</f>
        <v>2164.071524019912</v>
      </c>
      <c r="P39" s="128">
        <f>Schedules!P140*-1</f>
        <v>2440.921990422301</v>
      </c>
      <c r="Q39" s="128">
        <f>Schedules!Q140*-1</f>
        <v>2754.6117927929781</v>
      </c>
      <c r="R39" s="128">
        <f>Schedules!R140*-1</f>
        <v>3109.5616514481358</v>
      </c>
      <c r="T39" s="35">
        <f>_xlfn.RRI($M$9-$H$9,H39,M39)</f>
        <v>7.3006931599474578E-2</v>
      </c>
      <c r="U39" s="35">
        <f>_xlfn.RRI($M$9-$J$9,J39,M39)</f>
        <v>9.7871058950431244E-2</v>
      </c>
    </row>
    <row r="40" spans="2:21" ht="15" thickBot="1">
      <c r="B40" s="59" t="s">
        <v>4</v>
      </c>
      <c r="C40" s="60"/>
      <c r="D40" s="212">
        <f>D37-D39</f>
        <v>1346.9699999999998</v>
      </c>
      <c r="E40" s="212">
        <f t="shared" ref="E40:M40" si="28">E37-E39</f>
        <v>1676.6000000000004</v>
      </c>
      <c r="F40" s="212">
        <f t="shared" si="28"/>
        <v>2913.940000000001</v>
      </c>
      <c r="G40" s="212">
        <f t="shared" si="28"/>
        <v>4001.0099999999993</v>
      </c>
      <c r="H40" s="212">
        <f t="shared" si="28"/>
        <v>4734.4399999999987</v>
      </c>
      <c r="I40" s="212">
        <f t="shared" si="28"/>
        <v>5286.7843023197584</v>
      </c>
      <c r="J40" s="212">
        <f t="shared" si="28"/>
        <v>5829.5800875509976</v>
      </c>
      <c r="K40" s="212">
        <f t="shared" si="28"/>
        <v>6406.850485631272</v>
      </c>
      <c r="L40" s="212">
        <f t="shared" si="28"/>
        <v>7009.5523341388198</v>
      </c>
      <c r="M40" s="212">
        <f t="shared" si="28"/>
        <v>7629.7736167757284</v>
      </c>
      <c r="N40" s="212">
        <f t="shared" ref="N40:R40" si="29">N37-N39</f>
        <v>8493.0569943246428</v>
      </c>
      <c r="O40" s="212">
        <f t="shared" si="29"/>
        <v>9468.6216301236036</v>
      </c>
      <c r="P40" s="212">
        <f t="shared" si="29"/>
        <v>10572.036742218434</v>
      </c>
      <c r="Q40" s="212">
        <f t="shared" si="29"/>
        <v>11818.644387764649</v>
      </c>
      <c r="R40" s="212">
        <f t="shared" si="29"/>
        <v>13225.627670776408</v>
      </c>
      <c r="T40" s="35">
        <f>_xlfn.RRI($M$9-$H$9,H40,M40)</f>
        <v>0.10014165045654866</v>
      </c>
      <c r="U40" s="35">
        <f>_xlfn.RRI($M$9-$J$9,J40,M40)</f>
        <v>9.3850894712850241E-2</v>
      </c>
    </row>
    <row r="41" spans="2:21" ht="15" thickTop="1">
      <c r="I41" s="106"/>
      <c r="J41" s="106"/>
      <c r="K41" s="106"/>
      <c r="L41" s="106"/>
      <c r="M41" s="106"/>
      <c r="N41" s="106"/>
      <c r="O41" s="106"/>
      <c r="P41" s="106"/>
      <c r="Q41" s="106"/>
      <c r="R41" s="106"/>
    </row>
    <row r="42" spans="2:21">
      <c r="B42" s="22" t="s">
        <v>63</v>
      </c>
      <c r="C42" s="22"/>
      <c r="D42" s="22"/>
      <c r="E42" s="24">
        <f>IFERROR(E13/D13-1,"NM")</f>
        <v>0.18089640897441028</v>
      </c>
      <c r="F42" s="24">
        <f>IFERROR(F13/E13-1,"NM")</f>
        <v>0.40244886544058311</v>
      </c>
      <c r="G42" s="24">
        <f t="shared" ref="G42:M42" si="30">IFERROR(G13/F13-1,"NM")</f>
        <v>0.14496426439775711</v>
      </c>
      <c r="H42" s="24">
        <f t="shared" si="30"/>
        <v>0.14118293784750402</v>
      </c>
      <c r="I42" s="24">
        <f t="shared" si="30"/>
        <v>0.14999999999999991</v>
      </c>
      <c r="J42" s="24">
        <f>IFERROR(J13/I13-1,"NM")</f>
        <v>0.14250000000000007</v>
      </c>
      <c r="K42" s="24">
        <f t="shared" si="30"/>
        <v>0.13500000000000001</v>
      </c>
      <c r="L42" s="24">
        <f t="shared" si="30"/>
        <v>0.12749999999999995</v>
      </c>
      <c r="M42" s="24">
        <f t="shared" si="30"/>
        <v>0.12000000000000011</v>
      </c>
      <c r="N42" s="24">
        <f t="shared" ref="N42" si="31">IFERROR(N13/M13-1,"NM")</f>
        <v>0.12000000000000011</v>
      </c>
      <c r="O42" s="24">
        <f t="shared" ref="O42" si="32">IFERROR(O13/N13-1,"NM")</f>
        <v>0.12000000000000011</v>
      </c>
      <c r="P42" s="24">
        <f t="shared" ref="P42" si="33">IFERROR(P13/O13-1,"NM")</f>
        <v>0.12000000000000011</v>
      </c>
      <c r="Q42" s="24">
        <f t="shared" ref="Q42" si="34">IFERROR(Q13/P13-1,"NM")</f>
        <v>0.12000000000000011</v>
      </c>
      <c r="R42" s="24">
        <f t="shared" ref="R42" si="35">IFERROR(R13/Q13-1,"NM")</f>
        <v>0.12000000000000011</v>
      </c>
    </row>
    <row r="43" spans="2:21">
      <c r="B43" s="22" t="s">
        <v>64</v>
      </c>
      <c r="C43" s="22"/>
      <c r="D43" s="24">
        <f t="shared" ref="D43:E43" si="36">IFERROR(D15/D13,"NM")</f>
        <v>0.41375403510180209</v>
      </c>
      <c r="E43" s="24">
        <f t="shared" si="36"/>
        <v>0.42165679565500697</v>
      </c>
      <c r="F43" s="24">
        <f t="shared" ref="F43:M43" si="37">IFERROR(F15/F13,"NM")</f>
        <v>0.43139470633934768</v>
      </c>
      <c r="G43" s="24">
        <f t="shared" si="37"/>
        <v>0.45689589484136822</v>
      </c>
      <c r="H43" s="24">
        <f t="shared" si="37"/>
        <v>0.45432490653326513</v>
      </c>
      <c r="I43" s="24">
        <f t="shared" si="37"/>
        <v>0.44999999999999996</v>
      </c>
      <c r="J43" s="24">
        <f t="shared" si="37"/>
        <v>0.44399999999999995</v>
      </c>
      <c r="K43" s="24">
        <f t="shared" si="37"/>
        <v>0.43799999999999994</v>
      </c>
      <c r="L43" s="24">
        <f t="shared" si="37"/>
        <v>0.43199999999999994</v>
      </c>
      <c r="M43" s="24">
        <f t="shared" si="37"/>
        <v>0.42599999999999993</v>
      </c>
      <c r="N43" s="24">
        <f t="shared" ref="N43:R43" si="38">IFERROR(N15/N13,"NM")</f>
        <v>0.42599999999999993</v>
      </c>
      <c r="O43" s="24">
        <f t="shared" si="38"/>
        <v>0.42599999999999999</v>
      </c>
      <c r="P43" s="24">
        <f t="shared" si="38"/>
        <v>0.42599999999999993</v>
      </c>
      <c r="Q43" s="24">
        <f t="shared" si="38"/>
        <v>0.42599999999999993</v>
      </c>
      <c r="R43" s="24">
        <f t="shared" si="38"/>
        <v>0.42599999999999988</v>
      </c>
    </row>
    <row r="44" spans="2:21">
      <c r="B44" s="22" t="s">
        <v>65</v>
      </c>
      <c r="C44" s="22"/>
      <c r="D44" s="24">
        <f t="shared" ref="D44:E44" si="39">IFERROR(D25/D13,"NM")</f>
        <v>0.20427276428125016</v>
      </c>
      <c r="E44" s="24">
        <f t="shared" si="39"/>
        <v>0.21094249953631011</v>
      </c>
      <c r="F44" s="24">
        <f t="shared" ref="F44:M44" si="40">IFERROR(F25/F13,"NM")</f>
        <v>0.23843907221762925</v>
      </c>
      <c r="G44" s="24">
        <f t="shared" si="40"/>
        <v>0.26166954325710673</v>
      </c>
      <c r="H44" s="24">
        <f t="shared" si="40"/>
        <v>0.24970549035921427</v>
      </c>
      <c r="I44" s="24">
        <f t="shared" si="40"/>
        <v>0.25299999999999995</v>
      </c>
      <c r="J44" s="24">
        <f t="shared" si="40"/>
        <v>0.247</v>
      </c>
      <c r="K44" s="24">
        <f t="shared" si="40"/>
        <v>0.24099999999999996</v>
      </c>
      <c r="L44" s="24">
        <f t="shared" si="40"/>
        <v>0.2349999999999999</v>
      </c>
      <c r="M44" s="24">
        <f t="shared" si="40"/>
        <v>0.22899999999999998</v>
      </c>
      <c r="N44" s="24">
        <f t="shared" ref="N44:R44" si="41">IFERROR(N25/N13,"NM")</f>
        <v>0.22899999999999995</v>
      </c>
      <c r="O44" s="24">
        <f t="shared" si="41"/>
        <v>0.22899999999999995</v>
      </c>
      <c r="P44" s="24">
        <f t="shared" si="41"/>
        <v>0.22899999999999993</v>
      </c>
      <c r="Q44" s="24">
        <f t="shared" si="41"/>
        <v>0.22899999999999995</v>
      </c>
      <c r="R44" s="24">
        <f t="shared" si="41"/>
        <v>0.22899999999999993</v>
      </c>
    </row>
    <row r="45" spans="2:21">
      <c r="B45" s="22" t="s">
        <v>66</v>
      </c>
      <c r="C45" s="22"/>
      <c r="D45" s="24">
        <f t="shared" ref="D45:E45" si="42">IFERROR(D30/D13,"NM")</f>
        <v>0.15258561869649725</v>
      </c>
      <c r="E45" s="24">
        <f t="shared" si="42"/>
        <v>0.16705655463335484</v>
      </c>
      <c r="F45" s="24">
        <f t="shared" ref="F45:M45" si="43">IFERROR(F30/F13,"NM")</f>
        <v>0.2020034371542247</v>
      </c>
      <c r="G45" s="24">
        <f t="shared" si="43"/>
        <v>0.2255297300762347</v>
      </c>
      <c r="H45" s="24">
        <f t="shared" si="43"/>
        <v>0.21105596875521648</v>
      </c>
      <c r="I45" s="24">
        <f t="shared" si="43"/>
        <v>0.21386199640775305</v>
      </c>
      <c r="J45" s="24">
        <f t="shared" si="43"/>
        <v>0.20790352076250015</v>
      </c>
      <c r="K45" s="24">
        <f t="shared" si="43"/>
        <v>0.20228942714663511</v>
      </c>
      <c r="L45" s="24">
        <f t="shared" si="43"/>
        <v>0.19688478182432501</v>
      </c>
      <c r="M45" s="24">
        <f t="shared" si="43"/>
        <v>0.19159166603359035</v>
      </c>
      <c r="N45" s="24">
        <f t="shared" ref="N45:R45" si="44">IFERROR(N30/N13,"NM")</f>
        <v>0.19258462220258077</v>
      </c>
      <c r="O45" s="24">
        <f t="shared" si="44"/>
        <v>0.19379423445487132</v>
      </c>
      <c r="P45" s="24">
        <f t="shared" si="44"/>
        <v>0.19516267775536586</v>
      </c>
      <c r="Q45" s="24">
        <f t="shared" si="44"/>
        <v>0.19664203102451236</v>
      </c>
      <c r="R45" s="24">
        <f t="shared" si="44"/>
        <v>0.19819281866991528</v>
      </c>
    </row>
    <row r="46" spans="2:21">
      <c r="B46" s="22" t="s">
        <v>67</v>
      </c>
      <c r="C46" s="22"/>
      <c r="D46" s="24">
        <f>IFERROR(D39/D37,"NM")</f>
        <v>0.25104672304792408</v>
      </c>
      <c r="E46" s="24">
        <f>IFERROR(E39/E37,"NM")</f>
        <v>0.23877757649227468</v>
      </c>
      <c r="F46" s="24">
        <f>IFERROR(F39/F37,"NM")</f>
        <v>0.23309901227224752</v>
      </c>
      <c r="G46" s="24">
        <f t="shared" ref="G46:M46" si="45">IFERROR(G39/G37,"NM")</f>
        <v>0.23087377595626316</v>
      </c>
      <c r="H46" s="24">
        <f t="shared" si="45"/>
        <v>0.20202525842439081</v>
      </c>
      <c r="I46" s="24">
        <f t="shared" si="45"/>
        <v>0.17996423983253995</v>
      </c>
      <c r="J46" s="24">
        <f t="shared" si="45"/>
        <v>0.18100403606440629</v>
      </c>
      <c r="K46" s="24">
        <f t="shared" si="45"/>
        <v>0.18180811091041085</v>
      </c>
      <c r="L46" s="24">
        <f t="shared" si="45"/>
        <v>0.18234972416069395</v>
      </c>
      <c r="M46" s="24">
        <f t="shared" si="45"/>
        <v>0.18264124106613333</v>
      </c>
      <c r="N46" s="24">
        <f t="shared" ref="N46:R46" si="46">IFERROR(N39/N37,"NM")</f>
        <v>0.18439277026784423</v>
      </c>
      <c r="O46" s="24">
        <f t="shared" si="46"/>
        <v>0.18603357755113475</v>
      </c>
      <c r="P46" s="24">
        <f t="shared" si="46"/>
        <v>0.18757624922760066</v>
      </c>
      <c r="Q46" s="24">
        <f t="shared" si="46"/>
        <v>0.1890182783218991</v>
      </c>
      <c r="R46" s="24">
        <f t="shared" si="46"/>
        <v>0.19035969465119565</v>
      </c>
    </row>
    <row r="47" spans="2:21">
      <c r="B47" s="22" t="s">
        <v>68</v>
      </c>
      <c r="C47" s="22"/>
      <c r="D47" s="24">
        <f t="shared" ref="D47:E47" si="47">IFERROR(D40/D13,"NM")</f>
        <v>0.15446283692741689</v>
      </c>
      <c r="E47" s="24">
        <f t="shared" si="47"/>
        <v>0.16281099998737603</v>
      </c>
      <c r="F47" s="24">
        <f t="shared" ref="F47:M47" si="48">IFERROR(F40/F13,"NM")</f>
        <v>0.20176593838326354</v>
      </c>
      <c r="G47" s="24">
        <f t="shared" si="48"/>
        <v>0.24196076628982724</v>
      </c>
      <c r="H47" s="24">
        <f t="shared" si="48"/>
        <v>0.25089306769614761</v>
      </c>
      <c r="I47" s="24">
        <f t="shared" si="48"/>
        <v>0.24362048086800811</v>
      </c>
      <c r="J47" s="24">
        <f t="shared" si="48"/>
        <v>0.23512741466402573</v>
      </c>
      <c r="K47" s="24">
        <f t="shared" si="48"/>
        <v>0.22767467386801554</v>
      </c>
      <c r="L47" s="24">
        <f t="shared" si="48"/>
        <v>0.22092449251197976</v>
      </c>
      <c r="M47" s="24">
        <f t="shared" si="48"/>
        <v>0.21470749892385449</v>
      </c>
      <c r="N47" s="24">
        <f t="shared" ref="N47:R47" si="49">IFERROR(N40/N13,"NM")</f>
        <v>0.21339369163913355</v>
      </c>
      <c r="O47" s="24">
        <f t="shared" si="49"/>
        <v>0.21241553602216581</v>
      </c>
      <c r="P47" s="24">
        <f t="shared" si="49"/>
        <v>0.21175816094460914</v>
      </c>
      <c r="Q47" s="24">
        <f t="shared" si="49"/>
        <v>0.21136405654668269</v>
      </c>
      <c r="R47" s="24">
        <f t="shared" si="49"/>
        <v>0.21118435408032529</v>
      </c>
    </row>
    <row r="49" spans="1:20" ht="15.6">
      <c r="A49" s="18" t="s">
        <v>18</v>
      </c>
      <c r="B49" s="463" t="s">
        <v>70</v>
      </c>
      <c r="C49" s="463"/>
      <c r="D49" s="463"/>
      <c r="E49" s="463"/>
      <c r="F49" s="465"/>
      <c r="G49" s="465"/>
      <c r="H49" s="465"/>
      <c r="I49" s="465"/>
      <c r="J49" s="465"/>
      <c r="K49" s="465"/>
      <c r="L49" s="465"/>
      <c r="M49" s="465"/>
      <c r="N49" s="465"/>
      <c r="O49" s="465"/>
      <c r="P49" s="465"/>
      <c r="Q49" s="465"/>
      <c r="R49" s="465"/>
    </row>
    <row r="51" spans="1:20">
      <c r="B51" s="7" t="s">
        <v>5</v>
      </c>
      <c r="C51" s="1"/>
      <c r="D51" s="1"/>
      <c r="E51" s="1"/>
      <c r="F51" s="1"/>
      <c r="G51" s="1"/>
      <c r="H51" s="1"/>
      <c r="I51" s="1"/>
      <c r="J51" s="7"/>
      <c r="K51" s="1"/>
      <c r="L51" s="1"/>
      <c r="M51" s="1"/>
      <c r="N51" s="1"/>
      <c r="O51" s="1"/>
      <c r="P51" s="1"/>
      <c r="Q51" s="1"/>
      <c r="R51" s="1"/>
    </row>
    <row r="52" spans="1:20">
      <c r="B52" s="7" t="s">
        <v>402</v>
      </c>
      <c r="C52" s="76"/>
      <c r="D52" s="76"/>
      <c r="E52" s="76"/>
      <c r="F52" s="77"/>
      <c r="G52" s="77"/>
      <c r="H52" s="77"/>
      <c r="I52" s="40"/>
      <c r="J52" s="40"/>
      <c r="K52" s="40"/>
      <c r="L52" s="40"/>
      <c r="M52" s="40"/>
      <c r="N52" s="40"/>
      <c r="O52" s="40"/>
      <c r="P52" s="40"/>
      <c r="Q52" s="40"/>
      <c r="R52" s="40"/>
    </row>
    <row r="53" spans="1:20">
      <c r="B53" s="55" t="s">
        <v>398</v>
      </c>
      <c r="C53" s="1"/>
      <c r="D53" s="295">
        <f>ConsolidatedBS!E6</f>
        <v>1894.51</v>
      </c>
      <c r="E53" s="295">
        <f>ConsolidatedBS!F6</f>
        <v>1910.78</v>
      </c>
      <c r="F53" s="295">
        <f>ConsolidatedBS!G6</f>
        <v>1999.65</v>
      </c>
      <c r="G53" s="295">
        <f>ConsolidatedBS!H6</f>
        <v>1950.26</v>
      </c>
      <c r="H53" s="295">
        <f>ConsolidatedBS!I6</f>
        <v>2268.6999999999998</v>
      </c>
      <c r="I53" s="295">
        <f>Schedules!I61</f>
        <v>2919.4430600523006</v>
      </c>
      <c r="J53" s="295">
        <f>Schedules!J61</f>
        <v>3450.1861201046017</v>
      </c>
      <c r="K53" s="295">
        <f>Schedules!K61</f>
        <v>3860.929180156902</v>
      </c>
      <c r="L53" s="295">
        <f>Schedules!L61</f>
        <v>4151.6722402092018</v>
      </c>
      <c r="M53" s="295">
        <f>Schedules!M61</f>
        <v>4322.4153002615021</v>
      </c>
      <c r="N53" s="295">
        <f>Schedules!N61</f>
        <v>4373.1583603138024</v>
      </c>
      <c r="O53" s="295">
        <f>Schedules!O61</f>
        <v>4303.9014203661027</v>
      </c>
      <c r="P53" s="295">
        <f>Schedules!P61</f>
        <v>4114.644480418403</v>
      </c>
      <c r="Q53" s="295">
        <f>Schedules!Q61</f>
        <v>3805.3875404707037</v>
      </c>
      <c r="R53" s="295">
        <f>Schedules!R61</f>
        <v>3376.130600523004</v>
      </c>
    </row>
    <row r="54" spans="1:20">
      <c r="B54" s="55" t="s">
        <v>400</v>
      </c>
      <c r="C54" s="1"/>
      <c r="D54" s="295">
        <f>ConsolidatedBS!E10</f>
        <v>197.62</v>
      </c>
      <c r="E54" s="295">
        <f>ConsolidatedBS!F10</f>
        <v>183.66</v>
      </c>
      <c r="F54" s="295">
        <f>ConsolidatedBS!G10</f>
        <v>226.13</v>
      </c>
      <c r="G54" s="295">
        <f>ConsolidatedBS!H10</f>
        <v>271.99</v>
      </c>
      <c r="H54" s="295">
        <f>ConsolidatedBS!I10</f>
        <v>317.04000000000002</v>
      </c>
      <c r="I54" s="295">
        <f>Schedules!I68</f>
        <v>257.05339082248929</v>
      </c>
      <c r="J54" s="295">
        <f>Schedules!J68</f>
        <v>197.06678164497856</v>
      </c>
      <c r="K54" s="295">
        <f>Schedules!K68</f>
        <v>137.08017246746783</v>
      </c>
      <c r="L54" s="295">
        <f>Schedules!L68</f>
        <v>77.093563289957089</v>
      </c>
      <c r="M54" s="295">
        <f>Schedules!M68</f>
        <v>17.106954112446346</v>
      </c>
      <c r="N54" s="295">
        <f>Schedules!N68</f>
        <v>-42.879655065064398</v>
      </c>
      <c r="O54" s="295">
        <f>Schedules!O68</f>
        <v>-102.86626424257514</v>
      </c>
      <c r="P54" s="295">
        <f>Schedules!P68</f>
        <v>-162.85287342008587</v>
      </c>
      <c r="Q54" s="295">
        <f>Schedules!Q68</f>
        <v>-222.8394825975966</v>
      </c>
      <c r="R54" s="295">
        <f>Schedules!R68</f>
        <v>-282.82609177510733</v>
      </c>
      <c r="T54" s="26"/>
    </row>
    <row r="55" spans="1:20">
      <c r="B55" s="55" t="s">
        <v>401</v>
      </c>
      <c r="C55" s="1"/>
      <c r="D55" s="295">
        <f>ConsolidatedBS!E7</f>
        <v>63.91</v>
      </c>
      <c r="E55" s="295">
        <f>ConsolidatedBS!F7</f>
        <v>133.97999999999999</v>
      </c>
      <c r="F55" s="295">
        <f>ConsolidatedBS!G7</f>
        <v>77.75</v>
      </c>
      <c r="G55" s="295">
        <f>ConsolidatedBS!H7</f>
        <v>211.65</v>
      </c>
      <c r="H55" s="295">
        <f>ConsolidatedBS!I7</f>
        <v>110.3</v>
      </c>
      <c r="I55" s="295">
        <f>Schedules!I74</f>
        <v>0</v>
      </c>
      <c r="J55" s="295">
        <f>Schedules!J74</f>
        <v>0</v>
      </c>
      <c r="K55" s="295">
        <f>Schedules!K74</f>
        <v>0</v>
      </c>
      <c r="L55" s="295">
        <f>Schedules!L74</f>
        <v>0</v>
      </c>
      <c r="M55" s="295">
        <f>Schedules!M74</f>
        <v>0</v>
      </c>
      <c r="N55" s="295">
        <f>Schedules!N74</f>
        <v>0</v>
      </c>
      <c r="O55" s="295">
        <f>Schedules!O74</f>
        <v>0</v>
      </c>
      <c r="P55" s="295">
        <f>Schedules!P74</f>
        <v>0</v>
      </c>
      <c r="Q55" s="295">
        <f>Schedules!Q74</f>
        <v>0</v>
      </c>
      <c r="R55" s="295">
        <f>Schedules!R74</f>
        <v>0</v>
      </c>
    </row>
    <row r="56" spans="1:20">
      <c r="B56" s="55" t="s">
        <v>427</v>
      </c>
      <c r="C56" s="1"/>
      <c r="D56" s="295">
        <f>ConsolidatedBS!E9</f>
        <v>341.17</v>
      </c>
      <c r="E56" s="295">
        <f>ConsolidatedBS!F9</f>
        <v>329.84</v>
      </c>
      <c r="F56" s="295">
        <f>ConsolidatedBS!G9</f>
        <v>464.21</v>
      </c>
      <c r="G56" s="295">
        <f>ConsolidatedBS!H9</f>
        <v>692.13</v>
      </c>
      <c r="H56" s="295">
        <f>ConsolidatedBS!I9</f>
        <v>887.73</v>
      </c>
      <c r="I56" s="295">
        <f>Schedules!I81</f>
        <v>719.76408855301656</v>
      </c>
      <c r="J56" s="295">
        <f>Schedules!J81</f>
        <v>551.79817710603311</v>
      </c>
      <c r="K56" s="295">
        <f>Schedules!K81</f>
        <v>383.83226565904971</v>
      </c>
      <c r="L56" s="295">
        <f>Schedules!L81</f>
        <v>215.86635421206631</v>
      </c>
      <c r="M56" s="295">
        <f>Schedules!M81</f>
        <v>47.900442765082914</v>
      </c>
      <c r="N56" s="295">
        <f>Schedules!N81</f>
        <v>-120.06546868190048</v>
      </c>
      <c r="O56" s="295">
        <f>Schedules!O81</f>
        <v>-288.03138012888388</v>
      </c>
      <c r="P56" s="295">
        <f>Schedules!P81</f>
        <v>-455.99729157586728</v>
      </c>
      <c r="Q56" s="295">
        <f>Schedules!Q81</f>
        <v>-623.96320302285062</v>
      </c>
      <c r="R56" s="295">
        <f>Schedules!R81</f>
        <v>-791.92911446983408</v>
      </c>
      <c r="S56" s="163">
        <f>Schedules!N81</f>
        <v>-120.06546868190048</v>
      </c>
    </row>
    <row r="57" spans="1:20">
      <c r="B57" s="55" t="s">
        <v>188</v>
      </c>
      <c r="C57" s="1"/>
      <c r="D57" s="295">
        <f>ConsolidatedBS!E11</f>
        <v>250.38</v>
      </c>
      <c r="E57" s="295">
        <f>ConsolidatedBS!F11</f>
        <v>370.8</v>
      </c>
      <c r="F57" s="295">
        <f>ConsolidatedBS!G11</f>
        <v>394.32</v>
      </c>
      <c r="G57" s="295">
        <f>ConsolidatedBS!H11</f>
        <v>343.45</v>
      </c>
      <c r="H57" s="295">
        <f>ConsolidatedBS!I11</f>
        <v>381.17</v>
      </c>
      <c r="I57" s="295">
        <f>Schedules!I90</f>
        <v>309.04946057219354</v>
      </c>
      <c r="J57" s="295">
        <f>Schedules!J90</f>
        <v>236.92892114438706</v>
      </c>
      <c r="K57" s="295">
        <f>Schedules!K90</f>
        <v>164.80838171658058</v>
      </c>
      <c r="L57" s="295">
        <f>Schedules!L90</f>
        <v>92.687842288774092</v>
      </c>
      <c r="M57" s="295">
        <f>Schedules!M90</f>
        <v>20.567302860967601</v>
      </c>
      <c r="N57" s="295">
        <f>Schedules!N90</f>
        <v>-51.553236566838891</v>
      </c>
      <c r="O57" s="295">
        <f>Schedules!O90</f>
        <v>-123.67377599464538</v>
      </c>
      <c r="P57" s="295">
        <f>Schedules!P90</f>
        <v>-195.79431542245186</v>
      </c>
      <c r="Q57" s="295">
        <f>Schedules!Q90</f>
        <v>-267.91485485025834</v>
      </c>
      <c r="R57" s="295">
        <f>Schedules!R90</f>
        <v>-340.03539427806481</v>
      </c>
    </row>
    <row r="58" spans="1:20">
      <c r="B58" s="55" t="s">
        <v>411</v>
      </c>
      <c r="C58" s="1"/>
      <c r="D58" s="295">
        <f>ConsolidatedBS!E13</f>
        <v>2848.92</v>
      </c>
      <c r="E58" s="295">
        <f>ConsolidatedBS!F13</f>
        <v>7368.9</v>
      </c>
      <c r="F58" s="295">
        <f>ConsolidatedBS!G13</f>
        <v>12120.050000000001</v>
      </c>
      <c r="G58" s="295">
        <f>ConsolidatedBS!H13</f>
        <v>15202.14</v>
      </c>
      <c r="H58" s="295">
        <f>ConsolidatedBS!I13</f>
        <v>16013.75</v>
      </c>
      <c r="I58" s="295">
        <f>Schedules!I96</f>
        <v>17022.616249999999</v>
      </c>
      <c r="J58" s="295">
        <f>Schedules!J96</f>
        <v>18095.041073749999</v>
      </c>
      <c r="K58" s="295">
        <f>Schedules!K96</f>
        <v>19235.028661396249</v>
      </c>
      <c r="L58" s="295">
        <f>Schedules!L96</f>
        <v>20446.835467064211</v>
      </c>
      <c r="M58" s="295">
        <f>Schedules!M96</f>
        <v>21734.986101489256</v>
      </c>
      <c r="N58" s="295">
        <f>Schedules!N96</f>
        <v>23104.290225883076</v>
      </c>
      <c r="O58" s="295">
        <f>Schedules!O96</f>
        <v>24559.860510113707</v>
      </c>
      <c r="P58" s="295">
        <f>Schedules!P96</f>
        <v>26107.13172225087</v>
      </c>
      <c r="Q58" s="295">
        <f>Schedules!Q96</f>
        <v>27751.881020752673</v>
      </c>
      <c r="R58" s="295">
        <f>Schedules!R96</f>
        <v>29500.249525060091</v>
      </c>
    </row>
    <row r="59" spans="1:20">
      <c r="B59" s="55" t="s">
        <v>412</v>
      </c>
      <c r="C59" s="1"/>
      <c r="D59" s="295">
        <f>ConsolidatedBS!E21</f>
        <v>102.29</v>
      </c>
      <c r="E59" s="295">
        <f>ConsolidatedBS!F21</f>
        <v>139.41</v>
      </c>
      <c r="F59" s="295">
        <f>ConsolidatedBS!G21</f>
        <v>145.83000000000001</v>
      </c>
      <c r="G59" s="295">
        <f>ConsolidatedBS!H21</f>
        <v>188.77</v>
      </c>
      <c r="H59" s="295">
        <f>ConsolidatedBS!I21</f>
        <v>151.85</v>
      </c>
      <c r="I59" s="295">
        <f>Schedules!I100</f>
        <v>151.85</v>
      </c>
      <c r="J59" s="295">
        <f>Schedules!J100</f>
        <v>151.85</v>
      </c>
      <c r="K59" s="295">
        <f>Schedules!K100</f>
        <v>151.85</v>
      </c>
      <c r="L59" s="295">
        <f>Schedules!L100</f>
        <v>151.85</v>
      </c>
      <c r="M59" s="295">
        <f>Schedules!M100</f>
        <v>151.85</v>
      </c>
      <c r="N59" s="295">
        <f>Schedules!N100</f>
        <v>151.85</v>
      </c>
      <c r="O59" s="295">
        <f>Schedules!O100</f>
        <v>151.85</v>
      </c>
      <c r="P59" s="295">
        <f>Schedules!P100</f>
        <v>151.85</v>
      </c>
      <c r="Q59" s="295">
        <f>Schedules!Q100</f>
        <v>151.85</v>
      </c>
      <c r="R59" s="295">
        <f>Schedules!R100</f>
        <v>151.85</v>
      </c>
    </row>
    <row r="60" spans="1:20">
      <c r="B60" s="55" t="s">
        <v>413</v>
      </c>
      <c r="C60" s="1"/>
      <c r="D60" s="295">
        <f>ConsolidatedBS!E19</f>
        <v>0</v>
      </c>
      <c r="E60" s="295">
        <f>ConsolidatedBS!F19</f>
        <v>0</v>
      </c>
      <c r="F60" s="295">
        <f>ConsolidatedBS!G19</f>
        <v>0</v>
      </c>
      <c r="G60" s="295">
        <f>ConsolidatedBS!H19</f>
        <v>12.8</v>
      </c>
      <c r="H60" s="295">
        <f>ConsolidatedBS!I19</f>
        <v>0</v>
      </c>
      <c r="I60" s="295">
        <f>Schedules!I104</f>
        <v>0</v>
      </c>
      <c r="J60" s="295">
        <f>Schedules!J104</f>
        <v>0</v>
      </c>
      <c r="K60" s="295">
        <f>Schedules!K104</f>
        <v>0</v>
      </c>
      <c r="L60" s="295">
        <f>Schedules!L104</f>
        <v>0</v>
      </c>
      <c r="M60" s="295">
        <f>Schedules!M104</f>
        <v>0</v>
      </c>
      <c r="N60" s="295">
        <f>Schedules!N104</f>
        <v>0</v>
      </c>
      <c r="O60" s="295">
        <f>Schedules!O104</f>
        <v>0</v>
      </c>
      <c r="P60" s="295">
        <f>Schedules!P104</f>
        <v>0</v>
      </c>
      <c r="Q60" s="295">
        <f>Schedules!Q104</f>
        <v>0</v>
      </c>
      <c r="R60" s="295">
        <f>Schedules!R104</f>
        <v>0</v>
      </c>
    </row>
    <row r="61" spans="1:20">
      <c r="B61" s="55" t="s">
        <v>414</v>
      </c>
      <c r="C61" s="1"/>
      <c r="D61" s="295">
        <f>ConsolidatedBS!E20</f>
        <v>51.33</v>
      </c>
      <c r="E61" s="295">
        <f>ConsolidatedBS!F20</f>
        <v>83.12</v>
      </c>
      <c r="F61" s="295">
        <f>ConsolidatedBS!G20</f>
        <v>86.47</v>
      </c>
      <c r="G61" s="295">
        <f>ConsolidatedBS!H20</f>
        <v>103.41</v>
      </c>
      <c r="H61" s="295">
        <f>ConsolidatedBS!I20</f>
        <v>89.71</v>
      </c>
      <c r="I61" s="295">
        <f>Schedules!I108</f>
        <v>89.71</v>
      </c>
      <c r="J61" s="295">
        <f>Schedules!J108</f>
        <v>89.71</v>
      </c>
      <c r="K61" s="295">
        <f>Schedules!K108</f>
        <v>89.71</v>
      </c>
      <c r="L61" s="295">
        <f>Schedules!L108</f>
        <v>89.71</v>
      </c>
      <c r="M61" s="295">
        <f>Schedules!M108</f>
        <v>89.71</v>
      </c>
      <c r="N61" s="295">
        <f>Schedules!N108</f>
        <v>89.71</v>
      </c>
      <c r="O61" s="295">
        <f>Schedules!O108</f>
        <v>89.71</v>
      </c>
      <c r="P61" s="295">
        <f>Schedules!P108</f>
        <v>89.71</v>
      </c>
      <c r="Q61" s="295">
        <f>Schedules!Q108</f>
        <v>89.71</v>
      </c>
      <c r="R61" s="295">
        <f>Schedules!R108</f>
        <v>89.71</v>
      </c>
    </row>
    <row r="62" spans="1:20">
      <c r="B62" s="230" t="s">
        <v>416</v>
      </c>
      <c r="C62" s="231"/>
      <c r="D62" s="296">
        <f>SUM(D53:D61)</f>
        <v>5750.13</v>
      </c>
      <c r="E62" s="296">
        <f t="shared" ref="E62:M62" si="50">SUM(E53:E61)</f>
        <v>10520.49</v>
      </c>
      <c r="F62" s="296">
        <f t="shared" si="50"/>
        <v>15514.41</v>
      </c>
      <c r="G62" s="296">
        <f t="shared" si="50"/>
        <v>18976.599999999999</v>
      </c>
      <c r="H62" s="296">
        <f t="shared" si="50"/>
        <v>20220.249999999996</v>
      </c>
      <c r="I62" s="297">
        <f t="shared" si="50"/>
        <v>21469.486249999994</v>
      </c>
      <c r="J62" s="297">
        <f t="shared" si="50"/>
        <v>22772.581073749996</v>
      </c>
      <c r="K62" s="297">
        <f t="shared" si="50"/>
        <v>24023.238661396248</v>
      </c>
      <c r="L62" s="297">
        <f t="shared" si="50"/>
        <v>25225.715467064208</v>
      </c>
      <c r="M62" s="297">
        <f t="shared" si="50"/>
        <v>26384.536101489251</v>
      </c>
      <c r="N62" s="297">
        <f t="shared" ref="N62:R62" si="51">SUM(N53:N61)</f>
        <v>27504.510225883074</v>
      </c>
      <c r="O62" s="297">
        <f t="shared" si="51"/>
        <v>28590.750510113703</v>
      </c>
      <c r="P62" s="297">
        <f t="shared" si="51"/>
        <v>29648.691722250864</v>
      </c>
      <c r="Q62" s="297">
        <f t="shared" si="51"/>
        <v>30684.111020752669</v>
      </c>
      <c r="R62" s="297">
        <f t="shared" si="51"/>
        <v>31703.149525060086</v>
      </c>
      <c r="S62" s="43">
        <f t="shared" ref="S62" si="52">SUM(S52:S56)</f>
        <v>-120.06546868190048</v>
      </c>
    </row>
    <row r="63" spans="1:20">
      <c r="B63" s="156"/>
      <c r="C63" s="191"/>
      <c r="D63" s="217"/>
      <c r="E63" s="217"/>
      <c r="F63" s="217"/>
      <c r="G63" s="217"/>
      <c r="H63" s="217"/>
      <c r="I63" s="192"/>
      <c r="J63" s="192"/>
      <c r="K63" s="192"/>
      <c r="L63" s="192"/>
      <c r="M63" s="192"/>
      <c r="N63" s="192"/>
      <c r="O63" s="192"/>
      <c r="P63" s="192"/>
      <c r="Q63" s="192"/>
      <c r="R63" s="192"/>
      <c r="S63" s="62"/>
    </row>
    <row r="64" spans="1:20">
      <c r="B64" s="193" t="str">
        <f>ConsolidatedBS!B24</f>
        <v>Current assets :</v>
      </c>
      <c r="C64" s="191"/>
      <c r="D64" s="192"/>
      <c r="E64" s="192"/>
      <c r="F64" s="192"/>
      <c r="G64" s="192"/>
      <c r="H64" s="192"/>
      <c r="I64" s="192"/>
      <c r="J64" s="192"/>
      <c r="K64" s="192"/>
      <c r="L64" s="192"/>
      <c r="M64" s="192"/>
      <c r="N64" s="192"/>
      <c r="O64" s="192"/>
      <c r="P64" s="192"/>
      <c r="Q64" s="192"/>
      <c r="R64" s="192"/>
      <c r="S64" s="62"/>
    </row>
    <row r="65" spans="2:22">
      <c r="B65" s="53" t="str">
        <f>ConsolidatedBS!B25</f>
        <v>Inventories</v>
      </c>
      <c r="C65" s="191"/>
      <c r="D65" s="295">
        <f>ConsolidatedBS!E25</f>
        <v>874.6</v>
      </c>
      <c r="E65" s="295">
        <f>ConsolidatedBS!F25</f>
        <v>1132.4000000000001</v>
      </c>
      <c r="F65" s="295">
        <f>ConsolidatedBS!G25</f>
        <v>1278.44</v>
      </c>
      <c r="G65" s="295">
        <f>ConsolidatedBS!H25</f>
        <v>1409.64</v>
      </c>
      <c r="H65" s="295">
        <f>ConsolidatedBS!I25</f>
        <v>1563.75</v>
      </c>
      <c r="I65" s="295">
        <f>Schedules!I164</f>
        <v>1783.635821917808</v>
      </c>
      <c r="J65" s="295">
        <f>Schedules!J164</f>
        <v>2037.8039265410957</v>
      </c>
      <c r="K65" s="295">
        <f>Schedules!K164</f>
        <v>2312.9074566241438</v>
      </c>
      <c r="L65" s="295">
        <f>Schedules!L164</f>
        <v>2607.803157343722</v>
      </c>
      <c r="M65" s="295">
        <f>Schedules!M164</f>
        <v>2920.7395362249686</v>
      </c>
      <c r="N65" s="295">
        <f>Schedules!N164</f>
        <v>3271.2282805719656</v>
      </c>
      <c r="O65" s="295">
        <f>Schedules!O164</f>
        <v>3663.7756742406013</v>
      </c>
      <c r="P65" s="295">
        <f>Schedules!P164</f>
        <v>4103.4287551494735</v>
      </c>
      <c r="Q65" s="295">
        <f>Schedules!Q164</f>
        <v>4595.8402057674111</v>
      </c>
      <c r="R65" s="295">
        <f>Schedules!R164</f>
        <v>5147.3410304595027</v>
      </c>
      <c r="S65" s="62"/>
    </row>
    <row r="66" spans="2:22">
      <c r="B66" s="53" t="str">
        <f>ConsolidatedBS!B26</f>
        <v>Trade receivables</v>
      </c>
      <c r="C66" s="191"/>
      <c r="D66" s="295">
        <f>ConsolidatedBS!E26</f>
        <v>158.16</v>
      </c>
      <c r="E66" s="295">
        <f>ConsolidatedBS!F26</f>
        <v>302.04000000000002</v>
      </c>
      <c r="F66" s="295">
        <f>ConsolidatedBS!G26</f>
        <v>368.92</v>
      </c>
      <c r="G66" s="295">
        <f>ConsolidatedBS!H26</f>
        <v>373.78</v>
      </c>
      <c r="H66" s="295">
        <f>ConsolidatedBS!I26</f>
        <v>549.64</v>
      </c>
      <c r="I66" s="295">
        <f>Schedules!I158</f>
        <v>713.45432876712312</v>
      </c>
      <c r="J66" s="295">
        <f>Schedules!J158</f>
        <v>815.12157061643825</v>
      </c>
      <c r="K66" s="295">
        <f>Schedules!K158</f>
        <v>770.96915220804794</v>
      </c>
      <c r="L66" s="295">
        <f>Schedules!L158</f>
        <v>869.26771911457399</v>
      </c>
      <c r="M66" s="295">
        <f>Schedules!M158</f>
        <v>973.57984540832285</v>
      </c>
      <c r="N66" s="295">
        <f>Schedules!N158</f>
        <v>1090.4094268573219</v>
      </c>
      <c r="O66" s="295">
        <f>Schedules!O158</f>
        <v>1221.2585580802006</v>
      </c>
      <c r="P66" s="295">
        <f>Schedules!P158</f>
        <v>1367.8095850498246</v>
      </c>
      <c r="Q66" s="295">
        <f>Schedules!Q158</f>
        <v>1531.9467352558038</v>
      </c>
      <c r="R66" s="295">
        <f>Schedules!R158</f>
        <v>1715.7803434865009</v>
      </c>
      <c r="S66" s="62"/>
    </row>
    <row r="67" spans="2:22">
      <c r="B67" s="156" t="str">
        <f>ConsolidatedBS!B27</f>
        <v>Financial Assets</v>
      </c>
      <c r="C67" s="191"/>
      <c r="D67" s="295"/>
      <c r="E67" s="295"/>
      <c r="F67" s="295"/>
      <c r="G67" s="295"/>
      <c r="H67" s="295"/>
      <c r="I67" s="298"/>
      <c r="J67" s="298"/>
      <c r="K67" s="298"/>
      <c r="L67" s="298"/>
      <c r="M67" s="298"/>
      <c r="N67" s="298"/>
      <c r="O67" s="298"/>
      <c r="P67" s="298"/>
      <c r="Q67" s="298"/>
      <c r="R67" s="298"/>
      <c r="S67" s="62"/>
    </row>
    <row r="68" spans="2:22">
      <c r="B68" s="55" t="str">
        <f>ConsolidatedBS!B28</f>
        <v>Investments (Current)</v>
      </c>
      <c r="C68" s="191"/>
      <c r="D68" s="295">
        <f>ConsolidatedBS!E28</f>
        <v>1076.08</v>
      </c>
      <c r="E68" s="295">
        <f>ConsolidatedBS!F28</f>
        <v>424.69</v>
      </c>
      <c r="F68" s="295">
        <f>ConsolidatedBS!G28</f>
        <v>219.89</v>
      </c>
      <c r="G68" s="295">
        <f>ConsolidatedBS!H28</f>
        <v>180.92</v>
      </c>
      <c r="H68" s="295">
        <f>ConsolidatedBS!I28</f>
        <v>847.55</v>
      </c>
      <c r="I68" s="298">
        <f>H68</f>
        <v>847.55</v>
      </c>
      <c r="J68" s="298">
        <f>I68</f>
        <v>847.55</v>
      </c>
      <c r="K68" s="298">
        <f t="shared" ref="I68:K70" si="53">J68</f>
        <v>847.55</v>
      </c>
      <c r="L68" s="298">
        <f t="shared" ref="L68:M68" si="54">K68</f>
        <v>847.55</v>
      </c>
      <c r="M68" s="298">
        <f t="shared" si="54"/>
        <v>847.55</v>
      </c>
      <c r="N68" s="298">
        <f t="shared" ref="N68:N70" si="55">M68</f>
        <v>847.55</v>
      </c>
      <c r="O68" s="298">
        <f t="shared" ref="O68:O70" si="56">N68</f>
        <v>847.55</v>
      </c>
      <c r="P68" s="298">
        <f t="shared" ref="P68:P70" si="57">O68</f>
        <v>847.55</v>
      </c>
      <c r="Q68" s="298">
        <f t="shared" ref="Q68:Q70" si="58">P68</f>
        <v>847.55</v>
      </c>
      <c r="R68" s="298">
        <f t="shared" ref="R68:R70" si="59">Q68</f>
        <v>847.55</v>
      </c>
      <c r="S68" s="62"/>
    </row>
    <row r="69" spans="2:22">
      <c r="B69" s="55" t="str">
        <f>ConsolidatedBS!B29</f>
        <v>Loans / Bill discounting</v>
      </c>
      <c r="C69" s="191"/>
      <c r="D69" s="295">
        <f>ConsolidatedBS!E29</f>
        <v>459.16</v>
      </c>
      <c r="E69" s="295">
        <f>ConsolidatedBS!F29</f>
        <v>676.79</v>
      </c>
      <c r="F69" s="295">
        <f>ConsolidatedBS!G29</f>
        <v>588.94000000000005</v>
      </c>
      <c r="G69" s="295">
        <f>ConsolidatedBS!H29</f>
        <v>476.88</v>
      </c>
      <c r="H69" s="295">
        <f>ConsolidatedBS!I29</f>
        <v>445.96</v>
      </c>
      <c r="I69" s="298">
        <f t="shared" si="53"/>
        <v>445.96</v>
      </c>
      <c r="J69" s="298">
        <f>I69</f>
        <v>445.96</v>
      </c>
      <c r="K69" s="298">
        <f t="shared" si="53"/>
        <v>445.96</v>
      </c>
      <c r="L69" s="298">
        <f t="shared" ref="L69:M69" si="60">K69</f>
        <v>445.96</v>
      </c>
      <c r="M69" s="298">
        <f t="shared" si="60"/>
        <v>445.96</v>
      </c>
      <c r="N69" s="298">
        <f t="shared" si="55"/>
        <v>445.96</v>
      </c>
      <c r="O69" s="298">
        <f t="shared" si="56"/>
        <v>445.96</v>
      </c>
      <c r="P69" s="298">
        <f t="shared" si="57"/>
        <v>445.96</v>
      </c>
      <c r="Q69" s="298">
        <f t="shared" si="58"/>
        <v>445.96</v>
      </c>
      <c r="R69" s="298">
        <f t="shared" si="59"/>
        <v>445.96</v>
      </c>
      <c r="S69" s="62"/>
    </row>
    <row r="70" spans="2:22">
      <c r="B70" s="55" t="str">
        <f>ConsolidatedBS!B30</f>
        <v>Other financial assets (Current)</v>
      </c>
      <c r="C70" s="191"/>
      <c r="D70" s="295">
        <f>ConsolidatedBS!E30</f>
        <v>214.93</v>
      </c>
      <c r="E70" s="295">
        <f>ConsolidatedBS!F30</f>
        <v>65.75</v>
      </c>
      <c r="F70" s="295">
        <f>ConsolidatedBS!G30</f>
        <v>125.96</v>
      </c>
      <c r="G70" s="295">
        <f>ConsolidatedBS!H30</f>
        <v>1253.32</v>
      </c>
      <c r="H70" s="295">
        <f>ConsolidatedBS!I30</f>
        <v>2868.12</v>
      </c>
      <c r="I70" s="298">
        <f t="shared" si="53"/>
        <v>2868.12</v>
      </c>
      <c r="J70" s="298">
        <f>I70</f>
        <v>2868.12</v>
      </c>
      <c r="K70" s="298">
        <f t="shared" si="53"/>
        <v>2868.12</v>
      </c>
      <c r="L70" s="298">
        <f t="shared" ref="L70:M70" si="61">K70</f>
        <v>2868.12</v>
      </c>
      <c r="M70" s="298">
        <f t="shared" si="61"/>
        <v>2868.12</v>
      </c>
      <c r="N70" s="298">
        <f t="shared" si="55"/>
        <v>2868.12</v>
      </c>
      <c r="O70" s="298">
        <f t="shared" si="56"/>
        <v>2868.12</v>
      </c>
      <c r="P70" s="298">
        <f t="shared" si="57"/>
        <v>2868.12</v>
      </c>
      <c r="Q70" s="298">
        <f t="shared" si="58"/>
        <v>2868.12</v>
      </c>
      <c r="R70" s="298">
        <f t="shared" si="59"/>
        <v>2868.12</v>
      </c>
      <c r="S70" s="62"/>
    </row>
    <row r="71" spans="2:22">
      <c r="B71" s="52" t="str">
        <f>ConsolidatedBS!B31</f>
        <v>Other current assets</v>
      </c>
      <c r="C71" s="191"/>
      <c r="D71" s="295">
        <f>ConsolidatedBS!E31</f>
        <v>195.19</v>
      </c>
      <c r="E71" s="295">
        <f>ConsolidatedBS!F31</f>
        <v>295.2</v>
      </c>
      <c r="F71" s="295">
        <f>ConsolidatedBS!G31</f>
        <v>335.5</v>
      </c>
      <c r="G71" s="295">
        <f>ConsolidatedBS!H31</f>
        <v>310.48</v>
      </c>
      <c r="H71" s="295">
        <f>ConsolidatedBS!I31</f>
        <v>416.13</v>
      </c>
      <c r="I71" s="295">
        <f>Schedules!I170</f>
        <v>477.41985499999987</v>
      </c>
      <c r="J71" s="295">
        <f>Schedules!J170</f>
        <v>545.45218433749994</v>
      </c>
      <c r="K71" s="295">
        <f>Schedules!K170</f>
        <v>619.0882292230624</v>
      </c>
      <c r="L71" s="295">
        <f>Schedules!L170</f>
        <v>698.02197844900286</v>
      </c>
      <c r="M71" s="295">
        <f>Schedules!M170</f>
        <v>781.78461586288324</v>
      </c>
      <c r="N71" s="295">
        <f>Schedules!N170</f>
        <v>875.59876976642943</v>
      </c>
      <c r="O71" s="295">
        <f>Schedules!O170</f>
        <v>980.67062213840097</v>
      </c>
      <c r="P71" s="295">
        <f>Schedules!P170</f>
        <v>1098.3510967950092</v>
      </c>
      <c r="Q71" s="295">
        <f>Schedules!Q170</f>
        <v>1230.1532284104105</v>
      </c>
      <c r="R71" s="295">
        <f>Schedules!R170</f>
        <v>1377.7716158196599</v>
      </c>
      <c r="S71" s="62"/>
    </row>
    <row r="72" spans="2:22">
      <c r="B72" s="223" t="str">
        <f>ConsolidatedBS!B32</f>
        <v>Cash and cash equivalents</v>
      </c>
      <c r="C72" s="224"/>
      <c r="D72" s="299">
        <f>D148</f>
        <v>93</v>
      </c>
      <c r="E72" s="299">
        <f t="shared" ref="E72:H72" si="62">E148</f>
        <v>44.599999999999909</v>
      </c>
      <c r="F72" s="299">
        <f t="shared" si="62"/>
        <v>55.400000000000546</v>
      </c>
      <c r="G72" s="299">
        <f t="shared" si="62"/>
        <v>102.00000000000045</v>
      </c>
      <c r="H72" s="299">
        <f t="shared" si="62"/>
        <v>223.00000000000045</v>
      </c>
      <c r="I72" s="300">
        <f>I148</f>
        <v>1423.5211290233456</v>
      </c>
      <c r="J72" s="300">
        <f>J148</f>
        <v>2481.2340616069932</v>
      </c>
      <c r="K72" s="300">
        <f>K148</f>
        <v>3654.9457891469629</v>
      </c>
      <c r="L72" s="300">
        <f>L148</f>
        <v>4250.3237681258734</v>
      </c>
      <c r="M72" s="300">
        <f>M148</f>
        <v>4661.3341451782826</v>
      </c>
      <c r="N72" s="300">
        <f t="shared" ref="N72:R72" si="63">N148</f>
        <v>5316.4947954984855</v>
      </c>
      <c r="O72" s="300">
        <f t="shared" si="63"/>
        <v>6209.685018243561</v>
      </c>
      <c r="P72" s="300">
        <f t="shared" si="63"/>
        <v>7362.1420772151905</v>
      </c>
      <c r="Q72" s="300">
        <f t="shared" si="63"/>
        <v>8797.9614896512358</v>
      </c>
      <c r="R72" s="300">
        <f t="shared" si="63"/>
        <v>10544.459532890203</v>
      </c>
      <c r="S72" s="62"/>
      <c r="V72" s="19"/>
    </row>
    <row r="73" spans="2:22">
      <c r="B73" s="53" t="str">
        <f>ConsolidatedBS!B33</f>
        <v>Bank balances other than C&amp;CE</v>
      </c>
      <c r="C73" s="191"/>
      <c r="D73" s="295">
        <f>ConsolidatedBS!E33</f>
        <v>5736.24</v>
      </c>
      <c r="E73" s="295">
        <f>ConsolidatedBS!F33</f>
        <v>2671.94</v>
      </c>
      <c r="F73" s="295">
        <f>ConsolidatedBS!G33</f>
        <v>676.77</v>
      </c>
      <c r="G73" s="295">
        <f>ConsolidatedBS!H33</f>
        <v>39.1</v>
      </c>
      <c r="H73" s="295">
        <f>ConsolidatedBS!I33</f>
        <v>44.05</v>
      </c>
      <c r="I73" s="298">
        <f>H73</f>
        <v>44.05</v>
      </c>
      <c r="J73" s="298">
        <f>I73</f>
        <v>44.05</v>
      </c>
      <c r="K73" s="298">
        <f>J73</f>
        <v>44.05</v>
      </c>
      <c r="L73" s="298">
        <f t="shared" ref="L73:M73" si="64">K73</f>
        <v>44.05</v>
      </c>
      <c r="M73" s="298">
        <f t="shared" si="64"/>
        <v>44.05</v>
      </c>
      <c r="N73" s="298">
        <f t="shared" ref="N73" si="65">M73</f>
        <v>44.05</v>
      </c>
      <c r="O73" s="298">
        <f t="shared" ref="O73" si="66">N73</f>
        <v>44.05</v>
      </c>
      <c r="P73" s="298">
        <f t="shared" ref="P73" si="67">O73</f>
        <v>44.05</v>
      </c>
      <c r="Q73" s="298">
        <f t="shared" ref="Q73" si="68">P73</f>
        <v>44.05</v>
      </c>
      <c r="R73" s="298">
        <f t="shared" ref="R73" si="69">Q73</f>
        <v>44.05</v>
      </c>
      <c r="S73" s="62"/>
      <c r="V73" s="19"/>
    </row>
    <row r="74" spans="2:22">
      <c r="B74" s="57" t="s">
        <v>10</v>
      </c>
      <c r="C74" s="69"/>
      <c r="D74" s="296">
        <f>SUM(D65:D66,D68:D73)</f>
        <v>8807.36</v>
      </c>
      <c r="E74" s="296">
        <f t="shared" ref="E74:H74" si="70">SUM(E65:E66,E68:E73)</f>
        <v>5613.41</v>
      </c>
      <c r="F74" s="296">
        <f t="shared" si="70"/>
        <v>3649.8200000000006</v>
      </c>
      <c r="G74" s="296">
        <f t="shared" si="70"/>
        <v>4146.1200000000008</v>
      </c>
      <c r="H74" s="296">
        <f t="shared" si="70"/>
        <v>6958.2</v>
      </c>
      <c r="I74" s="296">
        <f t="shared" ref="I74" si="71">SUM(I65:I66,I68:I73)</f>
        <v>8603.7111347082755</v>
      </c>
      <c r="J74" s="296">
        <f t="shared" ref="J74" si="72">SUM(J65:J66,J68:J73)</f>
        <v>10085.291743102025</v>
      </c>
      <c r="K74" s="296">
        <f t="shared" ref="K74" si="73">SUM(K65:K66,K68:K73)</f>
        <v>11563.590627202217</v>
      </c>
      <c r="L74" s="296">
        <f t="shared" ref="L74" si="74">SUM(L65:L66,L68:L73)</f>
        <v>12631.096623033172</v>
      </c>
      <c r="M74" s="296">
        <f t="shared" ref="M74" si="75">SUM(M65:M66,M68:M73)</f>
        <v>13543.118142674455</v>
      </c>
      <c r="N74" s="296">
        <f t="shared" ref="N74:R74" si="76">SUM(N65:N66,N68:N73)</f>
        <v>14759.411272694202</v>
      </c>
      <c r="O74" s="296">
        <f t="shared" si="76"/>
        <v>16281.069872702765</v>
      </c>
      <c r="P74" s="296">
        <f t="shared" si="76"/>
        <v>18137.4115142095</v>
      </c>
      <c r="Q74" s="296">
        <f t="shared" si="76"/>
        <v>20361.581659084859</v>
      </c>
      <c r="R74" s="296">
        <f t="shared" si="76"/>
        <v>22991.032522655867</v>
      </c>
      <c r="V74" s="19"/>
    </row>
    <row r="75" spans="2:22">
      <c r="B75" s="55"/>
      <c r="C75" s="1"/>
      <c r="D75" s="1"/>
      <c r="E75" s="1"/>
      <c r="F75" s="3"/>
      <c r="G75" s="4"/>
      <c r="H75" s="4"/>
      <c r="I75" s="4"/>
      <c r="J75" s="5"/>
      <c r="K75" s="1"/>
      <c r="L75" s="3"/>
      <c r="M75" s="4"/>
      <c r="N75" s="4"/>
      <c r="O75" s="4"/>
      <c r="P75" s="4"/>
      <c r="Q75" s="4"/>
      <c r="R75" s="4"/>
      <c r="V75" s="19"/>
    </row>
    <row r="76" spans="2:22" ht="15" thickBot="1">
      <c r="B76" s="194" t="s">
        <v>11</v>
      </c>
      <c r="C76" s="6"/>
      <c r="D76" s="301">
        <f>D62+D74</f>
        <v>14557.490000000002</v>
      </c>
      <c r="E76" s="301">
        <f t="shared" ref="E76:M76" si="77">E62+E74</f>
        <v>16133.9</v>
      </c>
      <c r="F76" s="301">
        <f t="shared" si="77"/>
        <v>19164.23</v>
      </c>
      <c r="G76" s="301">
        <f t="shared" si="77"/>
        <v>23122.720000000001</v>
      </c>
      <c r="H76" s="301">
        <f t="shared" si="77"/>
        <v>27178.449999999997</v>
      </c>
      <c r="I76" s="301">
        <f t="shared" si="77"/>
        <v>30073.19738470827</v>
      </c>
      <c r="J76" s="301">
        <f t="shared" si="77"/>
        <v>32857.872816852017</v>
      </c>
      <c r="K76" s="301">
        <f t="shared" si="77"/>
        <v>35586.829288598463</v>
      </c>
      <c r="L76" s="301">
        <f t="shared" si="77"/>
        <v>37856.812090097381</v>
      </c>
      <c r="M76" s="301">
        <f t="shared" si="77"/>
        <v>39927.654244163707</v>
      </c>
      <c r="N76" s="301">
        <f t="shared" ref="N76:R76" si="78">N62+N74</f>
        <v>42263.921498577278</v>
      </c>
      <c r="O76" s="301">
        <f t="shared" si="78"/>
        <v>44871.82038281647</v>
      </c>
      <c r="P76" s="301">
        <f t="shared" si="78"/>
        <v>47786.10323646036</v>
      </c>
      <c r="Q76" s="301">
        <f t="shared" si="78"/>
        <v>51045.692679837528</v>
      </c>
      <c r="R76" s="301">
        <f t="shared" si="78"/>
        <v>54694.182047715949</v>
      </c>
    </row>
    <row r="77" spans="2:22">
      <c r="B77" s="2"/>
      <c r="C77" s="1"/>
      <c r="D77" s="1"/>
      <c r="E77" s="1"/>
      <c r="F77" s="3"/>
      <c r="G77" s="4"/>
      <c r="H77" s="4"/>
      <c r="I77" s="4"/>
      <c r="J77" s="1"/>
      <c r="K77" s="1"/>
      <c r="L77" s="3"/>
      <c r="M77" s="4"/>
      <c r="N77" s="4"/>
      <c r="O77" s="4"/>
      <c r="P77" s="4"/>
      <c r="Q77" s="4"/>
      <c r="R77" s="4"/>
    </row>
    <row r="78" spans="2:22">
      <c r="B78" s="7" t="s">
        <v>452</v>
      </c>
      <c r="C78" s="1"/>
      <c r="D78" s="1"/>
      <c r="E78" s="1"/>
      <c r="F78" s="3"/>
      <c r="G78" s="4"/>
      <c r="H78" s="4"/>
      <c r="I78" s="4"/>
      <c r="J78" s="1"/>
      <c r="K78" s="1"/>
      <c r="L78" s="3"/>
      <c r="M78" s="4"/>
      <c r="N78" s="4"/>
      <c r="O78" s="4"/>
      <c r="P78" s="4"/>
      <c r="Q78" s="4"/>
      <c r="R78" s="4"/>
    </row>
    <row r="79" spans="2:22">
      <c r="B79" s="2"/>
      <c r="C79" s="1"/>
      <c r="D79" s="1"/>
      <c r="E79" s="1"/>
      <c r="F79" s="3"/>
      <c r="G79" s="4"/>
      <c r="H79" s="4"/>
      <c r="I79" s="4"/>
      <c r="J79" s="1"/>
      <c r="K79" s="1"/>
      <c r="L79" s="3"/>
      <c r="M79" s="4"/>
      <c r="N79" s="4"/>
      <c r="O79" s="4"/>
      <c r="P79" s="4"/>
      <c r="Q79" s="4"/>
      <c r="R79" s="4"/>
    </row>
    <row r="80" spans="2:22">
      <c r="B80" s="7" t="s">
        <v>209</v>
      </c>
      <c r="C80" s="1"/>
      <c r="D80" s="1"/>
      <c r="E80" s="1"/>
      <c r="F80" s="3"/>
      <c r="G80" s="4"/>
      <c r="H80" s="4"/>
      <c r="I80" s="4"/>
      <c r="J80" s="1"/>
      <c r="K80" s="1"/>
      <c r="L80" s="3"/>
      <c r="M80" s="4"/>
      <c r="N80" s="4"/>
      <c r="O80" s="4"/>
      <c r="P80" s="4"/>
      <c r="Q80" s="4"/>
      <c r="R80" s="4"/>
    </row>
    <row r="81" spans="2:21">
      <c r="B81" s="2" t="str">
        <f>ConsolidatedBS!B40</f>
        <v>Equity share capital</v>
      </c>
      <c r="C81" s="1"/>
      <c r="D81" s="295">
        <f>ConsolidatedBS!E40</f>
        <v>27.33</v>
      </c>
      <c r="E81" s="295">
        <f>ConsolidatedBS!F40</f>
        <v>27.34</v>
      </c>
      <c r="F81" s="295">
        <f>ConsolidatedBS!G40</f>
        <v>27.35</v>
      </c>
      <c r="G81" s="295">
        <f>ConsolidatedBS!H40</f>
        <v>27.38</v>
      </c>
      <c r="H81" s="295">
        <f>ConsolidatedBS!I40</f>
        <v>27.42</v>
      </c>
      <c r="I81" s="4">
        <f>H81</f>
        <v>27.42</v>
      </c>
      <c r="J81" s="4">
        <f>I81</f>
        <v>27.42</v>
      </c>
      <c r="K81" s="4">
        <f>J81</f>
        <v>27.42</v>
      </c>
      <c r="L81" s="4">
        <f t="shared" ref="L81:M81" si="79">K81</f>
        <v>27.42</v>
      </c>
      <c r="M81" s="4">
        <f t="shared" si="79"/>
        <v>27.42</v>
      </c>
      <c r="N81" s="4">
        <f t="shared" ref="N81" si="80">M81</f>
        <v>27.42</v>
      </c>
      <c r="O81" s="4">
        <f t="shared" ref="O81" si="81">N81</f>
        <v>27.42</v>
      </c>
      <c r="P81" s="4">
        <f t="shared" ref="P81" si="82">O81</f>
        <v>27.42</v>
      </c>
      <c r="Q81" s="4">
        <f t="shared" ref="Q81" si="83">P81</f>
        <v>27.42</v>
      </c>
      <c r="R81" s="4">
        <f t="shared" ref="R81" si="84">Q81</f>
        <v>27.42</v>
      </c>
    </row>
    <row r="82" spans="2:21">
      <c r="B82" s="2" t="str">
        <f>ConsolidatedBS!B41</f>
        <v>Other equity</v>
      </c>
      <c r="C82" s="1"/>
      <c r="D82" s="295">
        <f>ConsolidatedBS!E41</f>
        <v>11410.75</v>
      </c>
      <c r="E82" s="295">
        <f>ConsolidatedBS!F41</f>
        <v>12580.66</v>
      </c>
      <c r="F82" s="295">
        <f>ConsolidatedBS!G41</f>
        <v>14962.93</v>
      </c>
      <c r="G82" s="295">
        <f>ConsolidatedBS!H41</f>
        <v>18018.150000000001</v>
      </c>
      <c r="H82" s="295">
        <f>ConsolidatedBS!I41</f>
        <v>21269.07</v>
      </c>
      <c r="I82" s="295">
        <f>Schedules!I150</f>
        <v>23648.122936043888</v>
      </c>
      <c r="J82" s="295">
        <f>Schedules!J150</f>
        <v>25979.954971064286</v>
      </c>
      <c r="K82" s="295">
        <f>Schedules!K150</f>
        <v>28222.352641035231</v>
      </c>
      <c r="L82" s="295">
        <f>Schedules!L150</f>
        <v>29974.740724569936</v>
      </c>
      <c r="M82" s="295">
        <f>Schedules!M150</f>
        <v>31500.695447925085</v>
      </c>
      <c r="N82" s="295">
        <f>Schedules!N150</f>
        <v>33199.306846790016</v>
      </c>
      <c r="O82" s="295">
        <f>Schedules!O150</f>
        <v>35093.031172814735</v>
      </c>
      <c r="P82" s="295">
        <f>Schedules!P150</f>
        <v>37207.438521258424</v>
      </c>
      <c r="Q82" s="295">
        <f>Schedules!Q150</f>
        <v>39571.167398811347</v>
      </c>
      <c r="R82" s="295">
        <f>Schedules!R150</f>
        <v>42216.292932966622</v>
      </c>
      <c r="T82" s="35">
        <f>_xlfn.RRI($M$9-$H$9,H82,M82)</f>
        <v>8.1718676864247719E-2</v>
      </c>
      <c r="U82" s="35">
        <f>_xlfn.RRI($M$9-$J$9,J82,M82)</f>
        <v>6.6335618266461616E-2</v>
      </c>
    </row>
    <row r="83" spans="2:21">
      <c r="B83" s="68" t="str">
        <f>ConsolidatedBS!B42</f>
        <v>Total equity</v>
      </c>
      <c r="C83" s="67"/>
      <c r="D83" s="296">
        <f>D81+D82</f>
        <v>11438.08</v>
      </c>
      <c r="E83" s="296">
        <f t="shared" ref="E83:M83" si="85">E81+E82</f>
        <v>12608</v>
      </c>
      <c r="F83" s="296">
        <f t="shared" si="85"/>
        <v>14990.28</v>
      </c>
      <c r="G83" s="296">
        <f t="shared" si="85"/>
        <v>18045.530000000002</v>
      </c>
      <c r="H83" s="296">
        <f t="shared" si="85"/>
        <v>21296.489999999998</v>
      </c>
      <c r="I83" s="296">
        <f t="shared" si="85"/>
        <v>23675.542936043887</v>
      </c>
      <c r="J83" s="296">
        <f t="shared" si="85"/>
        <v>26007.374971064284</v>
      </c>
      <c r="K83" s="296">
        <f t="shared" si="85"/>
        <v>28249.77264103523</v>
      </c>
      <c r="L83" s="296">
        <f t="shared" si="85"/>
        <v>30002.160724569934</v>
      </c>
      <c r="M83" s="296">
        <f t="shared" si="85"/>
        <v>31528.115447925084</v>
      </c>
      <c r="N83" s="296">
        <f t="shared" ref="N83:R83" si="86">N81+N82</f>
        <v>33226.726846790014</v>
      </c>
      <c r="O83" s="296">
        <f t="shared" si="86"/>
        <v>35120.451172814734</v>
      </c>
      <c r="P83" s="296">
        <f t="shared" si="86"/>
        <v>37234.858521258422</v>
      </c>
      <c r="Q83" s="296">
        <f t="shared" si="86"/>
        <v>39598.587398811345</v>
      </c>
      <c r="R83" s="296">
        <f t="shared" si="86"/>
        <v>42243.71293296662</v>
      </c>
    </row>
    <row r="84" spans="2:21">
      <c r="B84" s="7"/>
      <c r="C84" s="1"/>
      <c r="D84" s="1"/>
      <c r="E84" s="1"/>
      <c r="F84" s="3"/>
      <c r="G84" s="4"/>
      <c r="H84" s="4"/>
      <c r="I84" s="4"/>
      <c r="J84" s="1"/>
      <c r="K84" s="1"/>
      <c r="L84" s="3"/>
      <c r="M84" s="4"/>
      <c r="N84" s="4"/>
      <c r="O84" s="4"/>
      <c r="P84" s="4"/>
      <c r="Q84" s="4"/>
      <c r="R84" s="4"/>
    </row>
    <row r="85" spans="2:21">
      <c r="B85" s="7" t="str">
        <f>ConsolidatedBS!B44</f>
        <v>Non-current liabilities:</v>
      </c>
      <c r="C85" s="1"/>
      <c r="D85" s="1"/>
      <c r="E85" s="1"/>
      <c r="F85" s="3"/>
      <c r="G85" s="4"/>
      <c r="H85" s="4"/>
      <c r="I85" s="4"/>
      <c r="J85" s="1"/>
      <c r="K85" s="1"/>
      <c r="L85" s="3"/>
      <c r="M85" s="4"/>
      <c r="N85" s="4"/>
      <c r="O85" s="4"/>
      <c r="P85" s="4"/>
      <c r="Q85" s="4"/>
      <c r="R85" s="4"/>
    </row>
    <row r="86" spans="2:21">
      <c r="B86" s="2" t="str">
        <f>ConsolidatedBS!B46</f>
        <v>Borrowings</v>
      </c>
      <c r="C86" s="1"/>
      <c r="D86" s="295">
        <f>ConsolidatedBS!E46</f>
        <v>0</v>
      </c>
      <c r="E86" s="295">
        <f>ConsolidatedBS!F46</f>
        <v>0</v>
      </c>
      <c r="F86" s="295">
        <f>ConsolidatedBS!G46</f>
        <v>62.96</v>
      </c>
      <c r="G86" s="295">
        <f>ConsolidatedBS!H46</f>
        <v>163.46</v>
      </c>
      <c r="H86" s="295">
        <f>ConsolidatedBS!I46</f>
        <v>184.36</v>
      </c>
      <c r="I86" s="295">
        <f>Schedules!I234</f>
        <v>217.00902499999998</v>
      </c>
      <c r="J86" s="295">
        <f>Schedules!J234</f>
        <v>192.14792857343747</v>
      </c>
      <c r="K86" s="295">
        <f>Schedules!K234</f>
        <v>154.7720573057656</v>
      </c>
      <c r="L86" s="295">
        <f>Schedules!L234</f>
        <v>103.11688317996632</v>
      </c>
      <c r="M86" s="295">
        <f>Schedules!M234</f>
        <v>35.535664357403789</v>
      </c>
      <c r="N86" s="295">
        <f>Schedules!N234</f>
        <v>39.799944080292249</v>
      </c>
      <c r="O86" s="295">
        <f>Schedules!O234</f>
        <v>44.575937369927324</v>
      </c>
      <c r="P86" s="295">
        <f>Schedules!P234</f>
        <v>49.925049854318608</v>
      </c>
      <c r="Q86" s="295">
        <f>Schedules!Q234</f>
        <v>55.916055836836847</v>
      </c>
      <c r="R86" s="295">
        <f>Schedules!R234</f>
        <v>62.625982537257272</v>
      </c>
    </row>
    <row r="87" spans="2:21">
      <c r="B87" s="2" t="str">
        <f>ConsolidatedBS!B47</f>
        <v>Lease liability</v>
      </c>
      <c r="C87" s="1"/>
      <c r="D87" s="295">
        <f>ConsolidatedBS!E47</f>
        <v>46.12</v>
      </c>
      <c r="E87" s="295">
        <f>ConsolidatedBS!F47</f>
        <v>35.32</v>
      </c>
      <c r="F87" s="295">
        <f>ConsolidatedBS!G47</f>
        <v>67.790000000000006</v>
      </c>
      <c r="G87" s="295">
        <f>ConsolidatedBS!H47</f>
        <v>107.98</v>
      </c>
      <c r="H87" s="295">
        <f>ConsolidatedBS!I47</f>
        <v>123.81</v>
      </c>
      <c r="I87" s="302">
        <f t="shared" ref="I87:K92" si="87">H87</f>
        <v>123.81</v>
      </c>
      <c r="J87" s="302">
        <f t="shared" ref="J87:J92" si="88">I87</f>
        <v>123.81</v>
      </c>
      <c r="K87" s="302">
        <f t="shared" si="87"/>
        <v>123.81</v>
      </c>
      <c r="L87" s="302">
        <f t="shared" ref="L87:M87" si="89">K87</f>
        <v>123.81</v>
      </c>
      <c r="M87" s="302">
        <f t="shared" si="89"/>
        <v>123.81</v>
      </c>
      <c r="N87" s="302">
        <f t="shared" ref="N87:N92" si="90">M87</f>
        <v>123.81</v>
      </c>
      <c r="O87" s="302">
        <f t="shared" ref="O87:O92" si="91">N87</f>
        <v>123.81</v>
      </c>
      <c r="P87" s="302">
        <f t="shared" ref="P87:P92" si="92">O87</f>
        <v>123.81</v>
      </c>
      <c r="Q87" s="302">
        <f t="shared" ref="Q87:Q92" si="93">P87</f>
        <v>123.81</v>
      </c>
      <c r="R87" s="302">
        <f t="shared" ref="R87:R92" si="94">Q87</f>
        <v>123.81</v>
      </c>
    </row>
    <row r="88" spans="2:21">
      <c r="B88" s="2" t="str">
        <f>ConsolidatedBS!B48</f>
        <v>Other financial liabilities</v>
      </c>
      <c r="C88" s="1"/>
      <c r="D88" s="295">
        <f>ConsolidatedBS!E48</f>
        <v>14.62</v>
      </c>
      <c r="E88" s="295">
        <f>ConsolidatedBS!F48</f>
        <v>14.82</v>
      </c>
      <c r="F88" s="295">
        <f>ConsolidatedBS!G48</f>
        <v>15.51</v>
      </c>
      <c r="G88" s="295">
        <f>ConsolidatedBS!H48</f>
        <v>15.07</v>
      </c>
      <c r="H88" s="295">
        <f>ConsolidatedBS!I48</f>
        <v>29.24</v>
      </c>
      <c r="I88" s="302">
        <f t="shared" si="87"/>
        <v>29.24</v>
      </c>
      <c r="J88" s="302">
        <f t="shared" si="88"/>
        <v>29.24</v>
      </c>
      <c r="K88" s="302">
        <f t="shared" si="87"/>
        <v>29.24</v>
      </c>
      <c r="L88" s="302">
        <f t="shared" ref="L88:M88" si="95">K88</f>
        <v>29.24</v>
      </c>
      <c r="M88" s="302">
        <f t="shared" si="95"/>
        <v>29.24</v>
      </c>
      <c r="N88" s="302">
        <f t="shared" si="90"/>
        <v>29.24</v>
      </c>
      <c r="O88" s="302">
        <f t="shared" si="91"/>
        <v>29.24</v>
      </c>
      <c r="P88" s="302">
        <f t="shared" si="92"/>
        <v>29.24</v>
      </c>
      <c r="Q88" s="302">
        <f t="shared" si="93"/>
        <v>29.24</v>
      </c>
      <c r="R88" s="302">
        <f t="shared" si="94"/>
        <v>29.24</v>
      </c>
    </row>
    <row r="89" spans="2:21">
      <c r="B89" s="2" t="str">
        <f>ConsolidatedBS!B49</f>
        <v>Provisions</v>
      </c>
      <c r="C89" s="1"/>
      <c r="D89" s="295">
        <f>ConsolidatedBS!E49</f>
        <v>22.56</v>
      </c>
      <c r="E89" s="295">
        <f>ConsolidatedBS!F49</f>
        <v>67.959999999999994</v>
      </c>
      <c r="F89" s="295">
        <f>ConsolidatedBS!G49</f>
        <v>102.46</v>
      </c>
      <c r="G89" s="295">
        <f>ConsolidatedBS!H49</f>
        <v>175.02</v>
      </c>
      <c r="H89" s="295">
        <f>ConsolidatedBS!I49</f>
        <v>194.91</v>
      </c>
      <c r="I89" s="302">
        <f t="shared" si="87"/>
        <v>194.91</v>
      </c>
      <c r="J89" s="302">
        <f t="shared" si="88"/>
        <v>194.91</v>
      </c>
      <c r="K89" s="302">
        <f t="shared" si="87"/>
        <v>194.91</v>
      </c>
      <c r="L89" s="302">
        <f t="shared" ref="L89:M89" si="96">K89</f>
        <v>194.91</v>
      </c>
      <c r="M89" s="302">
        <f t="shared" si="96"/>
        <v>194.91</v>
      </c>
      <c r="N89" s="302">
        <f t="shared" si="90"/>
        <v>194.91</v>
      </c>
      <c r="O89" s="302">
        <f t="shared" si="91"/>
        <v>194.91</v>
      </c>
      <c r="P89" s="302">
        <f t="shared" si="92"/>
        <v>194.91</v>
      </c>
      <c r="Q89" s="302">
        <f t="shared" si="93"/>
        <v>194.91</v>
      </c>
      <c r="R89" s="302">
        <f t="shared" si="94"/>
        <v>194.91</v>
      </c>
    </row>
    <row r="90" spans="2:21">
      <c r="B90" s="2" t="str">
        <f>ConsolidatedBS!B50</f>
        <v>Deferred tax liabilities (net)</v>
      </c>
      <c r="C90" s="1"/>
      <c r="D90" s="295">
        <f>ConsolidatedBS!E50</f>
        <v>221.5</v>
      </c>
      <c r="E90" s="295">
        <f>ConsolidatedBS!F50</f>
        <v>220.06</v>
      </c>
      <c r="F90" s="295">
        <f>ConsolidatedBS!G50</f>
        <v>291.31</v>
      </c>
      <c r="G90" s="295">
        <f>ConsolidatedBS!H50</f>
        <v>461.08</v>
      </c>
      <c r="H90" s="295">
        <f>ConsolidatedBS!I50</f>
        <v>492.95</v>
      </c>
      <c r="I90" s="302">
        <f t="shared" si="87"/>
        <v>492.95</v>
      </c>
      <c r="J90" s="302">
        <f t="shared" si="88"/>
        <v>492.95</v>
      </c>
      <c r="K90" s="302">
        <f t="shared" si="87"/>
        <v>492.95</v>
      </c>
      <c r="L90" s="302">
        <f t="shared" ref="L90:M90" si="97">K90</f>
        <v>492.95</v>
      </c>
      <c r="M90" s="302">
        <f t="shared" si="97"/>
        <v>492.95</v>
      </c>
      <c r="N90" s="302">
        <f t="shared" si="90"/>
        <v>492.95</v>
      </c>
      <c r="O90" s="302">
        <f t="shared" si="91"/>
        <v>492.95</v>
      </c>
      <c r="P90" s="302">
        <f t="shared" si="92"/>
        <v>492.95</v>
      </c>
      <c r="Q90" s="302">
        <f t="shared" si="93"/>
        <v>492.95</v>
      </c>
      <c r="R90" s="302">
        <f t="shared" si="94"/>
        <v>492.95</v>
      </c>
    </row>
    <row r="91" spans="2:21">
      <c r="B91" s="2" t="str">
        <f>ConsolidatedBS!B51</f>
        <v>Government grant</v>
      </c>
      <c r="C91" s="1"/>
      <c r="D91" s="295">
        <f>ConsolidatedBS!E51</f>
        <v>63.42</v>
      </c>
      <c r="E91" s="295">
        <f>ConsolidatedBS!F51</f>
        <v>63.76</v>
      </c>
      <c r="F91" s="295">
        <f>ConsolidatedBS!G51</f>
        <v>96.37</v>
      </c>
      <c r="G91" s="295">
        <f>ConsolidatedBS!H51</f>
        <v>133.28</v>
      </c>
      <c r="H91" s="295">
        <f>ConsolidatedBS!I51</f>
        <v>123.2</v>
      </c>
      <c r="I91" s="302">
        <f t="shared" si="87"/>
        <v>123.2</v>
      </c>
      <c r="J91" s="302">
        <f t="shared" si="88"/>
        <v>123.2</v>
      </c>
      <c r="K91" s="302">
        <f t="shared" si="87"/>
        <v>123.2</v>
      </c>
      <c r="L91" s="302">
        <f t="shared" ref="L91:M91" si="98">K91</f>
        <v>123.2</v>
      </c>
      <c r="M91" s="302">
        <f t="shared" si="98"/>
        <v>123.2</v>
      </c>
      <c r="N91" s="302">
        <f t="shared" si="90"/>
        <v>123.2</v>
      </c>
      <c r="O91" s="302">
        <f t="shared" si="91"/>
        <v>123.2</v>
      </c>
      <c r="P91" s="302">
        <f t="shared" si="92"/>
        <v>123.2</v>
      </c>
      <c r="Q91" s="302">
        <f t="shared" si="93"/>
        <v>123.2</v>
      </c>
      <c r="R91" s="302">
        <f t="shared" si="94"/>
        <v>123.2</v>
      </c>
    </row>
    <row r="92" spans="2:21">
      <c r="B92" s="2" t="str">
        <f>ConsolidatedBS!B52</f>
        <v>Other non-current liabilities</v>
      </c>
      <c r="C92" s="1"/>
      <c r="D92" s="295">
        <f>ConsolidatedBS!E52</f>
        <v>123.5</v>
      </c>
      <c r="E92" s="295">
        <f>ConsolidatedBS!F52</f>
        <v>236.54</v>
      </c>
      <c r="F92" s="295">
        <f>ConsolidatedBS!G52</f>
        <v>336.38</v>
      </c>
      <c r="G92" s="295">
        <f>ConsolidatedBS!H52</f>
        <v>428.1</v>
      </c>
      <c r="H92" s="295">
        <f>ConsolidatedBS!I52</f>
        <v>463.67</v>
      </c>
      <c r="I92" s="302">
        <f t="shared" si="87"/>
        <v>463.67</v>
      </c>
      <c r="J92" s="302">
        <f t="shared" si="88"/>
        <v>463.67</v>
      </c>
      <c r="K92" s="302">
        <f t="shared" si="87"/>
        <v>463.67</v>
      </c>
      <c r="L92" s="302">
        <f t="shared" ref="L92:M92" si="99">K92</f>
        <v>463.67</v>
      </c>
      <c r="M92" s="302">
        <f t="shared" si="99"/>
        <v>463.67</v>
      </c>
      <c r="N92" s="302">
        <f t="shared" si="90"/>
        <v>463.67</v>
      </c>
      <c r="O92" s="302">
        <f t="shared" si="91"/>
        <v>463.67</v>
      </c>
      <c r="P92" s="302">
        <f t="shared" si="92"/>
        <v>463.67</v>
      </c>
      <c r="Q92" s="302">
        <f t="shared" si="93"/>
        <v>463.67</v>
      </c>
      <c r="R92" s="302">
        <f t="shared" si="94"/>
        <v>463.67</v>
      </c>
    </row>
    <row r="93" spans="2:21">
      <c r="B93" s="68" t="str">
        <f>ConsolidatedBS!B53</f>
        <v>Total non-current liabilities</v>
      </c>
      <c r="C93" s="67"/>
      <c r="D93" s="296">
        <f>SUM(D86:D92)</f>
        <v>491.72</v>
      </c>
      <c r="E93" s="296">
        <f t="shared" ref="E93:M93" si="100">SUM(E86:E92)</f>
        <v>638.45999999999992</v>
      </c>
      <c r="F93" s="296">
        <f t="shared" si="100"/>
        <v>972.78</v>
      </c>
      <c r="G93" s="296">
        <f t="shared" si="100"/>
        <v>1483.9899999999998</v>
      </c>
      <c r="H93" s="296">
        <f t="shared" si="100"/>
        <v>1612.14</v>
      </c>
      <c r="I93" s="296">
        <f t="shared" si="100"/>
        <v>1644.789025</v>
      </c>
      <c r="J93" s="296">
        <f t="shared" si="100"/>
        <v>1619.9279285734376</v>
      </c>
      <c r="K93" s="296">
        <f t="shared" si="100"/>
        <v>1582.5520573057656</v>
      </c>
      <c r="L93" s="296">
        <f t="shared" si="100"/>
        <v>1530.8968831799664</v>
      </c>
      <c r="M93" s="296">
        <f t="shared" si="100"/>
        <v>1463.3156643574039</v>
      </c>
      <c r="N93" s="296">
        <f t="shared" ref="N93:R93" si="101">SUM(N86:N92)</f>
        <v>1467.5799440802923</v>
      </c>
      <c r="O93" s="296">
        <f t="shared" si="101"/>
        <v>1472.3559373699275</v>
      </c>
      <c r="P93" s="296">
        <f t="shared" si="101"/>
        <v>1477.7050498543188</v>
      </c>
      <c r="Q93" s="296">
        <f t="shared" si="101"/>
        <v>1483.6960558368369</v>
      </c>
      <c r="R93" s="296">
        <f t="shared" si="101"/>
        <v>1490.4059825372574</v>
      </c>
    </row>
    <row r="94" spans="2:21">
      <c r="B94" s="7"/>
      <c r="C94" s="1"/>
      <c r="D94" s="1"/>
      <c r="E94" s="1"/>
      <c r="F94" s="3"/>
      <c r="G94" s="4"/>
      <c r="H94" s="4"/>
      <c r="I94" s="4"/>
      <c r="J94" s="1"/>
      <c r="K94" s="1"/>
      <c r="L94" s="3"/>
      <c r="M94" s="4"/>
      <c r="N94" s="4"/>
      <c r="O94" s="4"/>
      <c r="P94" s="4"/>
      <c r="Q94" s="4"/>
      <c r="R94" s="4"/>
    </row>
    <row r="95" spans="2:21">
      <c r="B95" s="7" t="str">
        <f>ConsolidatedBS!B55</f>
        <v>Current liabilities :</v>
      </c>
      <c r="C95" s="1"/>
      <c r="D95" s="1"/>
      <c r="E95" s="1"/>
      <c r="F95" s="3"/>
      <c r="G95" s="4"/>
      <c r="H95" s="4"/>
      <c r="I95" s="4"/>
      <c r="J95" s="1"/>
      <c r="K95" s="1"/>
      <c r="L95" s="3"/>
      <c r="M95" s="4"/>
      <c r="N95" s="4"/>
      <c r="O95" s="4"/>
      <c r="P95" s="4"/>
      <c r="Q95" s="4"/>
      <c r="R95" s="4"/>
    </row>
    <row r="96" spans="2:21">
      <c r="B96" s="2" t="str">
        <f>ConsolidatedBS!B56</f>
        <v xml:space="preserve">Trade payables </v>
      </c>
      <c r="C96" s="1"/>
      <c r="D96" s="295">
        <f>ConsolidatedBS!E56</f>
        <v>1513.23</v>
      </c>
      <c r="E96" s="295">
        <f>ConsolidatedBS!F56</f>
        <v>1788.09</v>
      </c>
      <c r="F96" s="295">
        <f>ConsolidatedBS!G56</f>
        <v>1810.44</v>
      </c>
      <c r="G96" s="295">
        <f>ConsolidatedBS!H56</f>
        <v>2090.1299999999997</v>
      </c>
      <c r="H96" s="295">
        <f>ConsolidatedBS!I56</f>
        <v>2529.75</v>
      </c>
      <c r="I96" s="295">
        <f>Schedules!I175</f>
        <v>2942.9991061643836</v>
      </c>
      <c r="J96" s="295">
        <f>Schedules!J175</f>
        <v>3399.0569494705478</v>
      </c>
      <c r="K96" s="295">
        <f>Schedules!K175</f>
        <v>3899.5619718683065</v>
      </c>
      <c r="L96" s="295">
        <f>Schedules!L175</f>
        <v>4443.6965801137021</v>
      </c>
      <c r="M96" s="295">
        <f>Schedules!M175</f>
        <v>5029.5134813793975</v>
      </c>
      <c r="N96" s="295">
        <f>Schedules!N175</f>
        <v>5633.0550991449254</v>
      </c>
      <c r="O96" s="295">
        <f>Schedules!O175</f>
        <v>6309.0217110423164</v>
      </c>
      <c r="P96" s="295">
        <f>Schedules!P175</f>
        <v>7066.1043163673949</v>
      </c>
      <c r="Q96" s="295">
        <f>Schedules!Q175</f>
        <v>7914.036834331484</v>
      </c>
      <c r="R96" s="295">
        <f>Schedules!R175</f>
        <v>8863.721254451264</v>
      </c>
      <c r="S96" s="163"/>
    </row>
    <row r="97" spans="2:19">
      <c r="B97" s="195" t="str">
        <f>ConsolidatedBS!B57</f>
        <v>Othe Current Liabilites / Financial Liabilities</v>
      </c>
      <c r="C97" s="1"/>
      <c r="D97" s="295"/>
      <c r="E97" s="295"/>
      <c r="F97" s="295"/>
      <c r="G97" s="295"/>
      <c r="H97" s="295"/>
      <c r="I97" s="295"/>
      <c r="J97" s="295"/>
      <c r="K97" s="295"/>
      <c r="L97" s="295"/>
      <c r="M97" s="295"/>
      <c r="N97" s="295"/>
      <c r="O97" s="295"/>
      <c r="P97" s="295"/>
      <c r="Q97" s="295"/>
      <c r="R97" s="295"/>
      <c r="S97" s="163"/>
    </row>
    <row r="98" spans="2:19">
      <c r="B98" s="56" t="str">
        <f>ConsolidatedBS!B58</f>
        <v>Borrowings</v>
      </c>
      <c r="C98" s="1"/>
      <c r="D98" s="295">
        <f>ConsolidatedBS!E58</f>
        <v>157.41</v>
      </c>
      <c r="E98" s="295">
        <f>ConsolidatedBS!F58</f>
        <v>58.84</v>
      </c>
      <c r="F98" s="295">
        <f>ConsolidatedBS!G58</f>
        <v>132.74</v>
      </c>
      <c r="G98" s="295">
        <f>ConsolidatedBS!H58</f>
        <v>112.12</v>
      </c>
      <c r="H98" s="295">
        <f>ConsolidatedBS!I58</f>
        <v>82.11</v>
      </c>
      <c r="I98" s="295">
        <f>Schedules!I179</f>
        <v>151.90631749999997</v>
      </c>
      <c r="J98" s="295">
        <f>Schedules!J179</f>
        <v>173.55296774374997</v>
      </c>
      <c r="K98" s="295">
        <f>Schedules!K179</f>
        <v>196.98261838915624</v>
      </c>
      <c r="L98" s="295">
        <f>Schedules!L179</f>
        <v>222.09790223377365</v>
      </c>
      <c r="M98" s="295">
        <f>Schedules!M179</f>
        <v>248.74965050182652</v>
      </c>
      <c r="N98" s="295">
        <f>Schedules!N179</f>
        <v>278.59960856204572</v>
      </c>
      <c r="O98" s="295">
        <f>Schedules!O179</f>
        <v>312.03156158949128</v>
      </c>
      <c r="P98" s="295">
        <f>Schedules!P179</f>
        <v>349.47534898023025</v>
      </c>
      <c r="Q98" s="295">
        <f>Schedules!Q179</f>
        <v>391.41239085785793</v>
      </c>
      <c r="R98" s="295">
        <f>Schedules!R179</f>
        <v>438.38187776080093</v>
      </c>
      <c r="S98" s="163"/>
    </row>
    <row r="99" spans="2:19">
      <c r="B99" s="56" t="str">
        <f>ConsolidatedBS!B59</f>
        <v>Lease liability</v>
      </c>
      <c r="C99" s="1"/>
      <c r="D99" s="295">
        <f>ConsolidatedBS!E59</f>
        <v>15.72</v>
      </c>
      <c r="E99" s="295">
        <f>ConsolidatedBS!F59</f>
        <v>13.55</v>
      </c>
      <c r="F99" s="295">
        <f>ConsolidatedBS!G59</f>
        <v>24.92</v>
      </c>
      <c r="G99" s="295">
        <f>ConsolidatedBS!H59</f>
        <v>35.880000000000003</v>
      </c>
      <c r="H99" s="295">
        <f>ConsolidatedBS!I59</f>
        <v>67.849999999999994</v>
      </c>
      <c r="I99" s="295">
        <f>Schedules!I184</f>
        <v>67.849999999999994</v>
      </c>
      <c r="J99" s="295">
        <f>Schedules!J184</f>
        <v>67.849999999999994</v>
      </c>
      <c r="K99" s="295">
        <f>Schedules!K184</f>
        <v>67.849999999999994</v>
      </c>
      <c r="L99" s="295">
        <f>Schedules!L184</f>
        <v>67.849999999999994</v>
      </c>
      <c r="M99" s="295">
        <f>Schedules!M184</f>
        <v>67.849999999999994</v>
      </c>
      <c r="N99" s="295">
        <f>Schedules!N184</f>
        <v>67.849999999999994</v>
      </c>
      <c r="O99" s="295">
        <f>Schedules!O184</f>
        <v>67.849999999999994</v>
      </c>
      <c r="P99" s="295">
        <f>Schedules!P184</f>
        <v>67.849999999999994</v>
      </c>
      <c r="Q99" s="295">
        <f>Schedules!Q184</f>
        <v>67.849999999999994</v>
      </c>
      <c r="R99" s="295">
        <f>Schedules!R184</f>
        <v>67.849999999999994</v>
      </c>
      <c r="S99" s="163"/>
    </row>
    <row r="100" spans="2:19">
      <c r="B100" s="56" t="str">
        <f>ConsolidatedBS!B60</f>
        <v>Other financial liabilities</v>
      </c>
      <c r="C100" s="1"/>
      <c r="D100" s="295">
        <f>ConsolidatedBS!E60</f>
        <v>204.9</v>
      </c>
      <c r="E100" s="295">
        <f>ConsolidatedBS!F60</f>
        <v>250</v>
      </c>
      <c r="F100" s="295">
        <f>ConsolidatedBS!G60</f>
        <v>221.98</v>
      </c>
      <c r="G100" s="295">
        <f>ConsolidatedBS!H60</f>
        <v>306.10000000000002</v>
      </c>
      <c r="H100" s="295">
        <f>ConsolidatedBS!I60</f>
        <v>354.85</v>
      </c>
      <c r="I100" s="295">
        <f>Schedules!I188</f>
        <v>354.85</v>
      </c>
      <c r="J100" s="295">
        <f>Schedules!J188</f>
        <v>354.85</v>
      </c>
      <c r="K100" s="295">
        <f>Schedules!K188</f>
        <v>354.85</v>
      </c>
      <c r="L100" s="295">
        <f>Schedules!L188</f>
        <v>354.85</v>
      </c>
      <c r="M100" s="295">
        <f>Schedules!M188</f>
        <v>354.85</v>
      </c>
      <c r="N100" s="295">
        <f>Schedules!N188</f>
        <v>354.85</v>
      </c>
      <c r="O100" s="295">
        <f>Schedules!O188</f>
        <v>354.85</v>
      </c>
      <c r="P100" s="295">
        <f>Schedules!P188</f>
        <v>354.85</v>
      </c>
      <c r="Q100" s="295">
        <f>Schedules!Q188</f>
        <v>354.85</v>
      </c>
      <c r="R100" s="295">
        <f>Schedules!R188</f>
        <v>354.85</v>
      </c>
      <c r="S100" s="163"/>
    </row>
    <row r="101" spans="2:19">
      <c r="B101" s="56" t="str">
        <f>ConsolidatedBS!B61</f>
        <v>Provisions</v>
      </c>
      <c r="C101" s="1"/>
      <c r="D101" s="295">
        <f>ConsolidatedBS!E61</f>
        <v>90.19</v>
      </c>
      <c r="E101" s="295">
        <f>ConsolidatedBS!F61</f>
        <v>121.82</v>
      </c>
      <c r="F101" s="295">
        <f>ConsolidatedBS!G61</f>
        <v>155.47999999999999</v>
      </c>
      <c r="G101" s="295">
        <f>ConsolidatedBS!H61</f>
        <v>99.55</v>
      </c>
      <c r="H101" s="295">
        <f>ConsolidatedBS!I61</f>
        <v>122.8</v>
      </c>
      <c r="I101" s="295">
        <f>Schedules!I192</f>
        <v>122.8</v>
      </c>
      <c r="J101" s="295">
        <f>Schedules!J192</f>
        <v>122.8</v>
      </c>
      <c r="K101" s="295">
        <f>Schedules!K192</f>
        <v>122.8</v>
      </c>
      <c r="L101" s="295">
        <f>Schedules!L192</f>
        <v>122.8</v>
      </c>
      <c r="M101" s="295">
        <f>Schedules!M192</f>
        <v>122.8</v>
      </c>
      <c r="N101" s="295">
        <f>Schedules!N192</f>
        <v>122.8</v>
      </c>
      <c r="O101" s="295">
        <f>Schedules!O192</f>
        <v>122.8</v>
      </c>
      <c r="P101" s="295">
        <f>Schedules!P192</f>
        <v>122.8</v>
      </c>
      <c r="Q101" s="295">
        <f>Schedules!Q192</f>
        <v>122.8</v>
      </c>
      <c r="R101" s="295">
        <f>Schedules!R192</f>
        <v>122.8</v>
      </c>
      <c r="S101" s="163"/>
    </row>
    <row r="102" spans="2:19">
      <c r="B102" s="56" t="str">
        <f>ConsolidatedBS!B62</f>
        <v>Government grant</v>
      </c>
      <c r="C102" s="1"/>
      <c r="D102" s="295">
        <f>ConsolidatedBS!E62</f>
        <v>15.61</v>
      </c>
      <c r="E102" s="295">
        <f>ConsolidatedBS!F62</f>
        <v>19.38</v>
      </c>
      <c r="F102" s="295">
        <f>ConsolidatedBS!G62</f>
        <v>32.450000000000003</v>
      </c>
      <c r="G102" s="295">
        <f>ConsolidatedBS!H62</f>
        <v>25.69</v>
      </c>
      <c r="H102" s="295">
        <f>ConsolidatedBS!I62</f>
        <v>40.479999999999997</v>
      </c>
      <c r="I102" s="295">
        <f>Schedules!I200</f>
        <v>40.479999999999997</v>
      </c>
      <c r="J102" s="295">
        <f>Schedules!J200</f>
        <v>40.479999999999997</v>
      </c>
      <c r="K102" s="295">
        <f>Schedules!K200</f>
        <v>40.479999999999997</v>
      </c>
      <c r="L102" s="295">
        <f>Schedules!L200</f>
        <v>40.479999999999997</v>
      </c>
      <c r="M102" s="295">
        <f>Schedules!M200</f>
        <v>40.479999999999997</v>
      </c>
      <c r="N102" s="295">
        <f>Schedules!N200</f>
        <v>40.479999999999997</v>
      </c>
      <c r="O102" s="295">
        <f>Schedules!O200</f>
        <v>40.479999999999997</v>
      </c>
      <c r="P102" s="295">
        <f>Schedules!P200</f>
        <v>40.479999999999997</v>
      </c>
      <c r="Q102" s="295">
        <f>Schedules!Q200</f>
        <v>40.479999999999997</v>
      </c>
      <c r="R102" s="295">
        <f>Schedules!R200</f>
        <v>40.479999999999997</v>
      </c>
      <c r="S102" s="163"/>
    </row>
    <row r="103" spans="2:19">
      <c r="B103" s="56" t="str">
        <f>ConsolidatedBS!B63</f>
        <v>Contract liability</v>
      </c>
      <c r="C103" s="1"/>
      <c r="D103" s="295">
        <f>ConsolidatedBS!E63</f>
        <v>227.67</v>
      </c>
      <c r="E103" s="295">
        <f>ConsolidatedBS!F63</f>
        <v>170.14</v>
      </c>
      <c r="F103" s="295">
        <f>ConsolidatedBS!G63</f>
        <v>180.1</v>
      </c>
      <c r="G103" s="295">
        <f>ConsolidatedBS!H63</f>
        <v>262.58</v>
      </c>
      <c r="H103" s="295">
        <f>ConsolidatedBS!I63</f>
        <v>270.68</v>
      </c>
      <c r="I103" s="295">
        <f>Schedules!I196</f>
        <v>270.68</v>
      </c>
      <c r="J103" s="295">
        <f>Schedules!J196</f>
        <v>270.68</v>
      </c>
      <c r="K103" s="295">
        <f>Schedules!K196</f>
        <v>270.68</v>
      </c>
      <c r="L103" s="295">
        <f>Schedules!L196</f>
        <v>270.68</v>
      </c>
      <c r="M103" s="295">
        <f>Schedules!M196</f>
        <v>270.68</v>
      </c>
      <c r="N103" s="295">
        <f>Schedules!N196</f>
        <v>270.68</v>
      </c>
      <c r="O103" s="295">
        <f>Schedules!O196</f>
        <v>270.68</v>
      </c>
      <c r="P103" s="295">
        <f>Schedules!P196</f>
        <v>270.68</v>
      </c>
      <c r="Q103" s="295">
        <f>Schedules!Q196</f>
        <v>270.68</v>
      </c>
      <c r="R103" s="295">
        <f>Schedules!R196</f>
        <v>270.68</v>
      </c>
      <c r="S103" s="163"/>
    </row>
    <row r="104" spans="2:19">
      <c r="B104" s="56" t="str">
        <f>ConsolidatedBS!B64</f>
        <v>Other current liabilities</v>
      </c>
      <c r="C104" s="1"/>
      <c r="D104" s="295">
        <f>ConsolidatedBS!E64</f>
        <v>273.05</v>
      </c>
      <c r="E104" s="295">
        <f>ConsolidatedBS!F64</f>
        <v>300.93</v>
      </c>
      <c r="F104" s="295">
        <f>ConsolidatedBS!G64</f>
        <v>453.64</v>
      </c>
      <c r="G104" s="295">
        <f>ConsolidatedBS!H64</f>
        <v>454.34</v>
      </c>
      <c r="H104" s="295">
        <f>ConsolidatedBS!I64</f>
        <v>558.58000000000004</v>
      </c>
      <c r="I104" s="295">
        <f>Schedules!I204</f>
        <v>558.58000000000004</v>
      </c>
      <c r="J104" s="295">
        <f>Schedules!J204</f>
        <v>558.58000000000004</v>
      </c>
      <c r="K104" s="295">
        <f>Schedules!K204</f>
        <v>558.58000000000004</v>
      </c>
      <c r="L104" s="295">
        <f>Schedules!L204</f>
        <v>558.58000000000004</v>
      </c>
      <c r="M104" s="295">
        <f>Schedules!M204</f>
        <v>558.58000000000004</v>
      </c>
      <c r="N104" s="295">
        <f>Schedules!N204</f>
        <v>558.58000000000004</v>
      </c>
      <c r="O104" s="295">
        <f>Schedules!O204</f>
        <v>558.58000000000004</v>
      </c>
      <c r="P104" s="295">
        <f>Schedules!P204</f>
        <v>558.58000000000004</v>
      </c>
      <c r="Q104" s="295">
        <f>Schedules!Q204</f>
        <v>558.58000000000004</v>
      </c>
      <c r="R104" s="295">
        <f>Schedules!R204</f>
        <v>558.58000000000004</v>
      </c>
      <c r="S104" s="163"/>
    </row>
    <row r="105" spans="2:19">
      <c r="B105" s="56" t="str">
        <f>ConsolidatedBS!B65</f>
        <v>Current tax liabilities (net)</v>
      </c>
      <c r="C105" s="1"/>
      <c r="D105" s="295">
        <f>ConsolidatedBS!E65</f>
        <v>131.03</v>
      </c>
      <c r="E105" s="295">
        <f>ConsolidatedBS!F65</f>
        <v>170.62</v>
      </c>
      <c r="F105" s="295">
        <f>ConsolidatedBS!G65</f>
        <v>222.83</v>
      </c>
      <c r="G105" s="295">
        <f>ConsolidatedBS!H65</f>
        <v>212.02</v>
      </c>
      <c r="H105" s="295">
        <f>ConsolidatedBS!I65</f>
        <v>238.68</v>
      </c>
      <c r="I105" s="295">
        <f>Schedules!I208</f>
        <v>238.68</v>
      </c>
      <c r="J105" s="295">
        <f>Schedules!J208</f>
        <v>238.68</v>
      </c>
      <c r="K105" s="295">
        <f>Schedules!K208</f>
        <v>238.68</v>
      </c>
      <c r="L105" s="295">
        <f>Schedules!L208</f>
        <v>238.68</v>
      </c>
      <c r="M105" s="295">
        <f>Schedules!M208</f>
        <v>238.68</v>
      </c>
      <c r="N105" s="295">
        <f>Schedules!N208</f>
        <v>238.68</v>
      </c>
      <c r="O105" s="295">
        <f>Schedules!O208</f>
        <v>238.68</v>
      </c>
      <c r="P105" s="295">
        <f>Schedules!P208</f>
        <v>238.68</v>
      </c>
      <c r="Q105" s="295">
        <f>Schedules!Q208</f>
        <v>238.68</v>
      </c>
      <c r="R105" s="295">
        <f>Schedules!R208</f>
        <v>238.68</v>
      </c>
    </row>
    <row r="106" spans="2:19">
      <c r="B106" s="68" t="str">
        <f>ConsolidatedBS!B66</f>
        <v>Total current liabilities</v>
      </c>
      <c r="C106" s="67"/>
      <c r="D106" s="296">
        <f>SUM(D96,D98:D105)</f>
        <v>2628.8100000000004</v>
      </c>
      <c r="E106" s="296">
        <f t="shared" ref="E106:M106" si="102">SUM(E96,E98:E105)</f>
        <v>2893.3699999999994</v>
      </c>
      <c r="F106" s="296">
        <f t="shared" si="102"/>
        <v>3234.5799999999995</v>
      </c>
      <c r="G106" s="296">
        <f t="shared" si="102"/>
        <v>3598.41</v>
      </c>
      <c r="H106" s="296">
        <f t="shared" si="102"/>
        <v>4265.78</v>
      </c>
      <c r="I106" s="296">
        <f t="shared" si="102"/>
        <v>4748.8254236643843</v>
      </c>
      <c r="J106" s="296">
        <f t="shared" si="102"/>
        <v>5226.5299172142977</v>
      </c>
      <c r="K106" s="296">
        <f t="shared" si="102"/>
        <v>5750.4645902574639</v>
      </c>
      <c r="L106" s="296">
        <f t="shared" si="102"/>
        <v>6319.7144823474764</v>
      </c>
      <c r="M106" s="296">
        <f t="shared" si="102"/>
        <v>6932.1831318812247</v>
      </c>
      <c r="N106" s="296">
        <f t="shared" ref="N106:R106" si="103">SUM(N96,N98:N105)</f>
        <v>7565.5747077069718</v>
      </c>
      <c r="O106" s="296">
        <f t="shared" si="103"/>
        <v>8274.9732726318089</v>
      </c>
      <c r="P106" s="296">
        <f t="shared" si="103"/>
        <v>9069.4996653476264</v>
      </c>
      <c r="Q106" s="296">
        <f t="shared" si="103"/>
        <v>9959.3692251893426</v>
      </c>
      <c r="R106" s="296">
        <f t="shared" si="103"/>
        <v>10956.023132212065</v>
      </c>
    </row>
    <row r="107" spans="2:19">
      <c r="B107" s="7"/>
      <c r="C107" s="1"/>
      <c r="D107" s="76"/>
      <c r="E107" s="76"/>
      <c r="F107" s="228"/>
      <c r="G107" s="229"/>
      <c r="H107" s="229"/>
      <c r="I107" s="4"/>
      <c r="J107" s="1"/>
      <c r="K107" s="1"/>
      <c r="L107" s="3"/>
      <c r="M107" s="4"/>
      <c r="N107" s="4"/>
      <c r="O107" s="4"/>
      <c r="P107" s="4"/>
      <c r="Q107" s="4"/>
      <c r="R107" s="4"/>
    </row>
    <row r="108" spans="2:19" ht="15" thickBot="1">
      <c r="B108" s="194" t="s">
        <v>453</v>
      </c>
      <c r="C108" s="6"/>
      <c r="D108" s="301">
        <f>D93+D106</f>
        <v>3120.5300000000007</v>
      </c>
      <c r="E108" s="301">
        <f t="shared" ref="E108:M108" si="104">E93+E106</f>
        <v>3531.8299999999995</v>
      </c>
      <c r="F108" s="301">
        <f t="shared" si="104"/>
        <v>4207.3599999999997</v>
      </c>
      <c r="G108" s="301">
        <f t="shared" si="104"/>
        <v>5082.3999999999996</v>
      </c>
      <c r="H108" s="301">
        <f t="shared" si="104"/>
        <v>5877.92</v>
      </c>
      <c r="I108" s="301">
        <f t="shared" si="104"/>
        <v>6393.6144486643843</v>
      </c>
      <c r="J108" s="301">
        <f t="shared" si="104"/>
        <v>6846.4578457877351</v>
      </c>
      <c r="K108" s="301">
        <f t="shared" si="104"/>
        <v>7333.0166475632295</v>
      </c>
      <c r="L108" s="301">
        <f t="shared" si="104"/>
        <v>7850.611365527443</v>
      </c>
      <c r="M108" s="301">
        <f t="shared" si="104"/>
        <v>8395.4987962386294</v>
      </c>
      <c r="N108" s="301">
        <f t="shared" ref="N108:R108" si="105">N93+N106</f>
        <v>9033.1546517872648</v>
      </c>
      <c r="O108" s="301">
        <f t="shared" si="105"/>
        <v>9747.329210001737</v>
      </c>
      <c r="P108" s="301">
        <f t="shared" si="105"/>
        <v>10547.204715201946</v>
      </c>
      <c r="Q108" s="301">
        <f t="shared" si="105"/>
        <v>11443.06528102618</v>
      </c>
      <c r="R108" s="301">
        <f t="shared" si="105"/>
        <v>12446.429114749322</v>
      </c>
    </row>
    <row r="109" spans="2:19">
      <c r="B109" s="7"/>
      <c r="C109" s="191"/>
      <c r="D109" s="227"/>
      <c r="E109" s="227"/>
      <c r="F109" s="227"/>
      <c r="G109" s="227"/>
      <c r="H109" s="227"/>
      <c r="I109" s="4"/>
      <c r="J109" s="1"/>
      <c r="K109" s="1"/>
      <c r="L109" s="3"/>
      <c r="M109" s="4"/>
      <c r="N109" s="4"/>
      <c r="O109" s="4"/>
      <c r="P109" s="4"/>
      <c r="Q109" s="4"/>
      <c r="R109" s="4"/>
    </row>
    <row r="110" spans="2:19" ht="15" thickBot="1">
      <c r="B110" s="86" t="s">
        <v>229</v>
      </c>
      <c r="C110" s="99"/>
      <c r="D110" s="216">
        <f>D83+D108</f>
        <v>14558.61</v>
      </c>
      <c r="E110" s="216">
        <f t="shared" ref="E110:M110" si="106">E83+E108</f>
        <v>16139.83</v>
      </c>
      <c r="F110" s="216">
        <f t="shared" si="106"/>
        <v>19197.64</v>
      </c>
      <c r="G110" s="216">
        <f t="shared" si="106"/>
        <v>23127.93</v>
      </c>
      <c r="H110" s="216">
        <f t="shared" si="106"/>
        <v>27174.409999999996</v>
      </c>
      <c r="I110" s="216">
        <f t="shared" si="106"/>
        <v>30069.157384708269</v>
      </c>
      <c r="J110" s="216">
        <f t="shared" si="106"/>
        <v>32853.832816852017</v>
      </c>
      <c r="K110" s="216">
        <f t="shared" si="106"/>
        <v>35582.789288598462</v>
      </c>
      <c r="L110" s="216">
        <f t="shared" si="106"/>
        <v>37852.77209009738</v>
      </c>
      <c r="M110" s="216">
        <f t="shared" si="106"/>
        <v>39923.614244163713</v>
      </c>
      <c r="N110" s="216">
        <f t="shared" ref="N110:R110" si="107">N83+N108</f>
        <v>42259.881498577277</v>
      </c>
      <c r="O110" s="216">
        <f t="shared" si="107"/>
        <v>44867.780382816469</v>
      </c>
      <c r="P110" s="216">
        <f t="shared" si="107"/>
        <v>47782.063236460366</v>
      </c>
      <c r="Q110" s="216">
        <f t="shared" si="107"/>
        <v>51041.652679837527</v>
      </c>
      <c r="R110" s="216">
        <f t="shared" si="107"/>
        <v>54690.142047715941</v>
      </c>
    </row>
    <row r="112" spans="2:19">
      <c r="B112" s="79" t="s">
        <v>71</v>
      </c>
      <c r="C112" s="79"/>
      <c r="D112" s="375">
        <f>D76-D110</f>
        <v>-1.1199999999989814</v>
      </c>
      <c r="E112" s="375">
        <f t="shared" ref="E112:M112" si="108">E76-E110</f>
        <v>-5.930000000000291</v>
      </c>
      <c r="F112" s="375">
        <f t="shared" si="108"/>
        <v>-33.409999999999854</v>
      </c>
      <c r="G112" s="375">
        <f t="shared" si="108"/>
        <v>-5.2099999999991269</v>
      </c>
      <c r="H112" s="375">
        <f t="shared" si="108"/>
        <v>4.0400000000008731</v>
      </c>
      <c r="I112" s="375">
        <f t="shared" si="108"/>
        <v>4.0400000000008731</v>
      </c>
      <c r="J112" s="375">
        <f t="shared" si="108"/>
        <v>4.0400000000008731</v>
      </c>
      <c r="K112" s="375">
        <f t="shared" si="108"/>
        <v>4.0400000000008731</v>
      </c>
      <c r="L112" s="375">
        <f t="shared" si="108"/>
        <v>4.0400000000008731</v>
      </c>
      <c r="M112" s="375">
        <f t="shared" si="108"/>
        <v>4.0399999999935972</v>
      </c>
      <c r="N112" s="375">
        <f t="shared" ref="N112:R112" si="109">N76-N110</f>
        <v>4.0400000000008731</v>
      </c>
      <c r="O112" s="375">
        <f t="shared" si="109"/>
        <v>4.0400000000008731</v>
      </c>
      <c r="P112" s="375">
        <f t="shared" si="109"/>
        <v>4.0399999999935972</v>
      </c>
      <c r="Q112" s="375">
        <f t="shared" si="109"/>
        <v>4.0400000000008731</v>
      </c>
      <c r="R112" s="375">
        <f t="shared" si="109"/>
        <v>4.0400000000081491</v>
      </c>
    </row>
    <row r="113" spans="1:26">
      <c r="D113" s="528"/>
      <c r="E113" s="528"/>
      <c r="F113" s="168"/>
      <c r="G113" s="528"/>
      <c r="H113" s="528"/>
      <c r="I113" s="528"/>
      <c r="J113" s="528"/>
      <c r="K113" s="528"/>
      <c r="L113" s="528"/>
      <c r="M113" s="528"/>
      <c r="N113" s="528"/>
      <c r="O113" s="528"/>
      <c r="P113" s="528"/>
      <c r="Q113" s="528"/>
      <c r="R113" s="528"/>
    </row>
    <row r="114" spans="1:26">
      <c r="B114" s="22" t="s">
        <v>72</v>
      </c>
      <c r="C114" s="22"/>
      <c r="D114" s="303">
        <f>D74-D106</f>
        <v>6178.55</v>
      </c>
      <c r="E114" s="303">
        <f t="shared" ref="E114:L114" si="110">E74-E106</f>
        <v>2720.0400000000004</v>
      </c>
      <c r="F114" s="303">
        <f t="shared" si="110"/>
        <v>415.24000000000115</v>
      </c>
      <c r="G114" s="303">
        <f t="shared" si="110"/>
        <v>547.71000000000095</v>
      </c>
      <c r="H114" s="303">
        <f t="shared" si="110"/>
        <v>2692.42</v>
      </c>
      <c r="I114" s="303">
        <f t="shared" si="110"/>
        <v>3854.8857110438912</v>
      </c>
      <c r="J114" s="303">
        <f t="shared" si="110"/>
        <v>4858.7618258877274</v>
      </c>
      <c r="K114" s="303">
        <f t="shared" si="110"/>
        <v>5813.1260369447527</v>
      </c>
      <c r="L114" s="303">
        <f t="shared" si="110"/>
        <v>6311.382140685696</v>
      </c>
      <c r="M114" s="303">
        <f>M74-M106</f>
        <v>6610.9350107932305</v>
      </c>
      <c r="N114" s="303">
        <f t="shared" ref="N114:R114" si="111">N74-N106</f>
        <v>7193.8365649872303</v>
      </c>
      <c r="O114" s="303">
        <f t="shared" si="111"/>
        <v>8006.0966000709559</v>
      </c>
      <c r="P114" s="303">
        <f t="shared" si="111"/>
        <v>9067.9118488618733</v>
      </c>
      <c r="Q114" s="303">
        <f t="shared" si="111"/>
        <v>10402.212433895516</v>
      </c>
      <c r="R114" s="303">
        <f t="shared" si="111"/>
        <v>12035.009390443802</v>
      </c>
      <c r="W114" s="35"/>
    </row>
    <row r="115" spans="1:26">
      <c r="B115" s="22" t="s">
        <v>365</v>
      </c>
      <c r="C115" s="22"/>
      <c r="D115" s="278">
        <f>Schedules!D159</f>
        <v>6.6199636482480626</v>
      </c>
      <c r="E115" s="278">
        <f>Schedules!E159</f>
        <v>10.705614678043821</v>
      </c>
      <c r="F115" s="278">
        <f>Schedules!F159</f>
        <v>9.3237862981904396</v>
      </c>
      <c r="G115" s="278">
        <f>Schedules!G159</f>
        <v>8.2505754188795457</v>
      </c>
      <c r="H115" s="278">
        <f>Schedules!H159</f>
        <v>10.631419131070702</v>
      </c>
      <c r="I115" s="278">
        <f>Schedules!I159</f>
        <v>12</v>
      </c>
      <c r="J115" s="278">
        <f>Schedules!J159</f>
        <v>12</v>
      </c>
      <c r="K115" s="278">
        <f>Schedules!K159</f>
        <v>10</v>
      </c>
      <c r="L115" s="278">
        <f>Schedules!L159</f>
        <v>10</v>
      </c>
      <c r="M115" s="278">
        <f>Schedules!M159</f>
        <v>10</v>
      </c>
      <c r="N115" s="278">
        <f>Schedules!N159</f>
        <v>10</v>
      </c>
      <c r="O115" s="278">
        <f>Schedules!O159</f>
        <v>10</v>
      </c>
      <c r="P115" s="278">
        <f>Schedules!P159</f>
        <v>10</v>
      </c>
      <c r="Q115" s="278">
        <f>Schedules!Q159</f>
        <v>10</v>
      </c>
      <c r="R115" s="278">
        <f>Schedules!R159</f>
        <v>10</v>
      </c>
    </row>
    <row r="116" spans="1:26">
      <c r="B116" s="22" t="s">
        <v>51</v>
      </c>
      <c r="C116" s="22"/>
      <c r="D116" s="278">
        <f>Schedules!D165</f>
        <v>36.607360943081417</v>
      </c>
      <c r="E116" s="278">
        <f>Schedules!E165</f>
        <v>35.568415870139631</v>
      </c>
      <c r="F116" s="278">
        <f>Schedules!F165</f>
        <v>30.464812099004448</v>
      </c>
      <c r="G116" s="278">
        <f>Schedules!G165</f>
        <v>29.667460500804925</v>
      </c>
      <c r="H116" s="278">
        <f>Schedules!H165</f>
        <v>28.756418137448435</v>
      </c>
      <c r="I116" s="278">
        <f>Schedules!I165</f>
        <v>30</v>
      </c>
      <c r="J116" s="278">
        <f>Schedules!J165</f>
        <v>30</v>
      </c>
      <c r="K116" s="278">
        <f>Schedules!K165</f>
        <v>30</v>
      </c>
      <c r="L116" s="278">
        <f>Schedules!L165</f>
        <v>30</v>
      </c>
      <c r="M116" s="278">
        <f>Schedules!M165</f>
        <v>30</v>
      </c>
      <c r="N116" s="278">
        <f>Schedules!N165</f>
        <v>30</v>
      </c>
      <c r="O116" s="278">
        <f>Schedules!O165</f>
        <v>30</v>
      </c>
      <c r="P116" s="278">
        <f>Schedules!P165</f>
        <v>30</v>
      </c>
      <c r="Q116" s="278">
        <f>Schedules!Q165</f>
        <v>30</v>
      </c>
      <c r="R116" s="278">
        <f>Schedules!R165</f>
        <v>30</v>
      </c>
    </row>
    <row r="117" spans="1:26">
      <c r="B117" s="22" t="s">
        <v>575</v>
      </c>
      <c r="C117" s="22"/>
      <c r="D117" s="278">
        <f>Schedules!D176</f>
        <v>108.03986291803835</v>
      </c>
      <c r="E117" s="278">
        <f>Schedules!E176</f>
        <v>109.58494244150123</v>
      </c>
      <c r="F117" s="278">
        <f>Schedules!F176</f>
        <v>80.469879077923508</v>
      </c>
      <c r="G117" s="278">
        <f>Schedules!G176</f>
        <v>84.9490237343622</v>
      </c>
      <c r="H117" s="278">
        <f>Schedules!H176</f>
        <v>89.671902131478049</v>
      </c>
      <c r="I117" s="278">
        <f>Schedules!I176</f>
        <v>90</v>
      </c>
      <c r="J117" s="278">
        <f>Schedules!J176</f>
        <v>90</v>
      </c>
      <c r="K117" s="278">
        <f>Schedules!K176</f>
        <v>90</v>
      </c>
      <c r="L117" s="278">
        <f>Schedules!L176</f>
        <v>90</v>
      </c>
      <c r="M117" s="278">
        <f>Schedules!M176</f>
        <v>90</v>
      </c>
      <c r="N117" s="278">
        <f>Schedules!N176</f>
        <v>90</v>
      </c>
      <c r="O117" s="278">
        <f>Schedules!O176</f>
        <v>90</v>
      </c>
      <c r="P117" s="278">
        <f>Schedules!P176</f>
        <v>90</v>
      </c>
      <c r="Q117" s="278">
        <f>Schedules!Q176</f>
        <v>90</v>
      </c>
      <c r="R117" s="278">
        <f>Schedules!R176</f>
        <v>90</v>
      </c>
    </row>
    <row r="119" spans="1:26" ht="15.6">
      <c r="A119" s="18" t="s">
        <v>18</v>
      </c>
      <c r="B119" s="463" t="s">
        <v>78</v>
      </c>
      <c r="C119" s="463"/>
      <c r="D119" s="463"/>
      <c r="E119" s="463"/>
      <c r="F119" s="465"/>
      <c r="G119" s="465"/>
      <c r="H119" s="465"/>
      <c r="I119" s="465"/>
      <c r="J119" s="465"/>
      <c r="K119" s="465"/>
      <c r="L119" s="465"/>
      <c r="M119" s="465"/>
      <c r="N119" s="465"/>
      <c r="O119" s="465"/>
      <c r="P119" s="465"/>
      <c r="Q119" s="465"/>
      <c r="R119" s="465"/>
    </row>
    <row r="121" spans="1:26">
      <c r="B121" t="s">
        <v>450</v>
      </c>
      <c r="D121" s="138">
        <f>ConsolidatedCashFlow!E6</f>
        <v>1798</v>
      </c>
      <c r="E121" s="138">
        <f>ConsolidatedCashFlow!F6</f>
        <v>2203</v>
      </c>
      <c r="F121" s="138">
        <f>ConsolidatedCashFlow!G6</f>
        <v>3800</v>
      </c>
      <c r="G121" s="138">
        <f>ConsolidatedCashFlow!H6</f>
        <v>5202</v>
      </c>
      <c r="H121" s="138">
        <f>ConsolidatedCashFlow!I6</f>
        <v>5933</v>
      </c>
      <c r="I121" s="304">
        <f>I37</f>
        <v>6447.0167755124976</v>
      </c>
      <c r="J121" s="304">
        <f>J37</f>
        <v>7117.9594824101468</v>
      </c>
      <c r="K121" s="304">
        <f>K37</f>
        <v>7830.4986532685425</v>
      </c>
      <c r="L121" s="304">
        <f>L37</f>
        <v>8572.8000604459121</v>
      </c>
      <c r="M121" s="304">
        <f>M37</f>
        <v>9334.6691809209096</v>
      </c>
      <c r="N121" s="304">
        <f t="shared" ref="N121:R121" si="112">N37</f>
        <v>10413.170316199565</v>
      </c>
      <c r="O121" s="304">
        <f t="shared" si="112"/>
        <v>11632.693154143515</v>
      </c>
      <c r="P121" s="304">
        <f t="shared" si="112"/>
        <v>13012.958732640735</v>
      </c>
      <c r="Q121" s="304">
        <f t="shared" si="112"/>
        <v>14573.256180557628</v>
      </c>
      <c r="R121" s="304">
        <f t="shared" si="112"/>
        <v>16335.189322224544</v>
      </c>
    </row>
    <row r="122" spans="1:26">
      <c r="B122" s="55" t="s">
        <v>34</v>
      </c>
      <c r="D122" s="291">
        <f t="shared" ref="D122:M122" si="113">D29</f>
        <v>450.73</v>
      </c>
      <c r="E122" s="291">
        <f t="shared" si="113"/>
        <v>451.93</v>
      </c>
      <c r="F122" s="291">
        <f t="shared" si="113"/>
        <v>526.21</v>
      </c>
      <c r="G122" s="291">
        <f t="shared" si="113"/>
        <v>597.6</v>
      </c>
      <c r="H122" s="291">
        <f t="shared" si="113"/>
        <v>729.33</v>
      </c>
      <c r="I122" s="304">
        <f t="shared" si="113"/>
        <v>849.33000000000015</v>
      </c>
      <c r="J122" s="304">
        <f t="shared" si="113"/>
        <v>969.33000000000015</v>
      </c>
      <c r="K122" s="304">
        <f t="shared" si="113"/>
        <v>1089.3300000000002</v>
      </c>
      <c r="L122" s="304">
        <f t="shared" si="113"/>
        <v>1209.3300000000002</v>
      </c>
      <c r="M122" s="304">
        <f t="shared" si="113"/>
        <v>1329.33</v>
      </c>
      <c r="N122" s="304">
        <f t="shared" ref="N122:R122" si="114">N29</f>
        <v>1449.33</v>
      </c>
      <c r="O122" s="304">
        <f t="shared" si="114"/>
        <v>1569.33</v>
      </c>
      <c r="P122" s="304">
        <f t="shared" si="114"/>
        <v>1689.33</v>
      </c>
      <c r="Q122" s="304">
        <f t="shared" si="114"/>
        <v>1809.33</v>
      </c>
      <c r="R122" s="304">
        <f t="shared" si="114"/>
        <v>1929.33</v>
      </c>
    </row>
    <row r="123" spans="1:26">
      <c r="B123" s="55" t="s">
        <v>79</v>
      </c>
      <c r="D123" s="291">
        <f t="shared" ref="D123:S123" si="115">D34</f>
        <v>16.45</v>
      </c>
      <c r="E123" s="291">
        <f t="shared" si="115"/>
        <v>18.78</v>
      </c>
      <c r="F123" s="291">
        <f t="shared" si="115"/>
        <v>28.02</v>
      </c>
      <c r="G123" s="291">
        <f t="shared" si="115"/>
        <v>50.88</v>
      </c>
      <c r="H123" s="291">
        <f t="shared" si="115"/>
        <v>54.34</v>
      </c>
      <c r="I123" s="304">
        <f t="shared" si="115"/>
        <v>22.2384869875</v>
      </c>
      <c r="J123" s="304">
        <f t="shared" si="115"/>
        <v>25.711568358601561</v>
      </c>
      <c r="K123" s="304">
        <f t="shared" si="115"/>
        <v>25.110945020423827</v>
      </c>
      <c r="L123" s="304">
        <f t="shared" si="115"/>
        <v>23.693931138803165</v>
      </c>
      <c r="M123" s="304">
        <f t="shared" si="115"/>
        <v>21.332503509553963</v>
      </c>
      <c r="N123" s="304">
        <f t="shared" ref="N123:R123" si="116">N34</f>
        <v>21.093970362554892</v>
      </c>
      <c r="O123" s="304">
        <f t="shared" si="116"/>
        <v>23.62524680606148</v>
      </c>
      <c r="P123" s="304">
        <f t="shared" si="116"/>
        <v>26.460276422788862</v>
      </c>
      <c r="Q123" s="304">
        <f t="shared" si="116"/>
        <v>29.635509593523533</v>
      </c>
      <c r="R123" s="304">
        <f t="shared" si="116"/>
        <v>33.191770744746357</v>
      </c>
      <c r="S123" s="158">
        <f t="shared" si="115"/>
        <v>0</v>
      </c>
    </row>
    <row r="124" spans="1:26">
      <c r="B124" s="55" t="s">
        <v>454</v>
      </c>
      <c r="D124" s="138">
        <f>ConsolidatedCashFlow!E7-SUM(D122:D123)</f>
        <v>-353.18</v>
      </c>
      <c r="E124" s="138">
        <f>ConsolidatedCashFlow!F7-SUM(E122:E123)</f>
        <v>-501.71000000000004</v>
      </c>
      <c r="F124" s="138">
        <f>ConsolidatedCashFlow!G7-SUM(F122:F123)</f>
        <v>-826.23</v>
      </c>
      <c r="G124" s="138">
        <f>ConsolidatedCashFlow!H7-SUM(G122:G123)</f>
        <v>-1446.48</v>
      </c>
      <c r="H124" s="138">
        <f>ConsolidatedCashFlow!I7-SUM(H122:H123)</f>
        <v>-1867.67</v>
      </c>
      <c r="I124" s="304">
        <v>0</v>
      </c>
      <c r="J124" s="304">
        <v>0</v>
      </c>
      <c r="K124" s="304">
        <v>0</v>
      </c>
      <c r="L124" s="304">
        <v>0</v>
      </c>
      <c r="M124" s="304">
        <v>0</v>
      </c>
      <c r="N124" s="304">
        <v>0</v>
      </c>
      <c r="O124" s="304">
        <v>0</v>
      </c>
      <c r="P124" s="304">
        <v>0</v>
      </c>
      <c r="Q124" s="304">
        <v>0</v>
      </c>
      <c r="R124" s="304">
        <v>0</v>
      </c>
      <c r="V124" s="140"/>
      <c r="W124" s="140"/>
      <c r="X124" s="140"/>
      <c r="Y124" s="140"/>
      <c r="Z124" s="140"/>
    </row>
    <row r="125" spans="1:26">
      <c r="B125" s="55" t="s">
        <v>455</v>
      </c>
      <c r="D125" s="138">
        <f>ConsolidatedCashFlow!E17</f>
        <v>235</v>
      </c>
      <c r="E125" s="138">
        <f>ConsolidatedCashFlow!F17</f>
        <v>-131</v>
      </c>
      <c r="F125" s="138">
        <f>ConsolidatedCashFlow!G17</f>
        <v>66</v>
      </c>
      <c r="G125" s="138">
        <f>ConsolidatedCashFlow!H17</f>
        <v>388</v>
      </c>
      <c r="H125" s="138">
        <f>ConsolidatedCashFlow!I17</f>
        <v>211</v>
      </c>
      <c r="I125" s="305">
        <f>Schedules!I229*-1</f>
        <v>-31.740899520547373</v>
      </c>
      <c r="J125" s="305">
        <f>Schedules!J229*-1</f>
        <v>32.190167496061235</v>
      </c>
      <c r="K125" s="305">
        <f>Schedules!K229*-1</f>
        <v>195.91786583753844</v>
      </c>
      <c r="L125" s="305">
        <f>Schedules!L229*-1</f>
        <v>72.006591393350959</v>
      </c>
      <c r="M125" s="305">
        <f>Schedules!M229*-1</f>
        <v>84.805758676819551</v>
      </c>
      <c r="N125" s="305">
        <f>Schedules!N229*-1</f>
        <v>42.409138065985644</v>
      </c>
      <c r="O125" s="305">
        <f>Schedules!O229*-1</f>
        <v>47.498234633904985</v>
      </c>
      <c r="P125" s="305">
        <f>Schedules!P229*-1</f>
        <v>53.198022789974061</v>
      </c>
      <c r="Q125" s="305">
        <f>Schedules!Q229*-1</f>
        <v>59.581785524771021</v>
      </c>
      <c r="R125" s="305">
        <f>Schedules!R229*-1</f>
        <v>66.73159978774197</v>
      </c>
    </row>
    <row r="126" spans="1:26">
      <c r="B126" s="55" t="s">
        <v>456</v>
      </c>
      <c r="D126" s="138">
        <f>ConsolidatedCashFlow!E19</f>
        <v>-457</v>
      </c>
      <c r="E126" s="138">
        <f>ConsolidatedCashFlow!F19</f>
        <v>-514</v>
      </c>
      <c r="F126" s="138">
        <f>ConsolidatedCashFlow!G19</f>
        <v>-770</v>
      </c>
      <c r="G126" s="138">
        <f>ConsolidatedCashFlow!H19</f>
        <v>-1068</v>
      </c>
      <c r="H126" s="138">
        <f>ConsolidatedCashFlow!I19</f>
        <v>-1080</v>
      </c>
      <c r="I126" s="304">
        <f>I39*-1</f>
        <v>-1160.2324731927395</v>
      </c>
      <c r="J126" s="304">
        <f>J39*-1</f>
        <v>-1288.379394859149</v>
      </c>
      <c r="K126" s="304">
        <f>K39*-1</f>
        <v>-1423.64816763727</v>
      </c>
      <c r="L126" s="304">
        <f>L39*-1</f>
        <v>-1563.2477263070925</v>
      </c>
      <c r="M126" s="304">
        <f>M39*-1</f>
        <v>-1704.8955641451812</v>
      </c>
      <c r="N126" s="304">
        <f t="shared" ref="N126:R126" si="117">N39*-1</f>
        <v>-1920.1133218749212</v>
      </c>
      <c r="O126" s="304">
        <f t="shared" si="117"/>
        <v>-2164.071524019912</v>
      </c>
      <c r="P126" s="304">
        <f t="shared" si="117"/>
        <v>-2440.921990422301</v>
      </c>
      <c r="Q126" s="304">
        <f t="shared" si="117"/>
        <v>-2754.6117927929781</v>
      </c>
      <c r="R126" s="304">
        <f t="shared" si="117"/>
        <v>-3109.5616514481358</v>
      </c>
    </row>
    <row r="127" spans="1:26">
      <c r="B127" s="13" t="s">
        <v>80</v>
      </c>
      <c r="C127" s="13"/>
      <c r="D127" s="306">
        <f t="shared" ref="D127" si="118">SUM(D121:D126)</f>
        <v>1690</v>
      </c>
      <c r="E127" s="306">
        <f t="shared" ref="E127" si="119">SUM(E121:E126)</f>
        <v>1527</v>
      </c>
      <c r="F127" s="306">
        <f t="shared" ref="F127:M127" si="120">SUM(F121:F126)</f>
        <v>2824.0000000000005</v>
      </c>
      <c r="G127" s="306">
        <f t="shared" si="120"/>
        <v>3724</v>
      </c>
      <c r="H127" s="306">
        <f t="shared" si="120"/>
        <v>3980</v>
      </c>
      <c r="I127" s="306">
        <f t="shared" si="120"/>
        <v>6126.6118897867118</v>
      </c>
      <c r="J127" s="306">
        <f t="shared" si="120"/>
        <v>6856.8118234056601</v>
      </c>
      <c r="K127" s="306">
        <f t="shared" si="120"/>
        <v>7717.2092964892363</v>
      </c>
      <c r="L127" s="306">
        <f t="shared" si="120"/>
        <v>8314.5828566709733</v>
      </c>
      <c r="M127" s="306">
        <f t="shared" si="120"/>
        <v>9065.2418789621006</v>
      </c>
      <c r="N127" s="306">
        <f t="shared" ref="N127:R127" si="121">SUM(N121:N126)</f>
        <v>10005.890102753185</v>
      </c>
      <c r="O127" s="306">
        <f t="shared" si="121"/>
        <v>11109.07511156357</v>
      </c>
      <c r="P127" s="306">
        <f t="shared" si="121"/>
        <v>12341.025041431198</v>
      </c>
      <c r="Q127" s="306">
        <f t="shared" si="121"/>
        <v>13717.191682882945</v>
      </c>
      <c r="R127" s="306">
        <f t="shared" si="121"/>
        <v>15254.881041308896</v>
      </c>
    </row>
    <row r="128" spans="1:26">
      <c r="E128" s="140"/>
      <c r="I128" s="19"/>
      <c r="J128" s="19"/>
      <c r="K128" s="19"/>
      <c r="L128" s="19"/>
      <c r="M128" s="19"/>
      <c r="N128" s="19"/>
      <c r="O128" s="19"/>
      <c r="P128" s="19"/>
      <c r="Q128" s="19"/>
      <c r="R128" s="19"/>
    </row>
    <row r="129" spans="2:19">
      <c r="B129" s="55" t="s">
        <v>494</v>
      </c>
      <c r="D129" s="138">
        <f>SUM(ConsolidatedCashFlow!E25:E26)</f>
        <v>-515</v>
      </c>
      <c r="E129" s="138">
        <f>SUM(ConsolidatedCashFlow!F25:F26)</f>
        <v>-638.9</v>
      </c>
      <c r="F129" s="138">
        <f>SUM(ConsolidatedCashFlow!G25:G26)</f>
        <v>-673.2</v>
      </c>
      <c r="G129" s="138">
        <f>SUM(ConsolidatedCashFlow!H25:H26)</f>
        <v>-814.8</v>
      </c>
      <c r="H129" s="138">
        <f>SUM(ConsolidatedCashFlow!I25:I26)</f>
        <v>-1028</v>
      </c>
      <c r="I129" s="305">
        <f>Schedules!I59*-1</f>
        <v>-1200</v>
      </c>
      <c r="J129" s="305">
        <f>Schedules!J59*-1</f>
        <v>-1200</v>
      </c>
      <c r="K129" s="305">
        <f>Schedules!K59*-1</f>
        <v>-1200</v>
      </c>
      <c r="L129" s="305">
        <f>Schedules!L59*-1</f>
        <v>-1200</v>
      </c>
      <c r="M129" s="305">
        <f>Schedules!M59*-1</f>
        <v>-1200</v>
      </c>
      <c r="N129" s="305">
        <f>Schedules!N59*-1</f>
        <v>-1200</v>
      </c>
      <c r="O129" s="305">
        <f>Schedules!O59*-1</f>
        <v>-1200</v>
      </c>
      <c r="P129" s="305">
        <f>Schedules!P59*-1</f>
        <v>-1200</v>
      </c>
      <c r="Q129" s="305">
        <f>Schedules!Q59*-1</f>
        <v>-1200</v>
      </c>
      <c r="R129" s="305">
        <f>Schedules!R59*-1</f>
        <v>-1200</v>
      </c>
    </row>
    <row r="130" spans="2:19">
      <c r="B130" s="55" t="s">
        <v>495</v>
      </c>
      <c r="D130" s="138">
        <f>SUM(ConsolidatedCashFlow!E27:E28)</f>
        <v>-844</v>
      </c>
      <c r="E130" s="138">
        <f>SUM(ConsolidatedCashFlow!F27:F28)</f>
        <v>-553</v>
      </c>
      <c r="F130" s="138">
        <f>SUM(ConsolidatedCashFlow!G27:G28)</f>
        <v>-2075</v>
      </c>
      <c r="G130" s="138">
        <f>SUM(ConsolidatedCashFlow!H27:H28)</f>
        <v>-2357</v>
      </c>
      <c r="H130" s="138">
        <f>SUM(ConsolidatedCashFlow!I27:I28)</f>
        <v>-1810</v>
      </c>
      <c r="I130" s="304">
        <f>(I58-H58)*-1</f>
        <v>-1008.8662499999991</v>
      </c>
      <c r="J130" s="304">
        <f>(J58-I58)*-1</f>
        <v>-1072.4248237499996</v>
      </c>
      <c r="K130" s="304">
        <f>(K58-J58)*-1</f>
        <v>-1139.9875876462502</v>
      </c>
      <c r="L130" s="304">
        <f>(L58-K58)*-1</f>
        <v>-1211.8068056679622</v>
      </c>
      <c r="M130" s="304">
        <f>(M58-L58)*-1</f>
        <v>-1288.1506344250447</v>
      </c>
      <c r="N130" s="304">
        <f t="shared" ref="N130:R130" si="122">(N58-M58)*-1</f>
        <v>-1369.3041243938205</v>
      </c>
      <c r="O130" s="304">
        <f t="shared" si="122"/>
        <v>-1455.5702842306309</v>
      </c>
      <c r="P130" s="304">
        <f t="shared" si="122"/>
        <v>-1547.2712121371624</v>
      </c>
      <c r="Q130" s="304">
        <f t="shared" si="122"/>
        <v>-1644.7492985018034</v>
      </c>
      <c r="R130" s="304">
        <f t="shared" si="122"/>
        <v>-1748.3685043074183</v>
      </c>
    </row>
    <row r="131" spans="2:19">
      <c r="B131" s="55" t="s">
        <v>473</v>
      </c>
      <c r="D131" s="138">
        <f>ConsolidatedCashFlow!E29</f>
        <v>0</v>
      </c>
      <c r="E131" s="138">
        <f>ConsolidatedCashFlow!F29</f>
        <v>27</v>
      </c>
      <c r="F131" s="138">
        <f>ConsolidatedCashFlow!G29</f>
        <v>41</v>
      </c>
      <c r="G131" s="138">
        <f>ConsolidatedCashFlow!H29</f>
        <v>95</v>
      </c>
      <c r="H131" s="138">
        <f>ConsolidatedCashFlow!I29</f>
        <v>136</v>
      </c>
      <c r="I131" s="307">
        <v>0</v>
      </c>
      <c r="J131" s="307">
        <v>0</v>
      </c>
      <c r="K131" s="307">
        <v>0</v>
      </c>
      <c r="L131" s="307">
        <v>0</v>
      </c>
      <c r="M131" s="307">
        <v>0</v>
      </c>
      <c r="N131" s="307">
        <v>0</v>
      </c>
      <c r="O131" s="307">
        <v>0</v>
      </c>
      <c r="P131" s="307">
        <v>0</v>
      </c>
      <c r="Q131" s="307">
        <v>0</v>
      </c>
      <c r="R131" s="307">
        <v>0</v>
      </c>
    </row>
    <row r="132" spans="2:19">
      <c r="B132" s="55" t="s">
        <v>474</v>
      </c>
      <c r="D132" s="138">
        <f>ConsolidatedCashFlow!E30</f>
        <v>192</v>
      </c>
      <c r="E132" s="138">
        <f>ConsolidatedCashFlow!F30</f>
        <v>398</v>
      </c>
      <c r="F132" s="138">
        <f>ConsolidatedCashFlow!G30</f>
        <v>204</v>
      </c>
      <c r="G132" s="138">
        <f>ConsolidatedCashFlow!H30</f>
        <v>112</v>
      </c>
      <c r="H132" s="138">
        <f>ConsolidatedCashFlow!I30</f>
        <v>188</v>
      </c>
      <c r="I132" s="307">
        <v>0</v>
      </c>
      <c r="J132" s="307">
        <v>0</v>
      </c>
      <c r="K132" s="307">
        <v>0</v>
      </c>
      <c r="L132" s="307">
        <v>0</v>
      </c>
      <c r="M132" s="307">
        <v>0</v>
      </c>
      <c r="N132" s="307">
        <v>0</v>
      </c>
      <c r="O132" s="307">
        <v>0</v>
      </c>
      <c r="P132" s="307">
        <v>0</v>
      </c>
      <c r="Q132" s="307">
        <v>0</v>
      </c>
      <c r="R132" s="307">
        <v>0</v>
      </c>
    </row>
    <row r="133" spans="2:19">
      <c r="B133" s="55" t="s">
        <v>475</v>
      </c>
      <c r="D133" s="138">
        <f>ConsolidatedCashFlow!E31</f>
        <v>-458</v>
      </c>
      <c r="E133" s="138">
        <f>ConsolidatedCashFlow!F31</f>
        <v>-216</v>
      </c>
      <c r="F133" s="138">
        <f>ConsolidatedCashFlow!G31</f>
        <v>87</v>
      </c>
      <c r="G133" s="138">
        <f>ConsolidatedCashFlow!H31</f>
        <v>113</v>
      </c>
      <c r="H133" s="138">
        <f>ConsolidatedCashFlow!I31</f>
        <v>31</v>
      </c>
      <c r="I133" s="307">
        <v>0</v>
      </c>
      <c r="J133" s="307">
        <v>0</v>
      </c>
      <c r="K133" s="307">
        <v>0</v>
      </c>
      <c r="L133" s="307">
        <v>0</v>
      </c>
      <c r="M133" s="307">
        <v>0</v>
      </c>
      <c r="N133" s="307">
        <v>0</v>
      </c>
      <c r="O133" s="307">
        <v>0</v>
      </c>
      <c r="P133" s="307">
        <v>0</v>
      </c>
      <c r="Q133" s="307">
        <v>0</v>
      </c>
      <c r="R133" s="307">
        <v>0</v>
      </c>
    </row>
    <row r="134" spans="2:19">
      <c r="B134" s="13" t="s">
        <v>81</v>
      </c>
      <c r="C134" s="13"/>
      <c r="D134" s="306">
        <f>SUM(D129:D133)</f>
        <v>-1625</v>
      </c>
      <c r="E134" s="306">
        <f t="shared" ref="E134:M134" si="123">SUM(E129:E133)</f>
        <v>-982.90000000000009</v>
      </c>
      <c r="F134" s="306">
        <f t="shared" si="123"/>
        <v>-2416.1999999999998</v>
      </c>
      <c r="G134" s="306">
        <f t="shared" si="123"/>
        <v>-2851.8</v>
      </c>
      <c r="H134" s="306">
        <f t="shared" si="123"/>
        <v>-2483</v>
      </c>
      <c r="I134" s="306">
        <f t="shared" si="123"/>
        <v>-2208.8662499999991</v>
      </c>
      <c r="J134" s="306">
        <f t="shared" si="123"/>
        <v>-2272.4248237499996</v>
      </c>
      <c r="K134" s="306">
        <f t="shared" si="123"/>
        <v>-2339.9875876462502</v>
      </c>
      <c r="L134" s="306">
        <f t="shared" si="123"/>
        <v>-2411.8068056679622</v>
      </c>
      <c r="M134" s="306">
        <f t="shared" si="123"/>
        <v>-2488.1506344250447</v>
      </c>
      <c r="N134" s="306">
        <f t="shared" ref="N134:R134" si="124">SUM(N129:N133)</f>
        <v>-2569.3041243938205</v>
      </c>
      <c r="O134" s="306">
        <f t="shared" si="124"/>
        <v>-2655.5702842306309</v>
      </c>
      <c r="P134" s="306">
        <f t="shared" si="124"/>
        <v>-2747.2712121371624</v>
      </c>
      <c r="Q134" s="306">
        <f t="shared" si="124"/>
        <v>-2844.7492985018034</v>
      </c>
      <c r="R134" s="306">
        <f t="shared" si="124"/>
        <v>-2948.3685043074183</v>
      </c>
    </row>
    <row r="135" spans="2:19">
      <c r="I135" s="19"/>
      <c r="J135" s="19"/>
      <c r="K135" s="19"/>
      <c r="L135" s="19"/>
      <c r="M135" s="19"/>
      <c r="N135" s="19"/>
      <c r="O135" s="19"/>
      <c r="P135" s="19"/>
      <c r="Q135" s="19"/>
      <c r="R135" s="19"/>
    </row>
    <row r="136" spans="2:19">
      <c r="B136" s="55" t="s">
        <v>497</v>
      </c>
      <c r="D136" s="138">
        <f>ConsolidatedCashFlow!E35+ConsolidatedCashFlow!E36</f>
        <v>0</v>
      </c>
      <c r="E136" s="138">
        <f>ConsolidatedCashFlow!F35+ConsolidatedCashFlow!F36</f>
        <v>0</v>
      </c>
      <c r="F136" s="138">
        <f>ConsolidatedCashFlow!G35+ConsolidatedCashFlow!G36</f>
        <v>131</v>
      </c>
      <c r="G136" s="138">
        <f>ConsolidatedCashFlow!H35+ConsolidatedCashFlow!H36</f>
        <v>186</v>
      </c>
      <c r="H136" s="138">
        <f>ConsolidatedCashFlow!I35+ConsolidatedCashFlow!I36</f>
        <v>16</v>
      </c>
      <c r="I136" s="304">
        <f>I86-H86</f>
        <v>32.649024999999966</v>
      </c>
      <c r="J136" s="304">
        <f>J86-I86</f>
        <v>-24.861096426562511</v>
      </c>
      <c r="K136" s="304">
        <f>K86-J86</f>
        <v>-37.375871267671869</v>
      </c>
      <c r="L136" s="304">
        <f>L86-K86</f>
        <v>-51.655174125799277</v>
      </c>
      <c r="M136" s="304">
        <f>M86-L86</f>
        <v>-67.581218822562533</v>
      </c>
      <c r="N136" s="304">
        <f t="shared" ref="N136:R136" si="125">N86-M86</f>
        <v>4.2642797228884604</v>
      </c>
      <c r="O136" s="304">
        <f t="shared" si="125"/>
        <v>4.7759932896350747</v>
      </c>
      <c r="P136" s="304">
        <f t="shared" si="125"/>
        <v>5.3491124843912843</v>
      </c>
      <c r="Q136" s="304">
        <f t="shared" si="125"/>
        <v>5.9910059825182387</v>
      </c>
      <c r="R136" s="304">
        <f t="shared" si="125"/>
        <v>6.709926700420425</v>
      </c>
    </row>
    <row r="137" spans="2:19">
      <c r="B137" s="55" t="s">
        <v>556</v>
      </c>
      <c r="D137" s="308">
        <v>0</v>
      </c>
      <c r="E137" s="308">
        <v>0</v>
      </c>
      <c r="F137" s="308">
        <v>0</v>
      </c>
      <c r="G137" s="308">
        <v>0</v>
      </c>
      <c r="H137" s="308">
        <v>0</v>
      </c>
      <c r="I137" s="304">
        <f>H55</f>
        <v>110.3</v>
      </c>
      <c r="J137" s="307">
        <v>0</v>
      </c>
      <c r="K137" s="307">
        <v>0</v>
      </c>
      <c r="L137" s="307">
        <v>0</v>
      </c>
      <c r="M137" s="307">
        <v>0</v>
      </c>
      <c r="N137" s="307">
        <v>0</v>
      </c>
      <c r="O137" s="307">
        <v>0</v>
      </c>
      <c r="P137" s="307">
        <v>0</v>
      </c>
      <c r="Q137" s="307">
        <v>0</v>
      </c>
      <c r="R137" s="307">
        <v>0</v>
      </c>
    </row>
    <row r="138" spans="2:19">
      <c r="B138" s="55" t="s">
        <v>498</v>
      </c>
      <c r="D138" s="138">
        <f>ConsolidatedCashFlow!E37</f>
        <v>13</v>
      </c>
      <c r="E138" s="138">
        <f>ConsolidatedCashFlow!F37</f>
        <v>-105</v>
      </c>
      <c r="F138" s="138">
        <f>ConsolidatedCashFlow!G37</f>
        <v>44</v>
      </c>
      <c r="G138" s="138">
        <f>ConsolidatedCashFlow!H37</f>
        <v>6.4</v>
      </c>
      <c r="H138" s="138">
        <f>ConsolidatedCashFlow!I37</f>
        <v>-21</v>
      </c>
      <c r="I138" s="304">
        <f>I98-H98</f>
        <v>69.796317499999972</v>
      </c>
      <c r="J138" s="304">
        <f>J98-I98</f>
        <v>21.646650243750003</v>
      </c>
      <c r="K138" s="304">
        <f>K98-J98</f>
        <v>23.429650645406269</v>
      </c>
      <c r="L138" s="304">
        <f>L98-K98</f>
        <v>25.115283844617409</v>
      </c>
      <c r="M138" s="304">
        <f>M98-L98</f>
        <v>26.65174826805287</v>
      </c>
      <c r="N138" s="304">
        <f t="shared" ref="N138:R138" si="126">N98-M98</f>
        <v>29.849958060219194</v>
      </c>
      <c r="O138" s="304">
        <f t="shared" si="126"/>
        <v>33.431953027445559</v>
      </c>
      <c r="P138" s="304">
        <f t="shared" si="126"/>
        <v>37.443787390738976</v>
      </c>
      <c r="Q138" s="304">
        <f t="shared" si="126"/>
        <v>41.937041877627678</v>
      </c>
      <c r="R138" s="304">
        <f t="shared" si="126"/>
        <v>46.969486902943004</v>
      </c>
    </row>
    <row r="139" spans="2:19">
      <c r="B139" s="55" t="s">
        <v>232</v>
      </c>
      <c r="D139" s="138">
        <f>ConsolidatedCashFlow!E38</f>
        <v>0</v>
      </c>
      <c r="E139" s="138">
        <f>ConsolidatedCashFlow!F38</f>
        <v>-465</v>
      </c>
      <c r="F139" s="138">
        <f>ConsolidatedCashFlow!G38</f>
        <v>-574</v>
      </c>
      <c r="G139" s="138">
        <f>ConsolidatedCashFlow!H38</f>
        <v>-1013</v>
      </c>
      <c r="H139" s="138">
        <f>ConsolidatedCashFlow!I38</f>
        <v>-1397</v>
      </c>
      <c r="I139" s="305">
        <f>Schedules!I149</f>
        <v>-2907.7313662758675</v>
      </c>
      <c r="J139" s="305">
        <f>Schedules!J149</f>
        <v>-3497.7480525305987</v>
      </c>
      <c r="K139" s="305">
        <f>Schedules!K149</f>
        <v>-4164.4528156603274</v>
      </c>
      <c r="L139" s="305">
        <f>Schedules!L149</f>
        <v>-5257.1642506041153</v>
      </c>
      <c r="M139" s="305">
        <f>Schedules!M149</f>
        <v>-6103.8188934205828</v>
      </c>
      <c r="N139" s="305">
        <f>Schedules!N149</f>
        <v>-6794.4455954597142</v>
      </c>
      <c r="O139" s="305">
        <f>Schedules!O149</f>
        <v>-7574.8973040988831</v>
      </c>
      <c r="P139" s="305">
        <f>Schedules!P149</f>
        <v>-8457.6293937747469</v>
      </c>
      <c r="Q139" s="305">
        <f>Schedules!Q149</f>
        <v>-9454.9155102117202</v>
      </c>
      <c r="R139" s="305">
        <f>Schedules!R149</f>
        <v>-10580.502136621128</v>
      </c>
    </row>
    <row r="140" spans="2:19">
      <c r="B140" s="55" t="s">
        <v>482</v>
      </c>
      <c r="D140" s="138">
        <f>ConsolidatedCashFlow!E39</f>
        <v>-16</v>
      </c>
      <c r="E140" s="138">
        <f>ConsolidatedCashFlow!F39</f>
        <v>-19</v>
      </c>
      <c r="F140" s="138">
        <f>ConsolidatedCashFlow!G39</f>
        <v>-18</v>
      </c>
      <c r="G140" s="138">
        <f>ConsolidatedCashFlow!H39</f>
        <v>-35</v>
      </c>
      <c r="H140" s="138">
        <f>ConsolidatedCashFlow!I39</f>
        <v>-37</v>
      </c>
      <c r="I140" s="304">
        <f>I123*-1</f>
        <v>-22.2384869875</v>
      </c>
      <c r="J140" s="304">
        <f t="shared" ref="J140:M140" si="127">J123*-1</f>
        <v>-25.711568358601561</v>
      </c>
      <c r="K140" s="304">
        <f t="shared" si="127"/>
        <v>-25.110945020423827</v>
      </c>
      <c r="L140" s="304">
        <f t="shared" si="127"/>
        <v>-23.693931138803165</v>
      </c>
      <c r="M140" s="304">
        <f t="shared" si="127"/>
        <v>-21.332503509553963</v>
      </c>
      <c r="N140" s="304">
        <f t="shared" ref="N140:R140" si="128">N123*-1</f>
        <v>-21.093970362554892</v>
      </c>
      <c r="O140" s="304">
        <f t="shared" si="128"/>
        <v>-23.62524680606148</v>
      </c>
      <c r="P140" s="304">
        <f t="shared" si="128"/>
        <v>-26.460276422788862</v>
      </c>
      <c r="Q140" s="304">
        <f t="shared" si="128"/>
        <v>-29.635509593523533</v>
      </c>
      <c r="R140" s="304">
        <f t="shared" si="128"/>
        <v>-33.191770744746357</v>
      </c>
    </row>
    <row r="141" spans="2:19">
      <c r="B141" s="55" t="s">
        <v>478</v>
      </c>
      <c r="D141" s="138">
        <f>ConsolidatedCashFlow!E34</f>
        <v>38</v>
      </c>
      <c r="E141" s="138">
        <f>ConsolidatedCashFlow!F34</f>
        <v>6.5</v>
      </c>
      <c r="F141" s="138">
        <f>ConsolidatedCashFlow!G34</f>
        <v>11</v>
      </c>
      <c r="G141" s="138">
        <f>ConsolidatedCashFlow!H34</f>
        <v>47</v>
      </c>
      <c r="H141" s="138">
        <f>ConsolidatedCashFlow!I34</f>
        <v>87</v>
      </c>
      <c r="I141" s="304">
        <f>I81-H81</f>
        <v>0</v>
      </c>
      <c r="J141" s="304">
        <f t="shared" ref="J141:M141" si="129">J81-I81</f>
        <v>0</v>
      </c>
      <c r="K141" s="304">
        <f t="shared" si="129"/>
        <v>0</v>
      </c>
      <c r="L141" s="304">
        <f t="shared" si="129"/>
        <v>0</v>
      </c>
      <c r="M141" s="304">
        <f t="shared" si="129"/>
        <v>0</v>
      </c>
      <c r="N141" s="304">
        <f t="shared" ref="N141" si="130">N81-M81</f>
        <v>0</v>
      </c>
      <c r="O141" s="304">
        <f t="shared" ref="O141" si="131">O81-N81</f>
        <v>0</v>
      </c>
      <c r="P141" s="304">
        <f t="shared" ref="P141" si="132">P81-O81</f>
        <v>0</v>
      </c>
      <c r="Q141" s="304">
        <f t="shared" ref="Q141" si="133">Q81-P81</f>
        <v>0</v>
      </c>
      <c r="R141" s="304">
        <f t="shared" ref="R141" si="134">R81-Q81</f>
        <v>0</v>
      </c>
    </row>
    <row r="142" spans="2:19">
      <c r="B142" s="55" t="s">
        <v>483</v>
      </c>
      <c r="D142" s="138">
        <f>ConsolidatedCashFlow!E40</f>
        <v>-50</v>
      </c>
      <c r="E142" s="138">
        <f>ConsolidatedCashFlow!F40</f>
        <v>-10</v>
      </c>
      <c r="F142" s="138">
        <f>ConsolidatedCashFlow!G40</f>
        <v>-11</v>
      </c>
      <c r="G142" s="138">
        <f>ConsolidatedCashFlow!H40</f>
        <v>-35</v>
      </c>
      <c r="H142" s="138">
        <f>ConsolidatedCashFlow!I40</f>
        <v>-47</v>
      </c>
      <c r="I142" s="307">
        <v>0</v>
      </c>
      <c r="J142" s="307">
        <v>0</v>
      </c>
      <c r="K142" s="307">
        <v>0</v>
      </c>
      <c r="L142" s="307">
        <v>0</v>
      </c>
      <c r="M142" s="307">
        <v>0</v>
      </c>
      <c r="N142" s="307">
        <v>0</v>
      </c>
      <c r="O142" s="307">
        <v>0</v>
      </c>
      <c r="P142" s="307">
        <v>0</v>
      </c>
      <c r="Q142" s="307">
        <v>0</v>
      </c>
      <c r="R142" s="307">
        <v>0</v>
      </c>
    </row>
    <row r="143" spans="2:19">
      <c r="B143" s="13" t="s">
        <v>82</v>
      </c>
      <c r="C143" s="13"/>
      <c r="D143" s="306">
        <f>SUM(D136:D142)</f>
        <v>-15</v>
      </c>
      <c r="E143" s="306">
        <f t="shared" ref="E143:M143" si="135">SUM(E136:E142)</f>
        <v>-592.5</v>
      </c>
      <c r="F143" s="306">
        <f t="shared" si="135"/>
        <v>-417</v>
      </c>
      <c r="G143" s="306">
        <f t="shared" si="135"/>
        <v>-843.6</v>
      </c>
      <c r="H143" s="306">
        <f t="shared" si="135"/>
        <v>-1399</v>
      </c>
      <c r="I143" s="306">
        <f t="shared" si="135"/>
        <v>-2717.2245107633676</v>
      </c>
      <c r="J143" s="306">
        <f t="shared" si="135"/>
        <v>-3526.6740670720128</v>
      </c>
      <c r="K143" s="306">
        <f t="shared" si="135"/>
        <v>-4203.5099813030165</v>
      </c>
      <c r="L143" s="306">
        <f t="shared" si="135"/>
        <v>-5307.3980720241007</v>
      </c>
      <c r="M143" s="306">
        <f t="shared" si="135"/>
        <v>-6166.0808674846467</v>
      </c>
      <c r="N143" s="306">
        <f t="shared" ref="N143:R143" si="136">SUM(N136:N142)</f>
        <v>-6781.4253280391613</v>
      </c>
      <c r="O143" s="306">
        <f t="shared" si="136"/>
        <v>-7560.3146045878639</v>
      </c>
      <c r="P143" s="306">
        <f t="shared" si="136"/>
        <v>-8441.2967703224058</v>
      </c>
      <c r="Q143" s="306">
        <f t="shared" si="136"/>
        <v>-9436.6229719450967</v>
      </c>
      <c r="R143" s="306">
        <f t="shared" si="136"/>
        <v>-10560.01449376251</v>
      </c>
      <c r="S143" s="26"/>
    </row>
    <row r="144" spans="2:19">
      <c r="I144" s="19"/>
      <c r="J144" s="19"/>
      <c r="K144" s="19"/>
      <c r="L144" s="19"/>
      <c r="M144" s="19"/>
      <c r="N144" s="19"/>
      <c r="O144" s="19"/>
      <c r="P144" s="19"/>
      <c r="Q144" s="19"/>
      <c r="R144" s="19"/>
    </row>
    <row r="145" spans="2:18">
      <c r="B145" s="55" t="s">
        <v>83</v>
      </c>
      <c r="D145" s="291">
        <f>D143+D134+D127</f>
        <v>50</v>
      </c>
      <c r="E145" s="291">
        <f t="shared" ref="E145:H145" si="137">E143+E134+E127</f>
        <v>-48.400000000000091</v>
      </c>
      <c r="F145" s="291">
        <f t="shared" si="137"/>
        <v>-9.1999999999993634</v>
      </c>
      <c r="G145" s="291">
        <f t="shared" si="137"/>
        <v>28.599999999999909</v>
      </c>
      <c r="H145" s="291">
        <f t="shared" si="137"/>
        <v>98</v>
      </c>
      <c r="I145" s="304">
        <f>I127+I134+I143</f>
        <v>1200.5211290233451</v>
      </c>
      <c r="J145" s="304">
        <f t="shared" ref="J145:M145" si="138">J127+J134+J143</f>
        <v>1057.7129325836477</v>
      </c>
      <c r="K145" s="304">
        <f t="shared" si="138"/>
        <v>1173.7117275399696</v>
      </c>
      <c r="L145" s="304">
        <f t="shared" si="138"/>
        <v>595.37797897891051</v>
      </c>
      <c r="M145" s="304">
        <f t="shared" si="138"/>
        <v>411.01037705240924</v>
      </c>
      <c r="N145" s="304">
        <f t="shared" ref="N145:R145" si="139">N127+N134+N143</f>
        <v>655.16065032020288</v>
      </c>
      <c r="O145" s="304">
        <f t="shared" si="139"/>
        <v>893.19022274507552</v>
      </c>
      <c r="P145" s="304">
        <f t="shared" si="139"/>
        <v>1152.4570589716295</v>
      </c>
      <c r="Q145" s="304">
        <f t="shared" si="139"/>
        <v>1435.8194124360452</v>
      </c>
      <c r="R145" s="304">
        <f t="shared" si="139"/>
        <v>1746.4980432389675</v>
      </c>
    </row>
    <row r="146" spans="2:18">
      <c r="B146" s="55" t="s">
        <v>84</v>
      </c>
      <c r="D146" s="138">
        <f>ConsolidatedCashFlow!E42</f>
        <v>43</v>
      </c>
      <c r="E146" s="291">
        <f>D148</f>
        <v>93</v>
      </c>
      <c r="F146" s="291">
        <f t="shared" ref="F146:H146" si="140">E148</f>
        <v>44.599999999999909</v>
      </c>
      <c r="G146" s="291">
        <f t="shared" si="140"/>
        <v>55.400000000000546</v>
      </c>
      <c r="H146" s="291">
        <f t="shared" si="140"/>
        <v>102.00000000000045</v>
      </c>
      <c r="I146" s="304">
        <f>H148</f>
        <v>223.00000000000045</v>
      </c>
      <c r="J146" s="304">
        <f>I148</f>
        <v>1423.5211290233456</v>
      </c>
      <c r="K146" s="304">
        <f>J148</f>
        <v>2481.2340616069932</v>
      </c>
      <c r="L146" s="304">
        <f t="shared" ref="L146:M146" si="141">K148</f>
        <v>3654.9457891469629</v>
      </c>
      <c r="M146" s="304">
        <f t="shared" si="141"/>
        <v>4250.3237681258734</v>
      </c>
      <c r="N146" s="304">
        <f t="shared" ref="N146" si="142">M148</f>
        <v>4661.3341451782826</v>
      </c>
      <c r="O146" s="304">
        <f t="shared" ref="O146" si="143">N148</f>
        <v>5316.4947954984855</v>
      </c>
      <c r="P146" s="304">
        <f t="shared" ref="P146" si="144">O148</f>
        <v>6209.685018243561</v>
      </c>
      <c r="Q146" s="304">
        <f t="shared" ref="Q146" si="145">P148</f>
        <v>7362.1420772151905</v>
      </c>
      <c r="R146" s="304">
        <f t="shared" ref="R146" si="146">Q148</f>
        <v>8797.9614896512358</v>
      </c>
    </row>
    <row r="147" spans="2:18">
      <c r="B147" s="55" t="s">
        <v>487</v>
      </c>
      <c r="D147" s="138">
        <f>ConsolidatedCashFlow!E44</f>
        <v>0</v>
      </c>
      <c r="E147" s="138">
        <f>ConsolidatedCashFlow!F44</f>
        <v>0</v>
      </c>
      <c r="F147" s="138">
        <f>ConsolidatedCashFlow!G44</f>
        <v>20</v>
      </c>
      <c r="G147" s="138">
        <f>ConsolidatedCashFlow!H44</f>
        <v>18</v>
      </c>
      <c r="H147" s="138">
        <f>ConsolidatedCashFlow!I44</f>
        <v>23</v>
      </c>
      <c r="I147" s="307">
        <v>0</v>
      </c>
      <c r="J147" s="307">
        <v>0</v>
      </c>
      <c r="K147" s="307">
        <v>0</v>
      </c>
      <c r="L147" s="307">
        <v>0</v>
      </c>
      <c r="M147" s="307">
        <v>0</v>
      </c>
      <c r="N147" s="307">
        <v>0</v>
      </c>
      <c r="O147" s="307">
        <v>0</v>
      </c>
      <c r="P147" s="307">
        <v>0</v>
      </c>
      <c r="Q147" s="307">
        <v>0</v>
      </c>
      <c r="R147" s="307">
        <v>0</v>
      </c>
    </row>
    <row r="148" spans="2:18" ht="15" thickBot="1">
      <c r="B148" s="86" t="s">
        <v>85</v>
      </c>
      <c r="C148" s="86"/>
      <c r="D148" s="309">
        <f>D145+D146+D147</f>
        <v>93</v>
      </c>
      <c r="E148" s="309">
        <f t="shared" ref="E148:H148" si="147">E145+E146+E147</f>
        <v>44.599999999999909</v>
      </c>
      <c r="F148" s="309">
        <f t="shared" si="147"/>
        <v>55.400000000000546</v>
      </c>
      <c r="G148" s="309">
        <f t="shared" si="147"/>
        <v>102.00000000000045</v>
      </c>
      <c r="H148" s="309">
        <f t="shared" si="147"/>
        <v>223.00000000000045</v>
      </c>
      <c r="I148" s="310">
        <f>SUM(I145:I147)</f>
        <v>1423.5211290233456</v>
      </c>
      <c r="J148" s="310">
        <f t="shared" ref="J148:M148" si="148">SUM(J145:J147)</f>
        <v>2481.2340616069932</v>
      </c>
      <c r="K148" s="310">
        <f t="shared" si="148"/>
        <v>3654.9457891469629</v>
      </c>
      <c r="L148" s="310">
        <f t="shared" si="148"/>
        <v>4250.3237681258734</v>
      </c>
      <c r="M148" s="310">
        <f t="shared" si="148"/>
        <v>4661.3341451782826</v>
      </c>
      <c r="N148" s="310">
        <f t="shared" ref="N148:R148" si="149">SUM(N145:N147)</f>
        <v>5316.4947954984855</v>
      </c>
      <c r="O148" s="310">
        <f t="shared" si="149"/>
        <v>6209.685018243561</v>
      </c>
      <c r="P148" s="310">
        <f t="shared" si="149"/>
        <v>7362.1420772151905</v>
      </c>
      <c r="Q148" s="310">
        <f t="shared" si="149"/>
        <v>8797.9614896512358</v>
      </c>
      <c r="R148" s="310">
        <f t="shared" si="149"/>
        <v>10544.459532890203</v>
      </c>
    </row>
    <row r="149" spans="2:18">
      <c r="I149" s="106"/>
    </row>
    <row r="150" spans="2:18">
      <c r="E150" s="140"/>
      <c r="F150" s="140"/>
      <c r="G150" s="140"/>
      <c r="H150" s="140"/>
    </row>
    <row r="151" spans="2:18">
      <c r="D151" s="140"/>
      <c r="E151" s="140"/>
      <c r="F151" s="140"/>
      <c r="G151" s="140"/>
      <c r="H151" s="140"/>
    </row>
    <row r="152" spans="2:18">
      <c r="D152" s="140"/>
      <c r="E152" s="140"/>
      <c r="F152" s="140"/>
      <c r="G152" s="140"/>
      <c r="H152" s="140"/>
    </row>
  </sheetData>
  <sheetProtection algorithmName="SHA-512" hashValue="SHGtfK+g90jhlahrT3awhlqlBAc2vkesaWvbJYgkOZ7lAqlV4DVFHETLb+48nH01wLU6SUxODskfGHdJZYvCiQ==" saltValue="Fi3qcoNMszNo/6UPLtgndg==" spinCount="100000" sheet="1" objects="1" scenarios="1" selectLockedCells="1" selectUnlockedCells="1"/>
  <pageMargins left="0.7" right="0.7" top="0.75" bottom="0.75" header="0.3" footer="0.3"/>
  <pageSetup orientation="portrait" r:id="rId1"/>
  <ignoredErrors>
    <ignoredError sqref="D129:D130 E129:H130" formulaRange="1"/>
    <ignoredError sqref="K71:M71 I71 J7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Drop Down 1">
              <controlPr defaultSize="0" autoLine="0" autoPict="0">
                <anchor moveWithCells="1">
                  <from>
                    <xdr:col>8</xdr:col>
                    <xdr:colOff>7620</xdr:colOff>
                    <xdr:row>2</xdr:row>
                    <xdr:rowOff>182880</xdr:rowOff>
                  </from>
                  <to>
                    <xdr:col>9</xdr:col>
                    <xdr:colOff>396240</xdr:colOff>
                    <xdr:row>4</xdr:row>
                    <xdr:rowOff>7620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64C07-1C87-4366-84C7-32A02BC66AB0}">
  <dimension ref="A1:Q102"/>
  <sheetViews>
    <sheetView showGridLines="0" zoomScale="90" zoomScaleNormal="90" workbookViewId="0">
      <pane ySplit="9" topLeftCell="A10" activePane="bottomLeft" state="frozen"/>
      <selection pane="bottomLeft" activeCell="B9" sqref="B9"/>
    </sheetView>
  </sheetViews>
  <sheetFormatPr defaultRowHeight="14.4"/>
  <cols>
    <col min="1" max="1" width="1.88671875" customWidth="1"/>
    <col min="2" max="2" width="37" customWidth="1"/>
    <col min="3" max="3" width="20.44140625" bestFit="1" customWidth="1"/>
    <col min="4" max="7" width="8.88671875" customWidth="1"/>
    <col min="8" max="8" width="12.5546875" customWidth="1"/>
    <col min="9" max="13" width="8.88671875" customWidth="1"/>
    <col min="14" max="14" width="1.109375" customWidth="1"/>
    <col min="18" max="18" width="12" bestFit="1" customWidth="1"/>
  </cols>
  <sheetData>
    <row r="1" spans="1:16" ht="6.6" customHeight="1"/>
    <row r="2" spans="1:16" ht="21">
      <c r="B2" s="462" t="str">
        <f>'Input Sheet'!C5</f>
        <v>Eicher Motors</v>
      </c>
    </row>
    <row r="3" spans="1:16" ht="15.6">
      <c r="B3" s="9" t="s">
        <v>576</v>
      </c>
    </row>
    <row r="4" spans="1:16">
      <c r="H4" t="s">
        <v>22</v>
      </c>
      <c r="I4">
        <v>0</v>
      </c>
    </row>
    <row r="7" spans="1:16">
      <c r="O7" s="18"/>
      <c r="P7" s="19"/>
    </row>
    <row r="8" spans="1:16" ht="15.6">
      <c r="D8" s="261"/>
      <c r="E8" s="261"/>
      <c r="F8" s="261" t="s">
        <v>252</v>
      </c>
      <c r="G8" s="262"/>
      <c r="H8" s="262"/>
      <c r="I8" s="463" t="s">
        <v>580</v>
      </c>
      <c r="J8" s="463"/>
      <c r="K8" s="463"/>
      <c r="L8" s="463"/>
      <c r="M8" s="463"/>
      <c r="O8" s="32"/>
      <c r="P8" s="32"/>
    </row>
    <row r="9" spans="1:16">
      <c r="B9" s="495" t="s">
        <v>15</v>
      </c>
      <c r="C9" s="11"/>
      <c r="D9" s="51">
        <f>Controlsheet!D9</f>
        <v>2021</v>
      </c>
      <c r="E9" s="51">
        <f>Controlsheet!E9</f>
        <v>2022</v>
      </c>
      <c r="F9" s="51">
        <f>Controlsheet!F9</f>
        <v>2023</v>
      </c>
      <c r="G9" s="51">
        <f>Controlsheet!G9</f>
        <v>2024</v>
      </c>
      <c r="H9" s="51">
        <f>Controlsheet!H9</f>
        <v>2025</v>
      </c>
      <c r="I9" s="51">
        <f>H9+1</f>
        <v>2026</v>
      </c>
      <c r="J9" s="51">
        <f>I9+1</f>
        <v>2027</v>
      </c>
      <c r="K9" s="51">
        <f>J9+1</f>
        <v>2028</v>
      </c>
      <c r="L9" s="51">
        <f t="shared" ref="L9:M9" si="0">K9+1</f>
        <v>2029</v>
      </c>
      <c r="M9" s="51">
        <f t="shared" si="0"/>
        <v>2030</v>
      </c>
      <c r="O9" s="19"/>
      <c r="P9" s="19"/>
    </row>
    <row r="10" spans="1:16">
      <c r="B10" s="64"/>
      <c r="F10" s="65"/>
      <c r="G10" s="66"/>
      <c r="H10" s="66"/>
      <c r="I10" s="66"/>
      <c r="J10" s="66"/>
      <c r="K10" s="66"/>
      <c r="L10" s="66"/>
      <c r="M10" s="66"/>
    </row>
    <row r="11" spans="1:16" ht="15.6">
      <c r="A11" s="18" t="s">
        <v>18</v>
      </c>
      <c r="B11" s="463" t="s">
        <v>69</v>
      </c>
      <c r="C11" s="463"/>
      <c r="D11" s="463"/>
      <c r="E11" s="463"/>
      <c r="F11" s="465"/>
      <c r="G11" s="465"/>
      <c r="H11" s="465"/>
      <c r="I11" s="465"/>
      <c r="J11" s="465"/>
      <c r="K11" s="465"/>
      <c r="L11" s="465"/>
      <c r="M11" s="465"/>
    </row>
    <row r="13" spans="1:16">
      <c r="B13" s="52" t="s">
        <v>38</v>
      </c>
      <c r="D13" s="237">
        <f>'3StatementModel'!D13/'3StatementModel'!D$13</f>
        <v>1</v>
      </c>
      <c r="E13" s="237">
        <f>'3StatementModel'!E13/'3StatementModel'!E$13</f>
        <v>1</v>
      </c>
      <c r="F13" s="237">
        <f>'3StatementModel'!F13/'3StatementModel'!F$13</f>
        <v>1</v>
      </c>
      <c r="G13" s="237">
        <f>'3StatementModel'!G13/'3StatementModel'!G$13</f>
        <v>1</v>
      </c>
      <c r="H13" s="237">
        <f>'3StatementModel'!H13/'3StatementModel'!H$13</f>
        <v>1</v>
      </c>
      <c r="I13" s="237">
        <f>'3StatementModel'!I13/'3StatementModel'!I$13</f>
        <v>1</v>
      </c>
      <c r="J13" s="237">
        <f>'3StatementModel'!J13/'3StatementModel'!J$13</f>
        <v>1</v>
      </c>
      <c r="K13" s="237">
        <f>'3StatementModel'!K13/'3StatementModel'!K$13</f>
        <v>1</v>
      </c>
      <c r="L13" s="237">
        <f>'3StatementModel'!L13/'3StatementModel'!L$13</f>
        <v>1</v>
      </c>
      <c r="M13" s="237">
        <f>'3StatementModel'!M13/'3StatementModel'!M$13</f>
        <v>1</v>
      </c>
      <c r="N13" s="19"/>
      <c r="O13" s="145"/>
      <c r="P13" s="145"/>
    </row>
    <row r="14" spans="1:16">
      <c r="B14" s="55" t="s">
        <v>0</v>
      </c>
      <c r="D14" s="237">
        <f>'3StatementModel'!D14/'3StatementModel'!D$13</f>
        <v>0.58624596489819791</v>
      </c>
      <c r="E14" s="237">
        <f>'3StatementModel'!E14/'3StatementModel'!E$13</f>
        <v>0.57834320434499298</v>
      </c>
      <c r="F14" s="237">
        <f>'3StatementModel'!F14/'3StatementModel'!F$13</f>
        <v>0.56860529366065227</v>
      </c>
      <c r="G14" s="237">
        <f>'3StatementModel'!G14/'3StatementModel'!G$13</f>
        <v>0.54310410515863183</v>
      </c>
      <c r="H14" s="237">
        <f>'3StatementModel'!H14/'3StatementModel'!H$13</f>
        <v>0.54567509346673493</v>
      </c>
      <c r="I14" s="237">
        <f>'3StatementModel'!I14/'3StatementModel'!I$13</f>
        <v>0.55000000000000004</v>
      </c>
      <c r="J14" s="237">
        <f>'3StatementModel'!J14/'3StatementModel'!J$13</f>
        <v>0.55600000000000005</v>
      </c>
      <c r="K14" s="237">
        <f>'3StatementModel'!K14/'3StatementModel'!K$13</f>
        <v>0.56200000000000006</v>
      </c>
      <c r="L14" s="237">
        <f>'3StatementModel'!L14/'3StatementModel'!L$13</f>
        <v>0.56800000000000006</v>
      </c>
      <c r="M14" s="237">
        <f>'3StatementModel'!M14/'3StatementModel'!M$13</f>
        <v>0.57400000000000007</v>
      </c>
      <c r="N14" s="19"/>
      <c r="O14" s="145"/>
      <c r="P14" s="145"/>
    </row>
    <row r="15" spans="1:16">
      <c r="B15" s="57" t="s">
        <v>1</v>
      </c>
      <c r="C15" s="12"/>
      <c r="D15" s="238">
        <f>'3StatementModel'!D15/'3StatementModel'!D$13</f>
        <v>0.41375403510180209</v>
      </c>
      <c r="E15" s="238">
        <f>'3StatementModel'!E15/'3StatementModel'!E$13</f>
        <v>0.42165679565500697</v>
      </c>
      <c r="F15" s="238">
        <f>'3StatementModel'!F15/'3StatementModel'!F$13</f>
        <v>0.43139470633934768</v>
      </c>
      <c r="G15" s="238">
        <f>'3StatementModel'!G15/'3StatementModel'!G$13</f>
        <v>0.45689589484136822</v>
      </c>
      <c r="H15" s="238">
        <f>'3StatementModel'!H15/'3StatementModel'!H$13</f>
        <v>0.45432490653326513</v>
      </c>
      <c r="I15" s="238">
        <f>'3StatementModel'!I15/'3StatementModel'!I$13</f>
        <v>0.44999999999999996</v>
      </c>
      <c r="J15" s="238">
        <f>'3StatementModel'!J15/'3StatementModel'!J$13</f>
        <v>0.44399999999999995</v>
      </c>
      <c r="K15" s="238">
        <f>'3StatementModel'!K15/'3StatementModel'!K$13</f>
        <v>0.43799999999999994</v>
      </c>
      <c r="L15" s="238">
        <f>'3StatementModel'!L15/'3StatementModel'!L$13</f>
        <v>0.43199999999999994</v>
      </c>
      <c r="M15" s="238">
        <f>'3StatementModel'!M15/'3StatementModel'!M$13</f>
        <v>0.42599999999999993</v>
      </c>
      <c r="N15" s="221"/>
      <c r="O15" s="145"/>
      <c r="P15" s="145"/>
    </row>
    <row r="16" spans="1:16">
      <c r="B16" s="53"/>
      <c r="D16" s="18"/>
      <c r="E16" s="239"/>
      <c r="F16" s="240"/>
      <c r="G16" s="240"/>
      <c r="H16" s="240"/>
      <c r="I16" s="240"/>
      <c r="J16" s="240"/>
      <c r="K16" s="240"/>
      <c r="L16" s="240"/>
      <c r="M16" s="240"/>
      <c r="N16" s="19"/>
      <c r="O16" s="19"/>
      <c r="P16" s="19"/>
    </row>
    <row r="17" spans="2:16">
      <c r="B17" s="54" t="s">
        <v>57</v>
      </c>
      <c r="D17" s="241"/>
      <c r="E17" s="239"/>
      <c r="F17" s="240"/>
      <c r="G17" s="240"/>
      <c r="H17" s="240"/>
      <c r="I17" s="240"/>
      <c r="J17" s="240"/>
      <c r="K17" s="240"/>
      <c r="L17" s="240"/>
      <c r="M17" s="240"/>
      <c r="N17" s="19"/>
      <c r="O17" s="19"/>
      <c r="P17" s="19"/>
    </row>
    <row r="18" spans="2:16">
      <c r="B18" s="55" t="s">
        <v>314</v>
      </c>
      <c r="D18" s="241">
        <f>'3StatementModel'!D20/'3StatementModel'!D$13</f>
        <v>9.6696806894218695E-2</v>
      </c>
      <c r="E18" s="241">
        <f>'3StatementModel'!E20/'3StatementModel'!E$13</f>
        <v>7.9727476565451164E-2</v>
      </c>
      <c r="F18" s="241">
        <f>'3StatementModel'!F20/'3StatementModel'!F$13</f>
        <v>6.9375260521610999E-2</v>
      </c>
      <c r="G18" s="241">
        <f>'3StatementModel'!G20/'3StatementModel'!G$13</f>
        <v>7.4728255939544436E-2</v>
      </c>
      <c r="H18" s="241">
        <f>'3StatementModel'!H20/'3StatementModel'!H$13</f>
        <v>7.3725712559650464E-2</v>
      </c>
      <c r="I18" s="241">
        <f>'3StatementModel'!I20/'3StatementModel'!I$13</f>
        <v>7.4999999999999997E-2</v>
      </c>
      <c r="J18" s="241">
        <f>'3StatementModel'!J20/'3StatementModel'!J$13</f>
        <v>7.4999999999999997E-2</v>
      </c>
      <c r="K18" s="241">
        <f>'3StatementModel'!K20/'3StatementModel'!K$13</f>
        <v>7.4999999999999997E-2</v>
      </c>
      <c r="L18" s="241">
        <f>'3StatementModel'!L20/'3StatementModel'!L$13</f>
        <v>7.4999999999999997E-2</v>
      </c>
      <c r="M18" s="241">
        <f>'3StatementModel'!M20/'3StatementModel'!M$13</f>
        <v>7.4999999999999997E-2</v>
      </c>
      <c r="N18" s="19"/>
      <c r="O18" s="145"/>
      <c r="P18" s="145"/>
    </row>
    <row r="19" spans="2:16">
      <c r="B19" s="55" t="s">
        <v>306</v>
      </c>
      <c r="D19" s="241">
        <f>'3StatementModel'!D21/'3StatementModel'!D$13</f>
        <v>1.5998211080977251E-2</v>
      </c>
      <c r="E19" s="241">
        <f>'3StatementModel'!E21/'3StatementModel'!E$13</f>
        <v>1.9281732170758306E-2</v>
      </c>
      <c r="F19" s="241">
        <f>'3StatementModel'!F21/'3StatementModel'!F$13</f>
        <v>1.8158615943022451E-2</v>
      </c>
      <c r="G19" s="241">
        <f>'3StatementModel'!G21/'3StatementModel'!G$13</f>
        <v>1.4461972764514283E-2</v>
      </c>
      <c r="H19" s="241">
        <f>'3StatementModel'!H21/'3StatementModel'!H$13</f>
        <v>1.518572787468171E-2</v>
      </c>
      <c r="I19" s="241">
        <f>'3StatementModel'!I21/'3StatementModel'!I$13</f>
        <v>1.7000000000000001E-2</v>
      </c>
      <c r="J19" s="241">
        <f>'3StatementModel'!J21/'3StatementModel'!J$13</f>
        <v>1.7000000000000001E-2</v>
      </c>
      <c r="K19" s="241">
        <f>'3StatementModel'!K21/'3StatementModel'!K$13</f>
        <v>1.7000000000000001E-2</v>
      </c>
      <c r="L19" s="241">
        <f>'3StatementModel'!L21/'3StatementModel'!L$13</f>
        <v>1.7000000000000001E-2</v>
      </c>
      <c r="M19" s="241">
        <f>'3StatementModel'!M21/'3StatementModel'!M$13</f>
        <v>1.7000000000000001E-2</v>
      </c>
      <c r="N19" s="19"/>
      <c r="O19" s="145"/>
      <c r="P19" s="145"/>
    </row>
    <row r="20" spans="2:16">
      <c r="B20" s="56" t="s">
        <v>294</v>
      </c>
      <c r="D20" s="241">
        <f>'3StatementModel'!D22/'3StatementModel'!D$13</f>
        <v>1.388705728554473E-2</v>
      </c>
      <c r="E20" s="241">
        <f>'3StatementModel'!E22/'3StatementModel'!E$13</f>
        <v>1.7573605312963994E-2</v>
      </c>
      <c r="F20" s="241">
        <f>'3StatementModel'!F22/'3StatementModel'!F$13</f>
        <v>1.8891192326920173E-2</v>
      </c>
      <c r="G20" s="241">
        <f>'3StatementModel'!G22/'3StatementModel'!G$13</f>
        <v>1.6060324943849034E-2</v>
      </c>
      <c r="H20" s="241">
        <f>'3StatementModel'!H22/'3StatementModel'!H$13</f>
        <v>1.7521667589631352E-2</v>
      </c>
      <c r="I20" s="241">
        <f>'3StatementModel'!I22/'3StatementModel'!I$13</f>
        <v>1.6E-2</v>
      </c>
      <c r="J20" s="241">
        <f>'3StatementModel'!J22/'3StatementModel'!J$13</f>
        <v>1.6E-2</v>
      </c>
      <c r="K20" s="241">
        <f>'3StatementModel'!K22/'3StatementModel'!K$13</f>
        <v>1.6E-2</v>
      </c>
      <c r="L20" s="241">
        <f>'3StatementModel'!L22/'3StatementModel'!L$13</f>
        <v>1.6E-2</v>
      </c>
      <c r="M20" s="241">
        <f>'3StatementModel'!M22/'3StatementModel'!M$13</f>
        <v>1.6E-2</v>
      </c>
      <c r="N20" s="19"/>
      <c r="O20" s="145"/>
      <c r="P20" s="145"/>
    </row>
    <row r="21" spans="2:16">
      <c r="B21" s="55" t="s">
        <v>315</v>
      </c>
      <c r="D21" s="241">
        <f>'3StatementModel'!D23/'3StatementModel'!D$13</f>
        <v>2.0748020434959605E-2</v>
      </c>
      <c r="E21" s="241">
        <f>'3StatementModel'!E23/'3StatementModel'!E$13</f>
        <v>2.7645630195876219E-2</v>
      </c>
      <c r="F21" s="241">
        <f>'3StatementModel'!F23/'3StatementModel'!F$13</f>
        <v>2.9523936137065179E-2</v>
      </c>
      <c r="G21" s="241">
        <f>'3StatementModel'!G23/'3StatementModel'!G$13</f>
        <v>3.3031402207818444E-2</v>
      </c>
      <c r="H21" s="241">
        <f>'3StatementModel'!H23/'3StatementModel'!H$13</f>
        <v>4.0321456676744208E-2</v>
      </c>
      <c r="I21" s="241">
        <f>'3StatementModel'!I23/'3StatementModel'!I$13</f>
        <v>2.8000000000000001E-2</v>
      </c>
      <c r="J21" s="241">
        <f>'3StatementModel'!J23/'3StatementModel'!J$13</f>
        <v>2.8000000000000001E-2</v>
      </c>
      <c r="K21" s="241">
        <f>'3StatementModel'!K23/'3StatementModel'!K$13</f>
        <v>2.8000000000000001E-2</v>
      </c>
      <c r="L21" s="241">
        <f>'3StatementModel'!L23/'3StatementModel'!L$13</f>
        <v>2.8000000000000001E-2</v>
      </c>
      <c r="M21" s="241">
        <f>'3StatementModel'!M23/'3StatementModel'!M$13</f>
        <v>2.8000000000000001E-2</v>
      </c>
      <c r="N21" s="19"/>
      <c r="O21" s="145"/>
      <c r="P21" s="145"/>
    </row>
    <row r="22" spans="2:16">
      <c r="B22" s="55" t="s">
        <v>309</v>
      </c>
      <c r="D22" s="241">
        <f>'3StatementModel'!D24/'3StatementModel'!D$13</f>
        <v>6.2151175124851639E-2</v>
      </c>
      <c r="E22" s="241">
        <f>'3StatementModel'!E24/'3StatementModel'!E$13</f>
        <v>6.6485851873647181E-2</v>
      </c>
      <c r="F22" s="241">
        <f>'3StatementModel'!F24/'3StatementModel'!F$13</f>
        <v>5.700662919309965E-2</v>
      </c>
      <c r="G22" s="241">
        <f>'3StatementModel'!G24/'3StatementModel'!G$13</f>
        <v>5.6944395728535338E-2</v>
      </c>
      <c r="H22" s="241">
        <f>'3StatementModel'!H24/'3StatementModel'!H$13</f>
        <v>5.786485147334311E-2</v>
      </c>
      <c r="I22" s="241">
        <f>'3StatementModel'!I24/'3StatementModel'!I$13</f>
        <v>6.0999999999999999E-2</v>
      </c>
      <c r="J22" s="241">
        <f>'3StatementModel'!J24/'3StatementModel'!J$13</f>
        <v>6.1000000000000006E-2</v>
      </c>
      <c r="K22" s="241">
        <f>'3StatementModel'!K24/'3StatementModel'!K$13</f>
        <v>6.0999999999999992E-2</v>
      </c>
      <c r="L22" s="241">
        <f>'3StatementModel'!L24/'3StatementModel'!L$13</f>
        <v>6.1000000000000006E-2</v>
      </c>
      <c r="M22" s="241">
        <f>'3StatementModel'!M24/'3StatementModel'!M$13</f>
        <v>6.0999999999999999E-2</v>
      </c>
      <c r="N22" s="19"/>
      <c r="O22" s="145"/>
      <c r="P22" s="145"/>
    </row>
    <row r="23" spans="2:16">
      <c r="B23" s="58" t="s">
        <v>59</v>
      </c>
      <c r="C23" s="12"/>
      <c r="D23" s="238">
        <f>'3StatementModel'!D25/'3StatementModel'!D$13</f>
        <v>0.20427276428125016</v>
      </c>
      <c r="E23" s="238">
        <f>'3StatementModel'!E25/'3StatementModel'!E$13</f>
        <v>0.21094249953631011</v>
      </c>
      <c r="F23" s="238">
        <f>'3StatementModel'!F25/'3StatementModel'!F$13</f>
        <v>0.23843907221762925</v>
      </c>
      <c r="G23" s="238">
        <f>'3StatementModel'!G25/'3StatementModel'!G$13</f>
        <v>0.26166954325710673</v>
      </c>
      <c r="H23" s="238">
        <f>'3StatementModel'!H25/'3StatementModel'!H$13</f>
        <v>0.24970549035921427</v>
      </c>
      <c r="I23" s="238">
        <f>'3StatementModel'!I25/'3StatementModel'!I$13</f>
        <v>0.25299999999999995</v>
      </c>
      <c r="J23" s="238">
        <f>'3StatementModel'!J25/'3StatementModel'!J$13</f>
        <v>0.247</v>
      </c>
      <c r="K23" s="238">
        <f>'3StatementModel'!K25/'3StatementModel'!K$13</f>
        <v>0.24099999999999996</v>
      </c>
      <c r="L23" s="238">
        <f>'3StatementModel'!L25/'3StatementModel'!L$13</f>
        <v>0.2349999999999999</v>
      </c>
      <c r="M23" s="238">
        <f>'3StatementModel'!M25/'3StatementModel'!M$13</f>
        <v>0.22899999999999998</v>
      </c>
      <c r="N23" s="19"/>
      <c r="O23" s="145"/>
      <c r="P23" s="145"/>
    </row>
    <row r="24" spans="2:16">
      <c r="B24" s="61"/>
      <c r="D24" s="225"/>
      <c r="E24" s="225"/>
      <c r="F24" s="225"/>
      <c r="G24" s="225"/>
      <c r="H24" s="225"/>
      <c r="I24" s="225"/>
      <c r="J24" s="225"/>
      <c r="K24" s="225"/>
      <c r="L24" s="225"/>
      <c r="M24" s="225"/>
      <c r="N24" s="19"/>
      <c r="O24" s="145"/>
      <c r="P24" s="145"/>
    </row>
    <row r="25" spans="2:16">
      <c r="B25" s="61" t="s">
        <v>41</v>
      </c>
      <c r="D25" s="237">
        <f>'3StatementModel'!D29/'3StatementModel'!D$13</f>
        <v>5.1687145584752903E-2</v>
      </c>
      <c r="E25" s="237">
        <f>'3StatementModel'!E29/'3StatementModel'!E$13</f>
        <v>4.3885944902955283E-2</v>
      </c>
      <c r="F25" s="237">
        <f>'3StatementModel'!F29/'3StatementModel'!F$13</f>
        <v>3.643563506340456E-2</v>
      </c>
      <c r="G25" s="237">
        <f>'3StatementModel'!G29/'3StatementModel'!G$13</f>
        <v>3.6139813180872025E-2</v>
      </c>
      <c r="H25" s="237">
        <f>'3StatementModel'!H29/'3StatementModel'!H$13</f>
        <v>3.8649521603997809E-2</v>
      </c>
      <c r="I25" s="237">
        <f>'3StatementModel'!I29/'3StatementModel'!I$13</f>
        <v>3.9138003592246923E-2</v>
      </c>
      <c r="J25" s="237">
        <f>'3StatementModel'!J29/'3StatementModel'!J$13</f>
        <v>3.9096479237499843E-2</v>
      </c>
      <c r="K25" s="237">
        <f>'3StatementModel'!K29/'3StatementModel'!K$13</f>
        <v>3.8710572853364864E-2</v>
      </c>
      <c r="L25" s="237">
        <f>'3StatementModel'!L29/'3StatementModel'!L$13</f>
        <v>3.8115218175674925E-2</v>
      </c>
      <c r="M25" s="237">
        <f>'3StatementModel'!M29/'3StatementModel'!M$13</f>
        <v>3.7408333966409621E-2</v>
      </c>
      <c r="N25" s="19"/>
      <c r="O25" s="145"/>
      <c r="P25" s="145"/>
    </row>
    <row r="26" spans="2:16">
      <c r="B26" s="58" t="s">
        <v>58</v>
      </c>
      <c r="C26" s="12"/>
      <c r="D26" s="242">
        <f>'3StatementModel'!D30/'3StatementModel'!D$15</f>
        <v>0.36878339726391873</v>
      </c>
      <c r="E26" s="242">
        <f>'3StatementModel'!E30/'3StatementModel'!E$15</f>
        <v>0.39619082712481146</v>
      </c>
      <c r="F26" s="242">
        <f>'3StatementModel'!F30/'3StatementModel'!F$15</f>
        <v>0.46825664336113315</v>
      </c>
      <c r="G26" s="242">
        <f>'3StatementModel'!G30/'3StatementModel'!G$15</f>
        <v>0.49361294908227926</v>
      </c>
      <c r="H26" s="242">
        <f>'3StatementModel'!H30/'3StatementModel'!H$15</f>
        <v>0.4645485328235317</v>
      </c>
      <c r="I26" s="242">
        <f>'3StatementModel'!I30/'3StatementModel'!I$15</f>
        <v>0.47524888090611794</v>
      </c>
      <c r="J26" s="242">
        <f>'3StatementModel'!J30/'3StatementModel'!J$15</f>
        <v>0.46825117288851387</v>
      </c>
      <c r="K26" s="242">
        <f>'3StatementModel'!K30/'3StatementModel'!K$15</f>
        <v>0.46184800718409846</v>
      </c>
      <c r="L26" s="242">
        <f>'3StatementModel'!L30/'3StatementModel'!L$15</f>
        <v>0.45575180977853014</v>
      </c>
      <c r="M26" s="242">
        <f>'3StatementModel'!M30/'3StatementModel'!M$15</f>
        <v>0.44974569491453137</v>
      </c>
      <c r="N26" s="19"/>
      <c r="O26" s="145"/>
      <c r="P26" s="145"/>
    </row>
    <row r="27" spans="2:16">
      <c r="B27" s="61"/>
      <c r="D27" s="225"/>
      <c r="E27" s="225"/>
      <c r="F27" s="225"/>
      <c r="G27" s="225"/>
      <c r="H27" s="225"/>
      <c r="I27" s="225"/>
      <c r="J27" s="225"/>
      <c r="K27" s="225"/>
      <c r="L27" s="225"/>
      <c r="M27" s="225"/>
      <c r="N27" s="19"/>
      <c r="O27" s="145"/>
      <c r="P27" s="145"/>
    </row>
    <row r="28" spans="2:16">
      <c r="B28" s="52" t="s">
        <v>447</v>
      </c>
      <c r="C28" s="26"/>
      <c r="D28" s="237">
        <f>'3StatementModel'!D34/'3StatementModel'!D$13</f>
        <v>1.8863921746260183E-3</v>
      </c>
      <c r="E28" s="237">
        <f>'3StatementModel'!E34/'3StatementModel'!E$13</f>
        <v>1.8236851841601581E-3</v>
      </c>
      <c r="F28" s="237">
        <f>'3StatementModel'!F34/'3StatementModel'!F$13</f>
        <v>1.9401503097177849E-3</v>
      </c>
      <c r="G28" s="237">
        <f>'3StatementModel'!G34/'3StatementModel'!G$13</f>
        <v>3.0769640137931205E-3</v>
      </c>
      <c r="H28" s="237">
        <f>'3StatementModel'!H34/'3StatementModel'!H$13</f>
        <v>2.8796498210155088E-3</v>
      </c>
      <c r="I28" s="237">
        <f>'3StatementModel'!I34/'3StatementModel'!I$13</f>
        <v>1.0247724484039318E-3</v>
      </c>
      <c r="J28" s="237">
        <f>'3StatementModel'!J34/'3StatementModel'!J$13</f>
        <v>1.0370377461706784E-3</v>
      </c>
      <c r="K28" s="237">
        <f>'3StatementModel'!K34/'3StatementModel'!K$13</f>
        <v>8.9234581497797357E-4</v>
      </c>
      <c r="L28" s="237">
        <f>'3StatementModel'!L34/'3StatementModel'!L$13</f>
        <v>7.4677660753880268E-4</v>
      </c>
      <c r="M28" s="237">
        <f>'3StatementModel'!M34/'3StatementModel'!M$13</f>
        <v>6.0031250000000004E-4</v>
      </c>
      <c r="N28" s="19"/>
      <c r="O28" s="19"/>
      <c r="P28" s="19"/>
    </row>
    <row r="29" spans="2:16">
      <c r="B29" s="52" t="s">
        <v>451</v>
      </c>
      <c r="C29" s="26"/>
      <c r="D29" s="237">
        <f>'3StatementModel'!D35/'3StatementModel'!D$13</f>
        <v>5.1969244353724332E-2</v>
      </c>
      <c r="E29" s="237">
        <f>'3StatementModel'!E35/'3StatementModel'!E$13</f>
        <v>4.2807076830749781E-2</v>
      </c>
      <c r="F29" s="237">
        <f>'3StatementModel'!F35/'3StatementModel'!F$13</f>
        <v>4.1206382969884048E-2</v>
      </c>
      <c r="G29" s="237">
        <f>'3StatementModel'!G35/'3StatementModel'!G$13</f>
        <v>6.5063153960684045E-2</v>
      </c>
      <c r="H29" s="237">
        <f>'3StatementModel'!H35/'3StatementModel'!H$13</f>
        <v>6.915081066328925E-2</v>
      </c>
      <c r="I29" s="237">
        <f>'3StatementModel'!I35/'3StatementModel'!I$13</f>
        <v>5.1999999999999998E-2</v>
      </c>
      <c r="J29" s="237">
        <f>'3StatementModel'!J35/'3StatementModel'!J$13</f>
        <v>5.1999999999999998E-2</v>
      </c>
      <c r="K29" s="237">
        <f>'3StatementModel'!K35/'3StatementModel'!K$13</f>
        <v>5.1999999999999998E-2</v>
      </c>
      <c r="L29" s="237">
        <f>'3StatementModel'!L35/'3StatementModel'!L$13</f>
        <v>5.1999999999999998E-2</v>
      </c>
      <c r="M29" s="237">
        <f>'3StatementModel'!M35/'3StatementModel'!M$13</f>
        <v>5.1999999999999998E-2</v>
      </c>
      <c r="N29" s="19"/>
      <c r="O29" s="19"/>
      <c r="P29" s="19"/>
    </row>
    <row r="30" spans="2:16">
      <c r="B30" s="52" t="s">
        <v>174</v>
      </c>
      <c r="C30" s="26"/>
      <c r="D30" s="237">
        <f>'3StatementModel'!D36/'3StatementModel'!D$13</f>
        <v>3.5698108447482038E-3</v>
      </c>
      <c r="E30" s="237">
        <f>'3StatementModel'!E36/'3StatementModel'!E$13</f>
        <v>5.8410364125257453E-3</v>
      </c>
      <c r="F30" s="237">
        <f>'3StatementModel'!F36/'3StatementModel'!F$13</f>
        <v>2.18228826949948E-2</v>
      </c>
      <c r="G30" s="237">
        <f>'3StatementModel'!G36/'3StatementModel'!G$13</f>
        <v>2.7075831923259748E-2</v>
      </c>
      <c r="H30" s="237">
        <f>'3StatementModel'!H36/'3StatementModel'!H$13</f>
        <v>3.7085162702334612E-2</v>
      </c>
      <c r="I30" s="237">
        <f>'3StatementModel'!I36/'3StatementModel'!I$13</f>
        <v>3.2247967567247494E-2</v>
      </c>
      <c r="J30" s="237">
        <f>'3StatementModel'!J36/'3StatementModel'!J$13</f>
        <v>2.8225792181398243E-2</v>
      </c>
      <c r="K30" s="237">
        <f>'3StatementModel'!K36/'3StatementModel'!K$13</f>
        <v>2.4868539366870699E-2</v>
      </c>
      <c r="L30" s="237">
        <f>'3StatementModel'!L36/'3StatementModel'!L$13</f>
        <v>2.2056354205650289E-2</v>
      </c>
      <c r="M30" s="237">
        <f>'3StatementModel'!M36/'3StatementModel'!M$13</f>
        <v>1.9693173397902039E-2</v>
      </c>
      <c r="N30" s="19"/>
      <c r="O30" s="19"/>
      <c r="P30" s="19"/>
    </row>
    <row r="31" spans="2:16">
      <c r="B31" s="58" t="s">
        <v>450</v>
      </c>
      <c r="C31" s="13"/>
      <c r="D31" s="242">
        <f>'3StatementModel'!D37/'3StatementModel'!D$13</f>
        <v>0.20623828172034375</v>
      </c>
      <c r="E31" s="242">
        <f>'3StatementModel'!E37/'3StatementModel'!E$13</f>
        <v>0.21388098269247019</v>
      </c>
      <c r="F31" s="242">
        <f>'3StatementModel'!F37/'3StatementModel'!F$13</f>
        <v>0.26309255250938579</v>
      </c>
      <c r="G31" s="242">
        <f>'3StatementModel'!G37/'3StatementModel'!G$13</f>
        <v>0.31459175194638533</v>
      </c>
      <c r="H31" s="242">
        <f>'3StatementModel'!H37/'3StatementModel'!H$13</f>
        <v>0.31441229229982481</v>
      </c>
      <c r="I31" s="242">
        <f>'3StatementModel'!I37/'3StatementModel'!I$13</f>
        <v>0.29708519152659657</v>
      </c>
      <c r="J31" s="242">
        <f>'3StatementModel'!J37/'3StatementModel'!J$13</f>
        <v>0.28709227519772773</v>
      </c>
      <c r="K31" s="242">
        <f>'3StatementModel'!K37/'3StatementModel'!K$13</f>
        <v>0.27826562069852784</v>
      </c>
      <c r="L31" s="242">
        <f>'3StatementModel'!L37/'3StatementModel'!L$13</f>
        <v>0.27019435942243641</v>
      </c>
      <c r="M31" s="242">
        <f>'3StatementModel'!M37/'3StatementModel'!M$13</f>
        <v>0.26268452693149241</v>
      </c>
      <c r="N31" s="19"/>
      <c r="O31" s="19"/>
      <c r="P31" s="19"/>
    </row>
    <row r="32" spans="2:16">
      <c r="B32" s="53"/>
      <c r="D32" s="237"/>
      <c r="E32" s="237"/>
      <c r="F32" s="237"/>
      <c r="G32" s="237"/>
      <c r="H32" s="237"/>
      <c r="I32" s="237"/>
      <c r="J32" s="237"/>
      <c r="K32" s="237"/>
      <c r="L32" s="237"/>
      <c r="M32" s="237"/>
      <c r="N32" s="19"/>
      <c r="O32" s="19"/>
      <c r="P32" s="19"/>
    </row>
    <row r="33" spans="1:16">
      <c r="B33" s="52" t="s">
        <v>3</v>
      </c>
      <c r="D33" s="237">
        <f>'3StatementModel'!D39/'3StatementModel'!D$13</f>
        <v>5.1775444792926888E-2</v>
      </c>
      <c r="E33" s="237">
        <f>'3StatementModel'!E39/'3StatementModel'!E$13</f>
        <v>5.1069982705094177E-2</v>
      </c>
      <c r="F33" s="237">
        <f>'3StatementModel'!F39/'3StatementModel'!F$13</f>
        <v>6.1326614126122239E-2</v>
      </c>
      <c r="G33" s="237">
        <f>'3StatementModel'!G39/'3StatementModel'!G$13</f>
        <v>7.2630985656558081E-2</v>
      </c>
      <c r="H33" s="237">
        <f>'3StatementModel'!H39/'3StatementModel'!H$13</f>
        <v>6.3519224603677205E-2</v>
      </c>
      <c r="I33" s="237">
        <f>'3StatementModel'!I39/'3StatementModel'!I$13</f>
        <v>5.3464710658588495E-2</v>
      </c>
      <c r="J33" s="237">
        <f>'3StatementModel'!J39/'3StatementModel'!J$13</f>
        <v>5.1964860533701959E-2</v>
      </c>
      <c r="K33" s="237">
        <f>'3StatementModel'!K39/'3StatementModel'!K$13</f>
        <v>5.0590946830512261E-2</v>
      </c>
      <c r="L33" s="237">
        <f>'3StatementModel'!L39/'3StatementModel'!L$13</f>
        <v>4.9269866910456685E-2</v>
      </c>
      <c r="M33" s="237">
        <f>'3StatementModel'!M39/'3StatementModel'!M$13</f>
        <v>4.7977028007637895E-2</v>
      </c>
      <c r="N33" s="19"/>
      <c r="O33" s="145"/>
      <c r="P33" s="145"/>
    </row>
    <row r="34" spans="1:16" ht="15" thickBot="1">
      <c r="B34" s="59" t="s">
        <v>4</v>
      </c>
      <c r="C34" s="60"/>
      <c r="D34" s="243">
        <f>'3StatementModel'!D40/'3StatementModel'!D$13</f>
        <v>0.15446283692741689</v>
      </c>
      <c r="E34" s="243">
        <f>'3StatementModel'!E40/'3StatementModel'!E$13</f>
        <v>0.16281099998737603</v>
      </c>
      <c r="F34" s="243">
        <f>'3StatementModel'!F40/'3StatementModel'!F$13</f>
        <v>0.20176593838326354</v>
      </c>
      <c r="G34" s="243">
        <f>'3StatementModel'!G40/'3StatementModel'!G$13</f>
        <v>0.24196076628982724</v>
      </c>
      <c r="H34" s="243">
        <f>'3StatementModel'!H40/'3StatementModel'!H$13</f>
        <v>0.25089306769614761</v>
      </c>
      <c r="I34" s="243">
        <f>'3StatementModel'!I40/'3StatementModel'!I$13</f>
        <v>0.24362048086800811</v>
      </c>
      <c r="J34" s="243">
        <f>'3StatementModel'!J40/'3StatementModel'!J$13</f>
        <v>0.23512741466402573</v>
      </c>
      <c r="K34" s="243">
        <f>'3StatementModel'!K40/'3StatementModel'!K$13</f>
        <v>0.22767467386801554</v>
      </c>
      <c r="L34" s="243">
        <f>'3StatementModel'!L40/'3StatementModel'!L$13</f>
        <v>0.22092449251197976</v>
      </c>
      <c r="M34" s="243">
        <f>'3StatementModel'!M40/'3StatementModel'!M$13</f>
        <v>0.21470749892385449</v>
      </c>
      <c r="N34" s="19"/>
      <c r="O34" s="145"/>
      <c r="P34" s="145"/>
    </row>
    <row r="35" spans="1:16" ht="15" thickTop="1">
      <c r="D35" s="239"/>
      <c r="E35" s="239"/>
      <c r="F35" s="239"/>
      <c r="G35" s="239"/>
      <c r="H35" s="239"/>
      <c r="I35" s="239"/>
      <c r="J35" s="239"/>
      <c r="K35" s="239"/>
      <c r="L35" s="239"/>
      <c r="M35" s="239"/>
      <c r="N35" s="19"/>
      <c r="O35" s="19"/>
      <c r="P35" s="19"/>
    </row>
    <row r="36" spans="1:16" ht="15.6">
      <c r="A36" s="18" t="s">
        <v>18</v>
      </c>
      <c r="B36" s="463" t="s">
        <v>70</v>
      </c>
      <c r="C36" s="463"/>
      <c r="D36" s="463"/>
      <c r="E36" s="463"/>
      <c r="F36" s="463"/>
      <c r="G36" s="463"/>
      <c r="H36" s="463"/>
      <c r="I36" s="463"/>
      <c r="J36" s="463"/>
      <c r="K36" s="463"/>
      <c r="L36" s="463"/>
      <c r="M36" s="463"/>
      <c r="N36" s="19"/>
      <c r="O36" s="19"/>
      <c r="P36" s="19"/>
    </row>
    <row r="37" spans="1:16">
      <c r="D37" s="239"/>
      <c r="E37" s="239"/>
      <c r="F37" s="239"/>
      <c r="G37" s="239"/>
      <c r="H37" s="239"/>
      <c r="I37" s="239"/>
      <c r="J37" s="239"/>
      <c r="K37" s="239"/>
      <c r="L37" s="239"/>
      <c r="M37" s="239"/>
      <c r="N37" s="19"/>
      <c r="O37" s="19"/>
      <c r="P37" s="19"/>
    </row>
    <row r="38" spans="1:16">
      <c r="B38" s="7" t="s">
        <v>5</v>
      </c>
      <c r="C38" s="1"/>
      <c r="D38" s="244"/>
      <c r="E38" s="244"/>
      <c r="F38" s="244"/>
      <c r="G38" s="244"/>
      <c r="H38" s="244"/>
      <c r="I38" s="244"/>
      <c r="J38" s="245"/>
      <c r="K38" s="244"/>
      <c r="L38" s="244"/>
      <c r="M38" s="244"/>
      <c r="N38" s="19"/>
      <c r="O38" s="19"/>
      <c r="P38" s="19"/>
    </row>
    <row r="39" spans="1:16">
      <c r="B39" s="7" t="s">
        <v>402</v>
      </c>
      <c r="C39" s="76"/>
      <c r="D39" s="244"/>
      <c r="E39" s="244"/>
      <c r="F39" s="240"/>
      <c r="G39" s="240"/>
      <c r="H39" s="240"/>
      <c r="I39" s="240"/>
      <c r="J39" s="240"/>
      <c r="K39" s="240"/>
      <c r="L39" s="240"/>
      <c r="M39" s="240"/>
      <c r="N39" s="19"/>
      <c r="O39" s="19"/>
      <c r="P39" s="19"/>
    </row>
    <row r="40" spans="1:16">
      <c r="B40" s="55" t="s">
        <v>398</v>
      </c>
      <c r="C40" s="1"/>
      <c r="D40" s="246">
        <f>'3StatementModel'!D53/'3StatementModel'!D$76</f>
        <v>0.13013987988313919</v>
      </c>
      <c r="E40" s="246">
        <f>'3StatementModel'!E53/'3StatementModel'!E$76</f>
        <v>0.11843261703617848</v>
      </c>
      <c r="F40" s="246">
        <f>'3StatementModel'!F53/'3StatementModel'!F$76</f>
        <v>0.10434283036678228</v>
      </c>
      <c r="G40" s="246">
        <f>'3StatementModel'!G53/'3StatementModel'!G$76</f>
        <v>8.4343883418559751E-2</v>
      </c>
      <c r="H40" s="246">
        <f>'3StatementModel'!H53/'3StatementModel'!H$76</f>
        <v>8.3474223143703924E-2</v>
      </c>
      <c r="I40" s="246">
        <f>'3StatementModel'!I53/'3StatementModel'!I$76</f>
        <v>9.7077907038138539E-2</v>
      </c>
      <c r="J40" s="246">
        <f>'3StatementModel'!J53/'3StatementModel'!J$76</f>
        <v>0.10500333175357243</v>
      </c>
      <c r="K40" s="246">
        <f>'3StatementModel'!K53/'3StatementModel'!K$76</f>
        <v>0.10849320541726069</v>
      </c>
      <c r="L40" s="246">
        <f>'3StatementModel'!L53/'3StatementModel'!L$76</f>
        <v>0.1096677720862608</v>
      </c>
      <c r="M40" s="246">
        <f>'3StatementModel'!M53/'3StatementModel'!M$76</f>
        <v>0.10825617938457571</v>
      </c>
      <c r="N40" s="19"/>
      <c r="O40" s="19"/>
      <c r="P40" s="19"/>
    </row>
    <row r="41" spans="1:16">
      <c r="B41" s="55" t="s">
        <v>400</v>
      </c>
      <c r="C41" s="1"/>
      <c r="D41" s="246">
        <f>'3StatementModel'!D54/'3StatementModel'!D$76</f>
        <v>1.3575142418095426E-2</v>
      </c>
      <c r="E41" s="246">
        <f>'3StatementModel'!E54/'3StatementModel'!E$76</f>
        <v>1.1383484464388648E-2</v>
      </c>
      <c r="F41" s="246">
        <f>'3StatementModel'!F54/'3StatementModel'!F$76</f>
        <v>1.1799587043152791E-2</v>
      </c>
      <c r="G41" s="246">
        <f>'3StatementModel'!G54/'3StatementModel'!G$76</f>
        <v>1.1762889487049967E-2</v>
      </c>
      <c r="H41" s="246">
        <f>'3StatementModel'!H54/'3StatementModel'!H$76</f>
        <v>1.1665124390831708E-2</v>
      </c>
      <c r="I41" s="246">
        <f>'3StatementModel'!I54/'3StatementModel'!I$76</f>
        <v>8.5475909838970687E-3</v>
      </c>
      <c r="J41" s="246">
        <f>'3StatementModel'!J54/'3StatementModel'!J$76</f>
        <v>5.997551416167991E-3</v>
      </c>
      <c r="K41" s="246">
        <f>'3StatementModel'!K54/'3StatementModel'!K$76</f>
        <v>3.8519917398593998E-3</v>
      </c>
      <c r="L41" s="246">
        <f>'3StatementModel'!L54/'3StatementModel'!L$76</f>
        <v>2.0364515402532613E-3</v>
      </c>
      <c r="M41" s="246">
        <f>'3StatementModel'!M54/'3StatementModel'!M$76</f>
        <v>4.284487640529721E-4</v>
      </c>
      <c r="N41" s="19"/>
      <c r="O41" s="18"/>
      <c r="P41" s="19"/>
    </row>
    <row r="42" spans="1:16">
      <c r="B42" s="55" t="s">
        <v>401</v>
      </c>
      <c r="C42" s="1"/>
      <c r="D42" s="246">
        <f>'3StatementModel'!D55/'3StatementModel'!D$76</f>
        <v>4.3901799005185644E-3</v>
      </c>
      <c r="E42" s="246">
        <f>'3StatementModel'!E55/'3StatementModel'!E$76</f>
        <v>8.3042537762103401E-3</v>
      </c>
      <c r="F42" s="246">
        <f>'3StatementModel'!F55/'3StatementModel'!F$76</f>
        <v>4.0570375120732739E-3</v>
      </c>
      <c r="G42" s="246">
        <f>'3StatementModel'!G55/'3StatementModel'!G$76</f>
        <v>9.1533349017762621E-3</v>
      </c>
      <c r="H42" s="246">
        <f>'3StatementModel'!H55/'3StatementModel'!H$76</f>
        <v>4.0583624158110568E-3</v>
      </c>
      <c r="I42" s="246">
        <f>'3StatementModel'!I55/'3StatementModel'!I$76</f>
        <v>0</v>
      </c>
      <c r="J42" s="246">
        <f>'3StatementModel'!J55/'3StatementModel'!J$76</f>
        <v>0</v>
      </c>
      <c r="K42" s="246">
        <f>'3StatementModel'!K55/'3StatementModel'!K$76</f>
        <v>0</v>
      </c>
      <c r="L42" s="246">
        <f>'3StatementModel'!L55/'3StatementModel'!L$76</f>
        <v>0</v>
      </c>
      <c r="M42" s="246">
        <f>'3StatementModel'!M55/'3StatementModel'!M$76</f>
        <v>0</v>
      </c>
      <c r="N42" s="19"/>
      <c r="O42" s="19"/>
      <c r="P42" s="19"/>
    </row>
    <row r="43" spans="1:16">
      <c r="B43" s="55" t="s">
        <v>427</v>
      </c>
      <c r="C43" s="1"/>
      <c r="D43" s="246">
        <f>'3StatementModel'!D56/'3StatementModel'!D$76</f>
        <v>2.3436045636988243E-2</v>
      </c>
      <c r="E43" s="246">
        <f>'3StatementModel'!E56/'3StatementModel'!E$76</f>
        <v>2.0443910027953562E-2</v>
      </c>
      <c r="F43" s="246">
        <f>'3StatementModel'!F56/'3StatementModel'!F$76</f>
        <v>2.4222731620315557E-2</v>
      </c>
      <c r="G43" s="246">
        <f>'3StatementModel'!G56/'3StatementModel'!G$76</f>
        <v>2.9932897167807247E-2</v>
      </c>
      <c r="H43" s="246">
        <f>'3StatementModel'!H56/'3StatementModel'!H$76</f>
        <v>3.2663010583752941E-2</v>
      </c>
      <c r="I43" s="246">
        <f>'3StatementModel'!I56/'3StatementModel'!I$76</f>
        <v>2.393374004584577E-2</v>
      </c>
      <c r="J43" s="246">
        <f>'3StatementModel'!J56/'3StatementModel'!J$76</f>
        <v>1.6793484477273558E-2</v>
      </c>
      <c r="K43" s="246">
        <f>'3StatementModel'!K56/'3StatementModel'!K$76</f>
        <v>1.0785795569093433E-2</v>
      </c>
      <c r="L43" s="246">
        <f>'3StatementModel'!L56/'3StatementModel'!L$76</f>
        <v>5.7021799325921805E-3</v>
      </c>
      <c r="M43" s="246">
        <f>'3StatementModel'!M56/'3StatementModel'!M$76</f>
        <v>1.1996808645998683E-3</v>
      </c>
      <c r="N43" s="222"/>
      <c r="O43" s="19"/>
      <c r="P43" s="19"/>
    </row>
    <row r="44" spans="1:16">
      <c r="B44" s="55" t="s">
        <v>188</v>
      </c>
      <c r="C44" s="1"/>
      <c r="D44" s="246">
        <f>'3StatementModel'!D57/'3StatementModel'!D$76</f>
        <v>1.7199393576777314E-2</v>
      </c>
      <c r="E44" s="246">
        <f>'3StatementModel'!E57/'3StatementModel'!E$76</f>
        <v>2.2982663832055487E-2</v>
      </c>
      <c r="F44" s="246">
        <f>'3StatementModel'!F57/'3StatementModel'!F$76</f>
        <v>2.057583320592583E-2</v>
      </c>
      <c r="G44" s="246">
        <f>'3StatementModel'!G57/'3StatementModel'!G$76</f>
        <v>1.4853356352539839E-2</v>
      </c>
      <c r="H44" s="246">
        <f>'3StatementModel'!H57/'3StatementModel'!H$76</f>
        <v>1.4024714433678155E-2</v>
      </c>
      <c r="I44" s="246">
        <f>'3StatementModel'!I57/'3StatementModel'!I$76</f>
        <v>1.0276574739250711E-2</v>
      </c>
      <c r="J44" s="246">
        <f>'3StatementModel'!J57/'3StatementModel'!J$76</f>
        <v>7.210720014196168E-3</v>
      </c>
      <c r="K44" s="246">
        <f>'3StatementModel'!K57/'3StatementModel'!K$76</f>
        <v>4.63116228703699E-3</v>
      </c>
      <c r="L44" s="246">
        <f>'3StatementModel'!L57/'3StatementModel'!L$76</f>
        <v>2.4483794902798871E-3</v>
      </c>
      <c r="M44" s="246">
        <f>'3StatementModel'!M57/'3StatementModel'!M$76</f>
        <v>5.1511422973148893E-4</v>
      </c>
      <c r="N44" s="19"/>
      <c r="O44" s="19"/>
      <c r="P44" s="19"/>
    </row>
    <row r="45" spans="1:16">
      <c r="B45" s="55" t="s">
        <v>411</v>
      </c>
      <c r="C45" s="1"/>
      <c r="D45" s="246">
        <f>'3StatementModel'!D58/'3StatementModel'!D$76</f>
        <v>0.19570131938953761</v>
      </c>
      <c r="E45" s="246">
        <f>'3StatementModel'!E58/'3StatementModel'!E$76</f>
        <v>0.45673395769156866</v>
      </c>
      <c r="F45" s="246">
        <f>'3StatementModel'!F58/'3StatementModel'!F$76</f>
        <v>0.63243083598975802</v>
      </c>
      <c r="G45" s="246">
        <f>'3StatementModel'!G58/'3StatementModel'!G$76</f>
        <v>0.65745465931343716</v>
      </c>
      <c r="H45" s="246">
        <f>'3StatementModel'!H58/'3StatementModel'!H$76</f>
        <v>0.58920762589478071</v>
      </c>
      <c r="I45" s="246">
        <f>'3StatementModel'!I58/'3StatementModel'!I$76</f>
        <v>0.56603945474237205</v>
      </c>
      <c r="J45" s="246">
        <f>'3StatementModel'!J58/'3StatementModel'!J$76</f>
        <v>0.55070640679056637</v>
      </c>
      <c r="K45" s="246">
        <f>'3StatementModel'!K58/'3StatementModel'!K$76</f>
        <v>0.54050976290711272</v>
      </c>
      <c r="L45" s="246">
        <f>'3StatementModel'!L58/'3StatementModel'!L$76</f>
        <v>0.54010980687971644</v>
      </c>
      <c r="M45" s="246">
        <f>'3StatementModel'!M58/'3StatementModel'!M$76</f>
        <v>0.5443592044896125</v>
      </c>
      <c r="N45" s="19"/>
      <c r="O45" s="19"/>
      <c r="P45" s="19"/>
    </row>
    <row r="46" spans="1:16">
      <c r="B46" s="55" t="s">
        <v>412</v>
      </c>
      <c r="C46" s="1"/>
      <c r="D46" s="246">
        <f>'3StatementModel'!D59/'3StatementModel'!D$76</f>
        <v>7.0266234082935995E-3</v>
      </c>
      <c r="E46" s="246">
        <f>'3StatementModel'!E59/'3StatementModel'!E$76</f>
        <v>8.6408122028771711E-3</v>
      </c>
      <c r="F46" s="246">
        <f>'3StatementModel'!F59/'3StatementModel'!F$76</f>
        <v>7.6094891367928692E-3</v>
      </c>
      <c r="G46" s="246">
        <f>'3StatementModel'!G59/'3StatementModel'!G$76</f>
        <v>8.1638319367271679E-3</v>
      </c>
      <c r="H46" s="246">
        <f>'3StatementModel'!H59/'3StatementModel'!H$76</f>
        <v>5.5871471699085124E-3</v>
      </c>
      <c r="I46" s="246">
        <f>'3StatementModel'!I59/'3StatementModel'!I$76</f>
        <v>5.0493467009002924E-3</v>
      </c>
      <c r="J46" s="246">
        <f>'3StatementModel'!J59/'3StatementModel'!J$76</f>
        <v>4.6214190689215819E-3</v>
      </c>
      <c r="K46" s="246">
        <f>'3StatementModel'!K59/'3StatementModel'!K$76</f>
        <v>4.2670280841415305E-3</v>
      </c>
      <c r="L46" s="246">
        <f>'3StatementModel'!L59/'3StatementModel'!L$76</f>
        <v>4.0111671220123962E-3</v>
      </c>
      <c r="M46" s="246">
        <f>'3StatementModel'!M59/'3StatementModel'!M$76</f>
        <v>3.8031285051562018E-3</v>
      </c>
      <c r="N46" s="19"/>
      <c r="O46" s="19"/>
      <c r="P46" s="19"/>
    </row>
    <row r="47" spans="1:16">
      <c r="B47" s="55" t="s">
        <v>413</v>
      </c>
      <c r="C47" s="1"/>
      <c r="D47" s="246">
        <f>'3StatementModel'!D60/'3StatementModel'!D$76</f>
        <v>0</v>
      </c>
      <c r="E47" s="246">
        <f>'3StatementModel'!E60/'3StatementModel'!E$76</f>
        <v>0</v>
      </c>
      <c r="F47" s="246">
        <f>'3StatementModel'!F60/'3StatementModel'!F$76</f>
        <v>0</v>
      </c>
      <c r="G47" s="246">
        <f>'3StatementModel'!G60/'3StatementModel'!G$76</f>
        <v>5.535680923351578E-4</v>
      </c>
      <c r="H47" s="246">
        <f>'3StatementModel'!H60/'3StatementModel'!H$76</f>
        <v>0</v>
      </c>
      <c r="I47" s="246">
        <f>'3StatementModel'!I60/'3StatementModel'!I$76</f>
        <v>0</v>
      </c>
      <c r="J47" s="246">
        <f>'3StatementModel'!J60/'3StatementModel'!J$76</f>
        <v>0</v>
      </c>
      <c r="K47" s="246">
        <f>'3StatementModel'!K60/'3StatementModel'!K$76</f>
        <v>0</v>
      </c>
      <c r="L47" s="246">
        <f>'3StatementModel'!L60/'3StatementModel'!L$76</f>
        <v>0</v>
      </c>
      <c r="M47" s="246">
        <f>'3StatementModel'!M60/'3StatementModel'!M$76</f>
        <v>0</v>
      </c>
      <c r="N47" s="19"/>
      <c r="O47" s="19"/>
      <c r="P47" s="19"/>
    </row>
    <row r="48" spans="1:16">
      <c r="B48" s="55" t="s">
        <v>414</v>
      </c>
      <c r="C48" s="1"/>
      <c r="D48" s="246">
        <f>'3StatementModel'!D61/'3StatementModel'!D$76</f>
        <v>3.5260199388768253E-3</v>
      </c>
      <c r="E48" s="246">
        <f>'3StatementModel'!E61/'3StatementModel'!E$76</f>
        <v>5.1518851610583933E-3</v>
      </c>
      <c r="F48" s="246">
        <f>'3StatementModel'!F61/'3StatementModel'!F$76</f>
        <v>4.5120518799868295E-3</v>
      </c>
      <c r="G48" s="246">
        <f>'3StatementModel'!G61/'3StatementModel'!G$76</f>
        <v>4.4722247209670832E-3</v>
      </c>
      <c r="H48" s="246">
        <f>'3StatementModel'!H61/'3StatementModel'!H$76</f>
        <v>3.3007769022883942E-3</v>
      </c>
      <c r="I48" s="246">
        <f>'3StatementModel'!I61/'3StatementModel'!I$76</f>
        <v>2.9830549393333235E-3</v>
      </c>
      <c r="J48" s="246">
        <f>'3StatementModel'!J61/'3StatementModel'!J$76</f>
        <v>2.7302436922815613E-3</v>
      </c>
      <c r="K48" s="246">
        <f>'3StatementModel'!K61/'3StatementModel'!K$76</f>
        <v>2.5208764532653055E-3</v>
      </c>
      <c r="L48" s="246">
        <f>'3StatementModel'!L61/'3StatementModel'!L$76</f>
        <v>2.3697188180160163E-3</v>
      </c>
      <c r="M48" s="246">
        <f>'3StatementModel'!M61/'3StatementModel'!M$76</f>
        <v>2.2468136858581683E-3</v>
      </c>
      <c r="N48" s="19"/>
      <c r="O48" s="19"/>
      <c r="P48" s="19"/>
    </row>
    <row r="49" spans="2:17">
      <c r="B49" s="230" t="s">
        <v>416</v>
      </c>
      <c r="C49" s="231"/>
      <c r="D49" s="247">
        <f>'3StatementModel'!D62/'3StatementModel'!D$76</f>
        <v>0.39499460415222676</v>
      </c>
      <c r="E49" s="247">
        <f>'3StatementModel'!E62/'3StatementModel'!E$76</f>
        <v>0.65207358419229078</v>
      </c>
      <c r="F49" s="247">
        <f>'3StatementModel'!F62/'3StatementModel'!F$76</f>
        <v>0.80955039675478746</v>
      </c>
      <c r="G49" s="247">
        <f>'3StatementModel'!G62/'3StatementModel'!G$76</f>
        <v>0.82069064539119951</v>
      </c>
      <c r="H49" s="247">
        <f>'3StatementModel'!H62/'3StatementModel'!H$76</f>
        <v>0.74398098493475529</v>
      </c>
      <c r="I49" s="247">
        <f>'3StatementModel'!I62/'3StatementModel'!I$76</f>
        <v>0.71390766918973758</v>
      </c>
      <c r="J49" s="247">
        <f>'3StatementModel'!J62/'3StatementModel'!J$76</f>
        <v>0.69306315721297951</v>
      </c>
      <c r="K49" s="247">
        <f>'3StatementModel'!K62/'3StatementModel'!K$76</f>
        <v>0.67505982245776996</v>
      </c>
      <c r="L49" s="247">
        <f>'3StatementModel'!L62/'3StatementModel'!L$76</f>
        <v>0.66634547586913095</v>
      </c>
      <c r="M49" s="247">
        <f>'3StatementModel'!M62/'3StatementModel'!M$76</f>
        <v>0.66080856992358683</v>
      </c>
      <c r="N49" s="226"/>
      <c r="O49" s="19"/>
      <c r="P49" s="19"/>
    </row>
    <row r="50" spans="2:17">
      <c r="B50" s="156"/>
      <c r="C50" s="191"/>
      <c r="D50" s="248"/>
      <c r="E50" s="248"/>
      <c r="F50" s="248"/>
      <c r="G50" s="248"/>
      <c r="H50" s="248"/>
      <c r="I50" s="248"/>
      <c r="J50" s="248"/>
      <c r="K50" s="248"/>
      <c r="L50" s="248"/>
      <c r="M50" s="248"/>
      <c r="N50" s="226"/>
      <c r="O50" s="19"/>
      <c r="P50" s="19"/>
    </row>
    <row r="51" spans="2:17">
      <c r="B51" s="193" t="str">
        <f>ConsolidatedBS!B24</f>
        <v>Current assets :</v>
      </c>
      <c r="C51" s="191"/>
      <c r="D51" s="249"/>
      <c r="E51" s="249"/>
      <c r="F51" s="249"/>
      <c r="G51" s="249"/>
      <c r="H51" s="249"/>
      <c r="I51" s="249"/>
      <c r="J51" s="249"/>
      <c r="K51" s="249"/>
      <c r="L51" s="249"/>
      <c r="M51" s="249"/>
      <c r="N51" s="226"/>
      <c r="O51" s="19"/>
      <c r="P51" s="19"/>
    </row>
    <row r="52" spans="2:17">
      <c r="B52" s="53" t="str">
        <f>ConsolidatedBS!B25</f>
        <v>Inventories</v>
      </c>
      <c r="C52" s="191"/>
      <c r="D52" s="246">
        <f>'3StatementModel'!D65/'3StatementModel'!D$76</f>
        <v>6.0079038350704682E-2</v>
      </c>
      <c r="E52" s="246">
        <f>'3StatementModel'!E65/'3StatementModel'!E$76</f>
        <v>7.0187617377075601E-2</v>
      </c>
      <c r="F52" s="246">
        <f>'3StatementModel'!F65/'3StatementModel'!F$76</f>
        <v>6.6709698224243816E-2</v>
      </c>
      <c r="G52" s="246">
        <f>'3StatementModel'!G65/'3StatementModel'!G$76</f>
        <v>6.0963416068697804E-2</v>
      </c>
      <c r="H52" s="246">
        <f>'3StatementModel'!H65/'3StatementModel'!H$76</f>
        <v>5.7536393723703894E-2</v>
      </c>
      <c r="I52" s="246">
        <f>'3StatementModel'!I65/'3StatementModel'!I$76</f>
        <v>5.9309816615135104E-2</v>
      </c>
      <c r="J52" s="246">
        <f>'3StatementModel'!J65/'3StatementModel'!J$76</f>
        <v>6.2018741684822486E-2</v>
      </c>
      <c r="K52" s="246">
        <f>'3StatementModel'!K65/'3StatementModel'!K$76</f>
        <v>6.4993355768426603E-2</v>
      </c>
      <c r="L52" s="246">
        <f>'3StatementModel'!L65/'3StatementModel'!L$76</f>
        <v>6.8885968293824554E-2</v>
      </c>
      <c r="M52" s="246">
        <f>'3StatementModel'!M65/'3StatementModel'!M$76</f>
        <v>7.3150792139307766E-2</v>
      </c>
      <c r="N52" s="226"/>
      <c r="O52" s="19"/>
      <c r="P52" s="19"/>
    </row>
    <row r="53" spans="2:17">
      <c r="B53" s="53" t="str">
        <f>ConsolidatedBS!B26</f>
        <v>Trade receivables</v>
      </c>
      <c r="C53" s="191"/>
      <c r="D53" s="246">
        <f>'3StatementModel'!D66/'3StatementModel'!D$76</f>
        <v>1.0864510296761323E-2</v>
      </c>
      <c r="E53" s="246">
        <f>'3StatementModel'!E66/'3StatementModel'!E$76</f>
        <v>1.8720830053489859E-2</v>
      </c>
      <c r="F53" s="246">
        <f>'3StatementModel'!F66/'3StatementModel'!F$76</f>
        <v>1.9250447317737264E-2</v>
      </c>
      <c r="G53" s="246">
        <f>'3StatementModel'!G66/'3StatementModel'!G$76</f>
        <v>1.6165053246330878E-2</v>
      </c>
      <c r="H53" s="246">
        <f>'3StatementModel'!H66/'3StatementModel'!H$76</f>
        <v>2.0223375505225648E-2</v>
      </c>
      <c r="I53" s="246">
        <f>'3StatementModel'!I66/'3StatementModel'!I$76</f>
        <v>2.3723926646054036E-2</v>
      </c>
      <c r="J53" s="246">
        <f>'3StatementModel'!J66/'3StatementModel'!J$76</f>
        <v>2.4807496673928991E-2</v>
      </c>
      <c r="K53" s="246">
        <f>'3StatementModel'!K66/'3StatementModel'!K$76</f>
        <v>2.1664451922808869E-2</v>
      </c>
      <c r="L53" s="246">
        <f>'3StatementModel'!L66/'3StatementModel'!L$76</f>
        <v>2.2961989431274848E-2</v>
      </c>
      <c r="M53" s="246">
        <f>'3StatementModel'!M66/'3StatementModel'!M$76</f>
        <v>2.4383597379769254E-2</v>
      </c>
      <c r="N53" s="226"/>
      <c r="O53" s="19"/>
      <c r="P53" s="19"/>
    </row>
    <row r="54" spans="2:17">
      <c r="B54" s="156" t="str">
        <f>ConsolidatedBS!B27</f>
        <v>Financial Assets</v>
      </c>
      <c r="C54" s="191"/>
      <c r="D54" s="246">
        <f>'3StatementModel'!D67/'3StatementModel'!D$76</f>
        <v>0</v>
      </c>
      <c r="E54" s="246">
        <f>'3StatementModel'!E67/'3StatementModel'!E$76</f>
        <v>0</v>
      </c>
      <c r="F54" s="246">
        <f>'3StatementModel'!F67/'3StatementModel'!F$76</f>
        <v>0</v>
      </c>
      <c r="G54" s="246">
        <f>'3StatementModel'!G67/'3StatementModel'!G$76</f>
        <v>0</v>
      </c>
      <c r="H54" s="246">
        <f>'3StatementModel'!H67/'3StatementModel'!H$76</f>
        <v>0</v>
      </c>
      <c r="I54" s="246">
        <f>'3StatementModel'!I67/'3StatementModel'!I$76</f>
        <v>0</v>
      </c>
      <c r="J54" s="246">
        <f>'3StatementModel'!J67/'3StatementModel'!J$76</f>
        <v>0</v>
      </c>
      <c r="K54" s="246">
        <f>'3StatementModel'!K67/'3StatementModel'!K$76</f>
        <v>0</v>
      </c>
      <c r="L54" s="246">
        <f>'3StatementModel'!L67/'3StatementModel'!L$76</f>
        <v>0</v>
      </c>
      <c r="M54" s="246">
        <f>'3StatementModel'!M67/'3StatementModel'!M$76</f>
        <v>0</v>
      </c>
      <c r="N54" s="226"/>
      <c r="O54" s="19"/>
      <c r="P54" s="19"/>
    </row>
    <row r="55" spans="2:17">
      <c r="B55" s="55" t="str">
        <f>ConsolidatedBS!B28</f>
        <v>Investments (Current)</v>
      </c>
      <c r="C55" s="191"/>
      <c r="D55" s="246">
        <f>'3StatementModel'!D68/'3StatementModel'!D$76</f>
        <v>7.3919336369113076E-2</v>
      </c>
      <c r="E55" s="246">
        <f>'3StatementModel'!E68/'3StatementModel'!E$76</f>
        <v>2.632283576816517E-2</v>
      </c>
      <c r="F55" s="246">
        <f>'3StatementModel'!F68/'3StatementModel'!F$76</f>
        <v>1.1473980431251347E-2</v>
      </c>
      <c r="G55" s="246">
        <f>'3StatementModel'!G68/'3StatementModel'!G$76</f>
        <v>7.8243390050997449E-3</v>
      </c>
      <c r="H55" s="246">
        <f>'3StatementModel'!H68/'3StatementModel'!H$76</f>
        <v>3.1184633413605264E-2</v>
      </c>
      <c r="I55" s="246">
        <f>'3StatementModel'!I68/'3StatementModel'!I$76</f>
        <v>2.8182902840619313E-2</v>
      </c>
      <c r="J55" s="246">
        <f>'3StatementModel'!J68/'3StatementModel'!J$76</f>
        <v>2.5794426946753286E-2</v>
      </c>
      <c r="K55" s="246">
        <f>'3StatementModel'!K68/'3StatementModel'!K$76</f>
        <v>2.381639547391606E-2</v>
      </c>
      <c r="L55" s="246">
        <f>'3StatementModel'!L68/'3StatementModel'!L$76</f>
        <v>2.2388308819635206E-2</v>
      </c>
      <c r="M55" s="246">
        <f>'3StatementModel'!M68/'3StatementModel'!M$76</f>
        <v>2.122714234142337E-2</v>
      </c>
      <c r="N55" s="226"/>
      <c r="O55" s="19"/>
      <c r="P55" s="19"/>
    </row>
    <row r="56" spans="2:17">
      <c r="B56" s="55" t="str">
        <f>ConsolidatedBS!B29</f>
        <v>Loans / Bill discounting</v>
      </c>
      <c r="C56" s="191"/>
      <c r="D56" s="246">
        <f>'3StatementModel'!D69/'3StatementModel'!D$76</f>
        <v>3.1541151668316447E-2</v>
      </c>
      <c r="E56" s="246">
        <f>'3StatementModel'!E69/'3StatementModel'!E$76</f>
        <v>4.1948319997024898E-2</v>
      </c>
      <c r="F56" s="246">
        <f>'3StatementModel'!F69/'3StatementModel'!F$76</f>
        <v>3.0731211220069894E-2</v>
      </c>
      <c r="G56" s="246">
        <f>'3StatementModel'!G69/'3StatementModel'!G$76</f>
        <v>2.0623871240061722E-2</v>
      </c>
      <c r="H56" s="246">
        <f>'3StatementModel'!H69/'3StatementModel'!H$76</f>
        <v>1.6408588422077052E-2</v>
      </c>
      <c r="I56" s="246">
        <f>'3StatementModel'!I69/'3StatementModel'!I$76</f>
        <v>1.4829151496433943E-2</v>
      </c>
      <c r="J56" s="246">
        <f>'3StatementModel'!J69/'3StatementModel'!J$76</f>
        <v>1.3572394125625739E-2</v>
      </c>
      <c r="K56" s="246">
        <f>'3StatementModel'!K69/'3StatementModel'!K$76</f>
        <v>1.2531602531470246E-2</v>
      </c>
      <c r="L56" s="246">
        <f>'3StatementModel'!L69/'3StatementModel'!L$76</f>
        <v>1.1780178397975951E-2</v>
      </c>
      <c r="M56" s="246">
        <f>'3StatementModel'!M69/'3StatementModel'!M$76</f>
        <v>1.1169201107405069E-2</v>
      </c>
      <c r="N56" s="226"/>
      <c r="O56" s="19"/>
      <c r="P56" s="19"/>
    </row>
    <row r="57" spans="2:17">
      <c r="B57" s="55" t="str">
        <f>ConsolidatedBS!B30</f>
        <v>Other financial assets (Current)</v>
      </c>
      <c r="C57" s="191"/>
      <c r="D57" s="246">
        <f>'3StatementModel'!D70/'3StatementModel'!D$76</f>
        <v>1.4764221029861602E-2</v>
      </c>
      <c r="E57" s="246">
        <f>'3StatementModel'!E70/'3StatementModel'!E$76</f>
        <v>4.0752700834888033E-3</v>
      </c>
      <c r="F57" s="246">
        <f>'3StatementModel'!F70/'3StatementModel'!F$76</f>
        <v>6.5726616722925988E-3</v>
      </c>
      <c r="G57" s="246">
        <f>'3StatementModel'!G70/'3StatementModel'!G$76</f>
        <v>5.4202965741054682E-2</v>
      </c>
      <c r="H57" s="246">
        <f>'3StatementModel'!H70/'3StatementModel'!H$76</f>
        <v>0.10552919684529471</v>
      </c>
      <c r="I57" s="246">
        <f>'3StatementModel'!I70/'3StatementModel'!I$76</f>
        <v>9.5371302336425059E-2</v>
      </c>
      <c r="J57" s="246">
        <f>'3StatementModel'!J70/'3StatementModel'!J$76</f>
        <v>8.7288669476163094E-2</v>
      </c>
      <c r="K57" s="246">
        <f>'3StatementModel'!K70/'3StatementModel'!K$76</f>
        <v>8.0594985766796218E-2</v>
      </c>
      <c r="L57" s="246">
        <f>'3StatementModel'!L70/'3StatementModel'!L$76</f>
        <v>7.5762322331157025E-2</v>
      </c>
      <c r="M57" s="246">
        <f>'3StatementModel'!M70/'3StatementModel'!M$76</f>
        <v>7.1832920172595363E-2</v>
      </c>
      <c r="N57" s="226"/>
      <c r="O57" s="19"/>
      <c r="P57" s="19"/>
    </row>
    <row r="58" spans="2:17">
      <c r="B58" s="52" t="str">
        <f>ConsolidatedBS!B31</f>
        <v>Other current assets</v>
      </c>
      <c r="C58" s="191"/>
      <c r="D58" s="246">
        <f>'3StatementModel'!D71/'3StatementModel'!D$76</f>
        <v>1.3408218037587523E-2</v>
      </c>
      <c r="E58" s="246">
        <f>'3StatementModel'!E71/'3StatementModel'!E$76</f>
        <v>1.8296878002218929E-2</v>
      </c>
      <c r="F58" s="246">
        <f>'3StatementModel'!F71/'3StatementModel'!F$76</f>
        <v>1.7506573444380495E-2</v>
      </c>
      <c r="G58" s="246">
        <f>'3StatementModel'!G71/'3StatementModel'!G$76</f>
        <v>1.3427486039704671E-2</v>
      </c>
      <c r="H58" s="246">
        <f>'3StatementModel'!H71/'3StatementModel'!H$76</f>
        <v>1.5311027670820081E-2</v>
      </c>
      <c r="I58" s="246">
        <f>'3StatementModel'!I71/'3StatementModel'!I$76</f>
        <v>1.5875260913984494E-2</v>
      </c>
      <c r="J58" s="246">
        <f>'3StatementModel'!J71/'3StatementModel'!J$76</f>
        <v>1.6600349857637486E-2</v>
      </c>
      <c r="K58" s="246">
        <f>'3StatementModel'!K71/'3StatementModel'!K$76</f>
        <v>1.7396554894015519E-2</v>
      </c>
      <c r="L58" s="246">
        <f>'3StatementModel'!L71/'3StatementModel'!L$76</f>
        <v>1.8438477513313702E-2</v>
      </c>
      <c r="M58" s="246">
        <f>'3StatementModel'!M71/'3StatementModel'!M$76</f>
        <v>1.958002869595471E-2</v>
      </c>
      <c r="N58" s="226"/>
      <c r="O58" s="19"/>
      <c r="P58" s="19"/>
    </row>
    <row r="59" spans="2:17">
      <c r="B59" s="223" t="str">
        <f>ConsolidatedBS!B32</f>
        <v>Cash and cash equivalents</v>
      </c>
      <c r="C59" s="224"/>
      <c r="D59" s="246">
        <f>'3StatementModel'!D72/'3StatementModel'!D$76</f>
        <v>6.3884639453642067E-3</v>
      </c>
      <c r="E59" s="246">
        <f>'3StatementModel'!E72/'3StatementModel'!E$76</f>
        <v>2.7643657144273801E-3</v>
      </c>
      <c r="F59" s="246">
        <f>'3StatementModel'!F72/'3StatementModel'!F$76</f>
        <v>2.8908022915609208E-3</v>
      </c>
      <c r="G59" s="246">
        <f>'3StatementModel'!G72/'3StatementModel'!G$76</f>
        <v>4.4112457357958082E-3</v>
      </c>
      <c r="H59" s="246">
        <f>'3StatementModel'!H72/'3StatementModel'!H$76</f>
        <v>8.2050300881764959E-3</v>
      </c>
      <c r="I59" s="246">
        <f>'3StatementModel'!I72/'3StatementModel'!I$76</f>
        <v>4.7335210513637732E-2</v>
      </c>
      <c r="J59" s="246">
        <f>'3StatementModel'!J72/'3StatementModel'!J$76</f>
        <v>7.5514141631664838E-2</v>
      </c>
      <c r="K59" s="246">
        <f>'3StatementModel'!K72/'3StatementModel'!K$76</f>
        <v>0.10270501368656515</v>
      </c>
      <c r="L59" s="246">
        <f>'3StatementModel'!L72/'3StatementModel'!L$76</f>
        <v>0.11227368427141483</v>
      </c>
      <c r="M59" s="246">
        <f>'3StatementModel'!M72/'3StatementModel'!M$76</f>
        <v>0.11674450286193905</v>
      </c>
      <c r="N59" s="226"/>
      <c r="O59" s="19"/>
      <c r="P59" s="19"/>
      <c r="Q59" s="19"/>
    </row>
    <row r="60" spans="2:17">
      <c r="B60" s="53" t="str">
        <f>ConsolidatedBS!B33</f>
        <v>Bank balances other than C&amp;CE</v>
      </c>
      <c r="C60" s="191"/>
      <c r="D60" s="246">
        <f>'3StatementModel'!D73/'3StatementModel'!D$76</f>
        <v>0.39404045615006428</v>
      </c>
      <c r="E60" s="246">
        <f>'3StatementModel'!E73/'3StatementModel'!E$76</f>
        <v>0.1656102988118186</v>
      </c>
      <c r="F60" s="246">
        <f>'3StatementModel'!F73/'3StatementModel'!F$76</f>
        <v>3.5314228643676268E-2</v>
      </c>
      <c r="G60" s="246">
        <f>'3StatementModel'!G73/'3StatementModel'!G$76</f>
        <v>1.6909775320550523E-3</v>
      </c>
      <c r="H60" s="246">
        <f>'3StatementModel'!H73/'3StatementModel'!H$76</f>
        <v>1.6207693963415869E-3</v>
      </c>
      <c r="I60" s="246">
        <f>'3StatementModel'!I73/'3StatementModel'!I$76</f>
        <v>1.4647594479727222E-3</v>
      </c>
      <c r="J60" s="246">
        <f>'3StatementModel'!J73/'3StatementModel'!J$76</f>
        <v>1.3406223904247328E-3</v>
      </c>
      <c r="K60" s="246">
        <f>'3StatementModel'!K73/'3StatementModel'!K$76</f>
        <v>1.2378174982313756E-3</v>
      </c>
      <c r="L60" s="246">
        <f>'3StatementModel'!L73/'3StatementModel'!L$76</f>
        <v>1.1635950722729408E-3</v>
      </c>
      <c r="M60" s="246">
        <f>'3StatementModel'!M73/'3StatementModel'!M$76</f>
        <v>1.1032453780186412E-3</v>
      </c>
      <c r="N60" s="226"/>
      <c r="O60" s="19"/>
      <c r="P60" s="19"/>
      <c r="Q60" s="19"/>
    </row>
    <row r="61" spans="2:17">
      <c r="B61" s="57" t="s">
        <v>10</v>
      </c>
      <c r="C61" s="69"/>
      <c r="D61" s="247">
        <f>'3StatementModel'!D74/'3StatementModel'!D$76</f>
        <v>0.60500539584777313</v>
      </c>
      <c r="E61" s="247">
        <f>'3StatementModel'!E74/'3StatementModel'!E$76</f>
        <v>0.34792641580770922</v>
      </c>
      <c r="F61" s="247">
        <f>'3StatementModel'!F74/'3StatementModel'!F$76</f>
        <v>0.1904496032452126</v>
      </c>
      <c r="G61" s="247">
        <f>'3StatementModel'!G74/'3StatementModel'!G$76</f>
        <v>0.17930935460880038</v>
      </c>
      <c r="H61" s="247">
        <f>'3StatementModel'!H74/'3StatementModel'!H$76</f>
        <v>0.25601901506524471</v>
      </c>
      <c r="I61" s="247">
        <f>'3StatementModel'!I74/'3StatementModel'!I$76</f>
        <v>0.28609233081026236</v>
      </c>
      <c r="J61" s="247">
        <f>'3StatementModel'!J74/'3StatementModel'!J$76</f>
        <v>0.3069368427870206</v>
      </c>
      <c r="K61" s="247">
        <f>'3StatementModel'!K74/'3StatementModel'!K$76</f>
        <v>0.32494017754223004</v>
      </c>
      <c r="L61" s="247">
        <f>'3StatementModel'!L74/'3StatementModel'!L$76</f>
        <v>0.33365452413086905</v>
      </c>
      <c r="M61" s="247">
        <f>'3StatementModel'!M74/'3StatementModel'!M$76</f>
        <v>0.33919143007641317</v>
      </c>
      <c r="N61" s="19"/>
      <c r="O61" s="19"/>
      <c r="P61" s="19"/>
      <c r="Q61" s="19"/>
    </row>
    <row r="62" spans="2:17">
      <c r="B62" s="55"/>
      <c r="C62" s="1"/>
      <c r="D62" s="244"/>
      <c r="E62" s="244"/>
      <c r="F62" s="244"/>
      <c r="G62" s="244"/>
      <c r="H62" s="244"/>
      <c r="I62" s="244"/>
      <c r="J62" s="244"/>
      <c r="K62" s="244"/>
      <c r="L62" s="244"/>
      <c r="M62" s="244"/>
      <c r="N62" s="19"/>
      <c r="O62" s="19"/>
      <c r="P62" s="19"/>
      <c r="Q62" s="19"/>
    </row>
    <row r="63" spans="2:17" ht="15" thickBot="1">
      <c r="B63" s="194" t="s">
        <v>11</v>
      </c>
      <c r="C63" s="6"/>
      <c r="D63" s="250">
        <f>'3StatementModel'!D76/'3StatementModel'!D$76</f>
        <v>1</v>
      </c>
      <c r="E63" s="250">
        <f>'3StatementModel'!E76/'3StatementModel'!E$76</f>
        <v>1</v>
      </c>
      <c r="F63" s="250">
        <f>'3StatementModel'!F76/'3StatementModel'!F$76</f>
        <v>1</v>
      </c>
      <c r="G63" s="250">
        <f>'3StatementModel'!G76/'3StatementModel'!G$76</f>
        <v>1</v>
      </c>
      <c r="H63" s="250">
        <f>'3StatementModel'!H76/'3StatementModel'!H$76</f>
        <v>1</v>
      </c>
      <c r="I63" s="250">
        <f>'3StatementModel'!I76/'3StatementModel'!I$76</f>
        <v>1</v>
      </c>
      <c r="J63" s="250">
        <f>'3StatementModel'!J76/'3StatementModel'!J$76</f>
        <v>1</v>
      </c>
      <c r="K63" s="250">
        <f>'3StatementModel'!K76/'3StatementModel'!K$76</f>
        <v>1</v>
      </c>
      <c r="L63" s="250">
        <f>'3StatementModel'!L76/'3StatementModel'!L$76</f>
        <v>1</v>
      </c>
      <c r="M63" s="250">
        <f>'3StatementModel'!M76/'3StatementModel'!M$76</f>
        <v>1</v>
      </c>
      <c r="N63" s="19"/>
      <c r="O63" s="19"/>
      <c r="P63" s="19"/>
    </row>
    <row r="64" spans="2:17">
      <c r="B64" s="2"/>
      <c r="C64" s="1"/>
      <c r="D64" s="244"/>
      <c r="E64" s="244"/>
      <c r="F64" s="244"/>
      <c r="G64" s="244"/>
      <c r="H64" s="244"/>
      <c r="I64" s="244"/>
      <c r="J64" s="244"/>
      <c r="K64" s="244"/>
      <c r="L64" s="244"/>
      <c r="M64" s="244"/>
      <c r="N64" s="19"/>
      <c r="O64" s="19"/>
      <c r="P64" s="19"/>
    </row>
    <row r="65" spans="2:16">
      <c r="B65" s="7" t="s">
        <v>452</v>
      </c>
      <c r="C65" s="1"/>
      <c r="D65" s="244"/>
      <c r="E65" s="244"/>
      <c r="F65" s="244"/>
      <c r="G65" s="244"/>
      <c r="H65" s="244"/>
      <c r="I65" s="244"/>
      <c r="J65" s="244"/>
      <c r="K65" s="244"/>
      <c r="L65" s="244"/>
      <c r="M65" s="244"/>
      <c r="N65" s="19"/>
      <c r="O65" s="19"/>
      <c r="P65" s="19"/>
    </row>
    <row r="66" spans="2:16">
      <c r="B66" s="2"/>
      <c r="C66" s="1"/>
      <c r="D66" s="244"/>
      <c r="E66" s="244"/>
      <c r="F66" s="244"/>
      <c r="G66" s="244"/>
      <c r="H66" s="244"/>
      <c r="I66" s="244"/>
      <c r="J66" s="244"/>
      <c r="K66" s="244"/>
      <c r="L66" s="244"/>
      <c r="M66" s="244"/>
      <c r="N66" s="19"/>
      <c r="O66" s="19"/>
      <c r="P66" s="19"/>
    </row>
    <row r="67" spans="2:16">
      <c r="B67" s="7" t="s">
        <v>209</v>
      </c>
      <c r="C67" s="1"/>
      <c r="D67" s="244"/>
      <c r="E67" s="244"/>
      <c r="F67" s="244"/>
      <c r="G67" s="244"/>
      <c r="H67" s="244"/>
      <c r="I67" s="244"/>
      <c r="J67" s="244"/>
      <c r="K67" s="244"/>
      <c r="L67" s="244"/>
      <c r="M67" s="244"/>
      <c r="N67" s="19"/>
      <c r="O67" s="19"/>
      <c r="P67" s="19"/>
    </row>
    <row r="68" spans="2:16">
      <c r="B68" s="2" t="str">
        <f>ConsolidatedBS!B40</f>
        <v>Equity share capital</v>
      </c>
      <c r="C68" s="1"/>
      <c r="D68" s="246">
        <f>'3StatementModel'!D81/'3StatementModel'!D$110</f>
        <v>1.8772396540603807E-3</v>
      </c>
      <c r="E68" s="246">
        <f>'3StatementModel'!E81/'3StatementModel'!E$110</f>
        <v>1.6939459709303011E-3</v>
      </c>
      <c r="F68" s="246">
        <f>'3StatementModel'!F81/'3StatementModel'!F$110</f>
        <v>1.4246542804219687E-3</v>
      </c>
      <c r="G68" s="246">
        <f>'3StatementModel'!G81/'3StatementModel'!G$110</f>
        <v>1.1838500030050246E-3</v>
      </c>
      <c r="H68" s="246">
        <f>'3StatementModel'!H81/'3StatementModel'!H$110</f>
        <v>1.0090375467213457E-3</v>
      </c>
      <c r="I68" s="246">
        <f>'3StatementModel'!I81/'3StatementModel'!I$110</f>
        <v>9.118978509834964E-4</v>
      </c>
      <c r="J68" s="246">
        <f>'3StatementModel'!J81/'3StatementModel'!J$110</f>
        <v>8.34605817618187E-4</v>
      </c>
      <c r="K68" s="246">
        <f>'3StatementModel'!K81/'3StatementModel'!K$110</f>
        <v>7.7059726199671472E-4</v>
      </c>
      <c r="L68" s="246">
        <f>'3StatementModel'!L81/'3StatementModel'!L$110</f>
        <v>7.2438552016044599E-4</v>
      </c>
      <c r="M68" s="246">
        <f>'3StatementModel'!M81/'3StatementModel'!M$110</f>
        <v>6.8681156551372174E-4</v>
      </c>
      <c r="N68" s="19"/>
      <c r="O68" s="19"/>
      <c r="P68" s="19"/>
    </row>
    <row r="69" spans="2:16">
      <c r="B69" s="2" t="str">
        <f>ConsolidatedBS!B41</f>
        <v>Other equity</v>
      </c>
      <c r="C69" s="1"/>
      <c r="D69" s="246">
        <f>'3StatementModel'!D82/'3StatementModel'!D$110</f>
        <v>0.78378018231136071</v>
      </c>
      <c r="E69" s="246">
        <f>'3StatementModel'!E82/'3StatementModel'!E$110</f>
        <v>0.77947908992845649</v>
      </c>
      <c r="F69" s="246">
        <f>'3StatementModel'!F82/'3StatementModel'!F$110</f>
        <v>0.77941507393617138</v>
      </c>
      <c r="G69" s="246">
        <f>'3StatementModel'!G82/'3StatementModel'!G$110</f>
        <v>0.77906453366124861</v>
      </c>
      <c r="H69" s="246">
        <f>'3StatementModel'!H82/'3StatementModel'!H$110</f>
        <v>0.78268746221169117</v>
      </c>
      <c r="I69" s="246">
        <f>'3StatementModel'!I82/'3StatementModel'!I$110</f>
        <v>0.78645778574660652</v>
      </c>
      <c r="J69" s="246">
        <f>'3StatementModel'!J82/'3StatementModel'!J$110</f>
        <v>0.79077394457727168</v>
      </c>
      <c r="K69" s="246">
        <f>'3StatementModel'!K82/'3StatementModel'!K$110</f>
        <v>0.79314615872675043</v>
      </c>
      <c r="L69" s="246">
        <f>'3StatementModel'!L82/'3StatementModel'!L$110</f>
        <v>0.79187702959307416</v>
      </c>
      <c r="M69" s="246">
        <f>'3StatementModel'!M82/'3StatementModel'!M$110</f>
        <v>0.78902414133334775</v>
      </c>
      <c r="N69" s="19"/>
      <c r="O69" s="19"/>
      <c r="P69" s="19"/>
    </row>
    <row r="70" spans="2:16">
      <c r="B70" s="68" t="str">
        <f>ConsolidatedBS!B42</f>
        <v>Total equity</v>
      </c>
      <c r="C70" s="67"/>
      <c r="D70" s="251">
        <f>'3StatementModel'!D83/'3StatementModel'!D$110</f>
        <v>0.7856574219654211</v>
      </c>
      <c r="E70" s="251">
        <f>'3StatementModel'!E83/'3StatementModel'!E$110</f>
        <v>0.7811730358993868</v>
      </c>
      <c r="F70" s="251">
        <f>'3StatementModel'!F83/'3StatementModel'!F$110</f>
        <v>0.78083972821659331</v>
      </c>
      <c r="G70" s="251">
        <f>'3StatementModel'!G83/'3StatementModel'!G$110</f>
        <v>0.78024838366425364</v>
      </c>
      <c r="H70" s="251">
        <f>'3StatementModel'!H83/'3StatementModel'!H$110</f>
        <v>0.78369649975841249</v>
      </c>
      <c r="I70" s="251">
        <f>'3StatementModel'!I83/'3StatementModel'!I$110</f>
        <v>0.78736968359758996</v>
      </c>
      <c r="J70" s="251">
        <f>'3StatementModel'!J83/'3StatementModel'!J$110</f>
        <v>0.79160855039488986</v>
      </c>
      <c r="K70" s="251">
        <f>'3StatementModel'!K83/'3StatementModel'!K$110</f>
        <v>0.79391675598874711</v>
      </c>
      <c r="L70" s="251">
        <f>'3StatementModel'!L83/'3StatementModel'!L$110</f>
        <v>0.79260141511323456</v>
      </c>
      <c r="M70" s="251">
        <f>'3StatementModel'!M83/'3StatementModel'!M$110</f>
        <v>0.7897109528988614</v>
      </c>
      <c r="N70" s="19"/>
      <c r="O70" s="19"/>
      <c r="P70" s="19"/>
    </row>
    <row r="71" spans="2:16">
      <c r="B71" s="7"/>
      <c r="C71" s="1"/>
      <c r="D71" s="244"/>
      <c r="E71" s="244"/>
      <c r="F71" s="244"/>
      <c r="G71" s="244"/>
      <c r="H71" s="244"/>
      <c r="I71" s="244"/>
      <c r="J71" s="244"/>
      <c r="K71" s="244"/>
      <c r="L71" s="244"/>
      <c r="M71" s="244"/>
      <c r="N71" s="19"/>
      <c r="O71" s="19"/>
      <c r="P71" s="19"/>
    </row>
    <row r="72" spans="2:16">
      <c r="B72" s="7" t="str">
        <f>ConsolidatedBS!B44</f>
        <v>Non-current liabilities:</v>
      </c>
      <c r="C72" s="1"/>
      <c r="D72" s="244"/>
      <c r="E72" s="244"/>
      <c r="F72" s="244"/>
      <c r="G72" s="244"/>
      <c r="H72" s="244"/>
      <c r="I72" s="244"/>
      <c r="J72" s="244"/>
      <c r="K72" s="244"/>
      <c r="L72" s="244"/>
      <c r="M72" s="244"/>
      <c r="N72" s="19"/>
      <c r="O72" s="19"/>
      <c r="P72" s="19"/>
    </row>
    <row r="73" spans="2:16">
      <c r="B73" s="2" t="str">
        <f>ConsolidatedBS!B46</f>
        <v>Borrowings</v>
      </c>
      <c r="C73" s="1"/>
      <c r="D73" s="246">
        <f>'3StatementModel'!D86/'3StatementModel'!D$110</f>
        <v>0</v>
      </c>
      <c r="E73" s="246">
        <f>'3StatementModel'!E86/'3StatementModel'!E$110</f>
        <v>0</v>
      </c>
      <c r="F73" s="246">
        <f>'3StatementModel'!F86/'3StatementModel'!F$110</f>
        <v>3.2795697804521807E-3</v>
      </c>
      <c r="G73" s="246">
        <f>'3StatementModel'!G86/'3StatementModel'!G$110</f>
        <v>7.0676450508108599E-3</v>
      </c>
      <c r="H73" s="246">
        <f>'3StatementModel'!H86/'3StatementModel'!H$110</f>
        <v>6.784323928284001E-3</v>
      </c>
      <c r="I73" s="246">
        <f>'3StatementModel'!I86/'3StatementModel'!I$110</f>
        <v>7.216997211580008E-3</v>
      </c>
      <c r="J73" s="246">
        <f>'3StatementModel'!J86/'3StatementModel'!J$110</f>
        <v>5.8485696218335071E-3</v>
      </c>
      <c r="K73" s="246">
        <f>'3StatementModel'!K86/'3StatementModel'!K$110</f>
        <v>4.3496325161714658E-3</v>
      </c>
      <c r="L73" s="246">
        <f>'3StatementModel'!L86/'3StatementModel'!L$110</f>
        <v>2.7241567126055377E-3</v>
      </c>
      <c r="M73" s="246">
        <f>'3StatementModel'!M86/'3StatementModel'!M$110</f>
        <v>8.9009136647989274E-4</v>
      </c>
      <c r="N73" s="19"/>
      <c r="O73" s="19"/>
      <c r="P73" s="19"/>
    </row>
    <row r="74" spans="2:16">
      <c r="B74" s="2" t="str">
        <f>ConsolidatedBS!B47</f>
        <v>Lease liability</v>
      </c>
      <c r="C74" s="1"/>
      <c r="D74" s="246">
        <f>'3StatementModel'!D87/'3StatementModel'!D$110</f>
        <v>3.1678848461494605E-3</v>
      </c>
      <c r="E74" s="246">
        <f>'3StatementModel'!E87/'3StatementModel'!E$110</f>
        <v>2.1883749704922541E-3</v>
      </c>
      <c r="F74" s="246">
        <f>'3StatementModel'!F87/'3StatementModel'!F$110</f>
        <v>3.5311632054773404E-3</v>
      </c>
      <c r="G74" s="246">
        <f>'3StatementModel'!G87/'3StatementModel'!G$110</f>
        <v>4.6688138540716788E-3</v>
      </c>
      <c r="H74" s="246">
        <f>'3StatementModel'!H87/'3StatementModel'!H$110</f>
        <v>4.5561246775918966E-3</v>
      </c>
      <c r="I74" s="246">
        <f>'3StatementModel'!I87/'3StatementModel'!I$110</f>
        <v>4.1175081302066621E-3</v>
      </c>
      <c r="J74" s="246">
        <f>'3StatementModel'!J87/'3StatementModel'!J$110</f>
        <v>3.7685100758317919E-3</v>
      </c>
      <c r="K74" s="246">
        <f>'3StatementModel'!K87/'3StatementModel'!K$110</f>
        <v>3.4794911381405267E-3</v>
      </c>
      <c r="L74" s="246">
        <f>'3StatementModel'!L87/'3StatementModel'!L$110</f>
        <v>3.2708304613809193E-3</v>
      </c>
      <c r="M74" s="246">
        <f>'3StatementModel'!M87/'3StatementModel'!M$110</f>
        <v>3.1011721344366846E-3</v>
      </c>
      <c r="N74" s="19"/>
      <c r="O74" s="19"/>
      <c r="P74" s="19"/>
    </row>
    <row r="75" spans="2:16">
      <c r="B75" s="2" t="str">
        <f>ConsolidatedBS!B48</f>
        <v>Other financial liabilities</v>
      </c>
      <c r="C75" s="1"/>
      <c r="D75" s="246">
        <f>'3StatementModel'!D88/'3StatementModel'!D$110</f>
        <v>1.0042167487143345E-3</v>
      </c>
      <c r="E75" s="246">
        <f>'3StatementModel'!E88/'3StatementModel'!E$110</f>
        <v>9.1822528490077035E-4</v>
      </c>
      <c r="F75" s="246">
        <f>'3StatementModel'!F88/'3StatementModel'!F$110</f>
        <v>8.0791180582613284E-4</v>
      </c>
      <c r="G75" s="246">
        <f>'3StatementModel'!G88/'3StatementModel'!G$110</f>
        <v>6.515931170666809E-4</v>
      </c>
      <c r="H75" s="246">
        <f>'3StatementModel'!H88/'3StatementModel'!H$110</f>
        <v>1.0760123218866574E-3</v>
      </c>
      <c r="I75" s="246">
        <f>'3StatementModel'!I88/'3StatementModel'!I$110</f>
        <v>9.7242498770085453E-4</v>
      </c>
      <c r="J75" s="246">
        <f>'3StatementModel'!J88/'3StatementModel'!J$110</f>
        <v>8.9000270266797175E-4</v>
      </c>
      <c r="K75" s="246">
        <f>'3StatementModel'!K88/'3StatementModel'!K$110</f>
        <v>8.217455850030611E-4</v>
      </c>
      <c r="L75" s="246">
        <f>'3StatementModel'!L88/'3StatementModel'!L$110</f>
        <v>7.7246654301573446E-4</v>
      </c>
      <c r="M75" s="246">
        <f>'3StatementModel'!M88/'3StatementModel'!M$110</f>
        <v>7.323986205551139E-4</v>
      </c>
      <c r="N75" s="19"/>
      <c r="O75" s="19"/>
      <c r="P75" s="19"/>
    </row>
    <row r="76" spans="2:16">
      <c r="B76" s="2" t="str">
        <f>ConsolidatedBS!B49</f>
        <v>Provisions</v>
      </c>
      <c r="C76" s="1"/>
      <c r="D76" s="246">
        <f>'3StatementModel'!D89/'3StatementModel'!D$110</f>
        <v>1.5495984850202045E-3</v>
      </c>
      <c r="E76" s="246">
        <f>'3StatementModel'!E89/'3StatementModel'!E$110</f>
        <v>4.2107011040388893E-3</v>
      </c>
      <c r="F76" s="246">
        <f>'3StatementModel'!F89/'3StatementModel'!F$110</f>
        <v>5.3371143536393014E-3</v>
      </c>
      <c r="G76" s="246">
        <f>'3StatementModel'!G89/'3StatementModel'!G$110</f>
        <v>7.5674736130730254E-3</v>
      </c>
      <c r="H76" s="246">
        <f>'3StatementModel'!H89/'3StatementModel'!H$110</f>
        <v>7.1725568282807253E-3</v>
      </c>
      <c r="I76" s="246">
        <f>'3StatementModel'!I89/'3StatementModel'!I$110</f>
        <v>6.4820572624067572E-3</v>
      </c>
      <c r="J76" s="246">
        <f>'3StatementModel'!J89/'3StatementModel'!J$110</f>
        <v>5.932641134644815E-3</v>
      </c>
      <c r="K76" s="246">
        <f>'3StatementModel'!K89/'3StatementModel'!K$110</f>
        <v>5.4776481522895567E-3</v>
      </c>
      <c r="L76" s="246">
        <f>'3StatementModel'!L89/'3StatementModel'!L$110</f>
        <v>5.1491605300682903E-3</v>
      </c>
      <c r="M76" s="246">
        <f>'3StatementModel'!M89/'3StatementModel'!M$110</f>
        <v>4.8820730209438185E-3</v>
      </c>
      <c r="N76" s="19"/>
      <c r="O76" s="19"/>
      <c r="P76" s="19"/>
    </row>
    <row r="77" spans="2:16">
      <c r="B77" s="2" t="str">
        <f>ConsolidatedBS!B50</f>
        <v>Deferred tax liabilities (net)</v>
      </c>
      <c r="C77" s="1"/>
      <c r="D77" s="246">
        <f>'3StatementModel'!D90/'3StatementModel'!D$110</f>
        <v>1.5214364558154933E-2</v>
      </c>
      <c r="E77" s="246">
        <f>'3StatementModel'!E90/'3StatementModel'!E$110</f>
        <v>1.3634592185915218E-2</v>
      </c>
      <c r="F77" s="246">
        <f>'3StatementModel'!F90/'3StatementModel'!F$110</f>
        <v>1.5174261002914942E-2</v>
      </c>
      <c r="G77" s="246">
        <f>'3StatementModel'!G90/'3StatementModel'!G$110</f>
        <v>1.9936068640816536E-2</v>
      </c>
      <c r="H77" s="246">
        <f>'3StatementModel'!H90/'3StatementModel'!H$110</f>
        <v>1.8140228251505738E-2</v>
      </c>
      <c r="I77" s="246">
        <f>'3StatementModel'!I90/'3StatementModel'!I$110</f>
        <v>1.639387474990206E-2</v>
      </c>
      <c r="J77" s="246">
        <f>'3StatementModel'!J90/'3StatementModel'!J$110</f>
        <v>1.5004337629281009E-2</v>
      </c>
      <c r="K77" s="246">
        <f>'3StatementModel'!K90/'3StatementModel'!K$110</f>
        <v>1.3853607596691483E-2</v>
      </c>
      <c r="L77" s="246">
        <f>'3StatementModel'!L90/'3StatementModel'!L$110</f>
        <v>1.3022824294788177E-2</v>
      </c>
      <c r="M77" s="246">
        <f>'3StatementModel'!M90/'3StatementModel'!M$110</f>
        <v>1.2347329001458393E-2</v>
      </c>
      <c r="N77" s="19"/>
      <c r="O77" s="19"/>
      <c r="P77" s="19"/>
    </row>
    <row r="78" spans="2:16">
      <c r="B78" s="2" t="str">
        <f>ConsolidatedBS!B51</f>
        <v>Government grant</v>
      </c>
      <c r="C78" s="1"/>
      <c r="D78" s="246">
        <f>'3StatementModel'!D91/'3StatementModel'!D$110</f>
        <v>4.3561851028360533E-3</v>
      </c>
      <c r="E78" s="246">
        <f>'3StatementModel'!E91/'3StatementModel'!E$110</f>
        <v>3.9504753147957565E-3</v>
      </c>
      <c r="F78" s="246">
        <f>'3StatementModel'!F91/'3StatementModel'!F$110</f>
        <v>5.0198878612162752E-3</v>
      </c>
      <c r="G78" s="246">
        <f>'3StatementModel'!G91/'3StatementModel'!G$110</f>
        <v>5.7627293060814348E-3</v>
      </c>
      <c r="H78" s="246">
        <f>'3StatementModel'!H91/'3StatementModel'!H$110</f>
        <v>4.5336770881134131E-3</v>
      </c>
      <c r="I78" s="246">
        <f>'3StatementModel'!I91/'3StatementModel'!I$110</f>
        <v>4.0972215624057893E-3</v>
      </c>
      <c r="J78" s="246">
        <f>'3StatementModel'!J91/'3StatementModel'!J$110</f>
        <v>3.7499429879854352E-3</v>
      </c>
      <c r="K78" s="246">
        <f>'3StatementModel'!K91/'3StatementModel'!K$110</f>
        <v>3.462348018891147E-3</v>
      </c>
      <c r="L78" s="246">
        <f>'3StatementModel'!L91/'3StatementModel'!L$110</f>
        <v>3.2547153932810701E-3</v>
      </c>
      <c r="M78" s="246">
        <f>'3StatementModel'!M91/'3StatementModel'!M$110</f>
        <v>3.0858929566480861E-3</v>
      </c>
      <c r="N78" s="19"/>
      <c r="O78" s="19"/>
      <c r="P78" s="19"/>
    </row>
    <row r="79" spans="2:16">
      <c r="B79" s="2" t="str">
        <f>ConsolidatedBS!B52</f>
        <v>Other non-current liabilities</v>
      </c>
      <c r="C79" s="1"/>
      <c r="D79" s="246">
        <f>'3StatementModel'!D92/'3StatementModel'!D$110</f>
        <v>8.4829526994678744E-3</v>
      </c>
      <c r="E79" s="246">
        <f>'3StatementModel'!E92/'3StatementModel'!E$110</f>
        <v>1.4655668616088273E-2</v>
      </c>
      <c r="F79" s="246">
        <f>'3StatementModel'!F92/'3StatementModel'!F$110</f>
        <v>1.7521945405789462E-2</v>
      </c>
      <c r="G79" s="246">
        <f>'3StatementModel'!G92/'3StatementModel'!G$110</f>
        <v>1.8510087154362712E-2</v>
      </c>
      <c r="H79" s="246">
        <f>'3StatementModel'!H92/'3StatementModel'!H$110</f>
        <v>1.7062743956538527E-2</v>
      </c>
      <c r="I79" s="246">
        <f>'3StatementModel'!I92/'3StatementModel'!I$110</f>
        <v>1.5420119495460167E-2</v>
      </c>
      <c r="J79" s="246">
        <f>'3StatementModel'!J92/'3StatementModel'!J$110</f>
        <v>1.4113117412655899E-2</v>
      </c>
      <c r="K79" s="246">
        <f>'3StatementModel'!K92/'3StatementModel'!K$110</f>
        <v>1.303073787272125E-2</v>
      </c>
      <c r="L79" s="246">
        <f>'3StatementModel'!L92/'3StatementModel'!L$110</f>
        <v>1.2249301025995404E-2</v>
      </c>
      <c r="M79" s="246">
        <f>'3StatementModel'!M92/'3StatementModel'!M$110</f>
        <v>1.1613928467605667E-2</v>
      </c>
      <c r="N79" s="19"/>
      <c r="O79" s="19"/>
      <c r="P79" s="19"/>
    </row>
    <row r="80" spans="2:16">
      <c r="B80" s="68" t="str">
        <f>ConsolidatedBS!B53</f>
        <v>Total non-current liabilities</v>
      </c>
      <c r="C80" s="67"/>
      <c r="D80" s="251">
        <f>'3StatementModel'!D93/'3StatementModel'!D$108</f>
        <v>0.157575796419198</v>
      </c>
      <c r="E80" s="251">
        <f>'3StatementModel'!E93/'3StatementModel'!E$108</f>
        <v>0.18077314027005831</v>
      </c>
      <c r="F80" s="251">
        <f>'3StatementModel'!F93/'3StatementModel'!F$108</f>
        <v>0.23120911925768178</v>
      </c>
      <c r="G80" s="251">
        <f>'3StatementModel'!G93/'3StatementModel'!G$108</f>
        <v>0.29198606957342987</v>
      </c>
      <c r="H80" s="251">
        <f>'3StatementModel'!H93/'3StatementModel'!H$108</f>
        <v>0.27427049024144595</v>
      </c>
      <c r="I80" s="251">
        <f>'3StatementModel'!I93/'3StatementModel'!I$108</f>
        <v>0.25725495933580944</v>
      </c>
      <c r="J80" s="251">
        <f>'3StatementModel'!J93/'3StatementModel'!J$108</f>
        <v>0.23660817974218507</v>
      </c>
      <c r="K80" s="251">
        <f>'3StatementModel'!K93/'3StatementModel'!K$108</f>
        <v>0.21581187298022153</v>
      </c>
      <c r="L80" s="251">
        <f>'3StatementModel'!L93/'3StatementModel'!L$108</f>
        <v>0.19500352417166342</v>
      </c>
      <c r="M80" s="251">
        <f>'3StatementModel'!M93/'3StatementModel'!M$108</f>
        <v>0.17429764447265503</v>
      </c>
      <c r="N80" s="19"/>
      <c r="O80" s="19"/>
      <c r="P80" s="19"/>
    </row>
    <row r="81" spans="2:16">
      <c r="B81" s="7"/>
      <c r="C81" s="1"/>
      <c r="D81" s="244"/>
      <c r="E81" s="244"/>
      <c r="F81" s="244"/>
      <c r="G81" s="244"/>
      <c r="H81" s="244"/>
      <c r="I81" s="244"/>
      <c r="J81" s="244"/>
      <c r="K81" s="244"/>
      <c r="L81" s="244"/>
      <c r="M81" s="244"/>
      <c r="N81" s="19"/>
      <c r="O81" s="19"/>
      <c r="P81" s="19"/>
    </row>
    <row r="82" spans="2:16">
      <c r="B82" s="7" t="str">
        <f>ConsolidatedBS!B55</f>
        <v>Current liabilities :</v>
      </c>
      <c r="C82" s="1"/>
      <c r="D82" s="244"/>
      <c r="E82" s="244"/>
      <c r="F82" s="244"/>
      <c r="G82" s="244"/>
      <c r="H82" s="244"/>
      <c r="I82" s="244"/>
      <c r="J82" s="244"/>
      <c r="K82" s="244"/>
      <c r="L82" s="244"/>
      <c r="M82" s="244"/>
      <c r="N82" s="19"/>
      <c r="O82" s="19"/>
      <c r="P82" s="19"/>
    </row>
    <row r="83" spans="2:16">
      <c r="B83" s="2" t="str">
        <f>ConsolidatedBS!B56</f>
        <v xml:space="preserve">Trade payables </v>
      </c>
      <c r="C83" s="1"/>
      <c r="D83" s="246">
        <f>'3StatementModel'!D96/'3StatementModel'!D$110</f>
        <v>0.10394055476450018</v>
      </c>
      <c r="E83" s="246">
        <f>'3StatementModel'!E96/'3StatementModel'!E$110</f>
        <v>0.1107874122589891</v>
      </c>
      <c r="F83" s="246">
        <f>'3StatementModel'!F96/'3StatementModel'!F$110</f>
        <v>9.4305341698250417E-2</v>
      </c>
      <c r="G83" s="246">
        <f>'3StatementModel'!G96/'3StatementModel'!G$110</f>
        <v>9.0372549553721399E-2</v>
      </c>
      <c r="H83" s="246">
        <f>'3StatementModel'!H96/'3StatementModel'!H$110</f>
        <v>9.3093097513432685E-2</v>
      </c>
      <c r="I83" s="246">
        <f>'3StatementModel'!I96/'3StatementModel'!I$110</f>
        <v>9.7874345746085056E-2</v>
      </c>
      <c r="J83" s="246">
        <f>'3StatementModel'!J96/'3StatementModel'!J$110</f>
        <v>0.10345998192719355</v>
      </c>
      <c r="K83" s="246">
        <f>'3StatementModel'!K96/'3StatementModel'!K$110</f>
        <v>0.10959123918702504</v>
      </c>
      <c r="L83" s="246">
        <f>'3StatementModel'!L96/'3StatementModel'!L$110</f>
        <v>0.11739421803868923</v>
      </c>
      <c r="M83" s="246">
        <f>'3StatementModel'!M96/'3StatementModel'!M$110</f>
        <v>0.12597841093794868</v>
      </c>
      <c r="N83" s="222"/>
      <c r="O83" s="19"/>
      <c r="P83" s="19"/>
    </row>
    <row r="84" spans="2:16">
      <c r="B84" s="195" t="str">
        <f>ConsolidatedBS!B57</f>
        <v>Othe Current Liabilites / Financial Liabilities</v>
      </c>
      <c r="C84" s="1"/>
      <c r="D84" s="246">
        <f>'3StatementModel'!D97/'3StatementModel'!D$110</f>
        <v>0</v>
      </c>
      <c r="E84" s="246">
        <f>'3StatementModel'!E97/'3StatementModel'!E$110</f>
        <v>0</v>
      </c>
      <c r="F84" s="246">
        <f>'3StatementModel'!F97/'3StatementModel'!F$110</f>
        <v>0</v>
      </c>
      <c r="G84" s="246">
        <f>'3StatementModel'!G97/'3StatementModel'!G$110</f>
        <v>0</v>
      </c>
      <c r="H84" s="246">
        <f>'3StatementModel'!H97/'3StatementModel'!H$110</f>
        <v>0</v>
      </c>
      <c r="I84" s="246">
        <f>'3StatementModel'!I97/'3StatementModel'!I$110</f>
        <v>0</v>
      </c>
      <c r="J84" s="246">
        <f>'3StatementModel'!J97/'3StatementModel'!J$110</f>
        <v>0</v>
      </c>
      <c r="K84" s="246">
        <f>'3StatementModel'!K97/'3StatementModel'!K$110</f>
        <v>0</v>
      </c>
      <c r="L84" s="246">
        <f>'3StatementModel'!L97/'3StatementModel'!L$110</f>
        <v>0</v>
      </c>
      <c r="M84" s="246">
        <f>'3StatementModel'!M97/'3StatementModel'!M$110</f>
        <v>0</v>
      </c>
      <c r="N84" s="222"/>
      <c r="O84" s="19"/>
      <c r="P84" s="19"/>
    </row>
    <row r="85" spans="2:16">
      <c r="B85" s="56" t="str">
        <f>ConsolidatedBS!B58</f>
        <v>Borrowings</v>
      </c>
      <c r="C85" s="1"/>
      <c r="D85" s="246">
        <f>'3StatementModel'!D98/'3StatementModel'!D$110</f>
        <v>1.0812158578325815E-2</v>
      </c>
      <c r="E85" s="246">
        <f>'3StatementModel'!E98/'3StatementModel'!E$110</f>
        <v>3.6456393902538011E-3</v>
      </c>
      <c r="F85" s="246">
        <f>'3StatementModel'!F98/'3StatementModel'!F$110</f>
        <v>6.9143915606293283E-3</v>
      </c>
      <c r="G85" s="246">
        <f>'3StatementModel'!G98/'3StatementModel'!G$110</f>
        <v>4.8478182007641842E-3</v>
      </c>
      <c r="H85" s="246">
        <f>'3StatementModel'!H98/'3StatementModel'!H$110</f>
        <v>3.0215927411119509E-3</v>
      </c>
      <c r="I85" s="246">
        <f>'3StatementModel'!I98/'3StatementModel'!I$110</f>
        <v>5.0518980481060053E-3</v>
      </c>
      <c r="J85" s="246">
        <f>'3StatementModel'!J98/'3StatementModel'!J$110</f>
        <v>5.2825790132689744E-3</v>
      </c>
      <c r="K85" s="246">
        <f>'3StatementModel'!K98/'3StatementModel'!K$110</f>
        <v>5.5358959296727753E-3</v>
      </c>
      <c r="L85" s="246">
        <f>'3StatementModel'!L98/'3StatementModel'!L$110</f>
        <v>5.8674144579196202E-3</v>
      </c>
      <c r="M85" s="246">
        <f>'3StatementModel'!M98/'3StatementModel'!M$110</f>
        <v>6.2306395653592495E-3</v>
      </c>
      <c r="N85" s="222"/>
      <c r="O85" s="19"/>
      <c r="P85" s="19"/>
    </row>
    <row r="86" spans="2:16">
      <c r="B86" s="56" t="str">
        <f>ConsolidatedBS!B59</f>
        <v>Lease liability</v>
      </c>
      <c r="C86" s="1"/>
      <c r="D86" s="246">
        <f>'3StatementModel'!D99/'3StatementModel'!D$110</f>
        <v>1.0797734124342914E-3</v>
      </c>
      <c r="E86" s="246">
        <f>'3StatementModel'!E99/'3StatementModel'!E$110</f>
        <v>8.3953796291534675E-4</v>
      </c>
      <c r="F86" s="246">
        <f>'3StatementModel'!F99/'3StatementModel'!F$110</f>
        <v>1.2980762218689382E-3</v>
      </c>
      <c r="G86" s="246">
        <f>'3StatementModel'!G99/'3StatementModel'!G$110</f>
        <v>1.5513710046683815E-3</v>
      </c>
      <c r="H86" s="246">
        <f>'3StatementModel'!H99/'3StatementModel'!H$110</f>
        <v>2.4968343378936287E-3</v>
      </c>
      <c r="I86" s="246">
        <f>'3StatementModel'!I99/'3StatementModel'!I$110</f>
        <v>2.2564649594905258E-3</v>
      </c>
      <c r="J86" s="246">
        <f>'3StatementModel'!J99/'3StatementModel'!J$110</f>
        <v>2.0652080497955499E-3</v>
      </c>
      <c r="K86" s="246">
        <f>'3StatementModel'!K99/'3StatementModel'!K$110</f>
        <v>1.9068207230662686E-3</v>
      </c>
      <c r="L86" s="246">
        <f>'3StatementModel'!L99/'3StatementModel'!L$110</f>
        <v>1.7924710993029267E-3</v>
      </c>
      <c r="M86" s="246">
        <f>'3StatementModel'!M99/'3StatementModel'!M$110</f>
        <v>1.6994954310760764E-3</v>
      </c>
      <c r="N86" s="222"/>
      <c r="O86" s="19"/>
      <c r="P86" s="19"/>
    </row>
    <row r="87" spans="2:16">
      <c r="B87" s="56" t="str">
        <f>ConsolidatedBS!B60</f>
        <v>Other financial liabilities</v>
      </c>
      <c r="C87" s="1"/>
      <c r="D87" s="246">
        <f>'3StatementModel'!D100/'3StatementModel'!D$110</f>
        <v>1.4074145814744676E-2</v>
      </c>
      <c r="E87" s="246">
        <f>'3StatementModel'!E100/'3StatementModel'!E$110</f>
        <v>1.5489630312091267E-2</v>
      </c>
      <c r="F87" s="246">
        <f>'3StatementModel'!F100/'3StatementModel'!F$110</f>
        <v>1.1562879603951319E-2</v>
      </c>
      <c r="G87" s="246">
        <f>'3StatementModel'!G100/'3StatementModel'!G$110</f>
        <v>1.3235079836371004E-2</v>
      </c>
      <c r="H87" s="246">
        <f>'3StatementModel'!H100/'3StatementModel'!H$110</f>
        <v>1.3058241190885105E-2</v>
      </c>
      <c r="I87" s="246">
        <f>'3StatementModel'!I100/'3StatementModel'!I$110</f>
        <v>1.1801128826458559E-2</v>
      </c>
      <c r="J87" s="246">
        <f>'3StatementModel'!J100/'3StatementModel'!J$110</f>
        <v>1.0800870692261622E-2</v>
      </c>
      <c r="K87" s="246">
        <f>'3StatementModel'!K100/'3StatementModel'!K$110</f>
        <v>9.9725178125286001E-3</v>
      </c>
      <c r="L87" s="246">
        <f>'3StatementModel'!L100/'3StatementModel'!L$110</f>
        <v>9.3744785495599656E-3</v>
      </c>
      <c r="M87" s="246">
        <f>'3StatementModel'!M100/'3StatementModel'!M$110</f>
        <v>8.8882233414494596E-3</v>
      </c>
      <c r="N87" s="222"/>
      <c r="O87" s="19"/>
      <c r="P87" s="19"/>
    </row>
    <row r="88" spans="2:16">
      <c r="B88" s="56" t="str">
        <f>ConsolidatedBS!B61</f>
        <v>Provisions</v>
      </c>
      <c r="C88" s="1"/>
      <c r="D88" s="246">
        <f>'3StatementModel'!D101/'3StatementModel'!D$110</f>
        <v>6.1949595462753651E-3</v>
      </c>
      <c r="E88" s="246">
        <f>'3StatementModel'!E101/'3StatementModel'!E$110</f>
        <v>7.5477870584758321E-3</v>
      </c>
      <c r="F88" s="246">
        <f>'3StatementModel'!F101/'3StatementModel'!F$110</f>
        <v>8.0989121579527479E-3</v>
      </c>
      <c r="G88" s="246">
        <f>'3StatementModel'!G101/'3StatementModel'!G$110</f>
        <v>4.3043194959514319E-3</v>
      </c>
      <c r="H88" s="246">
        <f>'3StatementModel'!H101/'3StatementModel'!H$110</f>
        <v>4.5189573573078505E-3</v>
      </c>
      <c r="I88" s="246">
        <f>'3StatementModel'!I101/'3StatementModel'!I$110</f>
        <v>4.0839188949953814E-3</v>
      </c>
      <c r="J88" s="246">
        <f>'3StatementModel'!J101/'3StatementModel'!J$110</f>
        <v>3.7377678484140538E-3</v>
      </c>
      <c r="K88" s="246">
        <f>'3StatementModel'!K101/'3StatementModel'!K$110</f>
        <v>3.451106629219422E-3</v>
      </c>
      <c r="L88" s="246">
        <f>'3StatementModel'!L101/'3StatementModel'!L$110</f>
        <v>3.2441481355106765E-3</v>
      </c>
      <c r="M88" s="246">
        <f>'3StatementModel'!M101/'3StatementModel'!M$110</f>
        <v>3.0758738236719555E-3</v>
      </c>
      <c r="N88" s="222"/>
      <c r="O88" s="19"/>
      <c r="P88" s="19"/>
    </row>
    <row r="89" spans="2:16">
      <c r="B89" s="56" t="str">
        <f>ConsolidatedBS!B62</f>
        <v>Government grant</v>
      </c>
      <c r="C89" s="1"/>
      <c r="D89" s="246">
        <f>'3StatementModel'!D102/'3StatementModel'!D$110</f>
        <v>1.0722177460622958E-3</v>
      </c>
      <c r="E89" s="246">
        <f>'3StatementModel'!E102/'3StatementModel'!E$110</f>
        <v>1.200756141793315E-3</v>
      </c>
      <c r="F89" s="246">
        <f>'3StatementModel'!F102/'3StatementModel'!F$110</f>
        <v>1.6903119341752425E-3</v>
      </c>
      <c r="G89" s="246">
        <f>'3StatementModel'!G102/'3StatementModel'!G$110</f>
        <v>1.1107781803213691E-3</v>
      </c>
      <c r="H89" s="246">
        <f>'3StatementModel'!H102/'3StatementModel'!H$110</f>
        <v>1.4896367575229785E-3</v>
      </c>
      <c r="I89" s="246">
        <f>'3StatementModel'!I102/'3StatementModel'!I$110</f>
        <v>1.3462299419333308E-3</v>
      </c>
      <c r="J89" s="246">
        <f>'3StatementModel'!J102/'3StatementModel'!J$110</f>
        <v>1.2321241246237857E-3</v>
      </c>
      <c r="K89" s="246">
        <f>'3StatementModel'!K102/'3StatementModel'!K$110</f>
        <v>1.1376286347785196E-3</v>
      </c>
      <c r="L89" s="246">
        <f>'3StatementModel'!L102/'3StatementModel'!L$110</f>
        <v>1.0694064863637799E-3</v>
      </c>
      <c r="M89" s="246">
        <f>'3StatementModel'!M102/'3StatementModel'!M$110</f>
        <v>1.013936257184371E-3</v>
      </c>
      <c r="N89" s="222"/>
      <c r="O89" s="19"/>
      <c r="P89" s="19"/>
    </row>
    <row r="90" spans="2:16">
      <c r="B90" s="56" t="str">
        <f>ConsolidatedBS!B63</f>
        <v>Contract liability</v>
      </c>
      <c r="C90" s="1"/>
      <c r="D90" s="246">
        <f>'3StatementModel'!D103/'3StatementModel'!D$110</f>
        <v>1.563816875374778E-2</v>
      </c>
      <c r="E90" s="246">
        <f>'3StatementModel'!E103/'3StatementModel'!E$110</f>
        <v>1.0541622805196832E-2</v>
      </c>
      <c r="F90" s="246">
        <f>'3StatementModel'!F103/'3StatementModel'!F$110</f>
        <v>9.3813614590126711E-3</v>
      </c>
      <c r="G90" s="246">
        <f>'3StatementModel'!G103/'3StatementModel'!G$110</f>
        <v>1.1353372307854616E-2</v>
      </c>
      <c r="H90" s="246">
        <f>'3StatementModel'!H103/'3StatementModel'!H$110</f>
        <v>9.9608418361245028E-3</v>
      </c>
      <c r="I90" s="246">
        <f>'3StatementModel'!I103/'3StatementModel'!I$110</f>
        <v>9.0019150366233702E-3</v>
      </c>
      <c r="J90" s="246">
        <f>'3StatementModel'!J103/'3StatementModel'!J$110</f>
        <v>8.2389169479537144E-3</v>
      </c>
      <c r="K90" s="246">
        <f>'3StatementModel'!K103/'3StatementModel'!K$110</f>
        <v>7.6070483908559708E-3</v>
      </c>
      <c r="L90" s="246">
        <f>'3StatementModel'!L103/'3StatementModel'!L$110</f>
        <v>7.150863333225E-3</v>
      </c>
      <c r="M90" s="246">
        <f>'3StatementModel'!M103/'3StatementModel'!M$110</f>
        <v>6.7799472849472721E-3</v>
      </c>
      <c r="N90" s="222"/>
      <c r="O90" s="19"/>
      <c r="P90" s="19"/>
    </row>
    <row r="91" spans="2:16">
      <c r="B91" s="56" t="str">
        <f>ConsolidatedBS!B64</f>
        <v>Other current liabilities</v>
      </c>
      <c r="C91" s="1"/>
      <c r="D91" s="246">
        <f>'3StatementModel'!D104/'3StatementModel'!D$110</f>
        <v>1.8755224571576544E-2</v>
      </c>
      <c r="E91" s="246">
        <f>'3StatementModel'!E104/'3StatementModel'!E$110</f>
        <v>1.8645177799270499E-2</v>
      </c>
      <c r="F91" s="246">
        <f>'3StatementModel'!F104/'3StatementModel'!F$110</f>
        <v>2.3629987852673558E-2</v>
      </c>
      <c r="G91" s="246">
        <f>'3StatementModel'!G104/'3StatementModel'!G$110</f>
        <v>1.9644646105379943E-2</v>
      </c>
      <c r="H91" s="246">
        <f>'3StatementModel'!H104/'3StatementModel'!H$110</f>
        <v>2.0555368083428494E-2</v>
      </c>
      <c r="I91" s="246">
        <f>'3StatementModel'!I104/'3StatementModel'!I$110</f>
        <v>1.8576509905264823E-2</v>
      </c>
      <c r="J91" s="246">
        <f>'3StatementModel'!J104/'3StatementModel'!J$110</f>
        <v>1.7001973654455393E-2</v>
      </c>
      <c r="K91" s="246">
        <f>'3StatementModel'!K104/'3StatementModel'!K$110</f>
        <v>1.5698038607079683E-2</v>
      </c>
      <c r="L91" s="246">
        <f>'3StatementModel'!L104/'3StatementModel'!L$110</f>
        <v>1.4756647113465424E-2</v>
      </c>
      <c r="M91" s="246">
        <f>'3StatementModel'!M104/'3StatementModel'!M$110</f>
        <v>1.3991218244516948E-2</v>
      </c>
      <c r="N91" s="222"/>
      <c r="O91" s="19"/>
      <c r="P91" s="19"/>
    </row>
    <row r="92" spans="2:16">
      <c r="B92" s="56" t="str">
        <f>ConsolidatedBS!B65</f>
        <v>Current tax liabilities (net)</v>
      </c>
      <c r="C92" s="1"/>
      <c r="D92" s="246">
        <f>'3StatementModel'!D105/'3StatementModel'!D$110</f>
        <v>9.0001724065690326E-3</v>
      </c>
      <c r="E92" s="246">
        <f>'3StatementModel'!E105/'3StatementModel'!E$110</f>
        <v>1.0571362895396048E-2</v>
      </c>
      <c r="F92" s="246">
        <f>'3StatementModel'!F105/'3StatementModel'!F$110</f>
        <v>1.1607155879576865E-2</v>
      </c>
      <c r="G92" s="246">
        <f>'3StatementModel'!G105/'3StatementModel'!G$110</f>
        <v>9.1672709144311661E-3</v>
      </c>
      <c r="H92" s="246">
        <f>'3StatementModel'!H105/'3StatementModel'!H$110</f>
        <v>8.783263371679461E-3</v>
      </c>
      <c r="I92" s="246">
        <f>'3StatementModel'!I105/'3StatementModel'!I$110</f>
        <v>7.937701643790698E-3</v>
      </c>
      <c r="J92" s="246">
        <f>'3StatementModel'!J105/'3StatementModel'!J$110</f>
        <v>7.2649057822432124E-3</v>
      </c>
      <c r="K92" s="246">
        <f>'3StatementModel'!K105/'3StatementModel'!K$110</f>
        <v>6.7077372171180103E-3</v>
      </c>
      <c r="L92" s="246">
        <f>'3StatementModel'!L105/'3StatementModel'!L$110</f>
        <v>6.3054827115935535E-3</v>
      </c>
      <c r="M92" s="246">
        <f>'3StatementModel'!M105/'3StatementModel'!M$110</f>
        <v>5.97841664685686E-3</v>
      </c>
      <c r="N92" s="19"/>
      <c r="O92" s="19"/>
      <c r="P92" s="19"/>
    </row>
    <row r="93" spans="2:16">
      <c r="B93" s="68" t="str">
        <f>ConsolidatedBS!B66</f>
        <v>Total current liabilities</v>
      </c>
      <c r="C93" s="67"/>
      <c r="D93" s="251">
        <f>'3StatementModel'!D106/'3StatementModel'!D$110</f>
        <v>0.180567375594236</v>
      </c>
      <c r="E93" s="251">
        <f>'3StatementModel'!E106/'3StatementModel'!E$110</f>
        <v>0.17926892662438201</v>
      </c>
      <c r="F93" s="251">
        <f>'3StatementModel'!F106/'3StatementModel'!F$110</f>
        <v>0.16848841836809106</v>
      </c>
      <c r="G93" s="251">
        <f>'3StatementModel'!G106/'3StatementModel'!G$110</f>
        <v>0.15558720559946349</v>
      </c>
      <c r="H93" s="251">
        <f>'3StatementModel'!H106/'3StatementModel'!H$110</f>
        <v>0.15697783318938666</v>
      </c>
      <c r="I93" s="251">
        <f>'3StatementModel'!I106/'3StatementModel'!I$110</f>
        <v>0.15793011300274776</v>
      </c>
      <c r="J93" s="251">
        <f>'3StatementModel'!J106/'3StatementModel'!J$110</f>
        <v>0.15908432804020986</v>
      </c>
      <c r="K93" s="251">
        <f>'3StatementModel'!K106/'3StatementModel'!K$110</f>
        <v>0.16160803313134431</v>
      </c>
      <c r="L93" s="251">
        <f>'3StatementModel'!L106/'3StatementModel'!L$110</f>
        <v>0.16695512992563019</v>
      </c>
      <c r="M93" s="251">
        <f>'3StatementModel'!M106/'3StatementModel'!M$110</f>
        <v>0.1736361615330109</v>
      </c>
      <c r="N93" s="19"/>
      <c r="O93" s="19"/>
      <c r="P93" s="19"/>
    </row>
    <row r="94" spans="2:16">
      <c r="B94" s="7"/>
      <c r="C94" s="1"/>
      <c r="D94" s="244"/>
      <c r="E94" s="244"/>
      <c r="F94" s="244"/>
      <c r="G94" s="244"/>
      <c r="H94" s="244"/>
      <c r="I94" s="244"/>
      <c r="J94" s="244"/>
      <c r="K94" s="244"/>
      <c r="L94" s="244"/>
      <c r="M94" s="244"/>
      <c r="N94" s="19"/>
      <c r="O94" s="19"/>
      <c r="P94" s="19"/>
    </row>
    <row r="95" spans="2:16" ht="15" thickBot="1">
      <c r="B95" s="194" t="s">
        <v>453</v>
      </c>
      <c r="C95" s="6"/>
      <c r="D95" s="252">
        <f>'3StatementModel'!D108/'3StatementModel'!D$110</f>
        <v>0.21434257803457887</v>
      </c>
      <c r="E95" s="252">
        <f>'3StatementModel'!E108/'3StatementModel'!E$110</f>
        <v>0.21882696410061317</v>
      </c>
      <c r="F95" s="252">
        <f>'3StatementModel'!F108/'3StatementModel'!F$110</f>
        <v>0.21916027178340669</v>
      </c>
      <c r="G95" s="252">
        <f>'3StatementModel'!G108/'3StatementModel'!G$110</f>
        <v>0.21975161633574641</v>
      </c>
      <c r="H95" s="252">
        <f>'3StatementModel'!H108/'3StatementModel'!H$110</f>
        <v>0.21630350024158762</v>
      </c>
      <c r="I95" s="252">
        <f>'3StatementModel'!I108/'3StatementModel'!I$110</f>
        <v>0.21263031640241006</v>
      </c>
      <c r="J95" s="252">
        <f>'3StatementModel'!J108/'3StatementModel'!J$110</f>
        <v>0.20839144960511027</v>
      </c>
      <c r="K95" s="252">
        <f>'3StatementModel'!K108/'3StatementModel'!K$110</f>
        <v>0.2060832440112528</v>
      </c>
      <c r="L95" s="252">
        <f>'3StatementModel'!L108/'3StatementModel'!L$110</f>
        <v>0.20739858488676532</v>
      </c>
      <c r="M95" s="252">
        <f>'3StatementModel'!M108/'3StatementModel'!M$110</f>
        <v>0.21028904710113855</v>
      </c>
      <c r="N95" s="19"/>
      <c r="O95" s="19"/>
      <c r="P95" s="19"/>
    </row>
    <row r="96" spans="2:16">
      <c r="B96" s="7"/>
      <c r="C96" s="191"/>
      <c r="D96" s="227"/>
      <c r="E96" s="227"/>
      <c r="F96" s="227"/>
      <c r="G96" s="227"/>
      <c r="H96" s="227"/>
      <c r="I96" s="227"/>
      <c r="J96" s="227"/>
      <c r="K96" s="227"/>
      <c r="L96" s="227"/>
      <c r="M96" s="227"/>
      <c r="N96" s="19"/>
      <c r="O96" s="19"/>
      <c r="P96" s="19"/>
    </row>
    <row r="97" spans="2:16" ht="15" thickBot="1">
      <c r="B97" s="86" t="s">
        <v>229</v>
      </c>
      <c r="C97" s="99"/>
      <c r="D97" s="143">
        <f>'3StatementModel'!D110/'3StatementModel'!D$110</f>
        <v>1</v>
      </c>
      <c r="E97" s="143">
        <f>'3StatementModel'!E110/'3StatementModel'!E$110</f>
        <v>1</v>
      </c>
      <c r="F97" s="143">
        <f>'3StatementModel'!F110/'3StatementModel'!F$110</f>
        <v>1</v>
      </c>
      <c r="G97" s="143">
        <f>'3StatementModel'!G110/'3StatementModel'!G$110</f>
        <v>1</v>
      </c>
      <c r="H97" s="143">
        <f>'3StatementModel'!H110/'3StatementModel'!H$110</f>
        <v>1</v>
      </c>
      <c r="I97" s="143">
        <f>'3StatementModel'!I110/'3StatementModel'!I$110</f>
        <v>1</v>
      </c>
      <c r="J97" s="143">
        <f>'3StatementModel'!J110/'3StatementModel'!J$110</f>
        <v>1</v>
      </c>
      <c r="K97" s="143">
        <f>'3StatementModel'!K110/'3StatementModel'!K$110</f>
        <v>1</v>
      </c>
      <c r="L97" s="143">
        <f>'3StatementModel'!L110/'3StatementModel'!L$110</f>
        <v>1</v>
      </c>
      <c r="M97" s="143">
        <f>'3StatementModel'!M110/'3StatementModel'!M$110</f>
        <v>1</v>
      </c>
      <c r="N97" s="19"/>
      <c r="O97" s="19"/>
      <c r="P97" s="19"/>
    </row>
    <row r="98" spans="2:16">
      <c r="D98" s="19"/>
      <c r="E98" s="19"/>
      <c r="F98" s="19"/>
      <c r="G98" s="19"/>
      <c r="H98" s="19"/>
      <c r="I98" s="19"/>
      <c r="J98" s="19"/>
      <c r="K98" s="19"/>
      <c r="L98" s="19"/>
      <c r="M98" s="19"/>
      <c r="N98" s="19"/>
      <c r="O98" s="19"/>
      <c r="P98" s="19"/>
    </row>
    <row r="99" spans="2:16">
      <c r="I99" s="140"/>
    </row>
    <row r="100" spans="2:16">
      <c r="E100" s="140"/>
      <c r="F100" s="140"/>
      <c r="G100" s="140"/>
      <c r="H100" s="140"/>
    </row>
    <row r="101" spans="2:16">
      <c r="D101" s="140"/>
      <c r="E101" s="140"/>
      <c r="F101" s="140"/>
      <c r="G101" s="140"/>
      <c r="H101" s="140"/>
    </row>
    <row r="102" spans="2:16">
      <c r="D102" s="140"/>
      <c r="E102" s="140"/>
      <c r="F102" s="140"/>
      <c r="G102" s="140"/>
      <c r="H102" s="140"/>
    </row>
  </sheetData>
  <sheetProtection algorithmName="SHA-512" hashValue="c3srTLF8gQJ/WXbqKWIG8xhdsU45kdPSc7YvgHJR7Pdt1AcLjWSrnaEQnQ9bWkLbmi3f7T5n01BTCDNqqy7XsQ==" saltValue="pVjfiLuOXmKCD+uNSWnOqg==" spinCount="100000" sheet="1" objects="1" scenarios="1" selectLockedCells="1" selectUnlockedCells="1"/>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Drop Down 1">
              <controlPr defaultSize="0" autoLine="0" autoPict="0">
                <anchor moveWithCells="1">
                  <from>
                    <xdr:col>8</xdr:col>
                    <xdr:colOff>7620</xdr:colOff>
                    <xdr:row>2</xdr:row>
                    <xdr:rowOff>182880</xdr:rowOff>
                  </from>
                  <to>
                    <xdr:col>9</xdr:col>
                    <xdr:colOff>396240</xdr:colOff>
                    <xdr:row>4</xdr:row>
                    <xdr:rowOff>7620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766C7-1884-4BB0-AC24-E1F1B8435236}">
  <dimension ref="A1:N90"/>
  <sheetViews>
    <sheetView showGridLines="0" zoomScale="90" zoomScaleNormal="80" workbookViewId="0">
      <pane ySplit="9" topLeftCell="A10" activePane="bottomLeft" state="frozen"/>
      <selection pane="bottomLeft" activeCell="P78" sqref="P78"/>
    </sheetView>
  </sheetViews>
  <sheetFormatPr defaultRowHeight="14.4"/>
  <cols>
    <col min="1" max="1" width="1.88671875" customWidth="1"/>
    <col min="2" max="2" width="37" customWidth="1"/>
    <col min="3" max="3" width="1.21875" customWidth="1"/>
    <col min="4" max="13" width="8.88671875" customWidth="1"/>
    <col min="14" max="14" width="1.109375" customWidth="1"/>
  </cols>
  <sheetData>
    <row r="1" spans="1:13" ht="6.6" customHeight="1"/>
    <row r="2" spans="1:13" ht="21">
      <c r="B2" s="462" t="str">
        <f>'Input Sheet'!C5</f>
        <v>Eicher Motors</v>
      </c>
    </row>
    <row r="3" spans="1:13" ht="15.6">
      <c r="B3" s="9" t="s">
        <v>86</v>
      </c>
    </row>
    <row r="4" spans="1:13">
      <c r="H4" t="s">
        <v>22</v>
      </c>
      <c r="I4">
        <v>0</v>
      </c>
    </row>
    <row r="8" spans="1:13" ht="15.6">
      <c r="D8" s="551" t="s">
        <v>16</v>
      </c>
      <c r="E8" s="551"/>
      <c r="F8" s="551"/>
      <c r="G8" s="551"/>
      <c r="H8" s="551"/>
      <c r="I8" s="549" t="s">
        <v>17</v>
      </c>
      <c r="J8" s="549"/>
      <c r="K8" s="549"/>
      <c r="L8" s="549"/>
      <c r="M8" s="549"/>
    </row>
    <row r="9" spans="1:13">
      <c r="B9" s="495"/>
      <c r="C9" s="11"/>
      <c r="D9" s="51">
        <f>Controlsheet!D9</f>
        <v>2021</v>
      </c>
      <c r="E9" s="51">
        <f>Controlsheet!E9</f>
        <v>2022</v>
      </c>
      <c r="F9" s="51">
        <f>Controlsheet!F9</f>
        <v>2023</v>
      </c>
      <c r="G9" s="51">
        <f>Controlsheet!G9</f>
        <v>2024</v>
      </c>
      <c r="H9" s="51">
        <f>Controlsheet!H9</f>
        <v>2025</v>
      </c>
      <c r="I9" s="51">
        <f>H9+1</f>
        <v>2026</v>
      </c>
      <c r="J9" s="51">
        <f>I9+1</f>
        <v>2027</v>
      </c>
      <c r="K9" s="51">
        <f>J9+1</f>
        <v>2028</v>
      </c>
      <c r="L9" s="51">
        <f t="shared" ref="L9:M9" si="0">K9+1</f>
        <v>2029</v>
      </c>
      <c r="M9" s="51">
        <f t="shared" si="0"/>
        <v>2030</v>
      </c>
    </row>
    <row r="10" spans="1:13">
      <c r="B10" s="64"/>
      <c r="F10" s="65"/>
      <c r="G10" s="66"/>
      <c r="H10" s="66"/>
      <c r="I10" s="66"/>
      <c r="J10" s="66"/>
      <c r="K10" s="66"/>
      <c r="L10" s="66"/>
      <c r="M10" s="66"/>
    </row>
    <row r="11" spans="1:13" ht="18">
      <c r="A11" s="18" t="s">
        <v>18</v>
      </c>
      <c r="B11" s="469" t="s">
        <v>87</v>
      </c>
      <c r="C11" s="466"/>
      <c r="D11" s="466"/>
      <c r="E11" s="466"/>
      <c r="F11" s="470"/>
      <c r="G11" s="470"/>
      <c r="H11" s="470"/>
      <c r="I11" s="470"/>
      <c r="J11" s="470"/>
      <c r="K11" s="470"/>
      <c r="L11" s="470"/>
      <c r="M11" s="470"/>
    </row>
    <row r="13" spans="1:13">
      <c r="B13" t="s">
        <v>88</v>
      </c>
      <c r="D13" s="138">
        <f>'3StatementModel'!D74</f>
        <v>8807.36</v>
      </c>
      <c r="E13" s="138">
        <f>'3StatementModel'!E74</f>
        <v>5613.41</v>
      </c>
      <c r="F13" s="138">
        <f>'3StatementModel'!F74</f>
        <v>3649.8200000000006</v>
      </c>
      <c r="G13" s="138">
        <f>'3StatementModel'!G74</f>
        <v>4146.1200000000008</v>
      </c>
      <c r="H13" s="138">
        <f>'3StatementModel'!H74</f>
        <v>6958.2</v>
      </c>
      <c r="I13" s="138">
        <f>'3StatementModel'!I74</f>
        <v>8603.7111347082755</v>
      </c>
      <c r="J13" s="138">
        <f>'3StatementModel'!J74</f>
        <v>10085.291743102025</v>
      </c>
      <c r="K13" s="138">
        <f>'3StatementModel'!K74</f>
        <v>11563.590627202217</v>
      </c>
      <c r="L13" s="138">
        <f>'3StatementModel'!L74</f>
        <v>12631.096623033172</v>
      </c>
      <c r="M13" s="138">
        <f>'3StatementModel'!M74</f>
        <v>13543.118142674455</v>
      </c>
    </row>
    <row r="14" spans="1:13">
      <c r="B14" t="s">
        <v>89</v>
      </c>
      <c r="D14" s="138">
        <f>'3StatementModel'!D106</f>
        <v>2628.8100000000004</v>
      </c>
      <c r="E14" s="138">
        <f>'3StatementModel'!E106</f>
        <v>2893.3699999999994</v>
      </c>
      <c r="F14" s="138">
        <f>'3StatementModel'!F106</f>
        <v>3234.5799999999995</v>
      </c>
      <c r="G14" s="138">
        <f>'3StatementModel'!G106</f>
        <v>3598.41</v>
      </c>
      <c r="H14" s="138">
        <f>'3StatementModel'!H106</f>
        <v>4265.78</v>
      </c>
      <c r="I14" s="138">
        <f>'3StatementModel'!I106</f>
        <v>4748.8254236643843</v>
      </c>
      <c r="J14" s="138">
        <f>'3StatementModel'!J106</f>
        <v>5226.5299172142977</v>
      </c>
      <c r="K14" s="138">
        <f>'3StatementModel'!K106</f>
        <v>5750.4645902574639</v>
      </c>
      <c r="L14" s="138">
        <f>'3StatementModel'!L106</f>
        <v>6319.7144823474764</v>
      </c>
      <c r="M14" s="138">
        <f>'3StatementModel'!M106</f>
        <v>6932.1831318812247</v>
      </c>
    </row>
    <row r="15" spans="1:13">
      <c r="B15" s="13" t="s">
        <v>90</v>
      </c>
      <c r="C15" s="13"/>
      <c r="D15" s="467">
        <f t="shared" ref="D15:E15" si="1">D13/D14</f>
        <v>3.3503220088176775</v>
      </c>
      <c r="E15" s="467">
        <f t="shared" si="1"/>
        <v>1.9400940771487922</v>
      </c>
      <c r="F15" s="467">
        <f>F13/F14</f>
        <v>1.128375245008626</v>
      </c>
      <c r="G15" s="467">
        <f t="shared" ref="G15:M15" si="2">G13/G14</f>
        <v>1.1522088922607487</v>
      </c>
      <c r="H15" s="467">
        <f t="shared" si="2"/>
        <v>1.6311671019133664</v>
      </c>
      <c r="I15" s="467">
        <f t="shared" si="2"/>
        <v>1.8117556168382596</v>
      </c>
      <c r="J15" s="467">
        <f t="shared" si="2"/>
        <v>1.9296343659843456</v>
      </c>
      <c r="K15" s="467">
        <f t="shared" si="2"/>
        <v>2.0108967624621932</v>
      </c>
      <c r="L15" s="467">
        <f t="shared" si="2"/>
        <v>1.9986815319449867</v>
      </c>
      <c r="M15" s="467">
        <f t="shared" si="2"/>
        <v>1.9536584485758075</v>
      </c>
    </row>
    <row r="16" spans="1:13">
      <c r="D16" s="291"/>
      <c r="E16" s="291"/>
      <c r="F16" s="291"/>
      <c r="G16" s="291"/>
      <c r="H16" s="291"/>
      <c r="I16" s="291"/>
      <c r="J16" s="291"/>
      <c r="K16" s="291"/>
      <c r="L16" s="291"/>
      <c r="M16" s="291"/>
    </row>
    <row r="17" spans="1:14">
      <c r="B17" t="s">
        <v>88</v>
      </c>
      <c r="D17" s="291">
        <f>D13</f>
        <v>8807.36</v>
      </c>
      <c r="E17" s="291">
        <f t="shared" ref="E17:M17" si="3">E13</f>
        <v>5613.41</v>
      </c>
      <c r="F17" s="291">
        <f t="shared" si="3"/>
        <v>3649.8200000000006</v>
      </c>
      <c r="G17" s="291">
        <f t="shared" si="3"/>
        <v>4146.1200000000008</v>
      </c>
      <c r="H17" s="291">
        <f t="shared" si="3"/>
        <v>6958.2</v>
      </c>
      <c r="I17" s="291">
        <f t="shared" si="3"/>
        <v>8603.7111347082755</v>
      </c>
      <c r="J17" s="291">
        <f t="shared" si="3"/>
        <v>10085.291743102025</v>
      </c>
      <c r="K17" s="291">
        <f t="shared" si="3"/>
        <v>11563.590627202217</v>
      </c>
      <c r="L17" s="291">
        <f t="shared" si="3"/>
        <v>12631.096623033172</v>
      </c>
      <c r="M17" s="291">
        <f t="shared" si="3"/>
        <v>13543.118142674455</v>
      </c>
    </row>
    <row r="18" spans="1:14">
      <c r="B18" t="s">
        <v>6</v>
      </c>
      <c r="D18" s="138">
        <f>'3StatementModel'!D65</f>
        <v>874.6</v>
      </c>
      <c r="E18" s="138">
        <f>'3StatementModel'!E65</f>
        <v>1132.4000000000001</v>
      </c>
      <c r="F18" s="138">
        <f>'3StatementModel'!F65</f>
        <v>1278.44</v>
      </c>
      <c r="G18" s="138">
        <f>'3StatementModel'!G65</f>
        <v>1409.64</v>
      </c>
      <c r="H18" s="138">
        <f>'3StatementModel'!H65</f>
        <v>1563.75</v>
      </c>
      <c r="I18" s="138">
        <f>'3StatementModel'!I65</f>
        <v>1783.635821917808</v>
      </c>
      <c r="J18" s="138">
        <f>'3StatementModel'!J65</f>
        <v>2037.8039265410957</v>
      </c>
      <c r="K18" s="138">
        <f>'3StatementModel'!K65</f>
        <v>2312.9074566241438</v>
      </c>
      <c r="L18" s="138">
        <f>'3StatementModel'!L65</f>
        <v>2607.803157343722</v>
      </c>
      <c r="M18" s="138">
        <f>'3StatementModel'!M65</f>
        <v>2920.7395362249686</v>
      </c>
    </row>
    <row r="19" spans="1:14">
      <c r="B19" t="s">
        <v>8</v>
      </c>
      <c r="D19" s="468">
        <v>0</v>
      </c>
      <c r="E19" s="468">
        <v>0</v>
      </c>
      <c r="F19" s="468">
        <v>0</v>
      </c>
      <c r="G19" s="468">
        <v>0</v>
      </c>
      <c r="H19" s="468">
        <v>0</v>
      </c>
      <c r="I19" s="468">
        <v>0</v>
      </c>
      <c r="J19" s="468">
        <v>0</v>
      </c>
      <c r="K19" s="468">
        <v>0</v>
      </c>
      <c r="L19" s="468">
        <v>0</v>
      </c>
      <c r="M19" s="468">
        <v>0</v>
      </c>
    </row>
    <row r="20" spans="1:14">
      <c r="B20" t="s">
        <v>89</v>
      </c>
      <c r="D20" s="291">
        <f>D14</f>
        <v>2628.8100000000004</v>
      </c>
      <c r="E20" s="291">
        <f t="shared" ref="E20:I20" si="4">E14</f>
        <v>2893.3699999999994</v>
      </c>
      <c r="F20" s="291">
        <f t="shared" si="4"/>
        <v>3234.5799999999995</v>
      </c>
      <c r="G20" s="291">
        <f t="shared" si="4"/>
        <v>3598.41</v>
      </c>
      <c r="H20" s="291">
        <f t="shared" si="4"/>
        <v>4265.78</v>
      </c>
      <c r="I20" s="291">
        <f t="shared" si="4"/>
        <v>4748.8254236643843</v>
      </c>
      <c r="J20" s="291">
        <f t="shared" ref="J20:M20" si="5">J14</f>
        <v>5226.5299172142977</v>
      </c>
      <c r="K20" s="291">
        <f t="shared" si="5"/>
        <v>5750.4645902574639</v>
      </c>
      <c r="L20" s="291">
        <f t="shared" si="5"/>
        <v>6319.7144823474764</v>
      </c>
      <c r="M20" s="291">
        <f t="shared" si="5"/>
        <v>6932.1831318812247</v>
      </c>
    </row>
    <row r="21" spans="1:14">
      <c r="B21" s="13" t="s">
        <v>91</v>
      </c>
      <c r="C21" s="13"/>
      <c r="D21" s="467">
        <f t="shared" ref="D21:E21" si="6">(D17-D18-D19)/D20</f>
        <v>3.0176239439137857</v>
      </c>
      <c r="E21" s="467">
        <f t="shared" si="6"/>
        <v>1.548716548523003</v>
      </c>
      <c r="F21" s="467">
        <f t="shared" ref="F21:M21" si="7">(F17-F18-F19)/F20</f>
        <v>0.73313382262921334</v>
      </c>
      <c r="G21" s="467">
        <f t="shared" si="7"/>
        <v>0.76046920723319478</v>
      </c>
      <c r="H21" s="467">
        <f t="shared" si="7"/>
        <v>1.2645870157392083</v>
      </c>
      <c r="I21" s="467">
        <f t="shared" si="7"/>
        <v>1.4361604616595536</v>
      </c>
      <c r="J21" s="467">
        <f t="shared" si="7"/>
        <v>1.539738209486837</v>
      </c>
      <c r="K21" s="467">
        <f t="shared" si="7"/>
        <v>1.6086844854676159</v>
      </c>
      <c r="L21" s="467">
        <f t="shared" si="7"/>
        <v>1.5860358080554089</v>
      </c>
      <c r="M21" s="467">
        <f t="shared" si="7"/>
        <v>1.5323280421714471</v>
      </c>
    </row>
    <row r="22" spans="1:14">
      <c r="D22" s="291"/>
      <c r="E22" s="291"/>
      <c r="F22" s="291"/>
      <c r="G22" s="291"/>
      <c r="H22" s="291"/>
      <c r="I22" s="291"/>
      <c r="J22" s="291"/>
      <c r="K22" s="291"/>
      <c r="L22" s="291"/>
      <c r="M22" s="291"/>
    </row>
    <row r="23" spans="1:14">
      <c r="B23" s="80" t="s">
        <v>51</v>
      </c>
      <c r="D23" s="138">
        <f>'3StatementModel'!D116</f>
        <v>36.607360943081417</v>
      </c>
      <c r="E23" s="138">
        <f>'3StatementModel'!E116</f>
        <v>35.568415870139631</v>
      </c>
      <c r="F23" s="138">
        <f>'3StatementModel'!F116</f>
        <v>30.464812099004448</v>
      </c>
      <c r="G23" s="138">
        <f>'3StatementModel'!G116</f>
        <v>29.667460500804925</v>
      </c>
      <c r="H23" s="138">
        <f>'3StatementModel'!H116</f>
        <v>28.756418137448435</v>
      </c>
      <c r="I23" s="138">
        <f>'3StatementModel'!I116</f>
        <v>30</v>
      </c>
      <c r="J23" s="138">
        <f>'3StatementModel'!J116</f>
        <v>30</v>
      </c>
      <c r="K23" s="138">
        <f>'3StatementModel'!K116</f>
        <v>30</v>
      </c>
      <c r="L23" s="138">
        <f>'3StatementModel'!L116</f>
        <v>30</v>
      </c>
      <c r="M23" s="138">
        <f>'3StatementModel'!M116</f>
        <v>30</v>
      </c>
    </row>
    <row r="24" spans="1:14">
      <c r="B24" s="80" t="s">
        <v>50</v>
      </c>
      <c r="D24" s="138">
        <f>'3StatementModel'!D115</f>
        <v>6.6199636482480626</v>
      </c>
      <c r="E24" s="138">
        <f>'3StatementModel'!E115</f>
        <v>10.705614678043821</v>
      </c>
      <c r="F24" s="138">
        <f>'3StatementModel'!F115</f>
        <v>9.3237862981904396</v>
      </c>
      <c r="G24" s="138">
        <f>'3StatementModel'!G115</f>
        <v>8.2505754188795457</v>
      </c>
      <c r="H24" s="138">
        <f>'3StatementModel'!H115</f>
        <v>10.631419131070702</v>
      </c>
      <c r="I24" s="138">
        <f>'3StatementModel'!I115</f>
        <v>12</v>
      </c>
      <c r="J24" s="138">
        <f>'3StatementModel'!J115</f>
        <v>12</v>
      </c>
      <c r="K24" s="138">
        <f>'3StatementModel'!K115</f>
        <v>10</v>
      </c>
      <c r="L24" s="138">
        <f>'3StatementModel'!L115</f>
        <v>10</v>
      </c>
      <c r="M24" s="138">
        <f>'3StatementModel'!M115</f>
        <v>10</v>
      </c>
    </row>
    <row r="25" spans="1:14">
      <c r="B25" s="80" t="s">
        <v>52</v>
      </c>
      <c r="D25" s="138">
        <f>'3StatementModel'!D117</f>
        <v>108.03986291803835</v>
      </c>
      <c r="E25" s="138">
        <f>'3StatementModel'!E117</f>
        <v>109.58494244150123</v>
      </c>
      <c r="F25" s="138">
        <f>'3StatementModel'!F117</f>
        <v>80.469879077923508</v>
      </c>
      <c r="G25" s="138">
        <f>'3StatementModel'!G117</f>
        <v>84.9490237343622</v>
      </c>
      <c r="H25" s="138">
        <f>'3StatementModel'!H117</f>
        <v>89.671902131478049</v>
      </c>
      <c r="I25" s="138">
        <f>'3StatementModel'!I117</f>
        <v>90</v>
      </c>
      <c r="J25" s="138">
        <f>'3StatementModel'!J117</f>
        <v>90</v>
      </c>
      <c r="K25" s="138">
        <f>'3StatementModel'!K117</f>
        <v>90</v>
      </c>
      <c r="L25" s="138">
        <f>'3StatementModel'!L117</f>
        <v>90</v>
      </c>
      <c r="M25" s="138">
        <f>'3StatementModel'!M117</f>
        <v>90</v>
      </c>
    </row>
    <row r="26" spans="1:14">
      <c r="B26" s="13" t="s">
        <v>92</v>
      </c>
      <c r="C26" s="13"/>
      <c r="D26" s="306">
        <f t="shared" ref="D26:E26" si="8">D23+D24-D25</f>
        <v>-64.812538326708875</v>
      </c>
      <c r="E26" s="306">
        <f t="shared" si="8"/>
        <v>-63.310911893317773</v>
      </c>
      <c r="F26" s="306">
        <f>F23+F24-F25</f>
        <v>-40.681280680728619</v>
      </c>
      <c r="G26" s="306">
        <f t="shared" ref="G26:M26" si="9">G23+G24-G25</f>
        <v>-47.030987814677729</v>
      </c>
      <c r="H26" s="306">
        <f t="shared" si="9"/>
        <v>-50.284064862958914</v>
      </c>
      <c r="I26" s="306">
        <f t="shared" si="9"/>
        <v>-48</v>
      </c>
      <c r="J26" s="306">
        <f t="shared" si="9"/>
        <v>-48</v>
      </c>
      <c r="K26" s="306">
        <f t="shared" si="9"/>
        <v>-50</v>
      </c>
      <c r="L26" s="306">
        <f t="shared" si="9"/>
        <v>-50</v>
      </c>
      <c r="M26" s="306">
        <f t="shared" si="9"/>
        <v>-50</v>
      </c>
    </row>
    <row r="28" spans="1:14" ht="18">
      <c r="A28" s="18" t="s">
        <v>18</v>
      </c>
      <c r="B28" s="469" t="s">
        <v>93</v>
      </c>
      <c r="C28" s="466"/>
      <c r="D28" s="466"/>
      <c r="E28" s="466"/>
      <c r="F28" s="470"/>
      <c r="G28" s="470"/>
      <c r="H28" s="470"/>
      <c r="I28" s="470"/>
      <c r="J28" s="470"/>
      <c r="K28" s="470"/>
      <c r="L28" s="470"/>
      <c r="M28" s="470"/>
    </row>
    <row r="30" spans="1:14">
      <c r="B30" t="s">
        <v>94</v>
      </c>
      <c r="D30" s="138">
        <f>'3StatementModel'!D86+'3StatementModel'!D98</f>
        <v>157.41</v>
      </c>
      <c r="E30" s="138">
        <f>'3StatementModel'!E86+'3StatementModel'!E98</f>
        <v>58.84</v>
      </c>
      <c r="F30" s="138">
        <f>'3StatementModel'!F86+'3StatementModel'!F98</f>
        <v>195.70000000000002</v>
      </c>
      <c r="G30" s="138">
        <f>'3StatementModel'!G86+'3StatementModel'!G98</f>
        <v>275.58000000000004</v>
      </c>
      <c r="H30" s="138">
        <f>'3StatementModel'!H86+'3StatementModel'!H98</f>
        <v>266.47000000000003</v>
      </c>
      <c r="I30" s="138">
        <f>'3StatementModel'!I86+'3StatementModel'!I98</f>
        <v>368.91534249999995</v>
      </c>
      <c r="J30" s="138">
        <f>'3StatementModel'!J86+'3StatementModel'!J98</f>
        <v>365.70089631718747</v>
      </c>
      <c r="K30" s="138">
        <f>'3StatementModel'!K86+'3StatementModel'!K98</f>
        <v>351.75467569492184</v>
      </c>
      <c r="L30" s="138">
        <f>'3StatementModel'!L86+'3StatementModel'!L98</f>
        <v>325.21478541373995</v>
      </c>
      <c r="M30" s="138">
        <f>'3StatementModel'!M86+'3StatementModel'!M98</f>
        <v>284.28531485923031</v>
      </c>
      <c r="N30">
        <f>'3StatementModel'!N86+'3StatementModel'!N98</f>
        <v>318.39955264233799</v>
      </c>
    </row>
    <row r="31" spans="1:14">
      <c r="B31" t="s">
        <v>95</v>
      </c>
      <c r="D31" s="138">
        <f>'3StatementModel'!D83</f>
        <v>11438.08</v>
      </c>
      <c r="E31" s="138">
        <f>'3StatementModel'!E83</f>
        <v>12608</v>
      </c>
      <c r="F31" s="138">
        <f>'3StatementModel'!F83</f>
        <v>14990.28</v>
      </c>
      <c r="G31" s="138">
        <f>'3StatementModel'!G83</f>
        <v>18045.530000000002</v>
      </c>
      <c r="H31" s="138">
        <f>'3StatementModel'!H83</f>
        <v>21296.489999999998</v>
      </c>
      <c r="I31" s="138">
        <f>'3StatementModel'!I83</f>
        <v>23675.542936043887</v>
      </c>
      <c r="J31" s="138">
        <f>'3StatementModel'!J83</f>
        <v>26007.374971064284</v>
      </c>
      <c r="K31" s="138">
        <f>'3StatementModel'!K83</f>
        <v>28249.77264103523</v>
      </c>
      <c r="L31" s="138">
        <f>'3StatementModel'!L83</f>
        <v>30002.160724569934</v>
      </c>
      <c r="M31" s="138">
        <f>'3StatementModel'!M83</f>
        <v>31528.115447925084</v>
      </c>
    </row>
    <row r="32" spans="1:14">
      <c r="B32" s="13" t="s">
        <v>96</v>
      </c>
      <c r="C32" s="12"/>
      <c r="D32" s="81">
        <f t="shared" ref="D32:E32" si="10">D30/D31</f>
        <v>1.3761925078334826E-2</v>
      </c>
      <c r="E32" s="81">
        <f t="shared" si="10"/>
        <v>4.6668781725888332E-3</v>
      </c>
      <c r="F32" s="81">
        <f>F30/F31</f>
        <v>1.3055126388566459E-2</v>
      </c>
      <c r="G32" s="81">
        <f t="shared" ref="G32:M32" si="11">G30/G31</f>
        <v>1.5271371913155224E-2</v>
      </c>
      <c r="H32" s="81">
        <f t="shared" si="11"/>
        <v>1.2512390539473879E-2</v>
      </c>
      <c r="I32" s="81">
        <f t="shared" si="11"/>
        <v>1.5582128084520482E-2</v>
      </c>
      <c r="J32" s="81">
        <f t="shared" si="11"/>
        <v>1.406143052592063E-2</v>
      </c>
      <c r="K32" s="81">
        <f t="shared" si="11"/>
        <v>1.2451593156681475E-2</v>
      </c>
      <c r="L32" s="81">
        <f t="shared" si="11"/>
        <v>1.0839712126047273E-2</v>
      </c>
      <c r="M32" s="81">
        <f t="shared" si="11"/>
        <v>9.0168825767205692E-3</v>
      </c>
    </row>
    <row r="34" spans="1:13">
      <c r="B34" t="s">
        <v>94</v>
      </c>
      <c r="D34" s="291">
        <f>D30</f>
        <v>157.41</v>
      </c>
      <c r="E34" s="291">
        <f t="shared" ref="E34:M34" si="12">E30</f>
        <v>58.84</v>
      </c>
      <c r="F34" s="291">
        <f t="shared" si="12"/>
        <v>195.70000000000002</v>
      </c>
      <c r="G34" s="291">
        <f t="shared" si="12"/>
        <v>275.58000000000004</v>
      </c>
      <c r="H34" s="291">
        <f t="shared" si="12"/>
        <v>266.47000000000003</v>
      </c>
      <c r="I34" s="291">
        <f t="shared" si="12"/>
        <v>368.91534249999995</v>
      </c>
      <c r="J34" s="291">
        <f t="shared" si="12"/>
        <v>365.70089631718747</v>
      </c>
      <c r="K34" s="291">
        <f t="shared" si="12"/>
        <v>351.75467569492184</v>
      </c>
      <c r="L34" s="291">
        <f t="shared" si="12"/>
        <v>325.21478541373995</v>
      </c>
      <c r="M34" s="291">
        <f t="shared" si="12"/>
        <v>284.28531485923031</v>
      </c>
    </row>
    <row r="35" spans="1:13">
      <c r="B35" t="s">
        <v>11</v>
      </c>
      <c r="D35" s="138">
        <f>'3StatementModel'!D76</f>
        <v>14557.490000000002</v>
      </c>
      <c r="E35" s="138">
        <f>'3StatementModel'!E76</f>
        <v>16133.9</v>
      </c>
      <c r="F35" s="138">
        <f>'3StatementModel'!F76</f>
        <v>19164.23</v>
      </c>
      <c r="G35" s="138">
        <f>'3StatementModel'!G76</f>
        <v>23122.720000000001</v>
      </c>
      <c r="H35" s="138">
        <f>'3StatementModel'!H76</f>
        <v>27178.449999999997</v>
      </c>
      <c r="I35" s="138">
        <f>'3StatementModel'!I76</f>
        <v>30073.19738470827</v>
      </c>
      <c r="J35" s="138">
        <f>'3StatementModel'!J76</f>
        <v>32857.872816852017</v>
      </c>
      <c r="K35" s="138">
        <f>'3StatementModel'!K76</f>
        <v>35586.829288598463</v>
      </c>
      <c r="L35" s="138">
        <f>'3StatementModel'!L76</f>
        <v>37856.812090097381</v>
      </c>
      <c r="M35" s="138">
        <f>'3StatementModel'!M76</f>
        <v>39927.654244163707</v>
      </c>
    </row>
    <row r="36" spans="1:13">
      <c r="B36" s="13" t="s">
        <v>97</v>
      </c>
      <c r="C36" s="12"/>
      <c r="D36" s="81">
        <f t="shared" ref="D36:E36" si="13">D34/D35</f>
        <v>1.0812990426234192E-2</v>
      </c>
      <c r="E36" s="81">
        <f t="shared" si="13"/>
        <v>3.6469793416346948E-3</v>
      </c>
      <c r="F36" s="81">
        <f>F34/F35</f>
        <v>1.0211733004665463E-2</v>
      </c>
      <c r="G36" s="81">
        <f t="shared" ref="G36:M36" si="14">G34/G35</f>
        <v>1.1918148037947093E-2</v>
      </c>
      <c r="H36" s="81">
        <f t="shared" si="14"/>
        <v>9.804459047517429E-3</v>
      </c>
      <c r="I36" s="81">
        <f t="shared" si="14"/>
        <v>1.2267247069897109E-2</v>
      </c>
      <c r="J36" s="81">
        <f t="shared" si="14"/>
        <v>1.1129780018188769E-2</v>
      </c>
      <c r="K36" s="81">
        <f t="shared" si="14"/>
        <v>9.8844061897815447E-3</v>
      </c>
      <c r="L36" s="81">
        <f t="shared" si="14"/>
        <v>8.5906542959757019E-3</v>
      </c>
      <c r="M36" s="81">
        <f t="shared" si="14"/>
        <v>7.1200104348926232E-3</v>
      </c>
    </row>
    <row r="38" spans="1:13">
      <c r="B38" t="s">
        <v>95</v>
      </c>
      <c r="D38" s="291">
        <f>D31</f>
        <v>11438.08</v>
      </c>
      <c r="E38" s="291">
        <f t="shared" ref="E38:M38" si="15">E31</f>
        <v>12608</v>
      </c>
      <c r="F38" s="291">
        <f t="shared" si="15"/>
        <v>14990.28</v>
      </c>
      <c r="G38" s="291">
        <f t="shared" si="15"/>
        <v>18045.530000000002</v>
      </c>
      <c r="H38" s="291">
        <f t="shared" si="15"/>
        <v>21296.489999999998</v>
      </c>
      <c r="I38" s="291">
        <f t="shared" si="15"/>
        <v>23675.542936043887</v>
      </c>
      <c r="J38" s="291">
        <f t="shared" si="15"/>
        <v>26007.374971064284</v>
      </c>
      <c r="K38" s="291">
        <f t="shared" si="15"/>
        <v>28249.77264103523</v>
      </c>
      <c r="L38" s="291">
        <f t="shared" si="15"/>
        <v>30002.160724569934</v>
      </c>
      <c r="M38" s="291">
        <f t="shared" si="15"/>
        <v>31528.115447925084</v>
      </c>
    </row>
    <row r="39" spans="1:13">
      <c r="B39" t="s">
        <v>11</v>
      </c>
      <c r="D39" s="291">
        <f>D35</f>
        <v>14557.490000000002</v>
      </c>
      <c r="E39" s="291">
        <f t="shared" ref="E39:M39" si="16">E35</f>
        <v>16133.9</v>
      </c>
      <c r="F39" s="291">
        <f t="shared" si="16"/>
        <v>19164.23</v>
      </c>
      <c r="G39" s="291">
        <f t="shared" si="16"/>
        <v>23122.720000000001</v>
      </c>
      <c r="H39" s="291">
        <f t="shared" si="16"/>
        <v>27178.449999999997</v>
      </c>
      <c r="I39" s="291">
        <f t="shared" si="16"/>
        <v>30073.19738470827</v>
      </c>
      <c r="J39" s="291">
        <f t="shared" si="16"/>
        <v>32857.872816852017</v>
      </c>
      <c r="K39" s="291">
        <f t="shared" si="16"/>
        <v>35586.829288598463</v>
      </c>
      <c r="L39" s="291">
        <f t="shared" si="16"/>
        <v>37856.812090097381</v>
      </c>
      <c r="M39" s="291">
        <f t="shared" si="16"/>
        <v>39927.654244163707</v>
      </c>
    </row>
    <row r="40" spans="1:13">
      <c r="B40" s="13" t="s">
        <v>98</v>
      </c>
      <c r="C40" s="12"/>
      <c r="D40" s="81">
        <f>D38/D39</f>
        <v>0.78571786757195083</v>
      </c>
      <c r="E40" s="81">
        <f t="shared" ref="E40:M40" si="17">E38/E39</f>
        <v>0.78146015532512292</v>
      </c>
      <c r="F40" s="81">
        <f t="shared" si="17"/>
        <v>0.78220100677146964</v>
      </c>
      <c r="G40" s="81">
        <f t="shared" si="17"/>
        <v>0.78042418884975473</v>
      </c>
      <c r="H40" s="81">
        <f t="shared" si="17"/>
        <v>0.78358000548228468</v>
      </c>
      <c r="I40" s="81">
        <f t="shared" si="17"/>
        <v>0.78726390922710843</v>
      </c>
      <c r="J40" s="81">
        <f t="shared" si="17"/>
        <v>0.79151121912328193</v>
      </c>
      <c r="K40" s="81">
        <f t="shared" si="17"/>
        <v>0.79382662647290336</v>
      </c>
      <c r="L40" s="81">
        <f t="shared" si="17"/>
        <v>0.79251683034393505</v>
      </c>
      <c r="M40" s="81">
        <f t="shared" si="17"/>
        <v>0.78963104757233771</v>
      </c>
    </row>
    <row r="42" spans="1:13" ht="18">
      <c r="A42" s="18" t="s">
        <v>18</v>
      </c>
      <c r="B42" s="469" t="s">
        <v>99</v>
      </c>
      <c r="C42" s="466"/>
      <c r="D42" s="466"/>
      <c r="E42" s="466"/>
      <c r="F42" s="470"/>
      <c r="G42" s="470"/>
      <c r="H42" s="470"/>
      <c r="I42" s="470"/>
      <c r="J42" s="470"/>
      <c r="K42" s="470"/>
      <c r="L42" s="470"/>
      <c r="M42" s="470"/>
    </row>
    <row r="44" spans="1:13">
      <c r="B44" t="s">
        <v>1</v>
      </c>
      <c r="D44" s="138">
        <f>'3StatementModel'!D15</f>
        <v>3608.08</v>
      </c>
      <c r="E44" s="138">
        <f>'3StatementModel'!E15</f>
        <v>4342.1500000000005</v>
      </c>
      <c r="F44" s="138">
        <f>'3StatementModel'!F15</f>
        <v>6230.2800000000007</v>
      </c>
      <c r="G44" s="138">
        <f>'3StatementModel'!G15</f>
        <v>7555.1299999999992</v>
      </c>
      <c r="H44" s="138">
        <f>'3StatementModel'!H15</f>
        <v>8573.2699999999986</v>
      </c>
      <c r="I44" s="138">
        <f>'3StatementModel'!I15</f>
        <v>9765.4061249999977</v>
      </c>
      <c r="J44" s="138">
        <f>'3StatementModel'!J15</f>
        <v>11008.216811174998</v>
      </c>
      <c r="K44" s="138">
        <f>'3StatementModel'!K15</f>
        <v>12325.48383635006</v>
      </c>
      <c r="L44" s="138">
        <f>'3StatementModel'!L15</f>
        <v>13706.6133949986</v>
      </c>
      <c r="M44" s="138">
        <f>'3StatementModel'!M15</f>
        <v>15138.193016254012</v>
      </c>
    </row>
    <row r="45" spans="1:13">
      <c r="B45" t="s">
        <v>23</v>
      </c>
      <c r="D45" s="138">
        <f>'3StatementModel'!D13</f>
        <v>8720.35</v>
      </c>
      <c r="E45" s="138">
        <f>'3StatementModel'!E13</f>
        <v>10297.83</v>
      </c>
      <c r="F45" s="138">
        <f>'3StatementModel'!F13</f>
        <v>14442.18</v>
      </c>
      <c r="G45" s="138">
        <f>'3StatementModel'!G13</f>
        <v>16535.78</v>
      </c>
      <c r="H45" s="138">
        <f>'3StatementModel'!H13</f>
        <v>18870.349999999999</v>
      </c>
      <c r="I45" s="138">
        <f>'3StatementModel'!I13</f>
        <v>21700.902499999997</v>
      </c>
      <c r="J45" s="138">
        <f>'3StatementModel'!J13</f>
        <v>24793.281106249997</v>
      </c>
      <c r="K45" s="138">
        <f>'3StatementModel'!K13</f>
        <v>28140.374055593747</v>
      </c>
      <c r="L45" s="138">
        <f>'3StatementModel'!L13</f>
        <v>31728.271747681949</v>
      </c>
      <c r="M45" s="138">
        <f>'3StatementModel'!M13</f>
        <v>35535.664357403788</v>
      </c>
    </row>
    <row r="46" spans="1:13">
      <c r="B46" s="13" t="s">
        <v>100</v>
      </c>
      <c r="C46" s="12"/>
      <c r="D46" s="81">
        <f t="shared" ref="D46:E46" si="18">D44/D45</f>
        <v>0.41375403510180209</v>
      </c>
      <c r="E46" s="81">
        <f t="shared" si="18"/>
        <v>0.42165679565500697</v>
      </c>
      <c r="F46" s="81">
        <f>F44/F45</f>
        <v>0.43139470633934768</v>
      </c>
      <c r="G46" s="81">
        <f t="shared" ref="G46:M46" si="19">G44/G45</f>
        <v>0.45689589484136822</v>
      </c>
      <c r="H46" s="81">
        <f t="shared" si="19"/>
        <v>0.45432490653326513</v>
      </c>
      <c r="I46" s="81">
        <f t="shared" si="19"/>
        <v>0.44999999999999996</v>
      </c>
      <c r="J46" s="81">
        <f t="shared" si="19"/>
        <v>0.44399999999999995</v>
      </c>
      <c r="K46" s="81">
        <f t="shared" si="19"/>
        <v>0.43799999999999994</v>
      </c>
      <c r="L46" s="81">
        <f t="shared" si="19"/>
        <v>0.43199999999999994</v>
      </c>
      <c r="M46" s="81">
        <f t="shared" si="19"/>
        <v>0.42599999999999993</v>
      </c>
    </row>
    <row r="48" spans="1:13">
      <c r="B48" t="s">
        <v>101</v>
      </c>
      <c r="D48" s="138">
        <f>'3StatementModel'!D25</f>
        <v>1781.33</v>
      </c>
      <c r="E48" s="138">
        <f>'3StatementModel'!E25</f>
        <v>2172.2500000000005</v>
      </c>
      <c r="F48" s="138">
        <f>'3StatementModel'!F25</f>
        <v>3443.5800000000008</v>
      </c>
      <c r="G48" s="138">
        <f>'3StatementModel'!G25</f>
        <v>4326.91</v>
      </c>
      <c r="H48" s="138">
        <f>'3StatementModel'!H25</f>
        <v>4712.0299999999988</v>
      </c>
      <c r="I48" s="138">
        <f>'3StatementModel'!I25</f>
        <v>5490.3283324999984</v>
      </c>
      <c r="J48" s="138">
        <f>'3StatementModel'!J25</f>
        <v>6123.9404332437489</v>
      </c>
      <c r="K48" s="138">
        <f>'3StatementModel'!K25</f>
        <v>6781.8301473980919</v>
      </c>
      <c r="L48" s="138">
        <f>'3StatementModel'!L25</f>
        <v>7456.1438607052551</v>
      </c>
      <c r="M48" s="138">
        <f>'3StatementModel'!M25</f>
        <v>8137.6671378454666</v>
      </c>
    </row>
    <row r="49" spans="2:13">
      <c r="B49" t="s">
        <v>23</v>
      </c>
      <c r="D49" s="291">
        <f t="shared" ref="D49:E49" si="20">D45</f>
        <v>8720.35</v>
      </c>
      <c r="E49" s="291">
        <f t="shared" si="20"/>
        <v>10297.83</v>
      </c>
      <c r="F49" s="291">
        <f>F45</f>
        <v>14442.18</v>
      </c>
      <c r="G49" s="291">
        <f t="shared" ref="G49:M49" si="21">G45</f>
        <v>16535.78</v>
      </c>
      <c r="H49" s="291">
        <f t="shared" si="21"/>
        <v>18870.349999999999</v>
      </c>
      <c r="I49" s="291">
        <f t="shared" si="21"/>
        <v>21700.902499999997</v>
      </c>
      <c r="J49" s="291">
        <f t="shared" si="21"/>
        <v>24793.281106249997</v>
      </c>
      <c r="K49" s="291">
        <f t="shared" si="21"/>
        <v>28140.374055593747</v>
      </c>
      <c r="L49" s="291">
        <f t="shared" si="21"/>
        <v>31728.271747681949</v>
      </c>
      <c r="M49" s="291">
        <f t="shared" si="21"/>
        <v>35535.664357403788</v>
      </c>
    </row>
    <row r="50" spans="2:13">
      <c r="B50" s="13" t="s">
        <v>103</v>
      </c>
      <c r="C50" s="12"/>
      <c r="D50" s="81">
        <f t="shared" ref="D50:E50" si="22">D48/D49</f>
        <v>0.20427276428125016</v>
      </c>
      <c r="E50" s="81">
        <f t="shared" si="22"/>
        <v>0.21094249953631011</v>
      </c>
      <c r="F50" s="81">
        <f>F48/F49</f>
        <v>0.23843907221762925</v>
      </c>
      <c r="G50" s="81">
        <f t="shared" ref="G50:M50" si="23">G48/G49</f>
        <v>0.26166954325710673</v>
      </c>
      <c r="H50" s="81">
        <f t="shared" si="23"/>
        <v>0.24970549035921427</v>
      </c>
      <c r="I50" s="81">
        <f t="shared" si="23"/>
        <v>0.25299999999999995</v>
      </c>
      <c r="J50" s="81">
        <f t="shared" si="23"/>
        <v>0.247</v>
      </c>
      <c r="K50" s="81">
        <f t="shared" si="23"/>
        <v>0.24099999999999996</v>
      </c>
      <c r="L50" s="81">
        <f t="shared" si="23"/>
        <v>0.2349999999999999</v>
      </c>
      <c r="M50" s="81">
        <f t="shared" si="23"/>
        <v>0.22899999999999998</v>
      </c>
    </row>
    <row r="52" spans="2:13">
      <c r="B52" t="s">
        <v>102</v>
      </c>
      <c r="D52" s="138">
        <f>'3StatementModel'!D30</f>
        <v>1330.6</v>
      </c>
      <c r="E52" s="138">
        <f>'3StatementModel'!E30</f>
        <v>1720.3200000000004</v>
      </c>
      <c r="F52" s="138">
        <f>'3StatementModel'!F30</f>
        <v>2917.3700000000008</v>
      </c>
      <c r="G52" s="138">
        <f>'3StatementModel'!G30</f>
        <v>3729.31</v>
      </c>
      <c r="H52" s="138">
        <f>'3StatementModel'!H30</f>
        <v>3982.6999999999989</v>
      </c>
      <c r="I52" s="138">
        <f>'3StatementModel'!I30</f>
        <v>4640.9983324999985</v>
      </c>
      <c r="J52" s="138">
        <f>'3StatementModel'!J30</f>
        <v>5154.610433243749</v>
      </c>
      <c r="K52" s="138">
        <f>'3StatementModel'!K30</f>
        <v>5692.5001473980919</v>
      </c>
      <c r="L52" s="138">
        <f>'3StatementModel'!L30</f>
        <v>6246.8138607052551</v>
      </c>
      <c r="M52" s="138">
        <f>'3StatementModel'!M30</f>
        <v>6808.3371378454667</v>
      </c>
    </row>
    <row r="53" spans="2:13">
      <c r="B53" t="s">
        <v>23</v>
      </c>
      <c r="D53" s="291">
        <f t="shared" ref="D53:E53" si="24">D49</f>
        <v>8720.35</v>
      </c>
      <c r="E53" s="291">
        <f t="shared" si="24"/>
        <v>10297.83</v>
      </c>
      <c r="F53" s="291">
        <f>F49</f>
        <v>14442.18</v>
      </c>
      <c r="G53" s="291">
        <f t="shared" ref="G53:M53" si="25">G49</f>
        <v>16535.78</v>
      </c>
      <c r="H53" s="291">
        <f t="shared" si="25"/>
        <v>18870.349999999999</v>
      </c>
      <c r="I53" s="291">
        <f t="shared" si="25"/>
        <v>21700.902499999997</v>
      </c>
      <c r="J53" s="291">
        <f t="shared" si="25"/>
        <v>24793.281106249997</v>
      </c>
      <c r="K53" s="291">
        <f t="shared" si="25"/>
        <v>28140.374055593747</v>
      </c>
      <c r="L53" s="291">
        <f t="shared" si="25"/>
        <v>31728.271747681949</v>
      </c>
      <c r="M53" s="291">
        <f t="shared" si="25"/>
        <v>35535.664357403788</v>
      </c>
    </row>
    <row r="54" spans="2:13">
      <c r="B54" s="13" t="s">
        <v>104</v>
      </c>
      <c r="C54" s="12"/>
      <c r="D54" s="81">
        <f t="shared" ref="D54:E54" si="26">D52/D53</f>
        <v>0.15258561869649725</v>
      </c>
      <c r="E54" s="81">
        <f t="shared" si="26"/>
        <v>0.16705655463335484</v>
      </c>
      <c r="F54" s="81">
        <f>F52/F53</f>
        <v>0.2020034371542247</v>
      </c>
      <c r="G54" s="81">
        <f t="shared" ref="G54:M54" si="27">G52/G53</f>
        <v>0.2255297300762347</v>
      </c>
      <c r="H54" s="81">
        <f t="shared" si="27"/>
        <v>0.21105596875521648</v>
      </c>
      <c r="I54" s="81">
        <f t="shared" si="27"/>
        <v>0.21386199640775305</v>
      </c>
      <c r="J54" s="81">
        <f t="shared" si="27"/>
        <v>0.20790352076250015</v>
      </c>
      <c r="K54" s="81">
        <f t="shared" si="27"/>
        <v>0.20228942714663511</v>
      </c>
      <c r="L54" s="81">
        <f t="shared" si="27"/>
        <v>0.19688478182432501</v>
      </c>
      <c r="M54" s="81">
        <f t="shared" si="27"/>
        <v>0.19159166603359035</v>
      </c>
    </row>
    <row r="56" spans="2:13">
      <c r="B56" t="s">
        <v>105</v>
      </c>
      <c r="D56" s="138">
        <f>'3StatementModel'!D40</f>
        <v>1346.9699999999998</v>
      </c>
      <c r="E56" s="138">
        <f>'3StatementModel'!E40</f>
        <v>1676.6000000000004</v>
      </c>
      <c r="F56" s="138">
        <f>'3StatementModel'!F40</f>
        <v>2913.940000000001</v>
      </c>
      <c r="G56" s="138">
        <f>'3StatementModel'!G40</f>
        <v>4001.0099999999993</v>
      </c>
      <c r="H56" s="138">
        <f>'3StatementModel'!H40</f>
        <v>4734.4399999999987</v>
      </c>
      <c r="I56" s="138">
        <f>'3StatementModel'!I40</f>
        <v>5286.7843023197584</v>
      </c>
      <c r="J56" s="138">
        <f>'3StatementModel'!J40</f>
        <v>5829.5800875509976</v>
      </c>
      <c r="K56" s="138">
        <f>'3StatementModel'!K40</f>
        <v>6406.850485631272</v>
      </c>
      <c r="L56" s="138">
        <f>'3StatementModel'!L40</f>
        <v>7009.5523341388198</v>
      </c>
      <c r="M56" s="138">
        <f>'3StatementModel'!M40</f>
        <v>7629.7736167757284</v>
      </c>
    </row>
    <row r="57" spans="2:13">
      <c r="B57" t="s">
        <v>23</v>
      </c>
      <c r="D57" s="291">
        <f t="shared" ref="D57:E57" si="28">D53</f>
        <v>8720.35</v>
      </c>
      <c r="E57" s="291">
        <f t="shared" si="28"/>
        <v>10297.83</v>
      </c>
      <c r="F57" s="291">
        <f>F53</f>
        <v>14442.18</v>
      </c>
      <c r="G57" s="291">
        <f t="shared" ref="G57:M57" si="29">G53</f>
        <v>16535.78</v>
      </c>
      <c r="H57" s="291">
        <f t="shared" si="29"/>
        <v>18870.349999999999</v>
      </c>
      <c r="I57" s="291">
        <f t="shared" si="29"/>
        <v>21700.902499999997</v>
      </c>
      <c r="J57" s="291">
        <f t="shared" si="29"/>
        <v>24793.281106249997</v>
      </c>
      <c r="K57" s="291">
        <f t="shared" si="29"/>
        <v>28140.374055593747</v>
      </c>
      <c r="L57" s="291">
        <f t="shared" si="29"/>
        <v>31728.271747681949</v>
      </c>
      <c r="M57" s="291">
        <f t="shared" si="29"/>
        <v>35535.664357403788</v>
      </c>
    </row>
    <row r="58" spans="2:13">
      <c r="B58" s="13" t="s">
        <v>106</v>
      </c>
      <c r="C58" s="12"/>
      <c r="D58" s="81">
        <f t="shared" ref="D58:E58" si="30">D56/D57</f>
        <v>0.15446283692741689</v>
      </c>
      <c r="E58" s="81">
        <f t="shared" si="30"/>
        <v>0.16281099998737603</v>
      </c>
      <c r="F58" s="81">
        <f>F56/F57</f>
        <v>0.20176593838326354</v>
      </c>
      <c r="G58" s="81">
        <f t="shared" ref="G58:M58" si="31">G56/G57</f>
        <v>0.24196076628982724</v>
      </c>
      <c r="H58" s="81">
        <f t="shared" si="31"/>
        <v>0.25089306769614761</v>
      </c>
      <c r="I58" s="81">
        <f t="shared" si="31"/>
        <v>0.24362048086800811</v>
      </c>
      <c r="J58" s="81">
        <f t="shared" si="31"/>
        <v>0.23512741466402573</v>
      </c>
      <c r="K58" s="81">
        <f t="shared" si="31"/>
        <v>0.22767467386801554</v>
      </c>
      <c r="L58" s="81">
        <f t="shared" si="31"/>
        <v>0.22092449251197976</v>
      </c>
      <c r="M58" s="81">
        <f t="shared" si="31"/>
        <v>0.21470749892385449</v>
      </c>
    </row>
    <row r="60" spans="2:13">
      <c r="B60" t="s">
        <v>4</v>
      </c>
      <c r="D60" s="291">
        <f t="shared" ref="D60:E60" si="32">D56</f>
        <v>1346.9699999999998</v>
      </c>
      <c r="E60" s="291">
        <f t="shared" si="32"/>
        <v>1676.6000000000004</v>
      </c>
      <c r="F60" s="291">
        <f>F56</f>
        <v>2913.940000000001</v>
      </c>
      <c r="G60" s="291">
        <f t="shared" ref="G60:M60" si="33">G56</f>
        <v>4001.0099999999993</v>
      </c>
      <c r="H60" s="291">
        <f t="shared" si="33"/>
        <v>4734.4399999999987</v>
      </c>
      <c r="I60" s="291">
        <f t="shared" si="33"/>
        <v>5286.7843023197584</v>
      </c>
      <c r="J60" s="291">
        <f t="shared" si="33"/>
        <v>5829.5800875509976</v>
      </c>
      <c r="K60" s="291">
        <f t="shared" si="33"/>
        <v>6406.850485631272</v>
      </c>
      <c r="L60" s="291">
        <f t="shared" si="33"/>
        <v>7009.5523341388198</v>
      </c>
      <c r="M60" s="291">
        <f t="shared" si="33"/>
        <v>7629.7736167757284</v>
      </c>
    </row>
    <row r="61" spans="2:13">
      <c r="B61" t="s">
        <v>11</v>
      </c>
      <c r="D61" s="291">
        <f t="shared" ref="D61:E61" si="34">D35</f>
        <v>14557.490000000002</v>
      </c>
      <c r="E61" s="291">
        <f t="shared" si="34"/>
        <v>16133.9</v>
      </c>
      <c r="F61" s="291">
        <f>F35</f>
        <v>19164.23</v>
      </c>
      <c r="G61" s="291">
        <f t="shared" ref="G61:M61" si="35">G35</f>
        <v>23122.720000000001</v>
      </c>
      <c r="H61" s="291">
        <f t="shared" si="35"/>
        <v>27178.449999999997</v>
      </c>
      <c r="I61" s="291">
        <f t="shared" si="35"/>
        <v>30073.19738470827</v>
      </c>
      <c r="J61" s="291">
        <f t="shared" si="35"/>
        <v>32857.872816852017</v>
      </c>
      <c r="K61" s="291">
        <f t="shared" si="35"/>
        <v>35586.829288598463</v>
      </c>
      <c r="L61" s="291">
        <f t="shared" si="35"/>
        <v>37856.812090097381</v>
      </c>
      <c r="M61" s="291">
        <f t="shared" si="35"/>
        <v>39927.654244163707</v>
      </c>
    </row>
    <row r="62" spans="2:13">
      <c r="B62" s="13" t="s">
        <v>107</v>
      </c>
      <c r="C62" s="12"/>
      <c r="D62" s="81">
        <f t="shared" ref="D62:E62" si="36">D60/D61</f>
        <v>9.2527626671905644E-2</v>
      </c>
      <c r="E62" s="81">
        <f t="shared" si="36"/>
        <v>0.10391783759661337</v>
      </c>
      <c r="F62" s="81">
        <f>F60/F61</f>
        <v>0.1520509824814251</v>
      </c>
      <c r="G62" s="81">
        <f t="shared" ref="G62:M62" si="37">G60/G61</f>
        <v>0.1730337088370226</v>
      </c>
      <c r="H62" s="81">
        <f t="shared" si="37"/>
        <v>0.17419830785052126</v>
      </c>
      <c r="I62" s="81">
        <f t="shared" si="37"/>
        <v>0.17579721353499983</v>
      </c>
      <c r="J62" s="81">
        <f t="shared" si="37"/>
        <v>0.17741806111566497</v>
      </c>
      <c r="K62" s="81">
        <f t="shared" si="37"/>
        <v>0.1800343164510006</v>
      </c>
      <c r="L62" s="81">
        <f t="shared" si="37"/>
        <v>0.18515960396919912</v>
      </c>
      <c r="M62" s="81">
        <f t="shared" si="37"/>
        <v>0.19108995409844257</v>
      </c>
    </row>
    <row r="64" spans="2:13">
      <c r="B64" t="s">
        <v>4</v>
      </c>
      <c r="D64" s="291">
        <f t="shared" ref="D64:E64" si="38">D60</f>
        <v>1346.9699999999998</v>
      </c>
      <c r="E64" s="291">
        <f t="shared" si="38"/>
        <v>1676.6000000000004</v>
      </c>
      <c r="F64" s="291">
        <f>F60</f>
        <v>2913.940000000001</v>
      </c>
      <c r="G64" s="291">
        <f t="shared" ref="G64:M64" si="39">G60</f>
        <v>4001.0099999999993</v>
      </c>
      <c r="H64" s="291">
        <f t="shared" si="39"/>
        <v>4734.4399999999987</v>
      </c>
      <c r="I64" s="291">
        <f t="shared" si="39"/>
        <v>5286.7843023197584</v>
      </c>
      <c r="J64" s="291">
        <f t="shared" si="39"/>
        <v>5829.5800875509976</v>
      </c>
      <c r="K64" s="291">
        <f t="shared" si="39"/>
        <v>6406.850485631272</v>
      </c>
      <c r="L64" s="291">
        <f t="shared" si="39"/>
        <v>7009.5523341388198</v>
      </c>
      <c r="M64" s="291">
        <f t="shared" si="39"/>
        <v>7629.7736167757284</v>
      </c>
    </row>
    <row r="65" spans="1:13">
      <c r="B65" t="s">
        <v>95</v>
      </c>
      <c r="D65" s="291">
        <f t="shared" ref="D65:E65" si="40">D38</f>
        <v>11438.08</v>
      </c>
      <c r="E65" s="291">
        <f t="shared" si="40"/>
        <v>12608</v>
      </c>
      <c r="F65" s="291">
        <f>F38</f>
        <v>14990.28</v>
      </c>
      <c r="G65" s="291">
        <f t="shared" ref="G65:M65" si="41">G38</f>
        <v>18045.530000000002</v>
      </c>
      <c r="H65" s="291">
        <f t="shared" si="41"/>
        <v>21296.489999999998</v>
      </c>
      <c r="I65" s="291">
        <f t="shared" si="41"/>
        <v>23675.542936043887</v>
      </c>
      <c r="J65" s="291">
        <f t="shared" si="41"/>
        <v>26007.374971064284</v>
      </c>
      <c r="K65" s="291">
        <f t="shared" si="41"/>
        <v>28249.77264103523</v>
      </c>
      <c r="L65" s="291">
        <f t="shared" si="41"/>
        <v>30002.160724569934</v>
      </c>
      <c r="M65" s="291">
        <f t="shared" si="41"/>
        <v>31528.115447925084</v>
      </c>
    </row>
    <row r="66" spans="1:13">
      <c r="B66" s="13" t="s">
        <v>108</v>
      </c>
      <c r="C66" s="12"/>
      <c r="D66" s="81">
        <f t="shared" ref="D66:E66" si="42">D64/D65</f>
        <v>0.11776189710161145</v>
      </c>
      <c r="E66" s="81">
        <f t="shared" si="42"/>
        <v>0.13297906091370562</v>
      </c>
      <c r="F66" s="81">
        <f>F64/F65</f>
        <v>0.19438863049923022</v>
      </c>
      <c r="G66" s="81">
        <f t="shared" ref="G66:M66" si="43">G64/G65</f>
        <v>0.22171751120637626</v>
      </c>
      <c r="H66" s="81">
        <f t="shared" si="43"/>
        <v>0.22231081272078165</v>
      </c>
      <c r="I66" s="81">
        <f t="shared" si="43"/>
        <v>0.22330150217045727</v>
      </c>
      <c r="J66" s="81">
        <f t="shared" si="43"/>
        <v>0.22415103769745959</v>
      </c>
      <c r="K66" s="81">
        <f t="shared" si="43"/>
        <v>0.22679299288677351</v>
      </c>
      <c r="L66" s="81">
        <f t="shared" si="43"/>
        <v>0.23363491711443388</v>
      </c>
      <c r="M66" s="81">
        <f t="shared" si="43"/>
        <v>0.24199903826721925</v>
      </c>
    </row>
    <row r="68" spans="1:13" ht="18">
      <c r="A68" s="18" t="s">
        <v>18</v>
      </c>
      <c r="B68" s="469" t="s">
        <v>109</v>
      </c>
      <c r="C68" s="466"/>
      <c r="D68" s="466"/>
      <c r="E68" s="466"/>
      <c r="F68" s="470"/>
      <c r="G68" s="470"/>
      <c r="H68" s="470"/>
      <c r="I68" s="470"/>
      <c r="J68" s="470"/>
      <c r="K68" s="470"/>
      <c r="L68" s="470"/>
      <c r="M68" s="470"/>
    </row>
    <row r="70" spans="1:13">
      <c r="B70" t="s">
        <v>38</v>
      </c>
      <c r="D70" s="291">
        <f t="shared" ref="D70:E70" si="44">D45</f>
        <v>8720.35</v>
      </c>
      <c r="E70" s="291">
        <f t="shared" si="44"/>
        <v>10297.83</v>
      </c>
      <c r="F70" s="291">
        <f>F45</f>
        <v>14442.18</v>
      </c>
      <c r="G70" s="291">
        <f t="shared" ref="G70:M70" si="45">G45</f>
        <v>16535.78</v>
      </c>
      <c r="H70" s="291">
        <f t="shared" si="45"/>
        <v>18870.349999999999</v>
      </c>
      <c r="I70" s="291">
        <f t="shared" si="45"/>
        <v>21700.902499999997</v>
      </c>
      <c r="J70" s="291">
        <f t="shared" si="45"/>
        <v>24793.281106249997</v>
      </c>
      <c r="K70" s="291">
        <f t="shared" si="45"/>
        <v>28140.374055593747</v>
      </c>
      <c r="L70" s="291">
        <f t="shared" si="45"/>
        <v>31728.271747681949</v>
      </c>
      <c r="M70" s="291">
        <f t="shared" si="45"/>
        <v>35535.664357403788</v>
      </c>
    </row>
    <row r="71" spans="1:13">
      <c r="B71" t="s">
        <v>110</v>
      </c>
      <c r="D71" s="291">
        <f t="shared" ref="D71:E71" si="46">D61</f>
        <v>14557.490000000002</v>
      </c>
      <c r="E71" s="291">
        <f t="shared" si="46"/>
        <v>16133.9</v>
      </c>
      <c r="F71" s="291">
        <f>F61</f>
        <v>19164.23</v>
      </c>
      <c r="G71" s="291">
        <f t="shared" ref="G71:M71" si="47">G61</f>
        <v>23122.720000000001</v>
      </c>
      <c r="H71" s="291">
        <f t="shared" si="47"/>
        <v>27178.449999999997</v>
      </c>
      <c r="I71" s="291">
        <f t="shared" si="47"/>
        <v>30073.19738470827</v>
      </c>
      <c r="J71" s="291">
        <f t="shared" si="47"/>
        <v>32857.872816852017</v>
      </c>
      <c r="K71" s="291">
        <f t="shared" si="47"/>
        <v>35586.829288598463</v>
      </c>
      <c r="L71" s="291">
        <f t="shared" si="47"/>
        <v>37856.812090097381</v>
      </c>
      <c r="M71" s="291">
        <f t="shared" si="47"/>
        <v>39927.654244163707</v>
      </c>
    </row>
    <row r="72" spans="1:13">
      <c r="B72" s="13" t="s">
        <v>111</v>
      </c>
      <c r="C72" s="13"/>
      <c r="D72" s="82">
        <f t="shared" ref="D72:E72" si="48">D70/D71</f>
        <v>0.59902840393501899</v>
      </c>
      <c r="E72" s="82">
        <f t="shared" si="48"/>
        <v>0.63827282926012929</v>
      </c>
      <c r="F72" s="82">
        <f>F70/F71</f>
        <v>0.7536008490818572</v>
      </c>
      <c r="G72" s="82">
        <f t="shared" ref="G72:M72" si="49">G70/G71</f>
        <v>0.71513126483389489</v>
      </c>
      <c r="H72" s="82">
        <f t="shared" si="49"/>
        <v>0.69431295750861444</v>
      </c>
      <c r="I72" s="82">
        <f t="shared" si="49"/>
        <v>0.72160276881747698</v>
      </c>
      <c r="J72" s="82">
        <f t="shared" si="49"/>
        <v>0.75456135716534012</v>
      </c>
      <c r="K72" s="82">
        <f t="shared" si="49"/>
        <v>0.79075249518252366</v>
      </c>
      <c r="L72" s="82">
        <f t="shared" si="49"/>
        <v>0.83811261424153194</v>
      </c>
      <c r="M72" s="82">
        <f t="shared" si="49"/>
        <v>0.89000130436157787</v>
      </c>
    </row>
    <row r="74" spans="1:13">
      <c r="B74" t="s">
        <v>112</v>
      </c>
      <c r="D74" s="412"/>
      <c r="E74" s="412">
        <f t="shared" ref="E74:F74" si="50">E70-D70</f>
        <v>1577.4799999999996</v>
      </c>
      <c r="F74" s="412">
        <f t="shared" si="50"/>
        <v>4144.3500000000004</v>
      </c>
      <c r="G74" s="412">
        <f>G70-F70</f>
        <v>2093.5999999999985</v>
      </c>
      <c r="H74" s="291">
        <f t="shared" ref="H74:M74" si="51">H70-G70</f>
        <v>2334.5699999999997</v>
      </c>
      <c r="I74" s="291">
        <f t="shared" si="51"/>
        <v>2830.552499999998</v>
      </c>
      <c r="J74" s="291">
        <f t="shared" si="51"/>
        <v>3092.3786062500003</v>
      </c>
      <c r="K74" s="291">
        <f t="shared" si="51"/>
        <v>3347.0929493437507</v>
      </c>
      <c r="L74" s="291">
        <f t="shared" si="51"/>
        <v>3587.8976920882014</v>
      </c>
      <c r="M74" s="291">
        <f t="shared" si="51"/>
        <v>3807.3926097218391</v>
      </c>
    </row>
    <row r="75" spans="1:13">
      <c r="B75" t="s">
        <v>113</v>
      </c>
      <c r="D75" s="291"/>
      <c r="E75" s="291">
        <f t="shared" ref="E75:F75" si="52">E71-D71</f>
        <v>1576.409999999998</v>
      </c>
      <c r="F75" s="291">
        <f t="shared" si="52"/>
        <v>3030.33</v>
      </c>
      <c r="G75" s="291">
        <f>G71-F71</f>
        <v>3958.4900000000016</v>
      </c>
      <c r="H75" s="291">
        <f t="shared" ref="H75:M75" si="53">H71-G71</f>
        <v>4055.7299999999959</v>
      </c>
      <c r="I75" s="291">
        <f t="shared" si="53"/>
        <v>2894.7473847082729</v>
      </c>
      <c r="J75" s="291">
        <f t="shared" si="53"/>
        <v>2784.6754321437475</v>
      </c>
      <c r="K75" s="291">
        <f t="shared" si="53"/>
        <v>2728.9564717464455</v>
      </c>
      <c r="L75" s="291">
        <f t="shared" si="53"/>
        <v>2269.982801498918</v>
      </c>
      <c r="M75" s="291">
        <f t="shared" si="53"/>
        <v>2070.8421540663257</v>
      </c>
    </row>
    <row r="76" spans="1:13">
      <c r="B76" s="13" t="s">
        <v>114</v>
      </c>
      <c r="C76" s="13"/>
      <c r="D76" s="82"/>
      <c r="E76" s="82">
        <f t="shared" ref="E76:F76" si="54">E74/E75</f>
        <v>1.0006787574298575</v>
      </c>
      <c r="F76" s="82">
        <f t="shared" si="54"/>
        <v>1.3676233281523795</v>
      </c>
      <c r="G76" s="82">
        <f>G74/G75</f>
        <v>0.5288885408324886</v>
      </c>
      <c r="H76" s="82">
        <f t="shared" ref="H76:M76" si="55">H74/H75</f>
        <v>0.57562263760161603</v>
      </c>
      <c r="I76" s="82">
        <f t="shared" si="55"/>
        <v>0.97782366604858528</v>
      </c>
      <c r="J76" s="82">
        <f t="shared" si="55"/>
        <v>1.1104987570739515</v>
      </c>
      <c r="K76" s="82">
        <f t="shared" si="55"/>
        <v>1.2265102005096173</v>
      </c>
      <c r="L76" s="82">
        <f t="shared" si="55"/>
        <v>1.5805836457082565</v>
      </c>
      <c r="M76" s="82">
        <f t="shared" si="55"/>
        <v>1.8385721008458351</v>
      </c>
    </row>
    <row r="78" spans="1:13">
      <c r="B78" t="s">
        <v>49</v>
      </c>
      <c r="D78" s="138">
        <f>'3StatementModel'!D14</f>
        <v>5112.2700000000004</v>
      </c>
      <c r="E78" s="138">
        <f>'3StatementModel'!E14</f>
        <v>5955.6799999999994</v>
      </c>
      <c r="F78" s="138">
        <f>'3StatementModel'!F14</f>
        <v>8211.9</v>
      </c>
      <c r="G78" s="138">
        <f>'3StatementModel'!G14</f>
        <v>8980.65</v>
      </c>
      <c r="H78" s="138">
        <f>'3StatementModel'!H14</f>
        <v>10297.08</v>
      </c>
      <c r="I78" s="138">
        <f>'3StatementModel'!I14</f>
        <v>11935.496374999999</v>
      </c>
      <c r="J78" s="138">
        <f>'3StatementModel'!J14</f>
        <v>13785.064295074999</v>
      </c>
      <c r="K78" s="138">
        <f>'3StatementModel'!K14</f>
        <v>15814.890219243687</v>
      </c>
      <c r="L78" s="138">
        <f>'3StatementModel'!L14</f>
        <v>18021.658352683349</v>
      </c>
      <c r="M78" s="138">
        <f>'3StatementModel'!M14</f>
        <v>20397.471341149776</v>
      </c>
    </row>
    <row r="79" spans="1:13">
      <c r="B79" t="s">
        <v>6</v>
      </c>
      <c r="D79" s="291">
        <f t="shared" ref="D79:E79" si="56">D18</f>
        <v>874.6</v>
      </c>
      <c r="E79" s="291">
        <f t="shared" si="56"/>
        <v>1132.4000000000001</v>
      </c>
      <c r="F79" s="291">
        <f t="shared" ref="F79:M79" si="57">F18</f>
        <v>1278.44</v>
      </c>
      <c r="G79" s="291">
        <f t="shared" si="57"/>
        <v>1409.64</v>
      </c>
      <c r="H79" s="291">
        <f t="shared" si="57"/>
        <v>1563.75</v>
      </c>
      <c r="I79" s="291">
        <f t="shared" si="57"/>
        <v>1783.635821917808</v>
      </c>
      <c r="J79" s="291">
        <f t="shared" si="57"/>
        <v>2037.8039265410957</v>
      </c>
      <c r="K79" s="291">
        <f t="shared" si="57"/>
        <v>2312.9074566241438</v>
      </c>
      <c r="L79" s="291">
        <f t="shared" si="57"/>
        <v>2607.803157343722</v>
      </c>
      <c r="M79" s="291">
        <f t="shared" si="57"/>
        <v>2920.7395362249686</v>
      </c>
    </row>
    <row r="80" spans="1:13">
      <c r="B80" s="13" t="s">
        <v>115</v>
      </c>
      <c r="C80" s="13"/>
      <c r="D80" s="82">
        <f t="shared" ref="D80:E80" si="58">D78/D79</f>
        <v>5.8452664075005725</v>
      </c>
      <c r="E80" s="82">
        <f t="shared" si="58"/>
        <v>5.2593429883433407</v>
      </c>
      <c r="F80" s="82">
        <f>F78/F79</f>
        <v>6.4233753637245385</v>
      </c>
      <c r="G80" s="82">
        <f t="shared" ref="G80:M80" si="59">G78/G79</f>
        <v>6.3708819273005863</v>
      </c>
      <c r="H80" s="82">
        <f t="shared" si="59"/>
        <v>6.5848633093525182</v>
      </c>
      <c r="I80" s="82">
        <f t="shared" si="59"/>
        <v>6.6916666666666664</v>
      </c>
      <c r="J80" s="82">
        <f t="shared" si="59"/>
        <v>6.7646666666666668</v>
      </c>
      <c r="K80" s="82">
        <f t="shared" si="59"/>
        <v>6.8376666666666663</v>
      </c>
      <c r="L80" s="82">
        <f t="shared" si="59"/>
        <v>6.9106666666666667</v>
      </c>
      <c r="M80" s="82">
        <f t="shared" si="59"/>
        <v>6.983666666666668</v>
      </c>
    </row>
    <row r="82" spans="1:13" ht="18">
      <c r="A82" s="18" t="s">
        <v>18</v>
      </c>
      <c r="B82" s="469" t="s">
        <v>116</v>
      </c>
      <c r="C82" s="466"/>
      <c r="D82" s="466"/>
      <c r="E82" s="466"/>
      <c r="F82" s="470"/>
      <c r="G82" s="470"/>
      <c r="H82" s="470"/>
      <c r="I82" s="470"/>
      <c r="J82" s="470"/>
      <c r="K82" s="470"/>
      <c r="L82" s="470"/>
      <c r="M82" s="470"/>
    </row>
    <row r="84" spans="1:13">
      <c r="B84" t="s">
        <v>94</v>
      </c>
      <c r="D84" s="291">
        <f>D34</f>
        <v>157.41</v>
      </c>
      <c r="E84" s="291">
        <f>E34</f>
        <v>58.84</v>
      </c>
      <c r="F84" s="291">
        <f>F34</f>
        <v>195.70000000000002</v>
      </c>
      <c r="G84" s="291">
        <f t="shared" ref="G84:M84" si="60">G34</f>
        <v>275.58000000000004</v>
      </c>
      <c r="H84" s="291">
        <f t="shared" si="60"/>
        <v>266.47000000000003</v>
      </c>
      <c r="I84" s="291">
        <f t="shared" si="60"/>
        <v>368.91534249999995</v>
      </c>
      <c r="J84" s="291">
        <f t="shared" si="60"/>
        <v>365.70089631718747</v>
      </c>
      <c r="K84" s="291">
        <f t="shared" si="60"/>
        <v>351.75467569492184</v>
      </c>
      <c r="L84" s="291">
        <f t="shared" si="60"/>
        <v>325.21478541373995</v>
      </c>
      <c r="M84" s="291">
        <f t="shared" si="60"/>
        <v>284.28531485923031</v>
      </c>
    </row>
    <row r="85" spans="1:13">
      <c r="B85" t="s">
        <v>101</v>
      </c>
      <c r="D85" s="291">
        <f>D48</f>
        <v>1781.33</v>
      </c>
      <c r="E85" s="291">
        <f>E48</f>
        <v>2172.2500000000005</v>
      </c>
      <c r="F85" s="291">
        <f>F48</f>
        <v>3443.5800000000008</v>
      </c>
      <c r="G85" s="291">
        <f t="shared" ref="G85:M85" si="61">G48</f>
        <v>4326.91</v>
      </c>
      <c r="H85" s="291">
        <f t="shared" si="61"/>
        <v>4712.0299999999988</v>
      </c>
      <c r="I85" s="291">
        <f t="shared" si="61"/>
        <v>5490.3283324999984</v>
      </c>
      <c r="J85" s="291">
        <f t="shared" si="61"/>
        <v>6123.9404332437489</v>
      </c>
      <c r="K85" s="291">
        <f t="shared" si="61"/>
        <v>6781.8301473980919</v>
      </c>
      <c r="L85" s="291">
        <f t="shared" si="61"/>
        <v>7456.1438607052551</v>
      </c>
      <c r="M85" s="291">
        <f t="shared" si="61"/>
        <v>8137.6671378454666</v>
      </c>
    </row>
    <row r="86" spans="1:13">
      <c r="B86" s="13" t="s">
        <v>117</v>
      </c>
      <c r="C86" s="12"/>
      <c r="D86" s="81">
        <f>D84/D85</f>
        <v>8.8366557572151144E-2</v>
      </c>
      <c r="E86" s="81">
        <f>E84/E85</f>
        <v>2.7087121648060764E-2</v>
      </c>
      <c r="F86" s="81">
        <f>F84/F85</f>
        <v>5.6830391627318073E-2</v>
      </c>
      <c r="G86" s="81">
        <f t="shared" ref="G86:M86" si="62">G84/G85</f>
        <v>6.3689792484706187E-2</v>
      </c>
      <c r="H86" s="81">
        <f t="shared" si="62"/>
        <v>5.6550998189739896E-2</v>
      </c>
      <c r="I86" s="81">
        <f t="shared" si="62"/>
        <v>6.7193675889328078E-2</v>
      </c>
      <c r="J86" s="81">
        <f t="shared" si="62"/>
        <v>5.9716599190283409E-2</v>
      </c>
      <c r="K86" s="81">
        <f t="shared" si="62"/>
        <v>5.1867219917012458E-2</v>
      </c>
      <c r="L86" s="81">
        <f t="shared" si="62"/>
        <v>4.3617021276595759E-2</v>
      </c>
      <c r="M86" s="81">
        <f t="shared" si="62"/>
        <v>3.4934497816593892E-2</v>
      </c>
    </row>
    <row r="88" spans="1:13">
      <c r="B88" t="s">
        <v>119</v>
      </c>
      <c r="D88" s="291">
        <f t="shared" ref="D88:E88" si="63">D52</f>
        <v>1330.6</v>
      </c>
      <c r="E88" s="291">
        <f t="shared" si="63"/>
        <v>1720.3200000000004</v>
      </c>
      <c r="F88" s="291">
        <f t="shared" ref="F88:M88" si="64">F52</f>
        <v>2917.3700000000008</v>
      </c>
      <c r="G88" s="291">
        <f t="shared" si="64"/>
        <v>3729.31</v>
      </c>
      <c r="H88" s="291">
        <f t="shared" si="64"/>
        <v>3982.6999999999989</v>
      </c>
      <c r="I88" s="291">
        <f t="shared" si="64"/>
        <v>4640.9983324999985</v>
      </c>
      <c r="J88" s="291">
        <f t="shared" si="64"/>
        <v>5154.610433243749</v>
      </c>
      <c r="K88" s="291">
        <f t="shared" si="64"/>
        <v>5692.5001473980919</v>
      </c>
      <c r="L88" s="291">
        <f t="shared" si="64"/>
        <v>6246.8138607052551</v>
      </c>
      <c r="M88" s="291">
        <f t="shared" si="64"/>
        <v>6808.3371378454667</v>
      </c>
    </row>
    <row r="89" spans="1:13">
      <c r="B89" t="s">
        <v>120</v>
      </c>
      <c r="D89" s="138">
        <f>'3StatementModel'!D34</f>
        <v>16.45</v>
      </c>
      <c r="E89" s="138">
        <f>'3StatementModel'!E34</f>
        <v>18.78</v>
      </c>
      <c r="F89" s="138">
        <f>'3StatementModel'!F34</f>
        <v>28.02</v>
      </c>
      <c r="G89" s="138">
        <f>'3StatementModel'!G34</f>
        <v>50.88</v>
      </c>
      <c r="H89" s="138">
        <f>'3StatementModel'!H34</f>
        <v>54.34</v>
      </c>
      <c r="I89" s="138">
        <f>'3StatementModel'!I34</f>
        <v>22.2384869875</v>
      </c>
      <c r="J89" s="138">
        <f>'3StatementModel'!J34</f>
        <v>25.711568358601561</v>
      </c>
      <c r="K89" s="138">
        <f>'3StatementModel'!K34</f>
        <v>25.110945020423827</v>
      </c>
      <c r="L89" s="138">
        <f>'3StatementModel'!L34</f>
        <v>23.693931138803165</v>
      </c>
      <c r="M89" s="138">
        <f>'3StatementModel'!M34</f>
        <v>21.332503509553963</v>
      </c>
    </row>
    <row r="90" spans="1:13">
      <c r="B90" s="13" t="s">
        <v>121</v>
      </c>
      <c r="C90" s="13"/>
      <c r="D90" s="82">
        <f t="shared" ref="D90:E90" si="65">D88/D89</f>
        <v>80.887537993920972</v>
      </c>
      <c r="E90" s="82">
        <f t="shared" si="65"/>
        <v>91.603833865814707</v>
      </c>
      <c r="F90" s="82">
        <f>F88/F89</f>
        <v>104.11741613133479</v>
      </c>
      <c r="G90" s="82">
        <f t="shared" ref="G90:M90" si="66">G88/G89</f>
        <v>73.296187106918239</v>
      </c>
      <c r="H90" s="82">
        <f t="shared" si="66"/>
        <v>73.292234081707747</v>
      </c>
      <c r="I90" s="82">
        <f t="shared" si="66"/>
        <v>208.69218014286002</v>
      </c>
      <c r="J90" s="82">
        <f t="shared" si="66"/>
        <v>200.47825793245798</v>
      </c>
      <c r="K90" s="82">
        <f t="shared" si="66"/>
        <v>226.69398315229208</v>
      </c>
      <c r="L90" s="82">
        <f t="shared" si="66"/>
        <v>263.64615580716998</v>
      </c>
      <c r="M90" s="82">
        <f t="shared" si="66"/>
        <v>319.15321775506982</v>
      </c>
    </row>
  </sheetData>
  <sheetProtection algorithmName="SHA-512" hashValue="NVAQu6tmo3Zjgr4j2O1wR6zpWcBbZCk1f23KvRnC6pXWzW18hIMwwvEnFZ1ecY+7CFRfKrN6dl5xx5C08FV3Dw==" saltValue="7NFpza113HBhPF4FiHzdog==" spinCount="100000" sheet="1" objects="1" scenarios="1" selectLockedCells="1" selectUnlockedCells="1"/>
  <mergeCells count="2">
    <mergeCell ref="D8:H8"/>
    <mergeCell ref="I8:M8"/>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697" r:id="rId3" name="Drop Down 1">
              <controlPr defaultSize="0" autoLine="0" autoPict="0">
                <anchor moveWithCells="1">
                  <from>
                    <xdr:col>8</xdr:col>
                    <xdr:colOff>7620</xdr:colOff>
                    <xdr:row>2</xdr:row>
                    <xdr:rowOff>182880</xdr:rowOff>
                  </from>
                  <to>
                    <xdr:col>9</xdr:col>
                    <xdr:colOff>403860</xdr:colOff>
                    <xdr:row>4</xdr:row>
                    <xdr:rowOff>7620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FA1D-20A4-48B9-AEBC-A009EDD95E12}">
  <sheetPr>
    <tabColor rgb="FFFF0000"/>
  </sheetPr>
  <dimension ref="A1"/>
  <sheetViews>
    <sheetView workbookViewId="0">
      <selection activeCell="N24" sqref="N24"/>
    </sheetView>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EA115-97DC-4C6E-ACAF-AD36794CF481}">
  <dimension ref="A1:V87"/>
  <sheetViews>
    <sheetView showGridLines="0" zoomScale="70" zoomScaleNormal="70" workbookViewId="0">
      <pane ySplit="9" topLeftCell="A19" activePane="bottomLeft" state="frozen"/>
      <selection pane="bottomLeft" activeCell="C40" sqref="C40"/>
    </sheetView>
  </sheetViews>
  <sheetFormatPr defaultRowHeight="14.4"/>
  <cols>
    <col min="1" max="1" width="1.88671875" customWidth="1"/>
    <col min="2" max="2" width="37" customWidth="1"/>
    <col min="3" max="3" width="9.77734375" customWidth="1"/>
    <col min="4" max="4" width="8.21875" bestFit="1" customWidth="1"/>
    <col min="5" max="7" width="9.6640625" bestFit="1" customWidth="1"/>
    <col min="8" max="8" width="9.6640625" customWidth="1"/>
    <col min="9" max="9" width="9.6640625" bestFit="1" customWidth="1"/>
    <col min="10" max="13" width="10.5546875" bestFit="1" customWidth="1"/>
    <col min="14" max="18" width="10.5546875" customWidth="1"/>
    <col min="19" max="19" width="1.109375" customWidth="1"/>
  </cols>
  <sheetData>
    <row r="1" spans="1:21" ht="6.6" customHeight="1"/>
    <row r="2" spans="1:21" ht="21">
      <c r="B2" s="462" t="str">
        <f>'Input Sheet'!C5</f>
        <v>Eicher Motors</v>
      </c>
      <c r="C2" s="8"/>
      <c r="D2" s="8"/>
      <c r="E2" s="8"/>
      <c r="F2" s="8"/>
    </row>
    <row r="3" spans="1:21" ht="15.6">
      <c r="B3" s="9" t="s">
        <v>86</v>
      </c>
      <c r="C3" s="9"/>
      <c r="D3" s="9"/>
      <c r="E3" s="9"/>
      <c r="F3" s="9"/>
      <c r="U3" t="s">
        <v>130</v>
      </c>
    </row>
    <row r="4" spans="1:21">
      <c r="H4" t="s">
        <v>22</v>
      </c>
      <c r="I4">
        <v>0</v>
      </c>
      <c r="U4" t="s">
        <v>131</v>
      </c>
    </row>
    <row r="5" spans="1:21">
      <c r="U5" t="s">
        <v>132</v>
      </c>
    </row>
    <row r="8" spans="1:21">
      <c r="D8" s="554" t="s">
        <v>16</v>
      </c>
      <c r="E8" s="554"/>
      <c r="F8" s="554"/>
      <c r="G8" s="554"/>
      <c r="H8" s="554"/>
      <c r="I8" s="555" t="s">
        <v>17</v>
      </c>
      <c r="J8" s="555"/>
      <c r="K8" s="555"/>
      <c r="L8" s="555"/>
      <c r="M8" s="555"/>
      <c r="N8" s="555"/>
      <c r="O8" s="555"/>
      <c r="P8" s="555"/>
      <c r="Q8" s="555"/>
      <c r="R8" s="555"/>
    </row>
    <row r="9" spans="1:21">
      <c r="B9" s="495" t="s">
        <v>15</v>
      </c>
      <c r="C9" s="10"/>
      <c r="D9" s="368">
        <f>'3StatementModel'!D9</f>
        <v>2021</v>
      </c>
      <c r="E9" s="368">
        <f>'3StatementModel'!E9</f>
        <v>2022</v>
      </c>
      <c r="F9" s="368">
        <f>'3StatementModel'!F9</f>
        <v>2023</v>
      </c>
      <c r="G9" s="368">
        <f>'3StatementModel'!G9</f>
        <v>2024</v>
      </c>
      <c r="H9" s="368">
        <f>'3StatementModel'!H9</f>
        <v>2025</v>
      </c>
      <c r="I9" s="368">
        <f>'3StatementModel'!I9</f>
        <v>2026</v>
      </c>
      <c r="J9" s="368">
        <f>'3StatementModel'!J9</f>
        <v>2027</v>
      </c>
      <c r="K9" s="368">
        <f>'3StatementModel'!K9</f>
        <v>2028</v>
      </c>
      <c r="L9" s="368">
        <f>'3StatementModel'!L9</f>
        <v>2029</v>
      </c>
      <c r="M9" s="368">
        <f>'3StatementModel'!M9</f>
        <v>2030</v>
      </c>
      <c r="N9" s="368">
        <f>'3StatementModel'!N9</f>
        <v>2031</v>
      </c>
      <c r="O9" s="368">
        <f>'3StatementModel'!O9</f>
        <v>2032</v>
      </c>
      <c r="P9" s="368">
        <f>'3StatementModel'!P9</f>
        <v>2033</v>
      </c>
      <c r="Q9" s="368">
        <f>'3StatementModel'!Q9</f>
        <v>2034</v>
      </c>
      <c r="R9" s="368">
        <f>'3StatementModel'!R9</f>
        <v>2035</v>
      </c>
    </row>
    <row r="10" spans="1:21">
      <c r="B10" s="64"/>
      <c r="C10" s="64"/>
      <c r="D10" s="64"/>
      <c r="E10" s="64"/>
      <c r="F10" s="64"/>
      <c r="H10" s="66"/>
      <c r="I10" s="66"/>
      <c r="J10" s="66"/>
      <c r="K10" s="66"/>
      <c r="L10" s="66"/>
      <c r="M10" s="66"/>
      <c r="N10" s="66"/>
      <c r="O10" s="66"/>
      <c r="P10" s="66"/>
      <c r="Q10" s="66"/>
      <c r="R10" s="66"/>
    </row>
    <row r="11" spans="1:21" ht="18">
      <c r="A11" s="18" t="s">
        <v>18</v>
      </c>
      <c r="B11" s="469" t="s">
        <v>122</v>
      </c>
      <c r="C11" s="469"/>
      <c r="D11" s="469"/>
      <c r="E11" s="469"/>
      <c r="F11" s="469"/>
      <c r="G11" s="466"/>
      <c r="H11" s="470"/>
      <c r="I11" s="470"/>
      <c r="J11" s="470"/>
      <c r="K11" s="470"/>
      <c r="L11" s="470"/>
      <c r="M11" s="470"/>
      <c r="N11" s="470"/>
      <c r="O11" s="470"/>
      <c r="P11" s="470"/>
      <c r="Q11" s="470"/>
      <c r="R11" s="470"/>
    </row>
    <row r="13" spans="1:21">
      <c r="B13" t="s">
        <v>101</v>
      </c>
      <c r="D13" s="371">
        <f>'3StatementModel'!D25</f>
        <v>1781.33</v>
      </c>
      <c r="E13" s="371">
        <f>'3StatementModel'!E25</f>
        <v>2172.2500000000005</v>
      </c>
      <c r="F13" s="371">
        <f>'3StatementModel'!F25</f>
        <v>3443.5800000000008</v>
      </c>
      <c r="G13" s="371">
        <f>'3StatementModel'!G25</f>
        <v>4326.91</v>
      </c>
      <c r="H13" s="371">
        <f>'3StatementModel'!H25</f>
        <v>4712.0299999999988</v>
      </c>
      <c r="I13" s="371">
        <f>'3StatementModel'!I25</f>
        <v>5490.3283324999984</v>
      </c>
      <c r="J13" s="371">
        <f>'3StatementModel'!J25</f>
        <v>6123.9404332437489</v>
      </c>
      <c r="K13" s="371">
        <f>'3StatementModel'!K25</f>
        <v>6781.8301473980919</v>
      </c>
      <c r="L13" s="371">
        <f>'3StatementModel'!L25</f>
        <v>7456.1438607052551</v>
      </c>
      <c r="M13" s="371">
        <f>'3StatementModel'!M25</f>
        <v>8137.6671378454666</v>
      </c>
      <c r="N13" s="371">
        <f>'3StatementModel'!N25</f>
        <v>9114.1871943869228</v>
      </c>
      <c r="O13" s="371">
        <f>'3StatementModel'!O25</f>
        <v>10207.889657713355</v>
      </c>
      <c r="P13" s="371">
        <f>'3StatementModel'!P25</f>
        <v>11432.836416638957</v>
      </c>
      <c r="Q13" s="371">
        <f>'3StatementModel'!Q25</f>
        <v>12804.776786635635</v>
      </c>
      <c r="R13" s="371">
        <f>'3StatementModel'!R25</f>
        <v>14341.350001031911</v>
      </c>
    </row>
    <row r="14" spans="1:21">
      <c r="B14" s="36" t="s">
        <v>41</v>
      </c>
      <c r="C14" s="36"/>
      <c r="D14" s="371">
        <f>'3StatementModel'!D29*-1</f>
        <v>-450.73</v>
      </c>
      <c r="E14" s="371">
        <f>'3StatementModel'!E29*-1</f>
        <v>-451.93</v>
      </c>
      <c r="F14" s="371">
        <f>'3StatementModel'!F29*-1</f>
        <v>-526.21</v>
      </c>
      <c r="G14" s="371">
        <f>'3StatementModel'!G29*-1</f>
        <v>-597.6</v>
      </c>
      <c r="H14" s="371">
        <f>'3StatementModel'!H29*-1</f>
        <v>-729.33</v>
      </c>
      <c r="I14" s="371">
        <f>'3StatementModel'!I29*-1</f>
        <v>-849.33000000000015</v>
      </c>
      <c r="J14" s="371">
        <f>'3StatementModel'!J29*-1</f>
        <v>-969.33000000000015</v>
      </c>
      <c r="K14" s="371">
        <f>'3StatementModel'!K29*-1</f>
        <v>-1089.3300000000002</v>
      </c>
      <c r="L14" s="371">
        <f>'3StatementModel'!L29*-1</f>
        <v>-1209.3300000000002</v>
      </c>
      <c r="M14" s="371">
        <f>'3StatementModel'!M29*-1</f>
        <v>-1329.33</v>
      </c>
      <c r="N14" s="371">
        <f>'3StatementModel'!N29*-1</f>
        <v>-1449.33</v>
      </c>
      <c r="O14" s="371">
        <f>'3StatementModel'!O29*-1</f>
        <v>-1569.33</v>
      </c>
      <c r="P14" s="371">
        <f>'3StatementModel'!P29*-1</f>
        <v>-1689.33</v>
      </c>
      <c r="Q14" s="371">
        <f>'3StatementModel'!Q29*-1</f>
        <v>-1809.33</v>
      </c>
      <c r="R14" s="371">
        <f>'3StatementModel'!R29*-1</f>
        <v>-1929.33</v>
      </c>
    </row>
    <row r="15" spans="1:21">
      <c r="B15" s="13" t="s">
        <v>102</v>
      </c>
      <c r="C15" s="13"/>
      <c r="D15" s="369">
        <f>SUM(D13:D14)</f>
        <v>1330.6</v>
      </c>
      <c r="E15" s="369">
        <f t="shared" ref="E15:M15" si="0">SUM(E13:E14)</f>
        <v>1720.3200000000004</v>
      </c>
      <c r="F15" s="369">
        <f t="shared" si="0"/>
        <v>2917.3700000000008</v>
      </c>
      <c r="G15" s="369">
        <f t="shared" si="0"/>
        <v>3729.31</v>
      </c>
      <c r="H15" s="369">
        <f t="shared" si="0"/>
        <v>3982.6999999999989</v>
      </c>
      <c r="I15" s="369">
        <f t="shared" si="0"/>
        <v>4640.9983324999985</v>
      </c>
      <c r="J15" s="369">
        <f t="shared" si="0"/>
        <v>5154.610433243749</v>
      </c>
      <c r="K15" s="369">
        <f t="shared" si="0"/>
        <v>5692.5001473980919</v>
      </c>
      <c r="L15" s="369">
        <f t="shared" si="0"/>
        <v>6246.8138607052551</v>
      </c>
      <c r="M15" s="369">
        <f t="shared" si="0"/>
        <v>6808.3371378454667</v>
      </c>
      <c r="N15" s="369">
        <f t="shared" ref="N15" si="1">SUM(N13:N14)</f>
        <v>7664.8571943869229</v>
      </c>
      <c r="O15" s="369">
        <f t="shared" ref="O15" si="2">SUM(O13:O14)</f>
        <v>8638.5596577133547</v>
      </c>
      <c r="P15" s="369">
        <f t="shared" ref="P15" si="3">SUM(P13:P14)</f>
        <v>9743.5064166389566</v>
      </c>
      <c r="Q15" s="369">
        <f t="shared" ref="Q15" si="4">SUM(Q13:Q14)</f>
        <v>10995.446786635635</v>
      </c>
      <c r="R15" s="369">
        <f t="shared" ref="R15" si="5">SUM(R13:R14)</f>
        <v>12412.020001031911</v>
      </c>
    </row>
    <row r="16" spans="1:21">
      <c r="B16" s="36" t="s">
        <v>124</v>
      </c>
      <c r="C16" s="36"/>
      <c r="D16" s="371">
        <f>'3StatementModel'!D39*-1</f>
        <v>-451.5</v>
      </c>
      <c r="E16" s="371">
        <f>'3StatementModel'!E39*-1</f>
        <v>-525.91</v>
      </c>
      <c r="F16" s="371">
        <f>'3StatementModel'!F39*-1</f>
        <v>-885.69</v>
      </c>
      <c r="G16" s="371">
        <f>'3StatementModel'!G39*-1</f>
        <v>-1201.01</v>
      </c>
      <c r="H16" s="371">
        <f>'3StatementModel'!H39*-1</f>
        <v>-1198.6300000000001</v>
      </c>
      <c r="I16" s="371">
        <f>'3StatementModel'!I39*-1</f>
        <v>-1160.2324731927395</v>
      </c>
      <c r="J16" s="371">
        <f>'3StatementModel'!J39*-1</f>
        <v>-1288.379394859149</v>
      </c>
      <c r="K16" s="371">
        <f>'3StatementModel'!K39*-1</f>
        <v>-1423.64816763727</v>
      </c>
      <c r="L16" s="371">
        <f>'3StatementModel'!L39*-1</f>
        <v>-1563.2477263070925</v>
      </c>
      <c r="M16" s="371">
        <f>'3StatementModel'!M39*-1</f>
        <v>-1704.8955641451812</v>
      </c>
      <c r="N16" s="371">
        <f>'3StatementModel'!N39*-1</f>
        <v>-1920.1133218749212</v>
      </c>
      <c r="O16" s="371">
        <f>'3StatementModel'!O39*-1</f>
        <v>-2164.071524019912</v>
      </c>
      <c r="P16" s="371">
        <f>'3StatementModel'!P39*-1</f>
        <v>-2440.921990422301</v>
      </c>
      <c r="Q16" s="371">
        <f>'3StatementModel'!Q39*-1</f>
        <v>-2754.6117927929781</v>
      </c>
      <c r="R16" s="371">
        <f>'3StatementModel'!R39*-1</f>
        <v>-3109.5616514481358</v>
      </c>
    </row>
    <row r="17" spans="1:22">
      <c r="B17" s="13" t="s">
        <v>125</v>
      </c>
      <c r="C17" s="13"/>
      <c r="D17" s="369">
        <f>SUM(D15:D16)</f>
        <v>879.09999999999991</v>
      </c>
      <c r="E17" s="369">
        <f t="shared" ref="E17:M17" si="6">SUM(E15:E16)</f>
        <v>1194.4100000000003</v>
      </c>
      <c r="F17" s="369">
        <f t="shared" si="6"/>
        <v>2031.6800000000007</v>
      </c>
      <c r="G17" s="369">
        <f t="shared" si="6"/>
        <v>2528.3000000000002</v>
      </c>
      <c r="H17" s="369">
        <f t="shared" si="6"/>
        <v>2784.0699999999988</v>
      </c>
      <c r="I17" s="369">
        <f t="shared" si="6"/>
        <v>3480.7658593072592</v>
      </c>
      <c r="J17" s="369">
        <f t="shared" si="6"/>
        <v>3866.2310383845997</v>
      </c>
      <c r="K17" s="369">
        <f t="shared" si="6"/>
        <v>4268.8519797608224</v>
      </c>
      <c r="L17" s="369">
        <f t="shared" si="6"/>
        <v>4683.5661343981628</v>
      </c>
      <c r="M17" s="369">
        <f t="shared" si="6"/>
        <v>5103.4415737002855</v>
      </c>
      <c r="N17" s="369">
        <f t="shared" ref="N17" si="7">SUM(N15:N16)</f>
        <v>5744.7438725120019</v>
      </c>
      <c r="O17" s="369">
        <f t="shared" ref="O17" si="8">SUM(O15:O16)</f>
        <v>6474.4881336934432</v>
      </c>
      <c r="P17" s="369">
        <f t="shared" ref="P17" si="9">SUM(P15:P16)</f>
        <v>7302.5844262166556</v>
      </c>
      <c r="Q17" s="369">
        <f t="shared" ref="Q17" si="10">SUM(Q15:Q16)</f>
        <v>8240.8349938426582</v>
      </c>
      <c r="R17" s="369">
        <f t="shared" ref="R17" si="11">SUM(R15:R16)</f>
        <v>9302.458349583776</v>
      </c>
    </row>
    <row r="18" spans="1:22">
      <c r="B18" s="36" t="s">
        <v>866</v>
      </c>
      <c r="C18" s="36"/>
      <c r="D18" s="412">
        <f>D14*-1</f>
        <v>450.73</v>
      </c>
      <c r="E18" s="412">
        <f t="shared" ref="E18:M18" si="12">E14*-1</f>
        <v>451.93</v>
      </c>
      <c r="F18" s="412">
        <f t="shared" si="12"/>
        <v>526.21</v>
      </c>
      <c r="G18" s="412">
        <f t="shared" si="12"/>
        <v>597.6</v>
      </c>
      <c r="H18" s="412">
        <f t="shared" si="12"/>
        <v>729.33</v>
      </c>
      <c r="I18" s="412">
        <f t="shared" si="12"/>
        <v>849.33000000000015</v>
      </c>
      <c r="J18" s="412">
        <f t="shared" si="12"/>
        <v>969.33000000000015</v>
      </c>
      <c r="K18" s="412">
        <f t="shared" si="12"/>
        <v>1089.3300000000002</v>
      </c>
      <c r="L18" s="412">
        <f t="shared" si="12"/>
        <v>1209.3300000000002</v>
      </c>
      <c r="M18" s="412">
        <f t="shared" si="12"/>
        <v>1329.33</v>
      </c>
      <c r="N18" s="412">
        <f t="shared" ref="N18:R18" si="13">N14*-1</f>
        <v>1449.33</v>
      </c>
      <c r="O18" s="412">
        <f t="shared" si="13"/>
        <v>1569.33</v>
      </c>
      <c r="P18" s="412">
        <f t="shared" si="13"/>
        <v>1689.33</v>
      </c>
      <c r="Q18" s="412">
        <f t="shared" si="13"/>
        <v>1809.33</v>
      </c>
      <c r="R18" s="412">
        <f t="shared" si="13"/>
        <v>1929.33</v>
      </c>
    </row>
    <row r="19" spans="1:22">
      <c r="B19" s="372" t="s">
        <v>867</v>
      </c>
      <c r="C19" s="189"/>
      <c r="D19" s="369">
        <f>D17+D18</f>
        <v>1329.83</v>
      </c>
      <c r="E19" s="369">
        <f t="shared" ref="E19:M19" si="14">E17+E18</f>
        <v>1646.3400000000004</v>
      </c>
      <c r="F19" s="369">
        <f t="shared" si="14"/>
        <v>2557.8900000000008</v>
      </c>
      <c r="G19" s="369">
        <f t="shared" si="14"/>
        <v>3125.9</v>
      </c>
      <c r="H19" s="369">
        <f t="shared" si="14"/>
        <v>3513.3999999999987</v>
      </c>
      <c r="I19" s="369">
        <f t="shared" si="14"/>
        <v>4330.0958593072592</v>
      </c>
      <c r="J19" s="369">
        <f t="shared" si="14"/>
        <v>4835.5610383845997</v>
      </c>
      <c r="K19" s="369">
        <f t="shared" si="14"/>
        <v>5358.1819797608223</v>
      </c>
      <c r="L19" s="369">
        <f t="shared" si="14"/>
        <v>5892.8961343981628</v>
      </c>
      <c r="M19" s="369">
        <f t="shared" si="14"/>
        <v>6432.7715737002854</v>
      </c>
      <c r="N19" s="369">
        <f t="shared" ref="N19" si="15">N17+N18</f>
        <v>7194.0738725120018</v>
      </c>
      <c r="O19" s="369">
        <f t="shared" ref="O19" si="16">O17+O18</f>
        <v>8043.8181336934431</v>
      </c>
      <c r="P19" s="369">
        <f t="shared" ref="P19" si="17">P17+P18</f>
        <v>8991.9144262166556</v>
      </c>
      <c r="Q19" s="369">
        <f t="shared" ref="Q19" si="18">Q17+Q18</f>
        <v>10050.164993842658</v>
      </c>
      <c r="R19" s="369">
        <f t="shared" ref="R19" si="19">R17+R18</f>
        <v>11231.788349583776</v>
      </c>
    </row>
    <row r="20" spans="1:22">
      <c r="B20" s="26" t="s">
        <v>126</v>
      </c>
      <c r="C20" s="26"/>
      <c r="D20" s="370"/>
      <c r="E20" s="370"/>
      <c r="F20" s="370"/>
      <c r="G20" s="370"/>
      <c r="H20" s="370"/>
      <c r="I20" s="370"/>
      <c r="J20" s="370"/>
      <c r="K20" s="370"/>
      <c r="L20" s="370"/>
      <c r="M20" s="370"/>
      <c r="N20" s="370"/>
      <c r="O20" s="370"/>
      <c r="P20" s="370"/>
      <c r="Q20" s="370"/>
      <c r="R20" s="370"/>
    </row>
    <row r="21" spans="1:22">
      <c r="B21" s="36" t="s">
        <v>73</v>
      </c>
      <c r="C21" s="36"/>
      <c r="D21" s="371">
        <f>'3StatementModel'!D125</f>
        <v>235</v>
      </c>
      <c r="E21" s="371">
        <f>'3StatementModel'!E125</f>
        <v>-131</v>
      </c>
      <c r="F21" s="371">
        <f>'3StatementModel'!F125</f>
        <v>66</v>
      </c>
      <c r="G21" s="371">
        <f>'3StatementModel'!G125</f>
        <v>388</v>
      </c>
      <c r="H21" s="371">
        <f>'3StatementModel'!H125</f>
        <v>211</v>
      </c>
      <c r="I21" s="371">
        <f>'3StatementModel'!I125</f>
        <v>-31.740899520547373</v>
      </c>
      <c r="J21" s="371">
        <f>'3StatementModel'!J125</f>
        <v>32.190167496061235</v>
      </c>
      <c r="K21" s="371">
        <f>'3StatementModel'!K125</f>
        <v>195.91786583753844</v>
      </c>
      <c r="L21" s="371">
        <f>'3StatementModel'!L125</f>
        <v>72.006591393350959</v>
      </c>
      <c r="M21" s="371">
        <f>'3StatementModel'!M125</f>
        <v>84.805758676819551</v>
      </c>
      <c r="N21" s="371">
        <f>'3StatementModel'!N125</f>
        <v>42.409138065985644</v>
      </c>
      <c r="O21" s="371">
        <f>'3StatementModel'!O125</f>
        <v>47.498234633904985</v>
      </c>
      <c r="P21" s="371">
        <f>'3StatementModel'!P125</f>
        <v>53.198022789974061</v>
      </c>
      <c r="Q21" s="371">
        <f>'3StatementModel'!Q125</f>
        <v>59.581785524771021</v>
      </c>
      <c r="R21" s="371">
        <f>'3StatementModel'!R125</f>
        <v>66.73159978774197</v>
      </c>
    </row>
    <row r="22" spans="1:22">
      <c r="B22" s="36" t="s">
        <v>868</v>
      </c>
      <c r="C22" s="36"/>
      <c r="D22" s="371">
        <f>'3StatementModel'!D129</f>
        <v>-515</v>
      </c>
      <c r="E22" s="371">
        <f>'3StatementModel'!E129</f>
        <v>-638.9</v>
      </c>
      <c r="F22" s="371">
        <f>'3StatementModel'!F129</f>
        <v>-673.2</v>
      </c>
      <c r="G22" s="371">
        <f>'3StatementModel'!G129</f>
        <v>-814.8</v>
      </c>
      <c r="H22" s="371">
        <f>'3StatementModel'!H129</f>
        <v>-1028</v>
      </c>
      <c r="I22" s="371">
        <f>'3StatementModel'!I129</f>
        <v>-1200</v>
      </c>
      <c r="J22" s="371">
        <f>'3StatementModel'!J129</f>
        <v>-1200</v>
      </c>
      <c r="K22" s="371">
        <f>'3StatementModel'!K129</f>
        <v>-1200</v>
      </c>
      <c r="L22" s="371">
        <f>'3StatementModel'!L129</f>
        <v>-1200</v>
      </c>
      <c r="M22" s="371">
        <f>'3StatementModel'!M129</f>
        <v>-1200</v>
      </c>
      <c r="N22" s="371">
        <f>'3StatementModel'!N129</f>
        <v>-1200</v>
      </c>
      <c r="O22" s="371">
        <f>'3StatementModel'!O129</f>
        <v>-1200</v>
      </c>
      <c r="P22" s="371">
        <f>'3StatementModel'!P129</f>
        <v>-1200</v>
      </c>
      <c r="Q22" s="371">
        <f>'3StatementModel'!Q129</f>
        <v>-1200</v>
      </c>
      <c r="R22" s="371">
        <f>'3StatementModel'!R129</f>
        <v>-1200</v>
      </c>
      <c r="V22" t="s">
        <v>562</v>
      </c>
    </row>
    <row r="23" spans="1:22">
      <c r="B23" s="13" t="s">
        <v>122</v>
      </c>
      <c r="C23" s="13"/>
      <c r="D23" s="369">
        <f>D19+SUM(D21:D22)</f>
        <v>1049.83</v>
      </c>
      <c r="E23" s="369">
        <f t="shared" ref="E23:M23" si="20">E19+SUM(E21:E22)</f>
        <v>876.4400000000004</v>
      </c>
      <c r="F23" s="369">
        <f t="shared" si="20"/>
        <v>1950.6900000000007</v>
      </c>
      <c r="G23" s="369">
        <f t="shared" si="20"/>
        <v>2699.1000000000004</v>
      </c>
      <c r="H23" s="369">
        <f t="shared" si="20"/>
        <v>2696.3999999999987</v>
      </c>
      <c r="I23" s="369">
        <f t="shared" si="20"/>
        <v>3098.3549597867118</v>
      </c>
      <c r="J23" s="369">
        <f t="shared" si="20"/>
        <v>3667.751205880661</v>
      </c>
      <c r="K23" s="369">
        <f t="shared" si="20"/>
        <v>4354.0998455983608</v>
      </c>
      <c r="L23" s="369">
        <f t="shared" si="20"/>
        <v>4764.9027257915131</v>
      </c>
      <c r="M23" s="369">
        <f t="shared" si="20"/>
        <v>5317.5773323771045</v>
      </c>
      <c r="N23" s="369">
        <f t="shared" ref="N23" si="21">N19+SUM(N21:N22)</f>
        <v>6036.4830105779874</v>
      </c>
      <c r="O23" s="369">
        <f t="shared" ref="O23" si="22">O19+SUM(O21:O22)</f>
        <v>6891.3163683273478</v>
      </c>
      <c r="P23" s="369">
        <f t="shared" ref="P23" si="23">P19+SUM(P21:P22)</f>
        <v>7845.1124490066295</v>
      </c>
      <c r="Q23" s="369">
        <f t="shared" ref="Q23" si="24">Q19+SUM(Q21:Q22)</f>
        <v>8909.7467793674296</v>
      </c>
      <c r="R23" s="369">
        <f t="shared" ref="R23" si="25">R19+SUM(R21:R22)</f>
        <v>10098.519949371517</v>
      </c>
    </row>
    <row r="25" spans="1:22">
      <c r="B25" s="36" t="s">
        <v>127</v>
      </c>
      <c r="C25" s="496" t="s">
        <v>152</v>
      </c>
      <c r="D25" s="84" t="s">
        <v>131</v>
      </c>
      <c r="E25" s="363"/>
      <c r="F25" s="363"/>
      <c r="I25">
        <f>IF(D25="Yes",(I9-H9)/2,I9-H9)</f>
        <v>0.5</v>
      </c>
      <c r="J25">
        <f>I25+1</f>
        <v>1.5</v>
      </c>
      <c r="K25">
        <f t="shared" ref="K25:M25" si="26">J25+1</f>
        <v>2.5</v>
      </c>
      <c r="L25">
        <f t="shared" si="26"/>
        <v>3.5</v>
      </c>
      <c r="M25">
        <f t="shared" si="26"/>
        <v>4.5</v>
      </c>
      <c r="N25">
        <f t="shared" ref="N25" si="27">M25+1</f>
        <v>5.5</v>
      </c>
      <c r="O25">
        <f t="shared" ref="O25" si="28">N25+1</f>
        <v>6.5</v>
      </c>
      <c r="P25">
        <f t="shared" ref="P25" si="29">O25+1</f>
        <v>7.5</v>
      </c>
      <c r="Q25">
        <f t="shared" ref="Q25" si="30">P25+1</f>
        <v>8.5</v>
      </c>
      <c r="R25">
        <f t="shared" ref="R25" si="31">Q25+1</f>
        <v>9.5</v>
      </c>
    </row>
    <row r="26" spans="1:22">
      <c r="B26" s="36" t="s">
        <v>128</v>
      </c>
      <c r="C26" s="83">
        <f>WACC!E23</f>
        <v>0.12</v>
      </c>
      <c r="D26" s="367"/>
      <c r="E26" s="367"/>
      <c r="F26" s="367"/>
    </row>
    <row r="27" spans="1:22">
      <c r="B27" s="36" t="s">
        <v>129</v>
      </c>
      <c r="C27" s="36"/>
      <c r="D27" s="36"/>
      <c r="E27" s="36"/>
      <c r="F27" s="36"/>
      <c r="I27" s="85">
        <f>1/(1+$C$26)^I25</f>
        <v>0.94491118252306794</v>
      </c>
      <c r="J27" s="85">
        <f t="shared" ref="J27:M27" si="32">1/(1+$C$26)^J25</f>
        <v>0.84367069868131062</v>
      </c>
      <c r="K27" s="85">
        <f t="shared" si="32"/>
        <v>0.75327740953688449</v>
      </c>
      <c r="L27" s="85">
        <f t="shared" si="32"/>
        <v>0.67256911565793243</v>
      </c>
      <c r="M27" s="85">
        <f t="shared" si="32"/>
        <v>0.60050813898029676</v>
      </c>
      <c r="N27" s="85">
        <f t="shared" ref="N27:R27" si="33">1/(1+$C$26)^N25</f>
        <v>0.53616798123240783</v>
      </c>
      <c r="O27" s="85">
        <f t="shared" si="33"/>
        <v>0.47872141181464972</v>
      </c>
      <c r="P27" s="85">
        <f t="shared" si="33"/>
        <v>0.42742983197736584</v>
      </c>
      <c r="Q27" s="85">
        <f t="shared" si="33"/>
        <v>0.38163377855121944</v>
      </c>
      <c r="R27" s="85">
        <f t="shared" si="33"/>
        <v>0.34074444513501739</v>
      </c>
    </row>
    <row r="29" spans="1:22" ht="15" thickBot="1">
      <c r="B29" s="86" t="s">
        <v>133</v>
      </c>
      <c r="C29" s="86"/>
      <c r="D29" s="86"/>
      <c r="E29" s="86"/>
      <c r="F29" s="86"/>
      <c r="G29" s="86"/>
      <c r="H29" s="86"/>
      <c r="I29" s="374">
        <f>I23*I27</f>
        <v>2927.6702489282743</v>
      </c>
      <c r="J29" s="374">
        <f t="shared" ref="J29:M29" si="34">J23*J27</f>
        <v>3094.3742224545567</v>
      </c>
      <c r="K29" s="374">
        <f t="shared" si="34"/>
        <v>3279.8450525572821</v>
      </c>
      <c r="L29" s="374">
        <f t="shared" si="34"/>
        <v>3204.7264124816697</v>
      </c>
      <c r="M29" s="374">
        <f t="shared" si="34"/>
        <v>3193.2484677495859</v>
      </c>
      <c r="N29" s="374">
        <f t="shared" ref="N29:R29" si="35">N23*N27</f>
        <v>3236.5689095253269</v>
      </c>
      <c r="O29" s="374">
        <f t="shared" si="35"/>
        <v>3299.0207011070725</v>
      </c>
      <c r="P29" s="374">
        <f t="shared" si="35"/>
        <v>3353.2350959224445</v>
      </c>
      <c r="Q29" s="374">
        <f t="shared" si="35"/>
        <v>3400.2603293445504</v>
      </c>
      <c r="R29" s="374">
        <f t="shared" si="35"/>
        <v>3441.0145768335015</v>
      </c>
    </row>
    <row r="31" spans="1:22" ht="18">
      <c r="A31" s="18" t="s">
        <v>18</v>
      </c>
      <c r="B31" s="469" t="s">
        <v>137</v>
      </c>
      <c r="C31" s="469"/>
      <c r="D31" s="469"/>
      <c r="E31" s="469"/>
      <c r="F31" s="469"/>
      <c r="G31" s="466"/>
      <c r="H31" s="470"/>
      <c r="I31" s="470"/>
      <c r="J31" s="470"/>
      <c r="K31" s="470"/>
      <c r="L31" s="470"/>
      <c r="M31" s="470"/>
      <c r="N31" s="470"/>
      <c r="O31" s="470"/>
      <c r="P31" s="470"/>
      <c r="Q31" s="470"/>
      <c r="R31" s="470"/>
    </row>
    <row r="33" spans="2:6">
      <c r="B33" t="s">
        <v>138</v>
      </c>
      <c r="C33" s="88">
        <f>WACC!E6</f>
        <v>4.3790141762224927E-2</v>
      </c>
      <c r="D33" s="88"/>
      <c r="E33" s="88"/>
      <c r="F33" s="88"/>
    </row>
    <row r="34" spans="2:6">
      <c r="B34" t="s">
        <v>139</v>
      </c>
      <c r="C34" s="291">
        <f>R23*(1+C33)</f>
        <v>10540.735569543152</v>
      </c>
      <c r="D34" s="34"/>
      <c r="E34" s="34"/>
      <c r="F34" s="34"/>
    </row>
    <row r="35" spans="2:6">
      <c r="B35" s="13" t="s">
        <v>140</v>
      </c>
      <c r="C35" s="292">
        <f>C34/(C26-C33)</f>
        <v>138311.96925542119</v>
      </c>
      <c r="D35" s="30"/>
      <c r="E35" s="30"/>
      <c r="F35" s="30"/>
    </row>
    <row r="36" spans="2:6">
      <c r="B36" t="s">
        <v>141</v>
      </c>
      <c r="C36" s="291">
        <f>C35*R27</f>
        <v>47129.035219470083</v>
      </c>
      <c r="D36" s="34"/>
      <c r="E36" s="34"/>
      <c r="F36" s="34"/>
    </row>
    <row r="37" spans="2:6">
      <c r="B37" t="s">
        <v>142</v>
      </c>
      <c r="C37" s="291">
        <f>SUM(I29:R29)</f>
        <v>32429.964016904269</v>
      </c>
      <c r="D37" s="34"/>
      <c r="E37" s="34"/>
      <c r="F37" s="34"/>
    </row>
    <row r="38" spans="2:6">
      <c r="B38" s="13" t="s">
        <v>143</v>
      </c>
      <c r="C38" s="292">
        <f>SUM(C36:C37)</f>
        <v>79558.999236374351</v>
      </c>
      <c r="D38" s="30"/>
      <c r="E38" s="30"/>
      <c r="F38" s="30"/>
    </row>
    <row r="39" spans="2:6">
      <c r="B39" s="373" t="s">
        <v>144</v>
      </c>
      <c r="C39" s="375">
        <f>C38/R13</f>
        <v>5.5475251096061244</v>
      </c>
      <c r="D39" s="89"/>
      <c r="E39" s="89"/>
      <c r="F39" s="89"/>
    </row>
    <row r="40" spans="2:6">
      <c r="B40" s="373" t="s">
        <v>145</v>
      </c>
      <c r="C40" s="375">
        <f>C38/'3StatementModel'!H25</f>
        <v>16.88423020150007</v>
      </c>
      <c r="D40" s="89"/>
      <c r="E40" s="89"/>
      <c r="F40" s="89"/>
    </row>
    <row r="41" spans="2:6">
      <c r="B41" t="s">
        <v>146</v>
      </c>
      <c r="C41" s="376">
        <f>SUM('3StatementModel'!H86,'3StatementModel'!H98)*-1</f>
        <v>-266.47000000000003</v>
      </c>
      <c r="D41" s="90"/>
      <c r="E41" s="90"/>
      <c r="F41" s="90"/>
    </row>
    <row r="42" spans="2:6">
      <c r="B42" t="s">
        <v>147</v>
      </c>
      <c r="C42" s="376">
        <f>SUM('3StatementModel'!H72,'3StatementModel'!H73)</f>
        <v>267.05000000000047</v>
      </c>
      <c r="D42" s="38"/>
      <c r="E42" s="38"/>
      <c r="F42" s="38"/>
    </row>
    <row r="43" spans="2:6">
      <c r="B43" t="s">
        <v>869</v>
      </c>
      <c r="C43" s="190">
        <v>0</v>
      </c>
      <c r="D43" s="38"/>
      <c r="E43" s="38"/>
      <c r="F43" s="38"/>
    </row>
    <row r="44" spans="2:6">
      <c r="B44" t="s">
        <v>870</v>
      </c>
      <c r="C44" s="376">
        <f>'3StatementModel'!H58</f>
        <v>16013.75</v>
      </c>
      <c r="D44" s="38"/>
      <c r="E44" s="38"/>
      <c r="F44" s="38"/>
    </row>
    <row r="45" spans="2:6">
      <c r="B45" s="13" t="s">
        <v>148</v>
      </c>
      <c r="C45" s="292">
        <f>SUM(C38,C41,C42,C43,C44)</f>
        <v>95573.329236374353</v>
      </c>
      <c r="D45" s="30"/>
      <c r="E45" s="30"/>
      <c r="F45" s="30"/>
    </row>
    <row r="46" spans="2:6">
      <c r="B46" t="s">
        <v>871</v>
      </c>
      <c r="C46" s="138">
        <f ca="1">'Options Value'!E28*-1</f>
        <v>-202.9281522686739</v>
      </c>
      <c r="D46" s="30"/>
      <c r="E46" s="30"/>
      <c r="F46" s="30"/>
    </row>
    <row r="47" spans="2:6">
      <c r="B47" s="13" t="s">
        <v>872</v>
      </c>
      <c r="C47" s="292">
        <f ca="1">SUM(C45:C46)</f>
        <v>95370.401084105673</v>
      </c>
      <c r="D47" s="30" t="s">
        <v>562</v>
      </c>
      <c r="E47" s="30"/>
      <c r="F47" s="30"/>
    </row>
    <row r="48" spans="2:6">
      <c r="D48" s="106"/>
    </row>
    <row r="49" spans="1:18" ht="18">
      <c r="A49" s="18" t="s">
        <v>18</v>
      </c>
      <c r="B49" s="469" t="s">
        <v>149</v>
      </c>
      <c r="C49" s="469"/>
      <c r="D49" s="469"/>
      <c r="E49" s="469"/>
      <c r="F49" s="469"/>
      <c r="G49" s="466"/>
      <c r="H49" s="470"/>
      <c r="I49" s="470"/>
      <c r="J49" s="470"/>
      <c r="K49" s="470"/>
      <c r="L49" s="470"/>
      <c r="M49" s="470"/>
      <c r="N49" s="470"/>
      <c r="O49" s="470"/>
      <c r="P49" s="470"/>
      <c r="Q49" s="470"/>
      <c r="R49" s="470"/>
    </row>
    <row r="51" spans="1:18">
      <c r="B51" t="s">
        <v>150</v>
      </c>
      <c r="C51" s="413">
        <v>21.4</v>
      </c>
      <c r="D51" s="89"/>
      <c r="E51" s="89"/>
      <c r="F51" s="89"/>
    </row>
    <row r="52" spans="1:18">
      <c r="B52" t="s">
        <v>151</v>
      </c>
      <c r="C52" s="291">
        <f>R13</f>
        <v>14341.350001031911</v>
      </c>
      <c r="D52" s="34"/>
      <c r="E52" s="34"/>
      <c r="F52" s="34"/>
    </row>
    <row r="53" spans="1:18">
      <c r="B53" s="13" t="s">
        <v>140</v>
      </c>
      <c r="C53" s="292">
        <f>C51*C52</f>
        <v>306904.89002208289</v>
      </c>
      <c r="D53" s="30"/>
      <c r="E53" s="30"/>
      <c r="F53" s="30"/>
    </row>
    <row r="54" spans="1:18">
      <c r="B54" t="s">
        <v>141</v>
      </c>
      <c r="C54" s="291">
        <f>C53*R27</f>
        <v>104576.13645979817</v>
      </c>
      <c r="D54" s="34"/>
      <c r="E54" s="34"/>
      <c r="F54" s="34"/>
    </row>
    <row r="55" spans="1:18">
      <c r="B55" t="s">
        <v>142</v>
      </c>
      <c r="C55" s="291">
        <f>C37</f>
        <v>32429.964016904269</v>
      </c>
      <c r="D55" s="34"/>
      <c r="E55" s="34"/>
      <c r="F55" s="34"/>
    </row>
    <row r="56" spans="1:18">
      <c r="B56" s="13" t="s">
        <v>143</v>
      </c>
      <c r="C56" s="292">
        <f>SUM(C54:C55)</f>
        <v>137006.10047670244</v>
      </c>
      <c r="D56" s="30"/>
      <c r="E56" s="30"/>
      <c r="F56" s="30"/>
    </row>
    <row r="57" spans="1:18">
      <c r="B57" s="36" t="s">
        <v>144</v>
      </c>
      <c r="C57" s="375">
        <f>C56/R13</f>
        <v>9.5532220095628624</v>
      </c>
      <c r="D57" s="89"/>
      <c r="E57" s="89"/>
      <c r="F57" s="89"/>
    </row>
    <row r="58" spans="1:18">
      <c r="B58" s="36" t="s">
        <v>145</v>
      </c>
      <c r="C58" s="375">
        <f>C56/'3StatementModel'!H25</f>
        <v>29.075812436827118</v>
      </c>
      <c r="D58" s="89"/>
      <c r="E58" s="89"/>
      <c r="F58" s="89"/>
    </row>
    <row r="59" spans="1:18">
      <c r="B59" t="s">
        <v>146</v>
      </c>
      <c r="C59" s="291">
        <f>C41</f>
        <v>-266.47000000000003</v>
      </c>
      <c r="D59" s="62"/>
      <c r="E59" s="62"/>
      <c r="F59" s="62"/>
    </row>
    <row r="60" spans="1:18">
      <c r="B60" t="s">
        <v>147</v>
      </c>
      <c r="C60" s="291">
        <f>C42</f>
        <v>267.05000000000047</v>
      </c>
      <c r="D60" s="30"/>
      <c r="E60" s="30"/>
      <c r="F60" s="30"/>
    </row>
    <row r="61" spans="1:18">
      <c r="B61" t="str">
        <f>B43</f>
        <v>Less : Minority Interest</v>
      </c>
      <c r="C61" s="398">
        <f>C43</f>
        <v>0</v>
      </c>
      <c r="D61" s="30"/>
      <c r="E61" s="30"/>
      <c r="F61" s="30"/>
    </row>
    <row r="62" spans="1:18">
      <c r="B62" t="str">
        <f>B44</f>
        <v>Add : Non Operating Asset</v>
      </c>
      <c r="C62" s="291">
        <f>C44</f>
        <v>16013.75</v>
      </c>
      <c r="D62" s="30"/>
      <c r="E62" s="30"/>
      <c r="F62" s="30"/>
    </row>
    <row r="63" spans="1:18">
      <c r="B63" s="13" t="s">
        <v>148</v>
      </c>
      <c r="C63" s="292">
        <f>SUM(C56,C59,C60,C61,C62)</f>
        <v>153020.43047670243</v>
      </c>
      <c r="D63" s="30"/>
      <c r="E63" s="30"/>
      <c r="F63" s="30"/>
    </row>
    <row r="64" spans="1:18">
      <c r="B64" t="str">
        <f>B46</f>
        <v>Less : Value of Options</v>
      </c>
      <c r="C64" s="291">
        <f ca="1">C46</f>
        <v>-202.9281522686739</v>
      </c>
    </row>
    <row r="65" spans="1:18">
      <c r="B65" s="13" t="str">
        <f>B47</f>
        <v>Equity Value for Shareholders</v>
      </c>
      <c r="C65" s="292">
        <f ca="1">SUM(C63:C64)</f>
        <v>152817.50232443376</v>
      </c>
    </row>
    <row r="67" spans="1:18" ht="18">
      <c r="A67" s="18" t="s">
        <v>18</v>
      </c>
      <c r="B67" s="469" t="s">
        <v>937</v>
      </c>
      <c r="C67" s="469"/>
      <c r="D67" s="469"/>
      <c r="E67" s="469"/>
      <c r="F67" s="469"/>
      <c r="G67" s="466"/>
      <c r="H67" s="470"/>
      <c r="I67" s="470"/>
      <c r="J67" s="470"/>
      <c r="K67" s="470"/>
      <c r="L67" s="470"/>
      <c r="M67" s="470"/>
      <c r="N67" s="470"/>
      <c r="O67" s="470"/>
      <c r="P67" s="470"/>
      <c r="Q67" s="470"/>
      <c r="R67" s="470"/>
    </row>
    <row r="70" spans="1:18">
      <c r="E70" s="552" t="s">
        <v>153</v>
      </c>
      <c r="F70" s="552"/>
      <c r="G70" s="552"/>
      <c r="H70" s="552"/>
      <c r="I70" s="552"/>
    </row>
    <row r="71" spans="1:18">
      <c r="D71" s="414">
        <f ca="1">C47</f>
        <v>95370.401084105673</v>
      </c>
      <c r="E71" s="471">
        <v>0.11</v>
      </c>
      <c r="F71" s="471">
        <v>0.12</v>
      </c>
      <c r="G71" s="471">
        <v>0.13</v>
      </c>
      <c r="H71" s="471">
        <v>0.14000000000000001</v>
      </c>
      <c r="I71" s="471">
        <v>0.15</v>
      </c>
    </row>
    <row r="72" spans="1:18">
      <c r="C72" s="553" t="s">
        <v>938</v>
      </c>
      <c r="D72" s="471">
        <v>0.03</v>
      </c>
      <c r="E72" s="443">
        <f t="dataTable" ref="E72:I76" dt2D="1" dtr="1" r1="C26" r2="C33" ca="1"/>
        <v>98018.164727393669</v>
      </c>
      <c r="F72" s="444">
        <v>87621.866021730108</v>
      </c>
      <c r="G72" s="444">
        <v>79382.347445657098</v>
      </c>
      <c r="H72" s="444">
        <v>72706.130376759887</v>
      </c>
      <c r="I72" s="444">
        <v>67197.9727241535</v>
      </c>
    </row>
    <row r="73" spans="1:18">
      <c r="C73" s="553"/>
      <c r="D73" s="471">
        <v>0.04</v>
      </c>
      <c r="E73" s="445">
        <v>105445.35211113123</v>
      </c>
      <c r="F73" s="449">
        <v>92974.555363471125</v>
      </c>
      <c r="G73" s="446">
        <v>83352.877143486694</v>
      </c>
      <c r="H73" s="446">
        <v>75720.342458242798</v>
      </c>
      <c r="I73" s="446">
        <v>69530.099490845867</v>
      </c>
    </row>
    <row r="74" spans="1:18">
      <c r="C74" s="553"/>
      <c r="D74" s="471">
        <v>0.05</v>
      </c>
      <c r="E74" s="445">
        <v>115348.26862278131</v>
      </c>
      <c r="F74" s="446">
        <v>99856.584517138108</v>
      </c>
      <c r="G74" s="446">
        <v>88316.039265773696</v>
      </c>
      <c r="H74" s="446">
        <v>79404.379446721898</v>
      </c>
      <c r="I74" s="446">
        <v>72328.65161087671</v>
      </c>
    </row>
    <row r="75" spans="1:18">
      <c r="C75" s="553"/>
      <c r="D75" s="471">
        <v>0.06</v>
      </c>
      <c r="E75" s="445">
        <v>129212.35173909143</v>
      </c>
      <c r="F75" s="446">
        <v>109032.62338869413</v>
      </c>
      <c r="G75" s="446">
        <v>94697.247708714131</v>
      </c>
      <c r="H75" s="446">
        <v>84009.425682320783</v>
      </c>
      <c r="I75" s="446">
        <v>75749.104202025526</v>
      </c>
    </row>
    <row r="76" spans="1:18">
      <c r="C76" s="553"/>
      <c r="D76" s="471">
        <v>7.0000000000000007E-2</v>
      </c>
      <c r="E76" s="447">
        <v>150008.47641355661</v>
      </c>
      <c r="F76" s="448">
        <v>121879.07780887253</v>
      </c>
      <c r="G76" s="448">
        <v>103205.5256326347</v>
      </c>
      <c r="H76" s="448">
        <v>89930.199413805065</v>
      </c>
      <c r="I76" s="448">
        <v>80024.669940961554</v>
      </c>
    </row>
    <row r="81" spans="3:9">
      <c r="E81" s="552" t="s">
        <v>153</v>
      </c>
      <c r="F81" s="552"/>
      <c r="G81" s="552"/>
      <c r="H81" s="552"/>
      <c r="I81" s="552"/>
    </row>
    <row r="82" spans="3:9">
      <c r="D82" s="414">
        <f ca="1">C65</f>
        <v>152817.50232443376</v>
      </c>
      <c r="E82" s="471">
        <v>0.11</v>
      </c>
      <c r="F82" s="471">
        <v>0.12</v>
      </c>
      <c r="G82" s="471">
        <v>0.13</v>
      </c>
      <c r="H82" s="471">
        <v>0.14000000000000001</v>
      </c>
      <c r="I82" s="471">
        <v>0.15</v>
      </c>
    </row>
    <row r="83" spans="3:9">
      <c r="C83" s="553" t="s">
        <v>150</v>
      </c>
      <c r="D83" s="472">
        <v>18</v>
      </c>
      <c r="E83" s="443">
        <f t="dataTable" ref="E83:I87" dt2D="1" dtr="1" r1="C26" r2="C51" ca="1"/>
        <v>145559.18308129115</v>
      </c>
      <c r="F83" s="444">
        <v>136202.60213923219</v>
      </c>
      <c r="G83" s="444">
        <v>127648.27780765911</v>
      </c>
      <c r="H83" s="444">
        <v>119819.97398023703</v>
      </c>
      <c r="I83" s="444">
        <v>112649.32974827982</v>
      </c>
    </row>
    <row r="84" spans="3:9">
      <c r="C84" s="553"/>
      <c r="D84" s="472">
        <v>19</v>
      </c>
      <c r="E84" s="445">
        <v>150880.53200068924</v>
      </c>
      <c r="F84" s="446">
        <v>141089.33748782091</v>
      </c>
      <c r="G84" s="446">
        <v>132139.29607746948</v>
      </c>
      <c r="H84" s="446">
        <v>123950.39143380613</v>
      </c>
      <c r="I84" s="446">
        <v>116450.87838810447</v>
      </c>
    </row>
    <row r="85" spans="3:9">
      <c r="C85" s="553"/>
      <c r="D85" s="472">
        <v>20</v>
      </c>
      <c r="E85" s="445">
        <v>156201.88092008734</v>
      </c>
      <c r="F85" s="446">
        <v>145976.07283640958</v>
      </c>
      <c r="G85" s="446">
        <v>136630.31434727981</v>
      </c>
      <c r="H85" s="446">
        <v>128080.80888737521</v>
      </c>
      <c r="I85" s="446">
        <v>120252.42702792909</v>
      </c>
    </row>
    <row r="86" spans="3:9">
      <c r="C86" s="553"/>
      <c r="D86" s="472">
        <v>21</v>
      </c>
      <c r="E86" s="445">
        <v>161523.22983948543</v>
      </c>
      <c r="F86" s="449">
        <v>150862.80818499828</v>
      </c>
      <c r="G86" s="446">
        <v>141121.33261709017</v>
      </c>
      <c r="H86" s="446">
        <v>132211.22634094433</v>
      </c>
      <c r="I86" s="446">
        <v>124053.97566775371</v>
      </c>
    </row>
    <row r="87" spans="3:9">
      <c r="C87" s="553"/>
      <c r="D87" s="472">
        <v>22</v>
      </c>
      <c r="E87" s="447">
        <v>166844.57875888352</v>
      </c>
      <c r="F87" s="448">
        <v>155749.54353358698</v>
      </c>
      <c r="G87" s="448">
        <v>145612.35088690053</v>
      </c>
      <c r="H87" s="448">
        <v>136341.64379451342</v>
      </c>
      <c r="I87" s="448">
        <v>127855.52430757835</v>
      </c>
    </row>
  </sheetData>
  <sheetProtection algorithmName="SHA-512" hashValue="uMxWVtAGFyF10PqcGoyiLEnAVs/deTZ/SuT2uqwgifvs8Gt/1XeDkeSEIoRBPSwwNg3dOj2zcGdv9MtJTfuE7Q==" saltValue="dJXhcnl5WivQYkNmYGsEvA==" spinCount="100000" sheet="1" objects="1" scenarios="1" selectLockedCells="1" selectUnlockedCells="1"/>
  <mergeCells count="6">
    <mergeCell ref="E70:I70"/>
    <mergeCell ref="E81:I81"/>
    <mergeCell ref="C83:C87"/>
    <mergeCell ref="C72:C76"/>
    <mergeCell ref="D8:H8"/>
    <mergeCell ref="I8:R8"/>
  </mergeCells>
  <dataValidations disablePrompts="1" count="1">
    <dataValidation type="list" allowBlank="1" showInputMessage="1" showErrorMessage="1" sqref="D25" xr:uid="{F56504CF-F11D-4DDD-9387-0E1D709A046E}">
      <formula1>$U$4:$U$5</formula1>
    </dataValidation>
  </dataValidations>
  <pageMargins left="0.7" right="0.7" top="0.75" bottom="0.75" header="0.3" footer="0.3"/>
  <ignoredErrors>
    <ignoredError sqref="D16 E16:M16 C63 N16:R16" 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30721" r:id="rId3" name="Drop Down 1">
              <controlPr defaultSize="0" autoLine="0" autoPict="0">
                <anchor moveWithCells="1">
                  <from>
                    <xdr:col>8</xdr:col>
                    <xdr:colOff>7620</xdr:colOff>
                    <xdr:row>2</xdr:row>
                    <xdr:rowOff>182880</xdr:rowOff>
                  </from>
                  <to>
                    <xdr:col>9</xdr:col>
                    <xdr:colOff>358140</xdr:colOff>
                    <xdr:row>4</xdr:row>
                    <xdr:rowOff>7620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EF4A-2616-4F59-99E8-B730E7E43573}">
  <sheetPr>
    <tabColor rgb="FFFF0000"/>
  </sheetPr>
  <dimension ref="A1"/>
  <sheetViews>
    <sheetView workbookViewId="0">
      <selection activeCell="L25" sqref="L25"/>
    </sheetView>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4D99-DACF-40BE-AE1E-FE3BC99B8790}">
  <dimension ref="D3:M30"/>
  <sheetViews>
    <sheetView showGridLines="0" zoomScale="84" workbookViewId="0">
      <selection activeCell="Q14" sqref="Q14"/>
    </sheetView>
  </sheetViews>
  <sheetFormatPr defaultRowHeight="14.4"/>
  <cols>
    <col min="1" max="1" width="1.88671875" customWidth="1"/>
    <col min="2" max="2" width="20.5546875" bestFit="1" customWidth="1"/>
    <col min="4" max="4" width="25.77734375" customWidth="1"/>
    <col min="5" max="5" width="32.44140625" customWidth="1"/>
  </cols>
  <sheetData>
    <row r="3" spans="4:13">
      <c r="D3" s="466" t="s">
        <v>940</v>
      </c>
      <c r="E3" s="555" t="s">
        <v>941</v>
      </c>
      <c r="F3" s="555"/>
      <c r="G3" s="555"/>
      <c r="H3" s="555"/>
      <c r="I3" s="555"/>
      <c r="J3" s="555"/>
      <c r="K3" s="555"/>
      <c r="L3" s="555"/>
      <c r="M3" s="555"/>
    </row>
    <row r="4" spans="4:13">
      <c r="D4" t="s">
        <v>835</v>
      </c>
      <c r="E4" s="542" t="s">
        <v>942</v>
      </c>
      <c r="F4" s="542"/>
      <c r="G4" s="542"/>
      <c r="H4" s="542"/>
      <c r="I4" s="542"/>
      <c r="J4" s="542"/>
      <c r="K4" s="542"/>
      <c r="L4" s="542"/>
      <c r="M4" s="542"/>
    </row>
    <row r="5" spans="4:13">
      <c r="E5" s="542"/>
      <c r="F5" s="542"/>
      <c r="G5" s="542"/>
      <c r="H5" s="542"/>
      <c r="I5" s="542"/>
      <c r="J5" s="542"/>
      <c r="K5" s="542"/>
      <c r="L5" s="542"/>
      <c r="M5" s="542"/>
    </row>
    <row r="6" spans="4:13">
      <c r="E6" s="542"/>
      <c r="F6" s="542"/>
      <c r="G6" s="542"/>
      <c r="H6" s="542"/>
      <c r="I6" s="542"/>
      <c r="J6" s="542"/>
      <c r="K6" s="542"/>
      <c r="L6" s="542"/>
      <c r="M6" s="542"/>
    </row>
    <row r="7" spans="4:13">
      <c r="E7" s="542"/>
      <c r="F7" s="542"/>
      <c r="G7" s="542"/>
      <c r="H7" s="542"/>
      <c r="I7" s="542"/>
      <c r="J7" s="542"/>
      <c r="K7" s="542"/>
      <c r="L7" s="542"/>
      <c r="M7" s="542"/>
    </row>
    <row r="8" spans="4:13" ht="4.2" customHeight="1">
      <c r="E8" s="361"/>
      <c r="F8" s="361"/>
      <c r="G8" s="361"/>
      <c r="H8" s="361"/>
      <c r="I8" s="361"/>
      <c r="J8" s="361"/>
      <c r="K8" s="361"/>
      <c r="L8" s="361"/>
      <c r="M8" s="361"/>
    </row>
    <row r="9" spans="4:13" ht="14.4" customHeight="1">
      <c r="D9" s="12" t="s">
        <v>836</v>
      </c>
      <c r="E9" s="556" t="s">
        <v>943</v>
      </c>
      <c r="F9" s="556"/>
      <c r="G9" s="556"/>
      <c r="H9" s="556"/>
      <c r="I9" s="556"/>
      <c r="J9" s="556"/>
      <c r="K9" s="556"/>
      <c r="L9" s="556"/>
      <c r="M9" s="556"/>
    </row>
    <row r="10" spans="4:13">
      <c r="E10" s="557"/>
      <c r="F10" s="557"/>
      <c r="G10" s="557"/>
      <c r="H10" s="557"/>
      <c r="I10" s="557"/>
      <c r="J10" s="557"/>
      <c r="K10" s="557"/>
      <c r="L10" s="557"/>
      <c r="M10" s="557"/>
    </row>
    <row r="11" spans="4:13">
      <c r="E11" s="557"/>
      <c r="F11" s="557"/>
      <c r="G11" s="557"/>
      <c r="H11" s="557"/>
      <c r="I11" s="557"/>
      <c r="J11" s="557"/>
      <c r="K11" s="557"/>
      <c r="L11" s="557"/>
      <c r="M11" s="557"/>
    </row>
    <row r="12" spans="4:13">
      <c r="E12" s="557"/>
      <c r="F12" s="557"/>
      <c r="G12" s="557"/>
      <c r="H12" s="557"/>
      <c r="I12" s="557"/>
      <c r="J12" s="557"/>
      <c r="K12" s="557"/>
      <c r="L12" s="557"/>
      <c r="M12" s="557"/>
    </row>
    <row r="13" spans="4:13" ht="4.2" customHeight="1">
      <c r="E13" s="415"/>
      <c r="F13" s="415"/>
      <c r="G13" s="415"/>
      <c r="H13" s="415"/>
      <c r="I13" s="415"/>
      <c r="J13" s="415"/>
      <c r="K13" s="415"/>
      <c r="L13" s="415"/>
      <c r="M13" s="415"/>
    </row>
    <row r="14" spans="4:13" ht="14.4" customHeight="1">
      <c r="D14" s="12" t="s">
        <v>837</v>
      </c>
      <c r="E14" s="539" t="s">
        <v>944</v>
      </c>
      <c r="F14" s="539"/>
      <c r="G14" s="539"/>
      <c r="H14" s="539"/>
      <c r="I14" s="539"/>
      <c r="J14" s="539"/>
      <c r="K14" s="539"/>
      <c r="L14" s="539"/>
      <c r="M14" s="539"/>
    </row>
    <row r="15" spans="4:13">
      <c r="E15" s="542"/>
      <c r="F15" s="542"/>
      <c r="G15" s="542"/>
      <c r="H15" s="542"/>
      <c r="I15" s="542"/>
      <c r="J15" s="542"/>
      <c r="K15" s="542"/>
      <c r="L15" s="542"/>
      <c r="M15" s="542"/>
    </row>
    <row r="16" spans="4:13">
      <c r="E16" s="542"/>
      <c r="F16" s="542"/>
      <c r="G16" s="542"/>
      <c r="H16" s="542"/>
      <c r="I16" s="542"/>
      <c r="J16" s="542"/>
      <c r="K16" s="542"/>
      <c r="L16" s="542"/>
      <c r="M16" s="542"/>
    </row>
    <row r="17" spans="4:13">
      <c r="E17" s="542"/>
      <c r="F17" s="542"/>
      <c r="G17" s="542"/>
      <c r="H17" s="542"/>
      <c r="I17" s="542"/>
      <c r="J17" s="542"/>
      <c r="K17" s="542"/>
      <c r="L17" s="542"/>
      <c r="M17" s="542"/>
    </row>
    <row r="18" spans="4:13" ht="4.2" customHeight="1">
      <c r="E18" s="361"/>
      <c r="F18" s="361"/>
      <c r="G18" s="361"/>
      <c r="H18" s="361"/>
      <c r="I18" s="361"/>
      <c r="J18" s="361"/>
      <c r="K18" s="361"/>
      <c r="L18" s="361"/>
      <c r="M18" s="361"/>
    </row>
    <row r="19" spans="4:13" ht="14.4" customHeight="1">
      <c r="D19" s="12" t="s">
        <v>838</v>
      </c>
      <c r="E19" s="539" t="s">
        <v>945</v>
      </c>
      <c r="F19" s="539"/>
      <c r="G19" s="539"/>
      <c r="H19" s="539"/>
      <c r="I19" s="539"/>
      <c r="J19" s="539"/>
      <c r="K19" s="539"/>
      <c r="L19" s="539"/>
      <c r="M19" s="539"/>
    </row>
    <row r="20" spans="4:13">
      <c r="E20" s="542"/>
      <c r="F20" s="542"/>
      <c r="G20" s="542"/>
      <c r="H20" s="542"/>
      <c r="I20" s="542"/>
      <c r="J20" s="542"/>
      <c r="K20" s="542"/>
      <c r="L20" s="542"/>
      <c r="M20" s="542"/>
    </row>
    <row r="21" spans="4:13">
      <c r="E21" s="542"/>
      <c r="F21" s="542"/>
      <c r="G21" s="542"/>
      <c r="H21" s="542"/>
      <c r="I21" s="542"/>
      <c r="J21" s="542"/>
      <c r="K21" s="542"/>
      <c r="L21" s="542"/>
      <c r="M21" s="542"/>
    </row>
    <row r="22" spans="4:13">
      <c r="E22" s="542"/>
      <c r="F22" s="542"/>
      <c r="G22" s="542"/>
      <c r="H22" s="542"/>
      <c r="I22" s="542"/>
      <c r="J22" s="542"/>
      <c r="K22" s="542"/>
      <c r="L22" s="542"/>
      <c r="M22" s="542"/>
    </row>
    <row r="23" spans="4:13" ht="4.2" customHeight="1">
      <c r="E23" s="361"/>
      <c r="F23" s="361"/>
      <c r="G23" s="361"/>
      <c r="H23" s="361"/>
      <c r="I23" s="361"/>
      <c r="J23" s="361"/>
      <c r="K23" s="361"/>
      <c r="L23" s="361"/>
      <c r="M23" s="361"/>
    </row>
    <row r="24" spans="4:13" ht="14.4" customHeight="1">
      <c r="D24" s="12" t="s">
        <v>839</v>
      </c>
      <c r="E24" s="539" t="s">
        <v>946</v>
      </c>
      <c r="F24" s="539"/>
      <c r="G24" s="539"/>
      <c r="H24" s="539"/>
      <c r="I24" s="539"/>
      <c r="J24" s="539"/>
      <c r="K24" s="539"/>
      <c r="L24" s="539"/>
      <c r="M24" s="539"/>
    </row>
    <row r="25" spans="4:13">
      <c r="E25" s="542"/>
      <c r="F25" s="542"/>
      <c r="G25" s="542"/>
      <c r="H25" s="542"/>
      <c r="I25" s="542"/>
      <c r="J25" s="542"/>
      <c r="K25" s="542"/>
      <c r="L25" s="542"/>
      <c r="M25" s="542"/>
    </row>
    <row r="26" spans="4:13">
      <c r="E26" s="542"/>
      <c r="F26" s="542"/>
      <c r="G26" s="542"/>
      <c r="H26" s="542"/>
      <c r="I26" s="542"/>
      <c r="J26" s="542"/>
      <c r="K26" s="542"/>
      <c r="L26" s="542"/>
      <c r="M26" s="542"/>
    </row>
    <row r="27" spans="4:13">
      <c r="E27" s="542"/>
      <c r="F27" s="542"/>
      <c r="G27" s="542"/>
      <c r="H27" s="542"/>
      <c r="I27" s="542"/>
      <c r="J27" s="542"/>
      <c r="K27" s="542"/>
      <c r="L27" s="542"/>
      <c r="M27" s="542"/>
    </row>
    <row r="28" spans="4:13">
      <c r="E28" s="542"/>
      <c r="F28" s="542"/>
      <c r="G28" s="542"/>
      <c r="H28" s="542"/>
      <c r="I28" s="542"/>
      <c r="J28" s="542"/>
      <c r="K28" s="542"/>
      <c r="L28" s="542"/>
      <c r="M28" s="542"/>
    </row>
    <row r="29" spans="4:13">
      <c r="E29" s="542"/>
      <c r="F29" s="542"/>
      <c r="G29" s="542"/>
      <c r="H29" s="542"/>
      <c r="I29" s="542"/>
      <c r="J29" s="542"/>
      <c r="K29" s="542"/>
      <c r="L29" s="542"/>
      <c r="M29" s="542"/>
    </row>
    <row r="30" spans="4:13">
      <c r="E30" s="362"/>
      <c r="F30" s="362"/>
      <c r="G30" s="362"/>
      <c r="H30" s="362"/>
      <c r="I30" s="362"/>
      <c r="J30" s="362"/>
      <c r="K30" s="362"/>
      <c r="L30" s="362"/>
      <c r="M30" s="362"/>
    </row>
  </sheetData>
  <sheetProtection algorithmName="SHA-512" hashValue="NlS8FxZ1uKC4rQM1vnAlg7jfsO8hSeNQpSYIbmr4yat2+rCN3Q95aZFIrLUOpsGvoff9H+eQOyFcIaQYTReKRQ==" saltValue="u0HsUpkOwVSPJV+D7utSeA==" spinCount="100000" sheet="1" objects="1" scenarios="1" selectLockedCells="1" selectUnlockedCells="1"/>
  <mergeCells count="6">
    <mergeCell ref="E19:M22"/>
    <mergeCell ref="E24:M29"/>
    <mergeCell ref="E4:M7"/>
    <mergeCell ref="E3:M3"/>
    <mergeCell ref="E9:M12"/>
    <mergeCell ref="E14:M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FD64-12F0-434D-B3F9-B744B3474C5E}">
  <dimension ref="B2:M123"/>
  <sheetViews>
    <sheetView showGridLines="0" topLeftCell="A34" zoomScale="93" workbookViewId="0">
      <selection activeCell="J63" sqref="J63"/>
    </sheetView>
  </sheetViews>
  <sheetFormatPr defaultRowHeight="14.4"/>
  <cols>
    <col min="2" max="2" width="22.77734375" customWidth="1"/>
    <col min="8" max="8" width="9.88671875" customWidth="1"/>
    <col min="10" max="10" width="23.21875" bestFit="1" customWidth="1"/>
  </cols>
  <sheetData>
    <row r="2" spans="2:8">
      <c r="B2" s="466" t="s">
        <v>953</v>
      </c>
      <c r="C2" s="466"/>
      <c r="D2" s="466"/>
      <c r="E2" s="466"/>
      <c r="F2" s="466"/>
      <c r="G2" s="466"/>
      <c r="H2" s="466"/>
    </row>
    <row r="3" spans="2:8" ht="28.8">
      <c r="B3" s="26"/>
      <c r="C3" s="26">
        <v>2021</v>
      </c>
      <c r="D3" s="26">
        <v>2022</v>
      </c>
      <c r="E3" s="26">
        <v>2023</v>
      </c>
      <c r="F3" s="26">
        <v>2024</v>
      </c>
      <c r="G3" s="26">
        <v>2025</v>
      </c>
      <c r="H3" s="420" t="s">
        <v>959</v>
      </c>
    </row>
    <row r="4" spans="2:8" ht="2.4" customHeight="1"/>
    <row r="5" spans="2:8">
      <c r="B5" s="12" t="s">
        <v>954</v>
      </c>
      <c r="C5" s="416">
        <f>C28</f>
        <v>2.8814761707481387E-4</v>
      </c>
      <c r="D5" s="416">
        <f t="shared" ref="D5:G5" si="0">D28</f>
        <v>0.15434106421866678</v>
      </c>
      <c r="E5" s="416">
        <f t="shared" si="0"/>
        <v>0.22836987196044117</v>
      </c>
      <c r="F5" s="416">
        <f t="shared" si="0"/>
        <v>0.17706545507883123</v>
      </c>
      <c r="G5" s="416">
        <f t="shared" si="0"/>
        <v>0.12263924437297073</v>
      </c>
      <c r="H5" s="418">
        <f>AVERAGE(C5:G5)</f>
        <v>0.13654075664959692</v>
      </c>
    </row>
    <row r="6" spans="2:8">
      <c r="B6" t="s">
        <v>955</v>
      </c>
      <c r="C6" s="47">
        <f>C40</f>
        <v>0.14465962110539898</v>
      </c>
      <c r="D6" s="47">
        <f t="shared" ref="D6:G6" si="1">D40</f>
        <v>0.13619436891657349</v>
      </c>
      <c r="E6" s="47">
        <f t="shared" si="1"/>
        <v>0.14763231855019368</v>
      </c>
      <c r="F6" s="47">
        <f t="shared" si="1"/>
        <v>0.163336513056836</v>
      </c>
      <c r="G6" s="47">
        <f t="shared" si="1"/>
        <v>0.16740662296307837</v>
      </c>
      <c r="H6" s="419">
        <f t="shared" ref="H6:H9" si="2">AVERAGE(C6:G6)</f>
        <v>0.15184588891841613</v>
      </c>
    </row>
    <row r="7" spans="2:8">
      <c r="B7" t="s">
        <v>956</v>
      </c>
      <c r="C7" s="47">
        <f>C64</f>
        <v>0.11790684514972588</v>
      </c>
      <c r="D7" s="47">
        <f t="shared" ref="D7:G7" si="3">D64</f>
        <v>0.11097654343900698</v>
      </c>
      <c r="E7" s="47">
        <f t="shared" si="3"/>
        <v>0.12487091256369846</v>
      </c>
      <c r="F7" s="47">
        <f t="shared" si="3"/>
        <v>0.1415747755960261</v>
      </c>
      <c r="G7" s="47">
        <f t="shared" si="3"/>
        <v>0.14487266293390688</v>
      </c>
      <c r="H7" s="419">
        <f t="shared" si="2"/>
        <v>0.12804034793647284</v>
      </c>
    </row>
    <row r="8" spans="2:8">
      <c r="B8" t="s">
        <v>957</v>
      </c>
      <c r="C8" s="47">
        <f>C77</f>
        <v>0.10853736050530964</v>
      </c>
      <c r="D8" s="47">
        <f t="shared" ref="D8:G8" si="4">D77</f>
        <v>0.12049140792758145</v>
      </c>
      <c r="E8" s="47">
        <f t="shared" si="4"/>
        <v>0.12617845075988421</v>
      </c>
      <c r="F8" s="47">
        <f t="shared" si="4"/>
        <v>0.13559775408609803</v>
      </c>
      <c r="G8" s="47">
        <f t="shared" si="4"/>
        <v>0.13637447788007664</v>
      </c>
      <c r="H8" s="419">
        <f t="shared" si="2"/>
        <v>0.12543589023179</v>
      </c>
    </row>
    <row r="9" spans="2:8">
      <c r="B9" t="s">
        <v>958</v>
      </c>
      <c r="C9" s="47">
        <f>C52</f>
        <v>8.0390574477445922E-2</v>
      </c>
      <c r="D9" s="47">
        <f t="shared" ref="D9:G9" si="5">D52</f>
        <v>9.3822060636579996E-2</v>
      </c>
      <c r="E9" s="47">
        <f t="shared" si="5"/>
        <v>9.5738562327311455E-2</v>
      </c>
      <c r="F9" s="47">
        <f t="shared" si="5"/>
        <v>0.10111874786419925</v>
      </c>
      <c r="G9" s="47">
        <f t="shared" si="5"/>
        <v>9.8233749103226256E-2</v>
      </c>
      <c r="H9" s="419">
        <f t="shared" si="2"/>
        <v>9.3860738881752573E-2</v>
      </c>
    </row>
    <row r="11" spans="2:8">
      <c r="B11" t="s">
        <v>960</v>
      </c>
      <c r="C11" s="47">
        <f>C29</f>
        <v>7.8262952341496307E-3</v>
      </c>
      <c r="D11" s="47">
        <f t="shared" ref="D11:G11" si="6">D29</f>
        <v>0.20438212843733355</v>
      </c>
      <c r="E11" s="47">
        <f t="shared" si="6"/>
        <v>0.23435</v>
      </c>
      <c r="F11" s="47">
        <f t="shared" si="6"/>
        <v>0.18558091015766245</v>
      </c>
      <c r="G11" s="47">
        <f t="shared" si="6"/>
        <v>0.13140000000000002</v>
      </c>
      <c r="H11" s="419">
        <f>MEDIAN(C11:G11)</f>
        <v>0.18558091015766245</v>
      </c>
    </row>
    <row r="12" spans="2:8">
      <c r="B12" t="s">
        <v>961</v>
      </c>
      <c r="C12" s="47">
        <f>C41</f>
        <v>0.14285649289946503</v>
      </c>
      <c r="D12" s="47">
        <f t="shared" ref="D12:G12" si="7">D41</f>
        <v>0.13588182212558211</v>
      </c>
      <c r="E12" s="47">
        <f t="shared" si="7"/>
        <v>0.14660547177014482</v>
      </c>
      <c r="F12" s="47">
        <f t="shared" si="7"/>
        <v>0.15974025469845368</v>
      </c>
      <c r="G12" s="47">
        <f t="shared" si="7"/>
        <v>0.1682430912662799</v>
      </c>
      <c r="H12" s="419">
        <f t="shared" ref="H12:H15" si="8">MEDIAN(C12:G12)</f>
        <v>0.14660547177014482</v>
      </c>
    </row>
    <row r="13" spans="2:8">
      <c r="B13" t="s">
        <v>962</v>
      </c>
      <c r="C13" s="47">
        <f>C65</f>
        <v>0.10856738750590461</v>
      </c>
      <c r="D13" s="47">
        <f t="shared" ref="D13:G13" si="9">D65</f>
        <v>0.10539116552290667</v>
      </c>
      <c r="E13" s="47">
        <f t="shared" si="9"/>
        <v>0.11546028587649862</v>
      </c>
      <c r="F13" s="47">
        <f t="shared" si="9"/>
        <v>0.13175169144299548</v>
      </c>
      <c r="G13" s="47">
        <f t="shared" si="9"/>
        <v>0.13947098962025328</v>
      </c>
      <c r="H13" s="419">
        <f t="shared" si="8"/>
        <v>0.11546028587649862</v>
      </c>
    </row>
    <row r="14" spans="2:8">
      <c r="B14" t="s">
        <v>963</v>
      </c>
      <c r="C14" s="47">
        <f>C78</f>
        <v>8.3427033201554535E-2</v>
      </c>
      <c r="D14" s="47">
        <f t="shared" ref="D14:G14" si="10">D78</f>
        <v>0.10365387835481804</v>
      </c>
      <c r="E14" s="47">
        <f t="shared" si="10"/>
        <v>0.11452595788343919</v>
      </c>
      <c r="F14" s="47">
        <f t="shared" si="10"/>
        <v>0.12479268407863697</v>
      </c>
      <c r="G14" s="47">
        <f t="shared" si="10"/>
        <v>0.13241525323271733</v>
      </c>
      <c r="H14" s="419">
        <f t="shared" si="8"/>
        <v>0.11452595788343919</v>
      </c>
    </row>
    <row r="15" spans="2:8">
      <c r="B15" t="s">
        <v>964</v>
      </c>
      <c r="C15" s="47">
        <f>C53</f>
        <v>6.3058500002908857E-2</v>
      </c>
      <c r="D15" s="47">
        <f t="shared" ref="D15:G15" si="11">D53</f>
        <v>7.9625199901982108E-2</v>
      </c>
      <c r="E15" s="47">
        <f t="shared" si="11"/>
        <v>8.7881983752002679E-2</v>
      </c>
      <c r="F15" s="47">
        <f t="shared" si="11"/>
        <v>9.3625582040784555E-2</v>
      </c>
      <c r="G15" s="47">
        <f t="shared" si="11"/>
        <v>9.7660046481815949E-2</v>
      </c>
      <c r="H15" s="419">
        <f t="shared" si="8"/>
        <v>8.7881983752002679E-2</v>
      </c>
    </row>
    <row r="20" spans="2:13">
      <c r="B20" s="466" t="s">
        <v>233</v>
      </c>
      <c r="C20" s="466"/>
      <c r="D20" s="466"/>
      <c r="E20" s="466"/>
      <c r="F20" s="466"/>
      <c r="G20" s="466"/>
      <c r="J20" s="32"/>
      <c r="K20" s="32"/>
      <c r="L20" s="32"/>
      <c r="M20" s="32"/>
    </row>
    <row r="21" spans="2:13">
      <c r="B21" s="26" t="s">
        <v>947</v>
      </c>
      <c r="C21" s="26">
        <v>2021</v>
      </c>
      <c r="D21" s="26">
        <v>2022</v>
      </c>
      <c r="E21" s="26">
        <v>2023</v>
      </c>
      <c r="F21" s="26">
        <v>2024</v>
      </c>
      <c r="G21" s="26">
        <v>2025</v>
      </c>
      <c r="J21" s="18"/>
      <c r="K21" s="18"/>
      <c r="L21" s="18"/>
      <c r="M21" s="18"/>
    </row>
    <row r="22" spans="2:13" ht="1.8" customHeight="1">
      <c r="J22" s="19"/>
      <c r="K22" s="19"/>
      <c r="L22" s="19"/>
      <c r="M22" s="19"/>
    </row>
    <row r="23" spans="2:13">
      <c r="B23" s="12" t="s">
        <v>370</v>
      </c>
      <c r="C23" s="416">
        <v>-7.2800000000000004E-2</v>
      </c>
      <c r="D23" s="416">
        <v>0.1948</v>
      </c>
      <c r="E23" s="416">
        <v>9.9900000000000003E-2</v>
      </c>
      <c r="F23" s="416">
        <v>0.23080000000000001</v>
      </c>
      <c r="G23" s="416">
        <v>0.13650000000000001</v>
      </c>
      <c r="J23" s="19"/>
      <c r="K23" s="200"/>
      <c r="L23" s="200"/>
      <c r="M23" s="200"/>
    </row>
    <row r="24" spans="2:13">
      <c r="B24" t="s">
        <v>826</v>
      </c>
      <c r="C24" s="47">
        <v>3.0300000000000001E-2</v>
      </c>
      <c r="D24" s="47">
        <v>0.25409999999999999</v>
      </c>
      <c r="E24" s="47">
        <v>0.31280000000000002</v>
      </c>
      <c r="F24" s="47">
        <v>0.2243</v>
      </c>
      <c r="G24" s="47">
        <v>0.1263</v>
      </c>
      <c r="J24" s="19"/>
      <c r="K24" s="200"/>
      <c r="L24" s="200"/>
      <c r="M24" s="200"/>
    </row>
    <row r="25" spans="2:13">
      <c r="B25" t="s">
        <v>827</v>
      </c>
      <c r="C25" s="47">
        <v>5.8299999999999998E-2</v>
      </c>
      <c r="D25" s="47">
        <v>-4.5499999999999999E-2</v>
      </c>
      <c r="E25" s="47">
        <v>0.15590000000000001</v>
      </c>
      <c r="F25" s="47">
        <v>0.10630000000000001</v>
      </c>
      <c r="G25" s="47">
        <v>8.3000000000000004E-2</v>
      </c>
      <c r="J25" s="19"/>
      <c r="K25" s="200"/>
      <c r="L25" s="200"/>
      <c r="M25" s="200"/>
    </row>
    <row r="26" spans="2:13">
      <c r="B26" t="s">
        <v>828</v>
      </c>
      <c r="C26" s="47">
        <v>-1.4647409531700739E-2</v>
      </c>
      <c r="D26" s="47">
        <v>0.21396425687466714</v>
      </c>
      <c r="E26" s="47">
        <v>0.3448794878417647</v>
      </c>
      <c r="F26" s="47">
        <v>0.14686182031532491</v>
      </c>
      <c r="G26" s="47">
        <v>0.14475697749188288</v>
      </c>
      <c r="J26" s="19"/>
      <c r="K26" s="200"/>
      <c r="L26" s="200"/>
      <c r="M26" s="200"/>
    </row>
    <row r="27" spans="2:13" ht="1.8" customHeight="1">
      <c r="C27" s="47"/>
      <c r="D27" s="47"/>
      <c r="E27" s="47"/>
      <c r="F27" s="47"/>
      <c r="G27" s="47"/>
      <c r="J27" t="s">
        <v>828</v>
      </c>
    </row>
    <row r="28" spans="2:13">
      <c r="B28" s="12" t="s">
        <v>948</v>
      </c>
      <c r="C28" s="416">
        <f>AVERAGE(C23:C26)</f>
        <v>2.8814761707481387E-4</v>
      </c>
      <c r="D28" s="416">
        <f t="shared" ref="D28:G28" si="12">AVERAGE(D23:D26)</f>
        <v>0.15434106421866678</v>
      </c>
      <c r="E28" s="416">
        <f t="shared" si="12"/>
        <v>0.22836987196044117</v>
      </c>
      <c r="F28" s="416">
        <f t="shared" si="12"/>
        <v>0.17706545507883123</v>
      </c>
      <c r="G28" s="416">
        <f t="shared" si="12"/>
        <v>0.12263924437297073</v>
      </c>
    </row>
    <row r="29" spans="2:13" ht="15" thickBot="1">
      <c r="B29" s="166" t="s">
        <v>259</v>
      </c>
      <c r="C29" s="417">
        <f>MEDIAN(C23:C26)</f>
        <v>7.8262952341496307E-3</v>
      </c>
      <c r="D29" s="417">
        <f t="shared" ref="D29:G29" si="13">MEDIAN(D23:D26)</f>
        <v>0.20438212843733355</v>
      </c>
      <c r="E29" s="417">
        <f t="shared" si="13"/>
        <v>0.23435</v>
      </c>
      <c r="F29" s="417">
        <f t="shared" si="13"/>
        <v>0.18558091015766245</v>
      </c>
      <c r="G29" s="417">
        <f t="shared" si="13"/>
        <v>0.13140000000000002</v>
      </c>
    </row>
    <row r="32" spans="2:13">
      <c r="B32" s="466" t="s">
        <v>949</v>
      </c>
      <c r="C32" s="466"/>
      <c r="D32" s="466"/>
      <c r="E32" s="466"/>
      <c r="F32" s="466"/>
      <c r="G32" s="466"/>
      <c r="J32" s="32"/>
      <c r="K32" s="32"/>
      <c r="L32" s="32"/>
      <c r="M32" s="32"/>
    </row>
    <row r="33" spans="2:13">
      <c r="B33" s="26" t="s">
        <v>947</v>
      </c>
      <c r="C33" s="26">
        <v>2021</v>
      </c>
      <c r="D33" s="26">
        <v>2022</v>
      </c>
      <c r="E33" s="26">
        <v>2023</v>
      </c>
      <c r="F33" s="26">
        <v>2024</v>
      </c>
      <c r="G33" s="26">
        <v>2025</v>
      </c>
      <c r="J33" s="18"/>
      <c r="K33" s="18"/>
      <c r="L33" s="18"/>
      <c r="M33" s="18"/>
    </row>
    <row r="34" spans="2:13" ht="1.8" customHeight="1">
      <c r="J34" s="19"/>
      <c r="K34" s="19"/>
      <c r="L34" s="19"/>
      <c r="M34" s="19"/>
    </row>
    <row r="35" spans="2:13">
      <c r="B35" s="12" t="s">
        <v>370</v>
      </c>
      <c r="C35" s="416">
        <v>0.17799523306230322</v>
      </c>
      <c r="D35" s="416">
        <v>0.15866181963879</v>
      </c>
      <c r="E35" s="416">
        <v>0.17733020475990099</v>
      </c>
      <c r="F35" s="416">
        <v>0.19533309576039276</v>
      </c>
      <c r="G35" s="416">
        <v>0.18736512039031619</v>
      </c>
      <c r="J35" s="19"/>
      <c r="K35" s="200"/>
      <c r="L35" s="200"/>
      <c r="M35" s="200"/>
    </row>
    <row r="36" spans="2:13">
      <c r="B36" t="s">
        <v>826</v>
      </c>
      <c r="C36" s="47">
        <v>0.11493026556036258</v>
      </c>
      <c r="D36" s="47">
        <v>0.11310182461237424</v>
      </c>
      <c r="E36" s="47">
        <v>0.12593517418376629</v>
      </c>
      <c r="F36" s="47">
        <v>0.14050265757289493</v>
      </c>
      <c r="G36" s="47">
        <v>0.14912106214224358</v>
      </c>
      <c r="J36" s="19"/>
      <c r="K36" s="200"/>
      <c r="L36" s="200"/>
      <c r="M36" s="200"/>
    </row>
    <row r="37" spans="2:13">
      <c r="B37" t="s">
        <v>827</v>
      </c>
      <c r="C37" s="47">
        <v>0.13106350650646864</v>
      </c>
      <c r="D37" s="47">
        <v>0.11017966057646236</v>
      </c>
      <c r="E37" s="47">
        <v>0.11998812590058414</v>
      </c>
      <c r="F37" s="47">
        <v>0.13853244707004395</v>
      </c>
      <c r="G37" s="47">
        <v>0.14145616373216108</v>
      </c>
      <c r="J37" s="19"/>
      <c r="K37" s="200"/>
      <c r="L37" s="200"/>
      <c r="M37" s="200"/>
    </row>
    <row r="38" spans="2:13">
      <c r="B38" t="s">
        <v>828</v>
      </c>
      <c r="C38" s="47">
        <v>0.15464947929246142</v>
      </c>
      <c r="D38" s="47">
        <v>0.16283417083866741</v>
      </c>
      <c r="E38" s="47">
        <v>0.16727576935652336</v>
      </c>
      <c r="F38" s="47">
        <v>0.17897785182401243</v>
      </c>
      <c r="G38" s="47">
        <v>0.19168414558759261</v>
      </c>
      <c r="J38" s="19"/>
      <c r="K38" s="200"/>
      <c r="L38" s="200"/>
      <c r="M38" s="200"/>
    </row>
    <row r="39" spans="2:13" ht="1.8" customHeight="1">
      <c r="C39" s="47"/>
      <c r="D39" s="47"/>
      <c r="E39" s="47"/>
      <c r="F39" s="47"/>
      <c r="G39" s="47"/>
    </row>
    <row r="40" spans="2:13">
      <c r="B40" s="12" t="s">
        <v>948</v>
      </c>
      <c r="C40" s="416">
        <f>AVERAGE(C35:C38)</f>
        <v>0.14465962110539898</v>
      </c>
      <c r="D40" s="416">
        <f t="shared" ref="D40:G40" si="14">AVERAGE(D35:D38)</f>
        <v>0.13619436891657349</v>
      </c>
      <c r="E40" s="416">
        <f t="shared" si="14"/>
        <v>0.14763231855019368</v>
      </c>
      <c r="F40" s="416">
        <f t="shared" si="14"/>
        <v>0.163336513056836</v>
      </c>
      <c r="G40" s="416">
        <f t="shared" si="14"/>
        <v>0.16740662296307837</v>
      </c>
    </row>
    <row r="41" spans="2:13" ht="15" thickBot="1">
      <c r="B41" s="166" t="s">
        <v>259</v>
      </c>
      <c r="C41" s="417">
        <f>MEDIAN(C35:C38)</f>
        <v>0.14285649289946503</v>
      </c>
      <c r="D41" s="417">
        <f t="shared" ref="D41:G41" si="15">MEDIAN(D35:D38)</f>
        <v>0.13588182212558211</v>
      </c>
      <c r="E41" s="417">
        <f t="shared" si="15"/>
        <v>0.14660547177014482</v>
      </c>
      <c r="F41" s="417">
        <f t="shared" si="15"/>
        <v>0.15974025469845368</v>
      </c>
      <c r="G41" s="417">
        <f t="shared" si="15"/>
        <v>0.1682430912662799</v>
      </c>
    </row>
    <row r="44" spans="2:13">
      <c r="B44" s="466" t="s">
        <v>950</v>
      </c>
      <c r="C44" s="466"/>
      <c r="D44" s="466"/>
      <c r="E44" s="466"/>
      <c r="F44" s="466"/>
      <c r="G44" s="466"/>
    </row>
    <row r="45" spans="2:13">
      <c r="B45" s="26" t="s">
        <v>947</v>
      </c>
      <c r="C45" s="26">
        <v>2021</v>
      </c>
      <c r="D45" s="26">
        <v>2022</v>
      </c>
      <c r="E45" s="26">
        <v>2023</v>
      </c>
      <c r="F45" s="26">
        <v>2024</v>
      </c>
      <c r="G45" s="26">
        <v>2025</v>
      </c>
    </row>
    <row r="46" spans="2:13" ht="1.8" customHeight="1"/>
    <row r="47" spans="2:13">
      <c r="B47" s="12" t="s">
        <v>370</v>
      </c>
      <c r="C47" s="416">
        <v>0.17508402700976311</v>
      </c>
      <c r="D47" s="416">
        <v>0.18602878106340345</v>
      </c>
      <c r="E47" s="416">
        <v>0.16623636895295013</v>
      </c>
      <c r="F47" s="416">
        <v>0.17178885961199836</v>
      </c>
      <c r="G47" s="416">
        <v>0.14363750636097383</v>
      </c>
    </row>
    <row r="48" spans="2:13">
      <c r="B48" t="s">
        <v>826</v>
      </c>
      <c r="C48" s="47">
        <v>3.1280862497052177E-2</v>
      </c>
      <c r="D48" s="47">
        <v>3.0009061678952318E-2</v>
      </c>
      <c r="E48" s="47">
        <v>4.0953912852290296E-2</v>
      </c>
      <c r="F48" s="47">
        <v>4.5434967763229542E-2</v>
      </c>
      <c r="G48" s="47">
        <v>5.3977397088299295E-2</v>
      </c>
    </row>
    <row r="49" spans="2:7">
      <c r="B49" t="s">
        <v>827</v>
      </c>
      <c r="C49" s="47">
        <v>9.4836137508765531E-2</v>
      </c>
      <c r="D49" s="47">
        <v>7.8813844950201842E-2</v>
      </c>
      <c r="E49" s="47">
        <v>8.1968172963705982E-2</v>
      </c>
      <c r="F49" s="47">
        <v>9.9028755217840825E-2</v>
      </c>
      <c r="G49" s="47">
        <v>0.10692679155358951</v>
      </c>
    </row>
    <row r="50" spans="2:7">
      <c r="B50" t="s">
        <v>828</v>
      </c>
      <c r="C50" s="47">
        <v>2.0361270894202862E-2</v>
      </c>
      <c r="D50" s="47">
        <v>8.0436554853762388E-2</v>
      </c>
      <c r="E50" s="47">
        <v>9.3795794540299376E-2</v>
      </c>
      <c r="F50" s="47">
        <v>8.8222408863728285E-2</v>
      </c>
      <c r="G50" s="47">
        <v>8.8393301410042369E-2</v>
      </c>
    </row>
    <row r="51" spans="2:7" ht="1.8" customHeight="1">
      <c r="C51" s="47"/>
      <c r="D51" s="47"/>
      <c r="E51" s="47"/>
      <c r="F51" s="47"/>
      <c r="G51" s="47"/>
    </row>
    <row r="52" spans="2:7">
      <c r="B52" s="12" t="s">
        <v>948</v>
      </c>
      <c r="C52" s="416">
        <f>AVERAGE(C47:C50)</f>
        <v>8.0390574477445922E-2</v>
      </c>
      <c r="D52" s="416">
        <f t="shared" ref="D52:G52" si="16">AVERAGE(D47:D50)</f>
        <v>9.3822060636579996E-2</v>
      </c>
      <c r="E52" s="416">
        <f t="shared" si="16"/>
        <v>9.5738562327311455E-2</v>
      </c>
      <c r="F52" s="416">
        <f t="shared" si="16"/>
        <v>0.10111874786419925</v>
      </c>
      <c r="G52" s="416">
        <f t="shared" si="16"/>
        <v>9.8233749103226256E-2</v>
      </c>
    </row>
    <row r="53" spans="2:7" ht="15" thickBot="1">
      <c r="B53" s="166" t="s">
        <v>259</v>
      </c>
      <c r="C53" s="417">
        <f>MEDIAN(C47:C50)</f>
        <v>6.3058500002908857E-2</v>
      </c>
      <c r="D53" s="417">
        <f t="shared" ref="D53:G53" si="17">MEDIAN(D47:D50)</f>
        <v>7.9625199901982108E-2</v>
      </c>
      <c r="E53" s="417">
        <f t="shared" si="17"/>
        <v>8.7881983752002679E-2</v>
      </c>
      <c r="F53" s="417">
        <f t="shared" si="17"/>
        <v>9.3625582040784555E-2</v>
      </c>
      <c r="G53" s="417">
        <f t="shared" si="17"/>
        <v>9.7660046481815949E-2</v>
      </c>
    </row>
    <row r="56" spans="2:7">
      <c r="B56" s="466" t="s">
        <v>951</v>
      </c>
      <c r="C56" s="466"/>
      <c r="D56" s="466"/>
      <c r="E56" s="466"/>
      <c r="F56" s="466"/>
      <c r="G56" s="466"/>
    </row>
    <row r="57" spans="2:7">
      <c r="B57" s="26" t="s">
        <v>947</v>
      </c>
      <c r="C57" s="26">
        <v>2021</v>
      </c>
      <c r="D57" s="26">
        <v>2022</v>
      </c>
      <c r="E57" s="26">
        <v>2023</v>
      </c>
      <c r="F57" s="26">
        <v>2024</v>
      </c>
      <c r="G57" s="26">
        <v>2025</v>
      </c>
    </row>
    <row r="58" spans="2:7" ht="2.4" customHeight="1"/>
    <row r="59" spans="2:7">
      <c r="B59" s="12" t="s">
        <v>370</v>
      </c>
      <c r="C59" s="416">
        <v>0.16864556102357942</v>
      </c>
      <c r="D59" s="416">
        <v>0.15052296429807349</v>
      </c>
      <c r="E59" s="416">
        <v>0.16948911244376</v>
      </c>
      <c r="F59" s="416">
        <v>0.18720368848705038</v>
      </c>
      <c r="G59" s="416">
        <v>0.17924209547883055</v>
      </c>
    </row>
    <row r="60" spans="2:7">
      <c r="B60" t="s">
        <v>826</v>
      </c>
      <c r="C60" s="47">
        <v>8.5847044563514857E-2</v>
      </c>
      <c r="D60" s="47">
        <v>8.2600878412141102E-2</v>
      </c>
      <c r="E60" s="47">
        <v>9.9073966058036589E-2</v>
      </c>
      <c r="F60" s="47">
        <v>0.11559203101106311</v>
      </c>
      <c r="G60" s="47">
        <v>0.12540630873771036</v>
      </c>
    </row>
    <row r="61" spans="2:7">
      <c r="B61" t="s">
        <v>827</v>
      </c>
      <c r="C61" s="47">
        <v>0.10796471096304519</v>
      </c>
      <c r="D61" s="47">
        <v>8.6846661126015551E-2</v>
      </c>
      <c r="E61" s="47">
        <v>9.957175955065771E-2</v>
      </c>
      <c r="F61" s="47">
        <v>0.11849043442179165</v>
      </c>
      <c r="G61" s="47">
        <v>0.12130657701629032</v>
      </c>
    </row>
    <row r="62" spans="2:7">
      <c r="B62" t="s">
        <v>828</v>
      </c>
      <c r="C62" s="47">
        <v>0.10917006404876403</v>
      </c>
      <c r="D62" s="47">
        <v>0.12393566991979778</v>
      </c>
      <c r="E62" s="47">
        <v>0.13134881220233952</v>
      </c>
      <c r="F62" s="47">
        <v>0.14501294846419929</v>
      </c>
      <c r="G62" s="47">
        <v>0.15353567050279623</v>
      </c>
    </row>
    <row r="63" spans="2:7" ht="2.4" customHeight="1">
      <c r="C63" s="47"/>
      <c r="D63" s="47"/>
      <c r="E63" s="47"/>
      <c r="F63" s="47"/>
      <c r="G63" s="47"/>
    </row>
    <row r="64" spans="2:7">
      <c r="B64" s="12" t="s">
        <v>948</v>
      </c>
      <c r="C64" s="416">
        <f>AVERAGE(C59:C62)</f>
        <v>0.11790684514972588</v>
      </c>
      <c r="D64" s="416">
        <f t="shared" ref="D64:G64" si="18">AVERAGE(D59:D62)</f>
        <v>0.11097654343900698</v>
      </c>
      <c r="E64" s="416">
        <f t="shared" si="18"/>
        <v>0.12487091256369846</v>
      </c>
      <c r="F64" s="416">
        <f t="shared" si="18"/>
        <v>0.1415747755960261</v>
      </c>
      <c r="G64" s="416">
        <f t="shared" si="18"/>
        <v>0.14487266293390688</v>
      </c>
    </row>
    <row r="65" spans="2:7" ht="15" thickBot="1">
      <c r="B65" s="166" t="s">
        <v>259</v>
      </c>
      <c r="C65" s="417">
        <f>MEDIAN(C59:C62)</f>
        <v>0.10856738750590461</v>
      </c>
      <c r="D65" s="417">
        <f t="shared" ref="D65:G65" si="19">MEDIAN(D59:D62)</f>
        <v>0.10539116552290667</v>
      </c>
      <c r="E65" s="417">
        <f t="shared" si="19"/>
        <v>0.11546028587649862</v>
      </c>
      <c r="F65" s="417">
        <f t="shared" si="19"/>
        <v>0.13175169144299548</v>
      </c>
      <c r="G65" s="417">
        <f t="shared" si="19"/>
        <v>0.13947098962025328</v>
      </c>
    </row>
    <row r="69" spans="2:7">
      <c r="B69" s="466" t="s">
        <v>952</v>
      </c>
      <c r="C69" s="466"/>
      <c r="D69" s="466"/>
      <c r="E69" s="466"/>
      <c r="F69" s="466"/>
      <c r="G69" s="466"/>
    </row>
    <row r="70" spans="2:7">
      <c r="B70" s="26" t="s">
        <v>947</v>
      </c>
      <c r="C70" s="26">
        <v>2021</v>
      </c>
      <c r="D70" s="26">
        <v>2022</v>
      </c>
      <c r="E70" s="26">
        <v>2023</v>
      </c>
      <c r="F70" s="26">
        <v>2024</v>
      </c>
      <c r="G70" s="26">
        <v>2025</v>
      </c>
    </row>
    <row r="71" spans="2:7" ht="2.4" customHeight="1"/>
    <row r="72" spans="2:7">
      <c r="B72" s="12" t="s">
        <v>370</v>
      </c>
      <c r="C72" s="416">
        <v>0.22498871709392709</v>
      </c>
      <c r="D72" s="416">
        <v>0.23085674908605325</v>
      </c>
      <c r="E72" s="416">
        <v>0.2151117338510804</v>
      </c>
      <c r="F72" s="416">
        <v>0.22375626888353864</v>
      </c>
      <c r="G72" s="416">
        <v>0.2004827966910189</v>
      </c>
    </row>
    <row r="73" spans="2:7">
      <c r="B73" t="s">
        <v>826</v>
      </c>
      <c r="C73" s="47">
        <v>4.2306658524202415E-2</v>
      </c>
      <c r="D73" s="47">
        <v>4.3801125914636446E-2</v>
      </c>
      <c r="E73" s="47">
        <v>6.0550153421578018E-2</v>
      </c>
      <c r="F73" s="47">
        <v>6.9049379303579531E-2</v>
      </c>
      <c r="G73" s="47">
        <v>8.0184608363852994E-2</v>
      </c>
    </row>
    <row r="74" spans="2:7">
      <c r="B74" t="s">
        <v>827</v>
      </c>
      <c r="C74" s="47">
        <v>0.12433529430195037</v>
      </c>
      <c r="D74" s="47">
        <v>0.10348485750871031</v>
      </c>
      <c r="E74" s="47">
        <v>0.1131089940447994</v>
      </c>
      <c r="F74" s="47">
        <v>0.13470192878173387</v>
      </c>
      <c r="G74" s="47">
        <v>0.14499179198610468</v>
      </c>
    </row>
    <row r="75" spans="2:7">
      <c r="B75" t="s">
        <v>828</v>
      </c>
      <c r="C75" s="47">
        <v>4.2518772101158696E-2</v>
      </c>
      <c r="D75" s="47">
        <v>0.10382289920092577</v>
      </c>
      <c r="E75" s="47">
        <v>0.11594292172207898</v>
      </c>
      <c r="F75" s="47">
        <v>0.11488343937554008</v>
      </c>
      <c r="G75" s="47">
        <v>0.11983871447932999</v>
      </c>
    </row>
    <row r="76" spans="2:7" ht="2.4" customHeight="1">
      <c r="C76" s="47"/>
      <c r="D76" s="47"/>
      <c r="E76" s="47"/>
      <c r="F76" s="47"/>
      <c r="G76" s="47"/>
    </row>
    <row r="77" spans="2:7">
      <c r="B77" s="12" t="s">
        <v>948</v>
      </c>
      <c r="C77" s="416">
        <f>AVERAGE(C72:C75)</f>
        <v>0.10853736050530964</v>
      </c>
      <c r="D77" s="416">
        <f t="shared" ref="D77:G77" si="20">AVERAGE(D72:D75)</f>
        <v>0.12049140792758145</v>
      </c>
      <c r="E77" s="416">
        <f t="shared" si="20"/>
        <v>0.12617845075988421</v>
      </c>
      <c r="F77" s="416">
        <f t="shared" si="20"/>
        <v>0.13559775408609803</v>
      </c>
      <c r="G77" s="416">
        <f t="shared" si="20"/>
        <v>0.13637447788007664</v>
      </c>
    </row>
    <row r="78" spans="2:7" ht="15" thickBot="1">
      <c r="B78" s="166" t="s">
        <v>259</v>
      </c>
      <c r="C78" s="417">
        <f>MEDIAN(C72:C75)</f>
        <v>8.3427033201554535E-2</v>
      </c>
      <c r="D78" s="417">
        <f t="shared" ref="D78:G78" si="21">MEDIAN(D72:D75)</f>
        <v>0.10365387835481804</v>
      </c>
      <c r="E78" s="417">
        <f t="shared" si="21"/>
        <v>0.11452595788343919</v>
      </c>
      <c r="F78" s="417">
        <f t="shared" si="21"/>
        <v>0.12479268407863697</v>
      </c>
      <c r="G78" s="417">
        <f t="shared" si="21"/>
        <v>0.13241525323271733</v>
      </c>
    </row>
    <row r="79" spans="2:7">
      <c r="C79" s="47"/>
      <c r="D79" s="47"/>
      <c r="E79" s="47"/>
      <c r="F79" s="47"/>
      <c r="G79" s="47"/>
    </row>
    <row r="80" spans="2:7">
      <c r="C80" s="47"/>
      <c r="D80" s="47"/>
      <c r="E80" s="47"/>
      <c r="F80" s="47"/>
      <c r="G80" s="47"/>
    </row>
    <row r="81" spans="2:7">
      <c r="C81" s="47"/>
      <c r="D81" s="47"/>
      <c r="E81" s="47"/>
      <c r="F81" s="47"/>
      <c r="G81" s="47"/>
    </row>
    <row r="83" spans="2:7">
      <c r="B83" s="466" t="s">
        <v>332</v>
      </c>
      <c r="C83" s="466"/>
      <c r="D83" s="466"/>
      <c r="E83" s="466"/>
      <c r="F83" s="32"/>
      <c r="G83" s="32"/>
    </row>
    <row r="84" spans="2:7">
      <c r="B84" s="26"/>
      <c r="C84" s="429">
        <v>2025</v>
      </c>
      <c r="D84" s="430">
        <v>2026</v>
      </c>
      <c r="E84" s="430">
        <v>2027</v>
      </c>
      <c r="F84" s="18"/>
      <c r="G84" s="18"/>
    </row>
    <row r="85" spans="2:7">
      <c r="B85" t="s">
        <v>334</v>
      </c>
      <c r="C85" s="158">
        <v>18870.349999999999</v>
      </c>
      <c r="D85" s="158">
        <v>21700.902499999997</v>
      </c>
      <c r="E85" s="158">
        <v>24793.281106249997</v>
      </c>
    </row>
    <row r="86" spans="2:7">
      <c r="B86" t="s">
        <v>370</v>
      </c>
      <c r="C86" s="158">
        <v>50995</v>
      </c>
      <c r="D86" s="158">
        <v>60148</v>
      </c>
      <c r="E86" s="158">
        <v>67449</v>
      </c>
    </row>
    <row r="87" spans="2:7">
      <c r="B87" t="s">
        <v>826</v>
      </c>
      <c r="C87" s="158">
        <v>44089</v>
      </c>
      <c r="D87" s="158">
        <v>40595</v>
      </c>
      <c r="E87" s="158">
        <v>49467</v>
      </c>
    </row>
    <row r="88" spans="2:7">
      <c r="B88" t="s">
        <v>827</v>
      </c>
      <c r="C88" s="158">
        <v>40923</v>
      </c>
      <c r="D88" s="158">
        <v>43001</v>
      </c>
      <c r="E88" s="158">
        <v>45740</v>
      </c>
    </row>
    <row r="89" spans="2:7">
      <c r="B89" t="s">
        <v>828</v>
      </c>
      <c r="C89" s="158">
        <v>159211</v>
      </c>
      <c r="D89" s="158">
        <v>180172</v>
      </c>
      <c r="E89" s="158">
        <v>199947</v>
      </c>
    </row>
    <row r="90" spans="2:7">
      <c r="C90" s="158"/>
    </row>
    <row r="91" spans="2:7">
      <c r="B91" s="466" t="s">
        <v>101</v>
      </c>
      <c r="C91" s="474"/>
      <c r="D91" s="466"/>
      <c r="E91" s="466"/>
    </row>
    <row r="92" spans="2:7">
      <c r="B92" s="26"/>
      <c r="C92" s="429">
        <v>2025</v>
      </c>
      <c r="D92" s="430">
        <v>2026</v>
      </c>
      <c r="E92" s="430">
        <v>2027</v>
      </c>
    </row>
    <row r="93" spans="2:7">
      <c r="B93" t="s">
        <v>334</v>
      </c>
      <c r="C93" s="158">
        <v>4712.0299999999988</v>
      </c>
      <c r="D93" s="158">
        <v>5490.3283324999984</v>
      </c>
      <c r="E93" s="158">
        <v>6272.7001198812477</v>
      </c>
    </row>
    <row r="94" spans="2:7">
      <c r="B94" t="s">
        <v>370</v>
      </c>
      <c r="C94" s="158">
        <v>10468</v>
      </c>
      <c r="D94" s="158">
        <v>12034</v>
      </c>
      <c r="E94" s="158">
        <v>13765</v>
      </c>
    </row>
    <row r="95" spans="2:7">
      <c r="B95" t="s">
        <v>826</v>
      </c>
      <c r="C95" s="158">
        <v>6649</v>
      </c>
      <c r="D95" s="158">
        <v>5464</v>
      </c>
      <c r="E95" s="158">
        <v>6609</v>
      </c>
    </row>
    <row r="96" spans="2:7">
      <c r="B96" t="s">
        <v>827</v>
      </c>
      <c r="C96" s="158">
        <v>5946</v>
      </c>
      <c r="D96" s="158">
        <v>6126</v>
      </c>
      <c r="E96" s="158">
        <v>6454</v>
      </c>
    </row>
    <row r="97" spans="2:5">
      <c r="B97" t="s">
        <v>828</v>
      </c>
      <c r="C97" s="158">
        <v>30518</v>
      </c>
      <c r="D97" s="158">
        <v>32874</v>
      </c>
      <c r="E97" s="158">
        <v>36528</v>
      </c>
    </row>
    <row r="98" spans="2:5">
      <c r="C98" s="158"/>
    </row>
    <row r="99" spans="2:5">
      <c r="B99" s="466" t="s">
        <v>102</v>
      </c>
      <c r="C99" s="474"/>
      <c r="D99" s="466"/>
      <c r="E99" s="466"/>
    </row>
    <row r="100" spans="2:5">
      <c r="B100" s="26"/>
      <c r="C100" s="429">
        <v>2025</v>
      </c>
      <c r="D100" s="430">
        <v>2026</v>
      </c>
      <c r="E100" s="430">
        <v>2027</v>
      </c>
    </row>
    <row r="101" spans="2:5">
      <c r="B101" t="s">
        <v>334</v>
      </c>
      <c r="C101" s="158">
        <v>3982.6999999999989</v>
      </c>
      <c r="D101" s="158">
        <v>4640.9983324999985</v>
      </c>
      <c r="E101" s="158">
        <v>5303.3701198812478</v>
      </c>
    </row>
    <row r="102" spans="2:5">
      <c r="B102" t="s">
        <v>370</v>
      </c>
      <c r="C102" s="158">
        <v>9140</v>
      </c>
      <c r="D102" s="158">
        <v>11064.9</v>
      </c>
      <c r="E102" s="158">
        <v>12512</v>
      </c>
    </row>
    <row r="103" spans="2:5">
      <c r="B103" t="s">
        <v>826</v>
      </c>
      <c r="C103" s="158">
        <v>5529</v>
      </c>
      <c r="D103" s="158">
        <v>4822.7</v>
      </c>
      <c r="E103" s="158">
        <v>5834.2</v>
      </c>
    </row>
    <row r="104" spans="2:5">
      <c r="B104" t="s">
        <v>827</v>
      </c>
      <c r="C104" s="158">
        <v>4964</v>
      </c>
      <c r="D104" s="158">
        <v>5760.7</v>
      </c>
      <c r="E104" s="158">
        <v>6438.2</v>
      </c>
    </row>
    <row r="105" spans="2:5">
      <c r="B105" t="s">
        <v>828</v>
      </c>
      <c r="C105" s="158">
        <v>24445</v>
      </c>
      <c r="D105" s="158">
        <v>15835.4</v>
      </c>
      <c r="E105" s="158">
        <v>18100</v>
      </c>
    </row>
    <row r="107" spans="2:5">
      <c r="B107" s="466" t="s">
        <v>975</v>
      </c>
      <c r="C107" s="466"/>
      <c r="D107" s="466"/>
      <c r="E107" s="466"/>
    </row>
    <row r="108" spans="2:5">
      <c r="B108" s="26"/>
      <c r="C108" s="429">
        <v>2025</v>
      </c>
      <c r="D108" s="430">
        <v>2026</v>
      </c>
      <c r="E108" s="430">
        <v>2027</v>
      </c>
    </row>
    <row r="109" spans="2:5">
      <c r="B109" t="s">
        <v>334</v>
      </c>
      <c r="C109" s="158">
        <v>5933.0699999999988</v>
      </c>
      <c r="D109" s="158">
        <v>6447.0167755124976</v>
      </c>
      <c r="E109" s="158">
        <v>7266.7191690476457</v>
      </c>
    </row>
    <row r="110" spans="2:5">
      <c r="B110" t="s">
        <v>370</v>
      </c>
      <c r="C110" s="158">
        <v>10224</v>
      </c>
      <c r="D110" s="158">
        <v>12550</v>
      </c>
      <c r="E110" s="158">
        <v>14152</v>
      </c>
    </row>
    <row r="111" spans="2:5">
      <c r="B111" t="s">
        <v>826</v>
      </c>
      <c r="C111" s="158">
        <v>3535</v>
      </c>
      <c r="D111" s="158">
        <v>4301</v>
      </c>
      <c r="E111" s="158">
        <v>5298</v>
      </c>
    </row>
    <row r="112" spans="2:5">
      <c r="B112" t="s">
        <v>827</v>
      </c>
      <c r="C112" s="158">
        <v>5934</v>
      </c>
      <c r="D112" s="158">
        <v>6542</v>
      </c>
      <c r="E112" s="158">
        <v>7054</v>
      </c>
    </row>
    <row r="113" spans="2:5">
      <c r="B113" t="s">
        <v>828</v>
      </c>
      <c r="C113" s="158">
        <v>19080</v>
      </c>
      <c r="D113" s="158">
        <v>19354</v>
      </c>
      <c r="E113" s="158">
        <v>22124</v>
      </c>
    </row>
    <row r="115" spans="2:5">
      <c r="B115" s="466" t="s">
        <v>974</v>
      </c>
      <c r="C115" s="466"/>
      <c r="D115" s="466"/>
      <c r="E115" s="466"/>
    </row>
    <row r="116" spans="2:5">
      <c r="B116" s="26"/>
      <c r="C116" s="429">
        <v>2025</v>
      </c>
      <c r="D116" s="430">
        <v>2026</v>
      </c>
      <c r="E116" s="430">
        <v>2027</v>
      </c>
    </row>
    <row r="117" spans="2:5">
      <c r="B117" t="s">
        <v>334</v>
      </c>
      <c r="C117" s="158">
        <v>4734.4399999999987</v>
      </c>
      <c r="D117" s="158">
        <v>5286.7843023197584</v>
      </c>
      <c r="E117" s="158">
        <v>5940.9713409051574</v>
      </c>
    </row>
    <row r="118" spans="2:5">
      <c r="B118" t="s">
        <v>370</v>
      </c>
      <c r="C118" s="158">
        <v>7325</v>
      </c>
      <c r="D118" s="158">
        <v>9626</v>
      </c>
      <c r="E118" s="158">
        <v>10750</v>
      </c>
    </row>
    <row r="119" spans="2:5">
      <c r="B119" t="s">
        <v>826</v>
      </c>
      <c r="C119" s="158">
        <v>2380</v>
      </c>
      <c r="D119" s="158">
        <v>3421</v>
      </c>
      <c r="E119" s="158">
        <v>4236</v>
      </c>
    </row>
    <row r="120" spans="2:5">
      <c r="B120" t="s">
        <v>827</v>
      </c>
      <c r="C120" s="158">
        <v>4376</v>
      </c>
      <c r="D120" s="158">
        <v>5174.5</v>
      </c>
      <c r="E120" s="158">
        <v>5759.9</v>
      </c>
    </row>
    <row r="121" spans="2:5">
      <c r="B121" t="s">
        <v>828</v>
      </c>
      <c r="C121" s="158">
        <v>14073</v>
      </c>
      <c r="D121" s="158">
        <v>16056</v>
      </c>
      <c r="E121" s="158">
        <v>18288</v>
      </c>
    </row>
    <row r="122" spans="2:5">
      <c r="C122" s="158"/>
    </row>
    <row r="123" spans="2:5">
      <c r="C123" s="158"/>
    </row>
  </sheetData>
  <sheetProtection algorithmName="SHA-512" hashValue="Q0kO6AxuWC2SQckmiWOrGCxX5CX39+DUIdFIu8XRa5z0SlYeHLi4NJ1yEmAz0tb/tFvNgr0nQ8aY+bhY9SU/eg==" saltValue="NgFOT0k2/RUgTIG7t1sgMg=="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9CA3-7C49-452E-9CAF-4B32C5E2A1D6}">
  <dimension ref="B2:AM33"/>
  <sheetViews>
    <sheetView showGridLines="0" topLeftCell="A4" zoomScale="50" zoomScaleNormal="50" workbookViewId="0">
      <pane xSplit="2" topLeftCell="C1" activePane="topRight" state="frozen"/>
      <selection pane="topRight" activeCell="C20" sqref="C20"/>
    </sheetView>
  </sheetViews>
  <sheetFormatPr defaultRowHeight="14.4" outlineLevelCol="1"/>
  <cols>
    <col min="2" max="2" width="36.33203125" bestFit="1" customWidth="1"/>
    <col min="3" max="3" width="0.5546875" customWidth="1"/>
    <col min="4" max="4" width="23.109375" bestFit="1" customWidth="1"/>
    <col min="5" max="5" width="17" customWidth="1"/>
    <col min="6" max="6" width="15.6640625" customWidth="1"/>
    <col min="7" max="7" width="11.33203125" customWidth="1"/>
    <col min="8" max="8" width="11.109375" customWidth="1"/>
    <col min="9" max="9" width="20.109375" customWidth="1"/>
    <col min="10" max="10" width="9.88671875" customWidth="1"/>
    <col min="11" max="11" width="10.109375" customWidth="1"/>
    <col min="12" max="12" width="13.21875" customWidth="1"/>
    <col min="13" max="15" width="21.5546875" hidden="1" customWidth="1" outlineLevel="1"/>
    <col min="16" max="16" width="10.6640625" bestFit="1" customWidth="1" collapsed="1"/>
    <col min="17" max="18" width="10.6640625" bestFit="1" customWidth="1"/>
    <col min="19" max="21" width="25.88671875" hidden="1" customWidth="1" outlineLevel="1"/>
    <col min="22" max="22" width="12.33203125" bestFit="1" customWidth="1" collapsed="1"/>
    <col min="23" max="24" width="12.33203125" bestFit="1" customWidth="1"/>
    <col min="25" max="27" width="21.5546875" hidden="1" customWidth="1" outlineLevel="1"/>
    <col min="28" max="28" width="2" style="19" customWidth="1" collapsed="1"/>
    <col min="29" max="31" width="11.77734375" bestFit="1" customWidth="1"/>
    <col min="32" max="34" width="14.5546875" bestFit="1" customWidth="1"/>
    <col min="35" max="37" width="10.21875" customWidth="1"/>
  </cols>
  <sheetData>
    <row r="2" spans="2:39">
      <c r="B2" s="497" t="s">
        <v>968</v>
      </c>
    </row>
    <row r="3" spans="2:39">
      <c r="B3" s="473"/>
      <c r="C3" s="473"/>
      <c r="D3" s="555" t="s">
        <v>970</v>
      </c>
      <c r="E3" s="555"/>
      <c r="F3" s="555"/>
      <c r="G3" s="555"/>
      <c r="H3" s="555"/>
      <c r="I3" s="555"/>
      <c r="J3" s="555" t="s">
        <v>971</v>
      </c>
      <c r="K3" s="555"/>
      <c r="L3" s="555"/>
      <c r="M3" s="555"/>
      <c r="N3" s="555"/>
      <c r="O3" s="555"/>
      <c r="P3" s="555"/>
      <c r="Q3" s="555"/>
      <c r="R3" s="555"/>
      <c r="S3" s="555"/>
      <c r="T3" s="555"/>
      <c r="U3" s="555"/>
      <c r="V3" s="555"/>
      <c r="W3" s="555"/>
      <c r="X3" s="555"/>
      <c r="Y3" s="50"/>
      <c r="Z3" s="50"/>
      <c r="AA3" s="50"/>
      <c r="AB3" s="32"/>
      <c r="AC3" s="555" t="s">
        <v>982</v>
      </c>
      <c r="AD3" s="555"/>
      <c r="AE3" s="555"/>
      <c r="AF3" s="555"/>
      <c r="AG3" s="555"/>
      <c r="AH3" s="555"/>
      <c r="AI3" s="555"/>
      <c r="AJ3" s="555"/>
      <c r="AK3" s="555"/>
    </row>
    <row r="4" spans="2:39">
      <c r="B4" s="475"/>
      <c r="C4" s="475"/>
      <c r="D4" s="475"/>
      <c r="E4" s="475"/>
      <c r="F4" s="475"/>
      <c r="G4" s="475"/>
      <c r="H4" s="475"/>
      <c r="I4" s="475"/>
      <c r="J4" s="476">
        <v>2025</v>
      </c>
      <c r="K4" s="477">
        <f>J4+1</f>
        <v>2026</v>
      </c>
      <c r="L4" s="477">
        <f>K4+1</f>
        <v>2027</v>
      </c>
      <c r="M4" s="476">
        <f>J4</f>
        <v>2025</v>
      </c>
      <c r="N4" s="477">
        <f>M4+1</f>
        <v>2026</v>
      </c>
      <c r="O4" s="477">
        <f>N4+1</f>
        <v>2027</v>
      </c>
      <c r="P4" s="476">
        <f>J4</f>
        <v>2025</v>
      </c>
      <c r="Q4" s="477">
        <f>P4+1</f>
        <v>2026</v>
      </c>
      <c r="R4" s="477">
        <f>Q4+1</f>
        <v>2027</v>
      </c>
      <c r="S4" s="476">
        <f>J4</f>
        <v>2025</v>
      </c>
      <c r="T4" s="477">
        <f>S4+1</f>
        <v>2026</v>
      </c>
      <c r="U4" s="477">
        <f>T4+1</f>
        <v>2027</v>
      </c>
      <c r="V4" s="476">
        <f>J4</f>
        <v>2025</v>
      </c>
      <c r="W4" s="477">
        <f>V4+1</f>
        <v>2026</v>
      </c>
      <c r="X4" s="477">
        <f>W4+1</f>
        <v>2027</v>
      </c>
      <c r="Y4" s="421">
        <f>J4</f>
        <v>2025</v>
      </c>
      <c r="Z4" s="422">
        <f>Y4+1</f>
        <v>2026</v>
      </c>
      <c r="AA4" s="422">
        <f>Z4+1</f>
        <v>2027</v>
      </c>
      <c r="AB4" s="32"/>
      <c r="AC4" s="478">
        <f>J4</f>
        <v>2025</v>
      </c>
      <c r="AD4" s="479">
        <f>AC4+1</f>
        <v>2026</v>
      </c>
      <c r="AE4" s="479">
        <f>AD4+1</f>
        <v>2027</v>
      </c>
      <c r="AF4" s="478">
        <f>J4</f>
        <v>2025</v>
      </c>
      <c r="AG4" s="479">
        <f>AF4+1</f>
        <v>2026</v>
      </c>
      <c r="AH4" s="479">
        <f>AG4+1</f>
        <v>2027</v>
      </c>
      <c r="AI4" s="478">
        <f>J4</f>
        <v>2025</v>
      </c>
      <c r="AJ4" s="479">
        <f>AI4+1</f>
        <v>2026</v>
      </c>
      <c r="AK4" s="479">
        <f>AJ4+1</f>
        <v>2027</v>
      </c>
    </row>
    <row r="5" spans="2:39">
      <c r="B5" s="475" t="s">
        <v>965</v>
      </c>
      <c r="C5" s="475"/>
      <c r="D5" s="475" t="s">
        <v>830</v>
      </c>
      <c r="E5" s="475" t="s">
        <v>966</v>
      </c>
      <c r="F5" s="475" t="s">
        <v>967</v>
      </c>
      <c r="G5" s="475" t="s">
        <v>515</v>
      </c>
      <c r="H5" s="475" t="s">
        <v>984</v>
      </c>
      <c r="I5" s="475" t="s">
        <v>143</v>
      </c>
      <c r="J5" s="475" t="s">
        <v>969</v>
      </c>
      <c r="K5" s="475" t="s">
        <v>969</v>
      </c>
      <c r="L5" s="475" t="s">
        <v>969</v>
      </c>
      <c r="M5" s="473" t="s">
        <v>976</v>
      </c>
      <c r="N5" s="473" t="s">
        <v>976</v>
      </c>
      <c r="O5" s="473" t="s">
        <v>976</v>
      </c>
      <c r="P5" s="475" t="s">
        <v>101</v>
      </c>
      <c r="Q5" s="475" t="s">
        <v>101</v>
      </c>
      <c r="R5" s="475" t="s">
        <v>101</v>
      </c>
      <c r="S5" s="473" t="s">
        <v>977</v>
      </c>
      <c r="T5" s="473" t="s">
        <v>977</v>
      </c>
      <c r="U5" s="473" t="s">
        <v>977</v>
      </c>
      <c r="V5" s="473" t="s">
        <v>974</v>
      </c>
      <c r="W5" s="473" t="s">
        <v>974</v>
      </c>
      <c r="X5" s="473" t="s">
        <v>974</v>
      </c>
      <c r="Y5" s="50" t="s">
        <v>978</v>
      </c>
      <c r="Z5" s="50" t="s">
        <v>978</v>
      </c>
      <c r="AA5" s="50" t="s">
        <v>978</v>
      </c>
      <c r="AB5" s="32"/>
      <c r="AC5" s="466" t="s">
        <v>979</v>
      </c>
      <c r="AD5" s="466" t="s">
        <v>979</v>
      </c>
      <c r="AE5" s="466" t="s">
        <v>979</v>
      </c>
      <c r="AF5" s="466" t="s">
        <v>980</v>
      </c>
      <c r="AG5" s="466" t="s">
        <v>980</v>
      </c>
      <c r="AH5" s="466" t="s">
        <v>980</v>
      </c>
      <c r="AI5" s="466" t="s">
        <v>987</v>
      </c>
      <c r="AJ5" s="466" t="s">
        <v>987</v>
      </c>
      <c r="AK5" s="466" t="s">
        <v>987</v>
      </c>
    </row>
    <row r="6" spans="2:39" ht="5.4" customHeight="1"/>
    <row r="7" spans="2:39">
      <c r="B7" s="325" t="s">
        <v>334</v>
      </c>
      <c r="C7" s="325"/>
      <c r="D7" s="325" t="s">
        <v>983</v>
      </c>
      <c r="E7" s="427">
        <v>7217</v>
      </c>
      <c r="F7" s="427">
        <v>197993</v>
      </c>
      <c r="G7" s="427">
        <v>446</v>
      </c>
      <c r="H7" s="427">
        <v>263</v>
      </c>
      <c r="I7" s="427">
        <f>F7+G7-H7</f>
        <v>198176</v>
      </c>
      <c r="J7" s="427">
        <f>Benchmarking!C85</f>
        <v>18870.349999999999</v>
      </c>
      <c r="K7" s="427">
        <f>Benchmarking!D85</f>
        <v>21700.902499999997</v>
      </c>
      <c r="L7" s="427">
        <f>Benchmarking!E85</f>
        <v>24793.281106249997</v>
      </c>
      <c r="M7" s="433">
        <v>0.14099999999999999</v>
      </c>
      <c r="N7" s="433">
        <f>K7/J7-1</f>
        <v>0.14999999999999991</v>
      </c>
      <c r="O7" s="433">
        <f>L7/K7-1</f>
        <v>0.14250000000000007</v>
      </c>
      <c r="P7" s="427">
        <f>Benchmarking!C93</f>
        <v>4712.0299999999988</v>
      </c>
      <c r="Q7" s="427">
        <f>Benchmarking!D93</f>
        <v>5490.3283324999984</v>
      </c>
      <c r="R7" s="427">
        <f>Benchmarking!E93</f>
        <v>6272.7001198812477</v>
      </c>
      <c r="S7" s="433">
        <f>P7/J7</f>
        <v>0.24970549035921427</v>
      </c>
      <c r="T7" s="433">
        <f>Q7/K7</f>
        <v>0.25299999999999995</v>
      </c>
      <c r="U7" s="433">
        <f>R7/L7</f>
        <v>0.25299999999999995</v>
      </c>
      <c r="V7" s="427">
        <f>Benchmarking!C117</f>
        <v>4734.4399999999987</v>
      </c>
      <c r="W7" s="427">
        <f>Benchmarking!D117</f>
        <v>5286.7843023197584</v>
      </c>
      <c r="X7" s="427">
        <f>Benchmarking!E117</f>
        <v>5940.9713409051574</v>
      </c>
      <c r="Y7" s="433">
        <f>V7/J7</f>
        <v>0.25089306769614761</v>
      </c>
      <c r="Z7" s="433">
        <f>W7/K7</f>
        <v>0.24362048086800811</v>
      </c>
      <c r="AA7" s="433">
        <f>X7/L7</f>
        <v>0.23962021466402572</v>
      </c>
      <c r="AC7" s="434">
        <f>$I7/J7</f>
        <v>10.501977970731863</v>
      </c>
      <c r="AD7" s="434">
        <f t="shared" ref="AD7:AD11" si="0">$I7/K7</f>
        <v>9.1321547571581423</v>
      </c>
      <c r="AE7" s="434">
        <f t="shared" ref="AE7:AE11" si="1">$I7/L7</f>
        <v>7.9931332666592052</v>
      </c>
      <c r="AF7" s="434">
        <f>$I7/P7</f>
        <v>42.057457189364257</v>
      </c>
      <c r="AG7" s="434">
        <f t="shared" ref="AG7:AG11" si="2">$I7/Q7</f>
        <v>36.095473348451165</v>
      </c>
      <c r="AH7" s="434">
        <f t="shared" ref="AH7:AH11" si="3">$I7/R7</f>
        <v>31.593412121182638</v>
      </c>
      <c r="AI7" s="434">
        <f>$F7/V7</f>
        <v>41.819729471700995</v>
      </c>
      <c r="AJ7" s="434">
        <f t="shared" ref="AJ7:AJ11" si="4">$F7/W7</f>
        <v>37.450553810777521</v>
      </c>
      <c r="AK7" s="434">
        <f t="shared" ref="AK7:AK11" si="5">$F7/X7</f>
        <v>33.32670511920599</v>
      </c>
    </row>
    <row r="8" spans="2:39">
      <c r="B8" s="15" t="s">
        <v>370</v>
      </c>
      <c r="C8" s="15"/>
      <c r="D8" s="15" t="s">
        <v>835</v>
      </c>
      <c r="E8" s="426">
        <v>9048</v>
      </c>
      <c r="F8" s="426">
        <v>252730</v>
      </c>
      <c r="G8" s="426">
        <v>19693</v>
      </c>
      <c r="H8" s="426">
        <v>2848</v>
      </c>
      <c r="I8" s="426">
        <f t="shared" ref="I8:I11" si="6">F8+G8-H8</f>
        <v>269575</v>
      </c>
      <c r="J8" s="426">
        <f>Benchmarking!C86</f>
        <v>50995</v>
      </c>
      <c r="K8" s="426">
        <f>Benchmarking!D86</f>
        <v>60148</v>
      </c>
      <c r="L8" s="426">
        <f>Benchmarking!E86</f>
        <v>67449</v>
      </c>
      <c r="M8" s="431">
        <f>Benchmarking!G23</f>
        <v>0.13650000000000001</v>
      </c>
      <c r="N8" s="431">
        <f t="shared" ref="N8:N11" si="7">K8/J8-1</f>
        <v>0.1794881851161878</v>
      </c>
      <c r="O8" s="431">
        <f t="shared" ref="O8:O11" si="8">L8/K8-1</f>
        <v>0.12138391966482676</v>
      </c>
      <c r="P8" s="426">
        <f>Benchmarking!C94</f>
        <v>10468</v>
      </c>
      <c r="Q8" s="426">
        <f>Benchmarking!D94</f>
        <v>12034</v>
      </c>
      <c r="R8" s="426">
        <f>Benchmarking!E94</f>
        <v>13765</v>
      </c>
      <c r="S8" s="431">
        <f t="shared" ref="S8:S11" si="9">P8/J8</f>
        <v>0.20527502696342778</v>
      </c>
      <c r="T8" s="431">
        <f t="shared" ref="T8:T11" si="10">Q8/K8</f>
        <v>0.20007315288953914</v>
      </c>
      <c r="U8" s="431">
        <f t="shared" ref="U8:U11" si="11">R8/L8</f>
        <v>0.20408011979421489</v>
      </c>
      <c r="V8" s="426">
        <f>Benchmarking!C118</f>
        <v>7325</v>
      </c>
      <c r="W8" s="426">
        <f>Benchmarking!D118</f>
        <v>9626</v>
      </c>
      <c r="X8" s="426">
        <f>Benchmarking!E118</f>
        <v>10750</v>
      </c>
      <c r="Y8" s="431">
        <f t="shared" ref="Y8:Y11" si="12">V8/J8</f>
        <v>0.14364153348367487</v>
      </c>
      <c r="Z8" s="431">
        <f t="shared" ref="Z8:Z11" si="13">W8/K8</f>
        <v>0.16003857152357517</v>
      </c>
      <c r="AA8" s="431">
        <f t="shared" ref="AA8:AA11" si="14">X8/L8</f>
        <v>0.15937967946151907</v>
      </c>
      <c r="AC8" s="435">
        <f t="shared" ref="AC8:AC11" si="15">$I8/J8</f>
        <v>5.2863025786841851</v>
      </c>
      <c r="AD8" s="435">
        <f t="shared" si="0"/>
        <v>4.4818614085256367</v>
      </c>
      <c r="AE8" s="435">
        <f t="shared" si="1"/>
        <v>3.9967234503106051</v>
      </c>
      <c r="AF8" s="435">
        <f t="shared" ref="AF8:AF11" si="16">$I8/P8</f>
        <v>25.752292701566681</v>
      </c>
      <c r="AG8" s="435">
        <f t="shared" si="2"/>
        <v>22.401113511716801</v>
      </c>
      <c r="AH8" s="435">
        <f t="shared" si="3"/>
        <v>19.584090083545224</v>
      </c>
      <c r="AI8" s="435">
        <f t="shared" ref="AI8:AI11" si="17">$F8/V8</f>
        <v>34.502389078498297</v>
      </c>
      <c r="AJ8" s="435">
        <f t="shared" si="4"/>
        <v>26.254934552254312</v>
      </c>
      <c r="AK8" s="435">
        <f t="shared" si="5"/>
        <v>23.509767441860465</v>
      </c>
    </row>
    <row r="9" spans="2:39">
      <c r="B9" s="15" t="s">
        <v>371</v>
      </c>
      <c r="C9" s="15"/>
      <c r="D9" s="15" t="s">
        <v>836</v>
      </c>
      <c r="E9" s="426">
        <v>3448</v>
      </c>
      <c r="F9" s="426">
        <v>163936</v>
      </c>
      <c r="G9" s="426">
        <v>16862</v>
      </c>
      <c r="H9" s="426">
        <v>4386</v>
      </c>
      <c r="I9" s="426">
        <f t="shared" si="6"/>
        <v>176412</v>
      </c>
      <c r="J9" s="426">
        <f>Benchmarking!C87</f>
        <v>44089</v>
      </c>
      <c r="K9" s="426">
        <f>Benchmarking!D87</f>
        <v>40595</v>
      </c>
      <c r="L9" s="426">
        <f>Benchmarking!E87</f>
        <v>49467</v>
      </c>
      <c r="M9" s="431">
        <f>Benchmarking!G24</f>
        <v>0.1263</v>
      </c>
      <c r="N9" s="431">
        <f t="shared" si="7"/>
        <v>-7.9248792215745434E-2</v>
      </c>
      <c r="O9" s="431">
        <f t="shared" si="8"/>
        <v>0.21854908239931037</v>
      </c>
      <c r="P9" s="426">
        <f>Benchmarking!C95</f>
        <v>6649</v>
      </c>
      <c r="Q9" s="426">
        <f>Benchmarking!D95</f>
        <v>5464</v>
      </c>
      <c r="R9" s="426">
        <f>Benchmarking!E95</f>
        <v>6609</v>
      </c>
      <c r="S9" s="431">
        <f t="shared" si="9"/>
        <v>0.15080859171221847</v>
      </c>
      <c r="T9" s="431">
        <f t="shared" si="10"/>
        <v>0.13459785687892598</v>
      </c>
      <c r="U9" s="431">
        <f t="shared" si="11"/>
        <v>0.1336042209958154</v>
      </c>
      <c r="V9" s="426">
        <f>Benchmarking!C119</f>
        <v>2380</v>
      </c>
      <c r="W9" s="426">
        <f>Benchmarking!D119</f>
        <v>3421</v>
      </c>
      <c r="X9" s="426">
        <f>Benchmarking!E119</f>
        <v>4236</v>
      </c>
      <c r="Y9" s="431">
        <f t="shared" si="12"/>
        <v>5.3981718796071582E-2</v>
      </c>
      <c r="Z9" s="431">
        <f t="shared" si="13"/>
        <v>8.4271462002709699E-2</v>
      </c>
      <c r="AA9" s="431">
        <f t="shared" si="14"/>
        <v>8.563284613985081E-2</v>
      </c>
      <c r="AC9" s="435">
        <f t="shared" si="15"/>
        <v>4.0012701580893193</v>
      </c>
      <c r="AD9" s="435">
        <f t="shared" si="0"/>
        <v>4.3456583323069342</v>
      </c>
      <c r="AE9" s="435">
        <f t="shared" si="1"/>
        <v>3.5662562920735037</v>
      </c>
      <c r="AF9" s="435">
        <f t="shared" si="16"/>
        <v>26.532110091743121</v>
      </c>
      <c r="AG9" s="435">
        <f t="shared" si="2"/>
        <v>32.286237188872619</v>
      </c>
      <c r="AH9" s="435">
        <f t="shared" si="3"/>
        <v>26.692691783931004</v>
      </c>
      <c r="AI9" s="435">
        <f t="shared" si="17"/>
        <v>68.88067226890756</v>
      </c>
      <c r="AJ9" s="435">
        <f t="shared" si="4"/>
        <v>47.920491084478222</v>
      </c>
      <c r="AK9" s="435">
        <f t="shared" si="5"/>
        <v>38.700661000944287</v>
      </c>
    </row>
    <row r="10" spans="2:39">
      <c r="B10" s="15" t="s">
        <v>372</v>
      </c>
      <c r="C10" s="15"/>
      <c r="D10" s="15" t="s">
        <v>837</v>
      </c>
      <c r="E10" s="426">
        <v>6082</v>
      </c>
      <c r="F10" s="426">
        <v>121663</v>
      </c>
      <c r="G10" s="426">
        <v>718</v>
      </c>
      <c r="H10" s="426">
        <v>574</v>
      </c>
      <c r="I10" s="426">
        <f t="shared" si="6"/>
        <v>121807</v>
      </c>
      <c r="J10" s="426">
        <f>Benchmarking!C88</f>
        <v>40923</v>
      </c>
      <c r="K10" s="426">
        <f>Benchmarking!D88</f>
        <v>43001</v>
      </c>
      <c r="L10" s="426">
        <f>Benchmarking!E88</f>
        <v>45740</v>
      </c>
      <c r="M10" s="431">
        <f>Benchmarking!G25</f>
        <v>8.3000000000000004E-2</v>
      </c>
      <c r="N10" s="431">
        <f t="shared" si="7"/>
        <v>5.0778290936636994E-2</v>
      </c>
      <c r="O10" s="431">
        <f t="shared" si="8"/>
        <v>6.3696193111788091E-2</v>
      </c>
      <c r="P10" s="426">
        <f>Benchmarking!C96</f>
        <v>5946</v>
      </c>
      <c r="Q10" s="426">
        <f>Benchmarking!D96</f>
        <v>6126</v>
      </c>
      <c r="R10" s="426">
        <f>Benchmarking!E96</f>
        <v>6454</v>
      </c>
      <c r="S10" s="431">
        <f t="shared" si="9"/>
        <v>0.14529726559636391</v>
      </c>
      <c r="T10" s="431">
        <f t="shared" si="10"/>
        <v>0.14246180321387875</v>
      </c>
      <c r="U10" s="431">
        <f t="shared" si="11"/>
        <v>0.14110188019239178</v>
      </c>
      <c r="V10" s="426">
        <f>Benchmarking!C120</f>
        <v>4376</v>
      </c>
      <c r="W10" s="426">
        <f>Benchmarking!D120</f>
        <v>5174.5</v>
      </c>
      <c r="X10" s="426">
        <f>Benchmarking!E120</f>
        <v>5759.9</v>
      </c>
      <c r="Y10" s="431">
        <f t="shared" si="12"/>
        <v>0.10693253182806735</v>
      </c>
      <c r="Z10" s="431">
        <f t="shared" si="13"/>
        <v>0.12033441082765517</v>
      </c>
      <c r="AA10" s="431">
        <f t="shared" si="14"/>
        <v>0.12592697857455182</v>
      </c>
      <c r="AC10" s="435">
        <f t="shared" si="15"/>
        <v>2.976492437015859</v>
      </c>
      <c r="AD10" s="435">
        <f t="shared" si="0"/>
        <v>2.8326550545336153</v>
      </c>
      <c r="AE10" s="435">
        <f t="shared" si="1"/>
        <v>2.6630301705290775</v>
      </c>
      <c r="AF10" s="435">
        <f t="shared" si="16"/>
        <v>20.485536495122773</v>
      </c>
      <c r="AG10" s="435">
        <f t="shared" si="2"/>
        <v>19.883610839046685</v>
      </c>
      <c r="AH10" s="435">
        <f t="shared" si="3"/>
        <v>18.873101952277658</v>
      </c>
      <c r="AI10" s="435">
        <f t="shared" si="17"/>
        <v>27.802330895795247</v>
      </c>
      <c r="AJ10" s="435">
        <f t="shared" si="4"/>
        <v>23.51203014784037</v>
      </c>
      <c r="AK10" s="435">
        <f t="shared" si="5"/>
        <v>21.122415319710413</v>
      </c>
    </row>
    <row r="11" spans="2:39">
      <c r="B11" s="323" t="s">
        <v>373</v>
      </c>
      <c r="C11" s="323"/>
      <c r="D11" s="323" t="s">
        <v>838</v>
      </c>
      <c r="E11" s="428">
        <v>3669</v>
      </c>
      <c r="F11" s="428">
        <v>456467</v>
      </c>
      <c r="G11" s="428">
        <v>126709</v>
      </c>
      <c r="H11" s="428">
        <v>20615</v>
      </c>
      <c r="I11" s="428">
        <f t="shared" si="6"/>
        <v>562561</v>
      </c>
      <c r="J11" s="428">
        <f>Benchmarking!C89</f>
        <v>159211</v>
      </c>
      <c r="K11" s="428">
        <f>Benchmarking!D89</f>
        <v>180172</v>
      </c>
      <c r="L11" s="428">
        <f>Benchmarking!E89</f>
        <v>199947</v>
      </c>
      <c r="M11" s="432">
        <f>Benchmarking!G26</f>
        <v>0.14475697749188288</v>
      </c>
      <c r="N11" s="432">
        <f t="shared" si="7"/>
        <v>0.1316554760663522</v>
      </c>
      <c r="O11" s="432">
        <f t="shared" si="8"/>
        <v>0.1097562329329751</v>
      </c>
      <c r="P11" s="428">
        <f>Benchmarking!C97</f>
        <v>30518</v>
      </c>
      <c r="Q11" s="428">
        <f>Benchmarking!D97</f>
        <v>32874</v>
      </c>
      <c r="R11" s="428">
        <f>Benchmarking!E97</f>
        <v>36528</v>
      </c>
      <c r="S11" s="432">
        <f t="shared" si="9"/>
        <v>0.19168273548938203</v>
      </c>
      <c r="T11" s="432">
        <f t="shared" si="10"/>
        <v>0.18245898363785715</v>
      </c>
      <c r="U11" s="432">
        <f t="shared" si="11"/>
        <v>0.18268841242929376</v>
      </c>
      <c r="V11" s="428">
        <f>Benchmarking!C121</f>
        <v>14073</v>
      </c>
      <c r="W11" s="428">
        <f>Benchmarking!D121</f>
        <v>16056</v>
      </c>
      <c r="X11" s="428">
        <f>Benchmarking!E121</f>
        <v>18288</v>
      </c>
      <c r="Y11" s="432">
        <f t="shared" si="12"/>
        <v>8.8392133709354254E-2</v>
      </c>
      <c r="Z11" s="432">
        <f t="shared" si="13"/>
        <v>8.9114845813999949E-2</v>
      </c>
      <c r="AA11" s="432">
        <f t="shared" si="14"/>
        <v>9.1464238023076114E-2</v>
      </c>
      <c r="AC11" s="436">
        <f t="shared" si="15"/>
        <v>3.5334304790498146</v>
      </c>
      <c r="AD11" s="436">
        <f t="shared" si="0"/>
        <v>3.1223553049308439</v>
      </c>
      <c r="AE11" s="436">
        <f t="shared" si="1"/>
        <v>2.8135505909065901</v>
      </c>
      <c r="AF11" s="436">
        <f t="shared" si="16"/>
        <v>18.433744019922667</v>
      </c>
      <c r="AG11" s="436">
        <f t="shared" si="2"/>
        <v>17.112642209648964</v>
      </c>
      <c r="AH11" s="436">
        <f t="shared" si="3"/>
        <v>15.400815812527377</v>
      </c>
      <c r="AI11" s="436">
        <f t="shared" si="17"/>
        <v>32.435656931713211</v>
      </c>
      <c r="AJ11" s="436">
        <f t="shared" si="4"/>
        <v>28.429683607374191</v>
      </c>
      <c r="AK11" s="436">
        <f t="shared" si="5"/>
        <v>24.959919072615921</v>
      </c>
    </row>
    <row r="12" spans="2:39" ht="4.2" customHeight="1"/>
    <row r="13" spans="2:39">
      <c r="B13" s="423" t="s">
        <v>812</v>
      </c>
      <c r="C13" s="423"/>
      <c r="D13" s="423"/>
      <c r="E13" s="423"/>
      <c r="F13" s="423"/>
      <c r="G13" s="423"/>
      <c r="H13" s="423"/>
      <c r="I13" s="423"/>
      <c r="J13" s="423"/>
      <c r="K13" s="423"/>
      <c r="L13" s="423"/>
      <c r="M13" s="423"/>
      <c r="N13" s="423"/>
      <c r="O13" s="423"/>
      <c r="P13" s="423"/>
      <c r="Q13" s="423"/>
      <c r="R13" s="423"/>
      <c r="S13" s="423"/>
      <c r="T13" s="423"/>
      <c r="U13" s="423"/>
      <c r="V13" s="423"/>
      <c r="W13" s="423"/>
      <c r="X13" s="423"/>
      <c r="Y13" s="423"/>
      <c r="Z13" s="423"/>
      <c r="AA13" s="423"/>
      <c r="AC13" s="437">
        <f>MAX(AC8:AC11)</f>
        <v>5.2863025786841851</v>
      </c>
      <c r="AD13" s="437">
        <f t="shared" ref="AD13:AK13" si="18">MAX(AD8:AD11)</f>
        <v>4.4818614085256367</v>
      </c>
      <c r="AE13" s="437">
        <f t="shared" si="18"/>
        <v>3.9967234503106051</v>
      </c>
      <c r="AF13" s="437">
        <f t="shared" si="18"/>
        <v>26.532110091743121</v>
      </c>
      <c r="AG13" s="437">
        <f t="shared" si="18"/>
        <v>32.286237188872619</v>
      </c>
      <c r="AH13" s="437">
        <f t="shared" si="18"/>
        <v>26.692691783931004</v>
      </c>
      <c r="AI13" s="437">
        <f t="shared" si="18"/>
        <v>68.88067226890756</v>
      </c>
      <c r="AJ13" s="437">
        <f t="shared" si="18"/>
        <v>47.920491084478222</v>
      </c>
      <c r="AK13" s="437">
        <f t="shared" si="18"/>
        <v>38.700661000944287</v>
      </c>
      <c r="AM13" t="s">
        <v>979</v>
      </c>
    </row>
    <row r="14" spans="2:39">
      <c r="B14" s="424" t="s">
        <v>972</v>
      </c>
      <c r="C14" s="424"/>
      <c r="D14" s="424"/>
      <c r="E14" s="424"/>
      <c r="F14" s="424"/>
      <c r="G14" s="424"/>
      <c r="H14" s="424"/>
      <c r="I14" s="424"/>
      <c r="J14" s="424"/>
      <c r="K14" s="424"/>
      <c r="L14" s="424"/>
      <c r="M14" s="424"/>
      <c r="N14" s="424"/>
      <c r="O14" s="424"/>
      <c r="P14" s="424"/>
      <c r="Q14" s="424"/>
      <c r="R14" s="424"/>
      <c r="S14" s="424"/>
      <c r="T14" s="424"/>
      <c r="U14" s="424"/>
      <c r="V14" s="424"/>
      <c r="W14" s="424"/>
      <c r="X14" s="424"/>
      <c r="Y14" s="424"/>
      <c r="Z14" s="424"/>
      <c r="AA14" s="424"/>
      <c r="AC14" s="437">
        <f>QUARTILE(AC8:AC11,3)</f>
        <v>4.322528263238036</v>
      </c>
      <c r="AD14" s="437">
        <f t="shared" ref="AD14:AK14" si="19">QUARTILE(AD8:AD11,3)</f>
        <v>4.3797091013616098</v>
      </c>
      <c r="AE14" s="437">
        <f t="shared" si="19"/>
        <v>3.6738730816327791</v>
      </c>
      <c r="AF14" s="437">
        <f t="shared" si="19"/>
        <v>25.947247049110793</v>
      </c>
      <c r="AG14" s="437">
        <f t="shared" si="19"/>
        <v>24.872394431005755</v>
      </c>
      <c r="AH14" s="437">
        <f t="shared" si="19"/>
        <v>21.361240508641668</v>
      </c>
      <c r="AI14" s="437">
        <f t="shared" si="19"/>
        <v>43.096959876100613</v>
      </c>
      <c r="AJ14" s="437">
        <f t="shared" si="19"/>
        <v>33.302385476650201</v>
      </c>
      <c r="AK14" s="437">
        <f t="shared" si="19"/>
        <v>28.395104554698012</v>
      </c>
      <c r="AM14" t="s">
        <v>980</v>
      </c>
    </row>
    <row r="15" spans="2:39">
      <c r="B15" s="439" t="s">
        <v>260</v>
      </c>
      <c r="C15" s="439"/>
      <c r="D15" s="439"/>
      <c r="E15" s="439"/>
      <c r="F15" s="439"/>
      <c r="G15" s="439"/>
      <c r="H15" s="439"/>
      <c r="I15" s="439"/>
      <c r="J15" s="439"/>
      <c r="K15" s="439"/>
      <c r="L15" s="439"/>
      <c r="M15" s="439"/>
      <c r="N15" s="439"/>
      <c r="O15" s="439"/>
      <c r="P15" s="439"/>
      <c r="Q15" s="439"/>
      <c r="R15" s="439"/>
      <c r="S15" s="439"/>
      <c r="T15" s="439"/>
      <c r="U15" s="439"/>
      <c r="V15" s="439"/>
      <c r="W15" s="439"/>
      <c r="X15" s="439"/>
      <c r="Y15" s="439"/>
      <c r="Z15" s="439"/>
      <c r="AA15" s="439"/>
      <c r="AB15" s="18"/>
      <c r="AC15" s="440">
        <f>AVERAGE(AC8:AC11)</f>
        <v>3.9493739132097945</v>
      </c>
      <c r="AD15" s="440">
        <f t="shared" ref="AD15:AK15" si="20">AVERAGE(AD8:AD11)</f>
        <v>3.6956325250742577</v>
      </c>
      <c r="AE15" s="440">
        <f t="shared" si="20"/>
        <v>3.2598901259549442</v>
      </c>
      <c r="AF15" s="440">
        <f t="shared" si="20"/>
        <v>22.80092082708881</v>
      </c>
      <c r="AG15" s="440">
        <f t="shared" si="20"/>
        <v>22.920900937321267</v>
      </c>
      <c r="AH15" s="440">
        <f t="shared" si="20"/>
        <v>20.137674908070316</v>
      </c>
      <c r="AI15" s="440">
        <f t="shared" si="20"/>
        <v>40.905262293728583</v>
      </c>
      <c r="AJ15" s="440">
        <f t="shared" si="20"/>
        <v>31.529284847986773</v>
      </c>
      <c r="AK15" s="440">
        <f t="shared" si="20"/>
        <v>27.073190708782771</v>
      </c>
      <c r="AM15" t="s">
        <v>981</v>
      </c>
    </row>
    <row r="16" spans="2:39">
      <c r="B16" s="439" t="s">
        <v>259</v>
      </c>
      <c r="C16" s="439"/>
      <c r="D16" s="439"/>
      <c r="E16" s="439"/>
      <c r="F16" s="439"/>
      <c r="G16" s="439"/>
      <c r="H16" s="439"/>
      <c r="I16" s="439"/>
      <c r="J16" s="439"/>
      <c r="K16" s="439"/>
      <c r="L16" s="439"/>
      <c r="M16" s="439"/>
      <c r="N16" s="439"/>
      <c r="O16" s="439"/>
      <c r="P16" s="439"/>
      <c r="Q16" s="439"/>
      <c r="R16" s="439"/>
      <c r="S16" s="439"/>
      <c r="T16" s="439"/>
      <c r="U16" s="439"/>
      <c r="V16" s="439"/>
      <c r="W16" s="439"/>
      <c r="X16" s="439"/>
      <c r="Y16" s="439"/>
      <c r="Z16" s="439"/>
      <c r="AA16" s="439"/>
      <c r="AB16" s="18"/>
      <c r="AC16" s="440">
        <f>MEDIAN(AC8:AC11)</f>
        <v>3.7673503185695667</v>
      </c>
      <c r="AD16" s="440">
        <f t="shared" ref="AD16:AK16" si="21">MEDIAN(AD8:AD11)</f>
        <v>3.7340068186188891</v>
      </c>
      <c r="AE16" s="440">
        <f t="shared" si="21"/>
        <v>3.1899034414900469</v>
      </c>
      <c r="AF16" s="440">
        <f t="shared" si="21"/>
        <v>23.118914598344727</v>
      </c>
      <c r="AG16" s="440">
        <f t="shared" si="21"/>
        <v>21.142362175381741</v>
      </c>
      <c r="AH16" s="440">
        <f t="shared" si="21"/>
        <v>19.228596017911443</v>
      </c>
      <c r="AI16" s="440">
        <f t="shared" si="21"/>
        <v>33.469023005105754</v>
      </c>
      <c r="AJ16" s="440">
        <f t="shared" si="21"/>
        <v>27.34230907981425</v>
      </c>
      <c r="AK16" s="440">
        <f t="shared" si="21"/>
        <v>24.234843257238193</v>
      </c>
    </row>
    <row r="17" spans="2:37">
      <c r="B17" s="424" t="s">
        <v>973</v>
      </c>
      <c r="C17" s="424"/>
      <c r="D17" s="424"/>
      <c r="E17" s="424"/>
      <c r="F17" s="424"/>
      <c r="G17" s="424"/>
      <c r="H17" s="424"/>
      <c r="I17" s="424"/>
      <c r="J17" s="424"/>
      <c r="K17" s="424"/>
      <c r="L17" s="424"/>
      <c r="M17" s="424"/>
      <c r="N17" s="424"/>
      <c r="O17" s="424"/>
      <c r="P17" s="424"/>
      <c r="Q17" s="424"/>
      <c r="R17" s="424"/>
      <c r="S17" s="424"/>
      <c r="T17" s="424"/>
      <c r="U17" s="424"/>
      <c r="V17" s="424"/>
      <c r="W17" s="424"/>
      <c r="X17" s="424"/>
      <c r="Y17" s="424"/>
      <c r="Z17" s="424"/>
      <c r="AA17" s="424"/>
      <c r="AC17" s="438">
        <f>QUARTILE(AC8:AC11,1)</f>
        <v>3.3941959685413257</v>
      </c>
      <c r="AD17" s="438">
        <f t="shared" ref="AD17:AK17" si="22">QUARTILE(AD8:AD11,1)</f>
        <v>3.0499302423315369</v>
      </c>
      <c r="AE17" s="438">
        <f t="shared" si="22"/>
        <v>2.775920485812212</v>
      </c>
      <c r="AF17" s="438">
        <f t="shared" si="22"/>
        <v>19.972588376322747</v>
      </c>
      <c r="AG17" s="438">
        <f t="shared" si="22"/>
        <v>19.190868681697253</v>
      </c>
      <c r="AH17" s="438">
        <f t="shared" si="22"/>
        <v>18.005030417340087</v>
      </c>
      <c r="AI17" s="438">
        <f t="shared" si="22"/>
        <v>31.277325422733721</v>
      </c>
      <c r="AJ17" s="438">
        <f t="shared" si="22"/>
        <v>25.569208451150828</v>
      </c>
      <c r="AK17" s="438">
        <f t="shared" si="22"/>
        <v>22.912929411322953</v>
      </c>
    </row>
    <row r="18" spans="2:37">
      <c r="B18" s="425" t="s">
        <v>810</v>
      </c>
      <c r="C18" s="425"/>
      <c r="D18" s="425"/>
      <c r="E18" s="425"/>
      <c r="F18" s="425"/>
      <c r="G18" s="425"/>
      <c r="H18" s="425"/>
      <c r="I18" s="425"/>
      <c r="J18" s="425"/>
      <c r="K18" s="425"/>
      <c r="L18" s="425"/>
      <c r="M18" s="425"/>
      <c r="N18" s="425"/>
      <c r="O18" s="425"/>
      <c r="P18" s="425"/>
      <c r="Q18" s="425"/>
      <c r="R18" s="425"/>
      <c r="S18" s="425"/>
      <c r="T18" s="425"/>
      <c r="U18" s="425"/>
      <c r="V18" s="425"/>
      <c r="W18" s="425"/>
      <c r="X18" s="425"/>
      <c r="Y18" s="425"/>
      <c r="Z18" s="425"/>
      <c r="AA18" s="425"/>
      <c r="AC18" s="438">
        <f>MIN(AC8:AC11)</f>
        <v>2.976492437015859</v>
      </c>
      <c r="AD18" s="438">
        <f t="shared" ref="AD18:AK18" si="23">MIN(AD8:AD11)</f>
        <v>2.8326550545336153</v>
      </c>
      <c r="AE18" s="438">
        <f t="shared" si="23"/>
        <v>2.6630301705290775</v>
      </c>
      <c r="AF18" s="438">
        <f t="shared" si="23"/>
        <v>18.433744019922667</v>
      </c>
      <c r="AG18" s="438">
        <f t="shared" si="23"/>
        <v>17.112642209648964</v>
      </c>
      <c r="AH18" s="438">
        <f t="shared" si="23"/>
        <v>15.400815812527377</v>
      </c>
      <c r="AI18" s="438">
        <f t="shared" si="23"/>
        <v>27.802330895795247</v>
      </c>
      <c r="AJ18" s="438">
        <f t="shared" si="23"/>
        <v>23.51203014784037</v>
      </c>
      <c r="AK18" s="438">
        <f t="shared" si="23"/>
        <v>21.122415319710413</v>
      </c>
    </row>
    <row r="20" spans="2:37">
      <c r="B20" s="466" t="s">
        <v>965</v>
      </c>
      <c r="C20" s="466"/>
      <c r="D20" s="466"/>
    </row>
    <row r="21" spans="2:37">
      <c r="B21" t="s">
        <v>969</v>
      </c>
      <c r="D21" s="158">
        <f>J7</f>
        <v>18870.349999999999</v>
      </c>
    </row>
    <row r="22" spans="2:37">
      <c r="B22" t="s">
        <v>101</v>
      </c>
      <c r="D22" s="158">
        <f>P7</f>
        <v>4712.0299999999988</v>
      </c>
    </row>
    <row r="23" spans="2:37">
      <c r="B23" t="s">
        <v>985</v>
      </c>
      <c r="D23" s="158">
        <f>V7</f>
        <v>4734.4399999999987</v>
      </c>
    </row>
    <row r="24" spans="2:37">
      <c r="B24" s="22" t="s">
        <v>986</v>
      </c>
      <c r="C24" s="22"/>
      <c r="D24" s="441" t="s">
        <v>980</v>
      </c>
    </row>
    <row r="25" spans="2:37">
      <c r="B25" t="str">
        <f>D24</f>
        <v>EV/EBITDA</v>
      </c>
      <c r="D25" s="89">
        <f>IF(B25=AM13,AC16,IF(B25=AM14,AF16,AI16))</f>
        <v>23.118914598344727</v>
      </c>
    </row>
    <row r="26" spans="2:37">
      <c r="B26" t="str">
        <f>IF(D24=AM15,"Equity Value","Enterprise Value")</f>
        <v>Enterprise Value</v>
      </c>
      <c r="D26" s="158">
        <f>IF(D24=AM13,D25*D21,IF(D24=AM14,D25*D22,D25*D23))</f>
        <v>108937.01915483827</v>
      </c>
    </row>
    <row r="27" spans="2:37">
      <c r="B27" t="str">
        <f>DCFVal!B41</f>
        <v>Less : Debt</v>
      </c>
      <c r="D27" s="291">
        <f>IF($D$24=$AM$15,0,DCFVal!C41)</f>
        <v>-266.47000000000003</v>
      </c>
    </row>
    <row r="28" spans="2:37">
      <c r="B28" t="str">
        <f>DCFVal!B42</f>
        <v>Add : Cash</v>
      </c>
      <c r="D28" s="291">
        <f>IF($D$24=$AM$15,0,DCFVal!C42)</f>
        <v>267.05000000000047</v>
      </c>
    </row>
    <row r="29" spans="2:37">
      <c r="B29" t="str">
        <f>DCFVal!B43</f>
        <v>Less : Minority Interest</v>
      </c>
      <c r="D29" s="291">
        <f>IF($D$24=$AM$15,0,DCFVal!C43)</f>
        <v>0</v>
      </c>
    </row>
    <row r="30" spans="2:37">
      <c r="B30" t="str">
        <f>DCFVal!B44</f>
        <v>Add : Non Operating Asset</v>
      </c>
      <c r="D30" s="291">
        <f>IF($D$24=$AM$15,0,DCFVal!C44)</f>
        <v>16013.75</v>
      </c>
    </row>
    <row r="31" spans="2:37">
      <c r="B31" s="92" t="str">
        <f>DCFVal!B45</f>
        <v>Equity Value</v>
      </c>
      <c r="C31" s="92"/>
      <c r="D31" s="442">
        <f>SUM(D26:D30)</f>
        <v>124951.34915483827</v>
      </c>
    </row>
    <row r="32" spans="2:37">
      <c r="B32" t="str">
        <f>DCFVal!B46</f>
        <v>Less : Value of Options</v>
      </c>
      <c r="D32" s="291">
        <f ca="1">IF($D$24=$AM$15,0,DCFVal!C46)</f>
        <v>-202.9281522686739</v>
      </c>
    </row>
    <row r="33" spans="2:4" ht="15" thickBot="1">
      <c r="B33" s="86" t="str">
        <f>DCFVal!B47</f>
        <v>Equity Value for Shareholders</v>
      </c>
      <c r="C33" s="86"/>
      <c r="D33" s="309">
        <f ca="1">SUM(D31:D32)</f>
        <v>124748.42100256959</v>
      </c>
    </row>
  </sheetData>
  <sheetProtection algorithmName="SHA-512" hashValue="H6bsgBMaqqW1B0cc9jeWvdLisImT2lgK5zWyBh/klBPejgWUdptQEYXJ77YdSbadU0Lkr8jeTuQWKu9ETlfsJg==" saltValue="O4f0uveWfICdGDdFPfBE+w==" spinCount="100000" sheet="1" objects="1" scenarios="1" selectLockedCells="1" selectUnlockedCells="1"/>
  <mergeCells count="3">
    <mergeCell ref="D3:I3"/>
    <mergeCell ref="J3:X3"/>
    <mergeCell ref="AC3:AK3"/>
  </mergeCells>
  <dataValidations count="1">
    <dataValidation type="list" allowBlank="1" showInputMessage="1" showErrorMessage="1" sqref="D24" xr:uid="{F27C01AA-B732-4448-B938-3ADE9E93248B}">
      <formula1>$AM$13:$AM$15</formula1>
    </dataValidation>
  </dataValidations>
  <pageMargins left="0.7" right="0.7" top="0.75" bottom="0.75" header="0.3" footer="0.3"/>
  <ignoredErrors>
    <ignoredError sqref="V4 P4 S4 Y4 M4 AF4 AI4"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8E10-E462-4979-B094-E6826FF83897}">
  <sheetPr>
    <tabColor theme="9" tint="-0.249977111117893"/>
  </sheetPr>
  <dimension ref="B1"/>
  <sheetViews>
    <sheetView workbookViewId="0">
      <selection activeCell="H27" sqref="H27"/>
    </sheetView>
  </sheetViews>
  <sheetFormatPr defaultRowHeight="14.4"/>
  <sheetData>
    <row r="1" spans="2:2">
      <c r="B1" t="s">
        <v>562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CF63-3B1F-436C-9376-B6E7426ACB04}">
  <dimension ref="A2:AA884"/>
  <sheetViews>
    <sheetView showGridLines="0" zoomScale="58" zoomScaleNormal="48" workbookViewId="0">
      <selection activeCell="U868" sqref="U868"/>
    </sheetView>
  </sheetViews>
  <sheetFormatPr defaultRowHeight="14.4"/>
  <cols>
    <col min="1" max="1" width="1.88671875" customWidth="1"/>
    <col min="2" max="2" width="52.88671875" customWidth="1"/>
    <col min="3" max="3" width="1.109375" customWidth="1"/>
    <col min="4" max="4" width="15" customWidth="1"/>
    <col min="5" max="15" width="10.6640625" bestFit="1" customWidth="1"/>
    <col min="25" max="26" width="9.88671875" bestFit="1" customWidth="1"/>
  </cols>
  <sheetData>
    <row r="2" spans="1:13" ht="25.8">
      <c r="A2" t="s">
        <v>18</v>
      </c>
      <c r="B2" s="160" t="s">
        <v>233</v>
      </c>
      <c r="C2" s="9"/>
    </row>
    <row r="4" spans="1:13" ht="15.6">
      <c r="B4" s="9" t="s">
        <v>234</v>
      </c>
      <c r="C4" s="9"/>
    </row>
    <row r="5" spans="1:13">
      <c r="L5" s="450" t="s">
        <v>236</v>
      </c>
      <c r="M5" s="450"/>
    </row>
    <row r="6" spans="1:13">
      <c r="B6" s="450" t="str">
        <f>'ConsolidatedP&amp;L'!B2</f>
        <v>Particulars</v>
      </c>
      <c r="C6" s="450"/>
      <c r="D6" s="450">
        <f>'ConsolidatedP&amp;L'!C2</f>
        <v>2019</v>
      </c>
      <c r="E6" s="450">
        <f>'ConsolidatedP&amp;L'!D2</f>
        <v>2020</v>
      </c>
      <c r="F6" s="450">
        <f>'ConsolidatedP&amp;L'!E2</f>
        <v>2021</v>
      </c>
      <c r="G6" s="450">
        <f>'ConsolidatedP&amp;L'!F2</f>
        <v>2022</v>
      </c>
      <c r="H6" s="450">
        <f>'ConsolidatedP&amp;L'!G2</f>
        <v>2023</v>
      </c>
      <c r="I6" s="450">
        <f>'ConsolidatedP&amp;L'!H2</f>
        <v>2024</v>
      </c>
      <c r="J6" s="450">
        <f>'ConsolidatedP&amp;L'!I2</f>
        <v>2025</v>
      </c>
      <c r="L6" s="450" t="s">
        <v>62</v>
      </c>
      <c r="M6" s="450" t="s">
        <v>61</v>
      </c>
    </row>
    <row r="7" spans="1:13">
      <c r="B7" t="str">
        <f>'ConsolidatedP&amp;L'!B6</f>
        <v>Revenue from operations</v>
      </c>
      <c r="D7" s="107">
        <f>'ConsolidatedP&amp;L'!C6</f>
        <v>9797.0600000000013</v>
      </c>
      <c r="E7" s="107">
        <f>'ConsolidatedP&amp;L'!D6</f>
        <v>9153.58</v>
      </c>
      <c r="F7" s="107">
        <f>'ConsolidatedP&amp;L'!E6</f>
        <v>8720.35</v>
      </c>
      <c r="G7" s="107">
        <f>'ConsolidatedP&amp;L'!F6</f>
        <v>10297.83</v>
      </c>
      <c r="H7" s="107">
        <f>'ConsolidatedP&amp;L'!G6</f>
        <v>14442.18</v>
      </c>
      <c r="I7" s="107">
        <f>'ConsolidatedP&amp;L'!H6</f>
        <v>16535.78</v>
      </c>
      <c r="J7" s="107">
        <f>'ConsolidatedP&amp;L'!I6</f>
        <v>18870.349999999999</v>
      </c>
      <c r="L7" s="134">
        <f>_xlfn.RRI(3,G7,J7)</f>
        <v>0.22370878852741982</v>
      </c>
      <c r="M7" s="134">
        <f>_xlfn.RRI(5,E7,J7)</f>
        <v>0.15568052490284168</v>
      </c>
    </row>
    <row r="8" spans="1:13">
      <c r="B8" t="s">
        <v>235</v>
      </c>
      <c r="D8" s="106">
        <f>'ConsolidatedP&amp;L'!C8</f>
        <v>6.2673142963751927E-2</v>
      </c>
      <c r="E8" s="106">
        <f>'ConsolidatedP&amp;L'!D8</f>
        <v>-6.5680928768426572E-2</v>
      </c>
      <c r="F8" s="106">
        <f>'ConsolidatedP&amp;L'!E8</f>
        <v>-4.732902318000165E-2</v>
      </c>
      <c r="G8" s="106">
        <f>'ConsolidatedP&amp;L'!F8</f>
        <v>0.18089640897441028</v>
      </c>
      <c r="H8" s="106">
        <f>'ConsolidatedP&amp;L'!G8</f>
        <v>0.40244886544058311</v>
      </c>
      <c r="I8" s="106">
        <f>'ConsolidatedP&amp;L'!H8</f>
        <v>0.14496426439775711</v>
      </c>
      <c r="J8" s="106">
        <f>'ConsolidatedP&amp;L'!I8</f>
        <v>0.14118293784750402</v>
      </c>
    </row>
    <row r="10" spans="1:13">
      <c r="B10" s="507"/>
      <c r="C10" s="507"/>
      <c r="D10" s="507"/>
      <c r="E10" s="507"/>
      <c r="F10" s="507"/>
      <c r="G10" s="507"/>
      <c r="H10" s="507"/>
      <c r="I10" s="507"/>
      <c r="K10">
        <v>21915</v>
      </c>
      <c r="L10" s="35">
        <f>K10/J7-1</f>
        <v>0.16134570900910705</v>
      </c>
    </row>
    <row r="11" spans="1:13">
      <c r="B11" s="507"/>
      <c r="C11" s="507"/>
      <c r="D11" s="507"/>
      <c r="E11" s="507"/>
      <c r="F11" s="507"/>
      <c r="G11" s="507"/>
      <c r="H11" s="507"/>
      <c r="I11" s="507"/>
    </row>
    <row r="12" spans="1:13">
      <c r="B12" s="507"/>
      <c r="C12" s="507"/>
      <c r="D12" s="507"/>
      <c r="E12" s="507"/>
      <c r="F12" s="507"/>
      <c r="G12" s="507"/>
      <c r="H12" s="507"/>
      <c r="I12" s="507"/>
    </row>
    <row r="13" spans="1:13">
      <c r="B13" s="507"/>
      <c r="C13" s="507"/>
      <c r="D13" s="507"/>
      <c r="E13" s="507"/>
      <c r="F13" s="507"/>
      <c r="G13" s="507"/>
      <c r="H13" s="507"/>
      <c r="I13" s="507"/>
    </row>
    <row r="18" spans="22:27" ht="15">
      <c r="V18" s="122" t="s">
        <v>240</v>
      </c>
    </row>
    <row r="19" spans="22:27">
      <c r="V19" s="558"/>
      <c r="W19" s="109" t="s">
        <v>241</v>
      </c>
      <c r="X19" s="109" t="s">
        <v>243</v>
      </c>
      <c r="Y19" s="111" t="s">
        <v>244</v>
      </c>
      <c r="Z19" s="109" t="s">
        <v>245</v>
      </c>
    </row>
    <row r="20" spans="22:27" ht="27.6">
      <c r="V20" s="558"/>
      <c r="W20" s="110" t="s">
        <v>242</v>
      </c>
      <c r="X20" s="110" t="s">
        <v>242</v>
      </c>
      <c r="Y20" s="112" t="s">
        <v>242</v>
      </c>
      <c r="Z20" s="110" t="s">
        <v>242</v>
      </c>
    </row>
    <row r="21" spans="22:27" ht="28.2" thickBot="1">
      <c r="V21" s="113" t="s">
        <v>246</v>
      </c>
      <c r="W21" s="114">
        <v>6064.7</v>
      </c>
      <c r="X21" s="114">
        <v>5576.6</v>
      </c>
      <c r="Y21" s="115">
        <v>21915.599999999999</v>
      </c>
      <c r="Z21" s="114">
        <v>24581.9</v>
      </c>
      <c r="AA21" s="35">
        <f>Z21/Y21-1</f>
        <v>0.12166219496614294</v>
      </c>
    </row>
    <row r="22" spans="22:27" ht="28.2" thickBot="1">
      <c r="V22" s="116" t="s">
        <v>247</v>
      </c>
      <c r="W22" s="117">
        <v>6257.9</v>
      </c>
      <c r="X22" s="118">
        <v>5958</v>
      </c>
      <c r="Y22" s="119">
        <v>23453.599999999999</v>
      </c>
      <c r="Z22" s="117">
        <v>26853.200000000001</v>
      </c>
      <c r="AA22" s="35">
        <f>Z22/Y22-1</f>
        <v>0.14495002899341691</v>
      </c>
    </row>
    <row r="23" spans="22:27" ht="28.2" thickBot="1">
      <c r="V23" s="116" t="s">
        <v>248</v>
      </c>
      <c r="W23" s="117">
        <v>5663.1</v>
      </c>
      <c r="X23" s="117">
        <v>5197.8999999999996</v>
      </c>
      <c r="Y23" s="119">
        <v>20820.099999999999</v>
      </c>
      <c r="Z23" s="117">
        <v>21976.6</v>
      </c>
      <c r="AA23" s="35">
        <f>Z23/Y23-1</f>
        <v>5.5547283634564737E-2</v>
      </c>
    </row>
    <row r="24" spans="22:27" ht="27.6">
      <c r="V24" s="116" t="s">
        <v>249</v>
      </c>
      <c r="W24" s="120">
        <v>16</v>
      </c>
      <c r="X24" s="120">
        <v>3</v>
      </c>
      <c r="Y24" s="121">
        <v>27</v>
      </c>
      <c r="Z24" s="120">
        <v>27</v>
      </c>
    </row>
    <row r="42" spans="1:13" ht="25.8">
      <c r="A42" t="s">
        <v>18</v>
      </c>
      <c r="B42" s="160" t="s">
        <v>254</v>
      </c>
      <c r="C42" s="9"/>
    </row>
    <row r="44" spans="1:13" ht="15.6">
      <c r="B44" s="9" t="s">
        <v>258</v>
      </c>
      <c r="C44" s="9"/>
    </row>
    <row r="45" spans="1:13">
      <c r="L45" s="133"/>
      <c r="M45" s="133"/>
    </row>
    <row r="46" spans="1:13">
      <c r="B46" s="450" t="str">
        <f>'ConsolidatedP&amp;L'!B2</f>
        <v>Particulars</v>
      </c>
      <c r="C46" s="450">
        <f>'ConsolidatedP&amp;L'!C2</f>
        <v>2019</v>
      </c>
      <c r="D46" s="450">
        <f>'ConsolidatedP&amp;L'!C2</f>
        <v>2019</v>
      </c>
      <c r="E46" s="450">
        <f>'ConsolidatedP&amp;L'!D2</f>
        <v>2020</v>
      </c>
      <c r="F46" s="450">
        <f>'ConsolidatedP&amp;L'!E2</f>
        <v>2021</v>
      </c>
      <c r="G46" s="450">
        <f>'ConsolidatedP&amp;L'!F2</f>
        <v>2022</v>
      </c>
      <c r="H46" s="450">
        <f>'ConsolidatedP&amp;L'!G2</f>
        <v>2023</v>
      </c>
      <c r="I46" s="450">
        <f>'ConsolidatedP&amp;L'!H2</f>
        <v>2024</v>
      </c>
      <c r="J46" s="450">
        <f>'ConsolidatedP&amp;L'!I2</f>
        <v>2025</v>
      </c>
      <c r="L46" s="450" t="s">
        <v>259</v>
      </c>
      <c r="M46" s="450" t="s">
        <v>260</v>
      </c>
    </row>
    <row r="47" spans="1:13">
      <c r="B47" t="s">
        <v>100</v>
      </c>
      <c r="D47" s="35">
        <f>'ConsolidatedP&amp;L'!C19</f>
        <v>0.48378595211216435</v>
      </c>
      <c r="E47" s="35">
        <f>'ConsolidatedP&amp;L'!D19</f>
        <v>0.45420917280452011</v>
      </c>
      <c r="F47" s="35">
        <f>'ConsolidatedP&amp;L'!E19</f>
        <v>0.41375403510180209</v>
      </c>
      <c r="G47" s="35">
        <f>'ConsolidatedP&amp;L'!F19</f>
        <v>0.42165679565500702</v>
      </c>
      <c r="H47" s="35">
        <f>'ConsolidatedP&amp;L'!G19</f>
        <v>0.43139470633934773</v>
      </c>
      <c r="I47" s="35">
        <f>'ConsolidatedP&amp;L'!H19</f>
        <v>0.45689589484136817</v>
      </c>
      <c r="J47" s="35">
        <f>'ConsolidatedP&amp;L'!I19</f>
        <v>0.45432490653326507</v>
      </c>
      <c r="L47" s="134">
        <f>MEDIAN(D47:J47)</f>
        <v>0.45420917280452011</v>
      </c>
      <c r="M47" s="134">
        <f>AVERAGE(D47:J47)</f>
        <v>0.44514592334106784</v>
      </c>
    </row>
    <row r="48" spans="1:13">
      <c r="D48" s="106"/>
      <c r="E48" s="106"/>
      <c r="F48" s="106"/>
      <c r="G48" s="106"/>
      <c r="H48" s="106"/>
      <c r="I48" s="106"/>
      <c r="J48" s="106"/>
    </row>
    <row r="50" spans="2:4">
      <c r="B50" s="26" t="s">
        <v>261</v>
      </c>
    </row>
    <row r="52" spans="2:4">
      <c r="B52" s="450" t="s">
        <v>262</v>
      </c>
    </row>
    <row r="53" spans="2:4">
      <c r="B53" t="s">
        <v>265</v>
      </c>
      <c r="D53" s="87">
        <v>0.39150000000000001</v>
      </c>
    </row>
    <row r="55" spans="2:4">
      <c r="B55" s="450" t="s">
        <v>263</v>
      </c>
    </row>
    <row r="56" spans="2:4">
      <c r="B56" t="s">
        <v>265</v>
      </c>
      <c r="D56" s="87">
        <v>0.21049999999999999</v>
      </c>
    </row>
    <row r="58" spans="2:4">
      <c r="B58" s="450" t="s">
        <v>264</v>
      </c>
    </row>
    <row r="59" spans="2:4">
      <c r="B59" t="s">
        <v>265</v>
      </c>
      <c r="D59" s="87">
        <v>0.18340000000000001</v>
      </c>
    </row>
    <row r="62" spans="2:4" ht="21">
      <c r="B62" s="135" t="s">
        <v>266</v>
      </c>
    </row>
    <row r="75" spans="14:15">
      <c r="N75" t="s">
        <v>268</v>
      </c>
      <c r="O75" t="s">
        <v>273</v>
      </c>
    </row>
    <row r="76" spans="14:15">
      <c r="O76" t="s">
        <v>274</v>
      </c>
    </row>
    <row r="123" spans="2:2" ht="21">
      <c r="B123" s="135" t="s">
        <v>267</v>
      </c>
    </row>
    <row r="125" spans="2:2">
      <c r="B125" s="26"/>
    </row>
    <row r="147" spans="2:5">
      <c r="B147" t="s">
        <v>268</v>
      </c>
      <c r="C147" s="136" t="s">
        <v>269</v>
      </c>
    </row>
    <row r="150" spans="2:5" ht="21">
      <c r="B150" s="135" t="s">
        <v>270</v>
      </c>
    </row>
    <row r="152" spans="2:5">
      <c r="B152" t="s">
        <v>271</v>
      </c>
    </row>
    <row r="153" spans="2:5">
      <c r="D153" t="s">
        <v>244</v>
      </c>
      <c r="E153" t="s">
        <v>245</v>
      </c>
    </row>
    <row r="154" spans="2:5">
      <c r="B154" t="s">
        <v>272</v>
      </c>
      <c r="D154">
        <v>46.7</v>
      </c>
      <c r="E154">
        <v>46.7</v>
      </c>
    </row>
    <row r="156" spans="2:5">
      <c r="B156" t="s">
        <v>275</v>
      </c>
    </row>
    <row r="157" spans="2:5">
      <c r="B157" t="s">
        <v>272</v>
      </c>
      <c r="D157">
        <v>38.4</v>
      </c>
      <c r="E157">
        <v>38.9</v>
      </c>
    </row>
    <row r="159" spans="2:5">
      <c r="B159" t="s">
        <v>276</v>
      </c>
      <c r="D159" s="102">
        <f>MEDIAN(D154,D157)</f>
        <v>42.55</v>
      </c>
      <c r="E159">
        <f>MEDIAN(E154,E157)</f>
        <v>42.8</v>
      </c>
    </row>
    <row r="181" spans="1:13" ht="25.8">
      <c r="A181" t="s">
        <v>18</v>
      </c>
      <c r="B181" s="160" t="s">
        <v>280</v>
      </c>
      <c r="C181" s="9"/>
    </row>
    <row r="182" spans="1:13">
      <c r="L182" s="450" t="s">
        <v>236</v>
      </c>
      <c r="M182" s="450"/>
    </row>
    <row r="183" spans="1:13">
      <c r="B183" s="450" t="str">
        <f>'ConsolidatedP&amp;L'!B2</f>
        <v>Particulars</v>
      </c>
      <c r="C183" s="450"/>
      <c r="D183" s="450">
        <f>'ConsolidatedP&amp;L'!C2</f>
        <v>2019</v>
      </c>
      <c r="E183" s="450">
        <f>'ConsolidatedP&amp;L'!D2</f>
        <v>2020</v>
      </c>
      <c r="F183" s="450">
        <f>'ConsolidatedP&amp;L'!E2</f>
        <v>2021</v>
      </c>
      <c r="G183" s="450">
        <f>'ConsolidatedP&amp;L'!F2</f>
        <v>2022</v>
      </c>
      <c r="H183" s="450">
        <f>'ConsolidatedP&amp;L'!G2</f>
        <v>2023</v>
      </c>
      <c r="I183" s="450">
        <f>'ConsolidatedP&amp;L'!H2</f>
        <v>2024</v>
      </c>
      <c r="J183" s="450">
        <f>'ConsolidatedP&amp;L'!I2</f>
        <v>2025</v>
      </c>
      <c r="L183" s="450" t="s">
        <v>62</v>
      </c>
      <c r="M183" s="450" t="s">
        <v>61</v>
      </c>
    </row>
    <row r="184" spans="1:13">
      <c r="B184" t="str">
        <f>'ConsolidatedP&amp;L'!B6</f>
        <v>Revenue from operations</v>
      </c>
      <c r="D184" s="107">
        <f>'ConsolidatedP&amp;L'!C6</f>
        <v>9797.0600000000013</v>
      </c>
      <c r="E184" s="107">
        <f>'ConsolidatedP&amp;L'!D6</f>
        <v>9153.58</v>
      </c>
      <c r="F184" s="107">
        <f>'ConsolidatedP&amp;L'!E6</f>
        <v>8720.35</v>
      </c>
      <c r="G184" s="107">
        <f>'ConsolidatedP&amp;L'!F6</f>
        <v>10297.83</v>
      </c>
      <c r="H184" s="107">
        <f>'ConsolidatedP&amp;L'!G6</f>
        <v>14442.18</v>
      </c>
      <c r="I184" s="107">
        <f>'ConsolidatedP&amp;L'!H6</f>
        <v>16535.78</v>
      </c>
      <c r="J184" s="107">
        <f>'ConsolidatedP&amp;L'!I6</f>
        <v>18870.349999999999</v>
      </c>
      <c r="L184" s="134">
        <f>_xlfn.RRI(3,G184,J184)</f>
        <v>0.22370878852741982</v>
      </c>
      <c r="M184" s="134">
        <f>_xlfn.RRI(5,E184,J184)</f>
        <v>0.15568052490284168</v>
      </c>
    </row>
    <row r="185" spans="1:13">
      <c r="B185" s="79" t="s">
        <v>281</v>
      </c>
      <c r="D185" s="106">
        <f>'ConsolidatedP&amp;L'!C8</f>
        <v>6.2673142963751927E-2</v>
      </c>
      <c r="E185" s="106">
        <f>'ConsolidatedP&amp;L'!D8</f>
        <v>-6.5680928768426572E-2</v>
      </c>
      <c r="F185" s="106">
        <f>'ConsolidatedP&amp;L'!E8</f>
        <v>-4.732902318000165E-2</v>
      </c>
      <c r="G185" s="106">
        <f>'ConsolidatedP&amp;L'!F8</f>
        <v>0.18089640897441028</v>
      </c>
      <c r="H185" s="106">
        <f>'ConsolidatedP&amp;L'!G8</f>
        <v>0.40244886544058311</v>
      </c>
      <c r="I185" s="106">
        <f>'ConsolidatedP&amp;L'!H8</f>
        <v>0.14496426439775711</v>
      </c>
      <c r="J185" s="106">
        <f>'ConsolidatedP&amp;L'!I8</f>
        <v>0.14118293784750402</v>
      </c>
    </row>
    <row r="187" spans="1:13">
      <c r="B187" t="s">
        <v>280</v>
      </c>
      <c r="D187" s="140">
        <f>'ConsolidatedP&amp;L'!C31*-1</f>
        <v>1836.5700000000002</v>
      </c>
      <c r="E187" s="140">
        <f>'ConsolidatedP&amp;L'!D31*-1</f>
        <v>1977.29</v>
      </c>
      <c r="F187" s="140">
        <f>'ConsolidatedP&amp;L'!E31*-1</f>
        <v>1826.83</v>
      </c>
      <c r="G187" s="140">
        <f>'ConsolidatedP&amp;L'!F31*-1</f>
        <v>2169.9</v>
      </c>
      <c r="H187" s="140">
        <f>'ConsolidatedP&amp;L'!G31*-1</f>
        <v>2786.7</v>
      </c>
      <c r="I187" s="140">
        <f>'ConsolidatedP&amp;L'!H31*-1</f>
        <v>3228.2200000000003</v>
      </c>
      <c r="J187" s="140">
        <f>'ConsolidatedP&amp;L'!I31*-1</f>
        <v>3861.2400000000002</v>
      </c>
      <c r="L187" s="134">
        <f>_xlfn.RRI(3,G187,J187)</f>
        <v>0.21179463548837085</v>
      </c>
      <c r="M187" s="134">
        <f>_xlfn.RRI(5,E187,J187)</f>
        <v>0.14322387413260507</v>
      </c>
    </row>
    <row r="188" spans="1:13">
      <c r="B188" s="79" t="s">
        <v>281</v>
      </c>
      <c r="E188" s="35">
        <f>E187/D187-1</f>
        <v>7.6621092580190231E-2</v>
      </c>
      <c r="F188" s="35">
        <f t="shared" ref="F188:J188" si="0">F187/E187-1</f>
        <v>-7.6094047914064267E-2</v>
      </c>
      <c r="G188" s="35">
        <f t="shared" si="0"/>
        <v>0.18779525188441193</v>
      </c>
      <c r="H188" s="35">
        <f t="shared" si="0"/>
        <v>0.28425273054057776</v>
      </c>
      <c r="I188" s="35">
        <f t="shared" si="0"/>
        <v>0.15843829619262939</v>
      </c>
      <c r="J188" s="35">
        <f t="shared" si="0"/>
        <v>0.1960894858466895</v>
      </c>
    </row>
    <row r="190" spans="1:13">
      <c r="B190" s="26" t="s">
        <v>282</v>
      </c>
    </row>
    <row r="192" spans="1:13">
      <c r="B192" s="450" t="s">
        <v>283</v>
      </c>
      <c r="C192" s="450"/>
      <c r="D192" s="450">
        <v>2019</v>
      </c>
      <c r="E192" s="450">
        <f>D192+1</f>
        <v>2020</v>
      </c>
      <c r="F192" s="450">
        <f t="shared" ref="F192:J192" si="1">E192+1</f>
        <v>2021</v>
      </c>
      <c r="G192" s="450">
        <f t="shared" si="1"/>
        <v>2022</v>
      </c>
      <c r="H192" s="450">
        <f t="shared" si="1"/>
        <v>2023</v>
      </c>
      <c r="I192" s="450">
        <f t="shared" si="1"/>
        <v>2024</v>
      </c>
      <c r="J192" s="450">
        <f t="shared" si="1"/>
        <v>2025</v>
      </c>
    </row>
    <row r="193" spans="2:10">
      <c r="B193" s="19" t="s">
        <v>158</v>
      </c>
      <c r="C193" s="19"/>
      <c r="D193" s="107">
        <v>9797.0600000000013</v>
      </c>
      <c r="E193" s="107">
        <v>9153.58</v>
      </c>
      <c r="F193" s="107">
        <v>8720.35</v>
      </c>
      <c r="G193" s="107">
        <v>10297.83</v>
      </c>
      <c r="H193" s="107">
        <v>14442.18</v>
      </c>
      <c r="I193" s="107">
        <v>16535.78</v>
      </c>
      <c r="J193" s="107">
        <v>18870.349999999999</v>
      </c>
    </row>
    <row r="194" spans="2:10">
      <c r="B194" s="133"/>
      <c r="C194" s="133"/>
      <c r="D194" s="133"/>
      <c r="E194" s="133"/>
      <c r="F194" s="133"/>
      <c r="G194" s="133"/>
      <c r="H194" s="133"/>
      <c r="I194" s="133"/>
      <c r="J194" s="133"/>
    </row>
    <row r="195" spans="2:10">
      <c r="B195" t="s">
        <v>284</v>
      </c>
      <c r="D195" s="140">
        <v>702.44</v>
      </c>
      <c r="E195" s="140">
        <v>795.78</v>
      </c>
      <c r="F195" s="140">
        <v>843.23</v>
      </c>
      <c r="G195" s="140">
        <v>821.02</v>
      </c>
      <c r="H195" s="140">
        <v>1001.93</v>
      </c>
      <c r="I195" s="140">
        <v>1235.69</v>
      </c>
      <c r="J195" s="140">
        <v>1391.23</v>
      </c>
    </row>
    <row r="196" spans="2:10">
      <c r="B196" t="s">
        <v>285</v>
      </c>
      <c r="D196">
        <v>169.63</v>
      </c>
      <c r="E196">
        <v>156.38</v>
      </c>
      <c r="F196">
        <v>139.51</v>
      </c>
      <c r="G196">
        <v>198.56</v>
      </c>
      <c r="H196">
        <v>262.25</v>
      </c>
      <c r="I196">
        <v>239.14</v>
      </c>
      <c r="J196">
        <v>286.56</v>
      </c>
    </row>
    <row r="197" spans="2:10">
      <c r="B197" t="s">
        <v>286</v>
      </c>
      <c r="D197">
        <v>66.959999999999994</v>
      </c>
      <c r="E197">
        <v>62.86</v>
      </c>
      <c r="F197">
        <v>52.98</v>
      </c>
      <c r="G197">
        <v>55.78</v>
      </c>
      <c r="H197">
        <v>72.97</v>
      </c>
      <c r="I197">
        <v>80.61</v>
      </c>
      <c r="J197">
        <v>89.53</v>
      </c>
    </row>
    <row r="198" spans="2:10">
      <c r="B198" t="s">
        <v>287</v>
      </c>
      <c r="D198">
        <v>13.24</v>
      </c>
      <c r="E198">
        <v>17.5</v>
      </c>
      <c r="F198">
        <v>25.94</v>
      </c>
      <c r="G198">
        <v>31.83</v>
      </c>
      <c r="H198">
        <v>37.58</v>
      </c>
      <c r="I198">
        <v>43.18</v>
      </c>
      <c r="J198">
        <v>51.5</v>
      </c>
    </row>
    <row r="199" spans="2:10">
      <c r="B199" t="s">
        <v>288</v>
      </c>
    </row>
    <row r="200" spans="2:10">
      <c r="B200" s="36" t="s">
        <v>289</v>
      </c>
      <c r="D200">
        <v>3.48</v>
      </c>
      <c r="E200">
        <v>3.57</v>
      </c>
      <c r="F200">
        <v>3.77</v>
      </c>
      <c r="G200">
        <v>3.28</v>
      </c>
      <c r="H200">
        <v>6.29</v>
      </c>
      <c r="I200">
        <v>7.08</v>
      </c>
      <c r="J200">
        <v>6.43</v>
      </c>
    </row>
    <row r="201" spans="2:10">
      <c r="B201" s="36" t="s">
        <v>290</v>
      </c>
      <c r="D201">
        <v>44.94</v>
      </c>
      <c r="E201">
        <v>42.88</v>
      </c>
      <c r="F201">
        <v>43.83</v>
      </c>
      <c r="G201">
        <v>48.48</v>
      </c>
      <c r="H201">
        <v>44.09</v>
      </c>
      <c r="I201">
        <v>52.71</v>
      </c>
      <c r="J201">
        <v>50.63</v>
      </c>
    </row>
    <row r="202" spans="2:10">
      <c r="B202" s="36" t="s">
        <v>291</v>
      </c>
      <c r="D202">
        <v>45.44</v>
      </c>
      <c r="E202">
        <v>53.75</v>
      </c>
      <c r="F202">
        <v>63.74</v>
      </c>
      <c r="G202">
        <v>82.09</v>
      </c>
      <c r="H202">
        <v>84.58</v>
      </c>
      <c r="I202">
        <v>95.43</v>
      </c>
      <c r="J202">
        <v>110.15</v>
      </c>
    </row>
    <row r="203" spans="2:10">
      <c r="B203" t="s">
        <v>292</v>
      </c>
      <c r="D203">
        <v>6.07</v>
      </c>
      <c r="E203">
        <v>3.98</v>
      </c>
      <c r="F203">
        <v>5.12</v>
      </c>
      <c r="G203">
        <v>6.26</v>
      </c>
      <c r="H203">
        <v>5.99</v>
      </c>
      <c r="I203">
        <v>39.01</v>
      </c>
      <c r="J203">
        <v>17.22</v>
      </c>
    </row>
    <row r="204" spans="2:10">
      <c r="B204" t="s">
        <v>293</v>
      </c>
      <c r="D204">
        <v>30.36</v>
      </c>
      <c r="E204">
        <v>21.76</v>
      </c>
      <c r="F204">
        <v>18.2</v>
      </c>
      <c r="G204">
        <v>30.82</v>
      </c>
      <c r="H204">
        <v>42.21</v>
      </c>
      <c r="I204">
        <v>55.17</v>
      </c>
      <c r="J204">
        <v>108.35</v>
      </c>
    </row>
    <row r="205" spans="2:10">
      <c r="B205" t="s">
        <v>294</v>
      </c>
      <c r="D205">
        <v>143.61000000000001</v>
      </c>
      <c r="E205">
        <v>144.91</v>
      </c>
      <c r="F205">
        <v>121.1</v>
      </c>
      <c r="G205">
        <v>180.97</v>
      </c>
      <c r="H205">
        <v>272.83</v>
      </c>
      <c r="I205">
        <v>265.57</v>
      </c>
      <c r="J205">
        <v>330.64</v>
      </c>
    </row>
    <row r="206" spans="2:10">
      <c r="B206" t="s">
        <v>295</v>
      </c>
      <c r="D206">
        <v>43.33</v>
      </c>
      <c r="E206">
        <v>55.63</v>
      </c>
      <c r="F206">
        <v>53.87</v>
      </c>
      <c r="G206">
        <v>118.56</v>
      </c>
      <c r="H206">
        <v>145.47</v>
      </c>
      <c r="I206">
        <v>103.86</v>
      </c>
      <c r="J206">
        <v>88.13</v>
      </c>
    </row>
    <row r="207" spans="2:10">
      <c r="B207" s="19" t="s">
        <v>315</v>
      </c>
      <c r="D207">
        <v>196.01</v>
      </c>
      <c r="E207">
        <v>244.73</v>
      </c>
      <c r="F207">
        <v>180.93</v>
      </c>
      <c r="G207">
        <v>284.69</v>
      </c>
      <c r="H207">
        <v>426.39</v>
      </c>
      <c r="I207">
        <v>546.20000000000005</v>
      </c>
      <c r="J207">
        <v>760.88</v>
      </c>
    </row>
    <row r="208" spans="2:10">
      <c r="B208" t="s">
        <v>296</v>
      </c>
      <c r="D208">
        <v>48.69</v>
      </c>
      <c r="E208">
        <v>14.37</v>
      </c>
      <c r="F208">
        <v>14.45</v>
      </c>
      <c r="G208">
        <v>28.11</v>
      </c>
      <c r="H208">
        <v>46.11</v>
      </c>
      <c r="I208">
        <v>68.03</v>
      </c>
      <c r="J208">
        <v>76.64</v>
      </c>
    </row>
    <row r="209" spans="2:14">
      <c r="B209" t="s">
        <v>297</v>
      </c>
      <c r="D209">
        <v>58.46</v>
      </c>
      <c r="E209">
        <v>60.18</v>
      </c>
      <c r="F209">
        <v>59.61</v>
      </c>
      <c r="G209">
        <v>72.05</v>
      </c>
      <c r="H209">
        <v>62.52</v>
      </c>
      <c r="I209">
        <v>90.02</v>
      </c>
      <c r="J209">
        <v>122.61</v>
      </c>
    </row>
    <row r="210" spans="2:14">
      <c r="B210" t="s">
        <v>298</v>
      </c>
      <c r="D210">
        <v>93.57</v>
      </c>
      <c r="E210">
        <v>92.29</v>
      </c>
      <c r="F210">
        <v>33</v>
      </c>
      <c r="G210">
        <v>50.18</v>
      </c>
      <c r="H210">
        <v>110.66</v>
      </c>
      <c r="I210">
        <v>137.33000000000001</v>
      </c>
      <c r="J210">
        <v>163.13</v>
      </c>
    </row>
    <row r="211" spans="2:14">
      <c r="B211" t="s">
        <v>299</v>
      </c>
      <c r="D211">
        <v>13.59</v>
      </c>
      <c r="E211">
        <v>11.12</v>
      </c>
      <c r="F211">
        <v>8.93</v>
      </c>
      <c r="G211">
        <v>12.04</v>
      </c>
      <c r="H211">
        <v>14.82</v>
      </c>
      <c r="I211">
        <v>36.54</v>
      </c>
      <c r="J211">
        <v>37.08</v>
      </c>
    </row>
    <row r="212" spans="2:14">
      <c r="B212" t="s">
        <v>300</v>
      </c>
      <c r="D212">
        <v>45.39</v>
      </c>
      <c r="E212">
        <v>55.39</v>
      </c>
      <c r="F212">
        <v>56.37</v>
      </c>
      <c r="G212">
        <v>52.71</v>
      </c>
      <c r="H212">
        <v>45.18</v>
      </c>
      <c r="I212">
        <v>51.87</v>
      </c>
      <c r="J212">
        <v>66.680000000000007</v>
      </c>
    </row>
    <row r="213" spans="2:14">
      <c r="B213" t="s">
        <v>301</v>
      </c>
      <c r="D213">
        <v>1.1299999999999999</v>
      </c>
      <c r="E213">
        <v>2.54</v>
      </c>
      <c r="F213">
        <v>1.98</v>
      </c>
      <c r="G213">
        <v>5.32</v>
      </c>
      <c r="H213">
        <v>2.14</v>
      </c>
      <c r="I213">
        <v>2.46</v>
      </c>
      <c r="J213">
        <v>10.54</v>
      </c>
    </row>
    <row r="214" spans="2:14">
      <c r="B214" t="s">
        <v>302</v>
      </c>
      <c r="D214">
        <v>0.49</v>
      </c>
      <c r="E214" s="141">
        <v>0</v>
      </c>
      <c r="F214">
        <v>18.29</v>
      </c>
      <c r="G214">
        <v>1.4</v>
      </c>
      <c r="H214">
        <v>7.38</v>
      </c>
      <c r="I214">
        <v>1.41</v>
      </c>
      <c r="J214">
        <v>0.89</v>
      </c>
    </row>
    <row r="215" spans="2:14">
      <c r="B215" t="s">
        <v>303</v>
      </c>
      <c r="D215">
        <v>95.62</v>
      </c>
      <c r="E215">
        <v>119.71</v>
      </c>
      <c r="F215">
        <v>73.5</v>
      </c>
      <c r="G215">
        <v>85.75</v>
      </c>
      <c r="H215">
        <v>95.31</v>
      </c>
      <c r="I215">
        <v>76.91</v>
      </c>
      <c r="J215">
        <v>92.42</v>
      </c>
    </row>
    <row r="216" spans="2:14" ht="15" thickBot="1">
      <c r="B216" s="86" t="s">
        <v>169</v>
      </c>
      <c r="C216" s="86"/>
      <c r="D216" s="142">
        <f>SUM(D195:D198,D200:D215)</f>
        <v>1822.4500000000003</v>
      </c>
      <c r="E216" s="142">
        <f>SUM(E195:E198,E200:E215)</f>
        <v>1959.3300000000002</v>
      </c>
      <c r="F216" s="142">
        <f t="shared" ref="F216:J216" si="2">SUM(F195:F198,F200:F215)</f>
        <v>1818.3499999999997</v>
      </c>
      <c r="G216" s="142">
        <f t="shared" si="2"/>
        <v>2169.8999999999996</v>
      </c>
      <c r="H216" s="142">
        <f t="shared" si="2"/>
        <v>2786.6999999999994</v>
      </c>
      <c r="I216" s="142">
        <f t="shared" si="2"/>
        <v>3228.2200000000003</v>
      </c>
      <c r="J216" s="142">
        <f t="shared" si="2"/>
        <v>3861.2400000000002</v>
      </c>
    </row>
    <row r="217" spans="2:14">
      <c r="B217" s="26"/>
      <c r="C217" s="26"/>
      <c r="D217" s="146"/>
      <c r="E217" s="146"/>
      <c r="F217" s="146"/>
      <c r="G217" s="146"/>
      <c r="H217" s="146"/>
      <c r="I217" s="146"/>
      <c r="J217" s="146"/>
      <c r="L217" s="450" t="s">
        <v>259</v>
      </c>
      <c r="M217" s="450" t="s">
        <v>260</v>
      </c>
    </row>
    <row r="218" spans="2:14">
      <c r="B218" s="26" t="s">
        <v>304</v>
      </c>
      <c r="C218" s="26"/>
      <c r="D218" s="147">
        <f>D216/D193</f>
        <v>0.18602009174180825</v>
      </c>
      <c r="E218" s="147">
        <f t="shared" ref="E218:J218" si="3">E216/E193</f>
        <v>0.21405067743986508</v>
      </c>
      <c r="F218" s="147">
        <f t="shared" si="3"/>
        <v>0.20851800673138116</v>
      </c>
      <c r="G218" s="147">
        <f t="shared" si="3"/>
        <v>0.21071429611869683</v>
      </c>
      <c r="H218" s="147">
        <f t="shared" si="3"/>
        <v>0.19295563412171843</v>
      </c>
      <c r="I218" s="147">
        <f t="shared" si="3"/>
        <v>0.19522635158426155</v>
      </c>
      <c r="J218" s="147">
        <f t="shared" si="3"/>
        <v>0.20461941617405086</v>
      </c>
      <c r="L218" s="134">
        <f>MEDIAN(D218:J218)</f>
        <v>0.20461941617405086</v>
      </c>
      <c r="M218" s="134">
        <f>AVERAGE(D218:J218)</f>
        <v>0.20172921055882603</v>
      </c>
      <c r="N218" s="47"/>
    </row>
    <row r="220" spans="2:14">
      <c r="B220" s="450" t="s">
        <v>283</v>
      </c>
      <c r="C220" s="450"/>
      <c r="D220" s="450">
        <v>2019</v>
      </c>
      <c r="E220" s="450">
        <f>D220+1</f>
        <v>2020</v>
      </c>
      <c r="F220" s="450">
        <f t="shared" ref="F220:J220" si="4">E220+1</f>
        <v>2021</v>
      </c>
      <c r="G220" s="450">
        <f t="shared" si="4"/>
        <v>2022</v>
      </c>
      <c r="H220" s="450">
        <f t="shared" si="4"/>
        <v>2023</v>
      </c>
      <c r="I220" s="450">
        <f t="shared" si="4"/>
        <v>2024</v>
      </c>
      <c r="J220" s="450">
        <f t="shared" si="4"/>
        <v>2025</v>
      </c>
      <c r="L220" s="450" t="s">
        <v>259</v>
      </c>
      <c r="M220" s="450" t="s">
        <v>260</v>
      </c>
    </row>
    <row r="221" spans="2:14">
      <c r="B221" s="144" t="s">
        <v>284</v>
      </c>
      <c r="C221" s="144"/>
      <c r="D221" s="134">
        <f>D195/D$216</f>
        <v>0.38543718620538281</v>
      </c>
      <c r="E221" s="134">
        <f t="shared" ref="E221:J221" si="5">E195/E$216</f>
        <v>0.40614904074351943</v>
      </c>
      <c r="F221" s="134">
        <f t="shared" si="5"/>
        <v>0.46373360464157076</v>
      </c>
      <c r="G221" s="134">
        <f t="shared" si="5"/>
        <v>0.37836766671275179</v>
      </c>
      <c r="H221" s="134">
        <f t="shared" si="5"/>
        <v>0.35953995765600899</v>
      </c>
      <c r="I221" s="134">
        <f t="shared" si="5"/>
        <v>0.38277750587010795</v>
      </c>
      <c r="J221" s="134">
        <f t="shared" si="5"/>
        <v>0.36030653365240178</v>
      </c>
      <c r="L221" s="134">
        <f>MEDIAN(D221:J221)</f>
        <v>0.38277750587010795</v>
      </c>
      <c r="M221" s="134">
        <f>AVERAGE(D221:J221)</f>
        <v>0.39090164221167761</v>
      </c>
    </row>
    <row r="222" spans="2:14">
      <c r="B222" s="144" t="s">
        <v>285</v>
      </c>
      <c r="C222" s="144"/>
      <c r="D222" s="134">
        <f t="shared" ref="D222:J222" si="6">D196/D$216</f>
        <v>9.3077999396416894E-2</v>
      </c>
      <c r="E222" s="134">
        <f t="shared" si="6"/>
        <v>7.9812997300097471E-2</v>
      </c>
      <c r="F222" s="134">
        <f t="shared" si="6"/>
        <v>7.6723403085214623E-2</v>
      </c>
      <c r="G222" s="134">
        <f t="shared" si="6"/>
        <v>9.1506521037835867E-2</v>
      </c>
      <c r="H222" s="134">
        <f t="shared" si="6"/>
        <v>9.4107725984138968E-2</v>
      </c>
      <c r="I222" s="134">
        <f t="shared" si="6"/>
        <v>7.4077974859210333E-2</v>
      </c>
      <c r="J222" s="134">
        <f t="shared" si="6"/>
        <v>7.4214501041116321E-2</v>
      </c>
      <c r="L222" s="134">
        <f t="shared" ref="L222:L241" si="7">MEDIAN(D222:J222)</f>
        <v>7.9812997300097471E-2</v>
      </c>
      <c r="M222" s="134">
        <f t="shared" ref="M222:M241" si="8">AVERAGE(D222:J222)</f>
        <v>8.3360160386290058E-2</v>
      </c>
    </row>
    <row r="223" spans="2:14">
      <c r="B223" t="s">
        <v>286</v>
      </c>
      <c r="D223" s="35">
        <f t="shared" ref="D223:J223" si="9">D197/D$216</f>
        <v>3.6741748744821522E-2</v>
      </c>
      <c r="E223" s="35">
        <f t="shared" si="9"/>
        <v>3.2082395512751806E-2</v>
      </c>
      <c r="F223" s="35">
        <f t="shared" si="9"/>
        <v>2.9136304891797513E-2</v>
      </c>
      <c r="G223" s="35">
        <f t="shared" si="9"/>
        <v>2.570625374441219E-2</v>
      </c>
      <c r="H223" s="35">
        <f t="shared" si="9"/>
        <v>2.6185093479743071E-2</v>
      </c>
      <c r="I223" s="35">
        <f t="shared" si="9"/>
        <v>2.4970417133900413E-2</v>
      </c>
      <c r="J223" s="35">
        <f t="shared" si="9"/>
        <v>2.3186851892138274E-2</v>
      </c>
      <c r="L223" s="145">
        <f t="shared" si="7"/>
        <v>2.6185093479743071E-2</v>
      </c>
      <c r="M223" s="145">
        <f t="shared" si="8"/>
        <v>2.8287009342794971E-2</v>
      </c>
    </row>
    <row r="224" spans="2:14">
      <c r="B224" t="s">
        <v>287</v>
      </c>
      <c r="D224" s="35">
        <f t="shared" ref="D224:J224" si="10">D198/D$216</f>
        <v>7.2649455403440413E-3</v>
      </c>
      <c r="E224" s="35">
        <f t="shared" si="10"/>
        <v>8.9316245859554031E-3</v>
      </c>
      <c r="F224" s="35">
        <f t="shared" si="10"/>
        <v>1.4265680424560731E-2</v>
      </c>
      <c r="G224" s="35">
        <f t="shared" si="10"/>
        <v>1.4668878750172821E-2</v>
      </c>
      <c r="H224" s="35">
        <f t="shared" si="10"/>
        <v>1.3485484623389676E-2</v>
      </c>
      <c r="I224" s="35">
        <f t="shared" si="10"/>
        <v>1.3375792232251828E-2</v>
      </c>
      <c r="J224" s="35">
        <f t="shared" si="10"/>
        <v>1.3337684267230216E-2</v>
      </c>
      <c r="L224" s="145">
        <f t="shared" si="7"/>
        <v>1.3375792232251828E-2</v>
      </c>
      <c r="M224" s="145">
        <f t="shared" si="8"/>
        <v>1.2190012917700674E-2</v>
      </c>
    </row>
    <row r="225" spans="2:17">
      <c r="B225" t="s">
        <v>288</v>
      </c>
      <c r="L225" s="145"/>
      <c r="M225" s="145"/>
    </row>
    <row r="226" spans="2:17">
      <c r="B226" s="36" t="s">
        <v>289</v>
      </c>
      <c r="D226" s="35">
        <f t="shared" ref="D226:J226" si="11">D200/D$216</f>
        <v>1.9095174078849898E-3</v>
      </c>
      <c r="E226" s="35">
        <f t="shared" si="11"/>
        <v>1.8220514155349019E-3</v>
      </c>
      <c r="F226" s="35">
        <f t="shared" si="11"/>
        <v>2.0733082189897437E-3</v>
      </c>
      <c r="G226" s="35">
        <f t="shared" si="11"/>
        <v>1.5115903958707777E-3</v>
      </c>
      <c r="H226" s="35">
        <f t="shared" si="11"/>
        <v>2.257150034090502E-3</v>
      </c>
      <c r="I226" s="35">
        <f t="shared" si="11"/>
        <v>2.1931590783775576E-3</v>
      </c>
      <c r="J226" s="35">
        <f t="shared" si="11"/>
        <v>1.6652681521998113E-3</v>
      </c>
      <c r="L226" s="145">
        <f t="shared" si="7"/>
        <v>1.9095174078849898E-3</v>
      </c>
      <c r="M226" s="145">
        <f t="shared" si="8"/>
        <v>1.9188635289926119E-3</v>
      </c>
    </row>
    <row r="227" spans="2:17">
      <c r="B227" s="36" t="s">
        <v>290</v>
      </c>
      <c r="D227" s="35">
        <f t="shared" ref="D227:J227" si="12">D201/D$216</f>
        <v>2.4659112732859607E-2</v>
      </c>
      <c r="E227" s="35">
        <f t="shared" si="12"/>
        <v>2.1885032128329582E-2</v>
      </c>
      <c r="F227" s="35">
        <f t="shared" si="12"/>
        <v>2.4104270354992168E-2</v>
      </c>
      <c r="G227" s="35">
        <f t="shared" si="12"/>
        <v>2.2342043412138812E-2</v>
      </c>
      <c r="H227" s="35">
        <f t="shared" si="12"/>
        <v>1.5821581081566016E-2</v>
      </c>
      <c r="I227" s="35">
        <f t="shared" si="12"/>
        <v>1.6327883477582072E-2</v>
      </c>
      <c r="J227" s="35">
        <f t="shared" si="12"/>
        <v>1.3112368047570211E-2</v>
      </c>
      <c r="L227" s="145">
        <f t="shared" si="7"/>
        <v>2.1885032128329582E-2</v>
      </c>
      <c r="M227" s="145">
        <f t="shared" si="8"/>
        <v>1.975032731929121E-2</v>
      </c>
    </row>
    <row r="228" spans="2:17">
      <c r="B228" s="36" t="s">
        <v>291</v>
      </c>
      <c r="D228" s="35">
        <f t="shared" ref="D228:J228" si="13">D202/D$216</f>
        <v>2.4933468682268371E-2</v>
      </c>
      <c r="E228" s="35">
        <f t="shared" si="13"/>
        <v>2.7432846942577308E-2</v>
      </c>
      <c r="F228" s="35">
        <f t="shared" si="13"/>
        <v>3.5053757527428717E-2</v>
      </c>
      <c r="G228" s="35">
        <f t="shared" si="13"/>
        <v>3.7831236462509799E-2</v>
      </c>
      <c r="H228" s="35">
        <f t="shared" si="13"/>
        <v>3.0351311587181979E-2</v>
      </c>
      <c r="I228" s="35">
        <f t="shared" si="13"/>
        <v>2.9561182323385643E-2</v>
      </c>
      <c r="J228" s="35">
        <f t="shared" si="13"/>
        <v>2.8527105282240939E-2</v>
      </c>
      <c r="K228" s="47"/>
      <c r="L228" s="145">
        <f t="shared" si="7"/>
        <v>2.9561182323385643E-2</v>
      </c>
      <c r="M228" s="145">
        <f t="shared" si="8"/>
        <v>3.052727268679897E-2</v>
      </c>
      <c r="N228" s="47"/>
      <c r="O228" s="47"/>
      <c r="P228" s="47"/>
      <c r="Q228" s="47"/>
    </row>
    <row r="229" spans="2:17">
      <c r="B229" t="s">
        <v>292</v>
      </c>
      <c r="D229" s="35">
        <f t="shared" ref="D229:J229" si="14">D203/D$216</f>
        <v>3.3306812258223815E-3</v>
      </c>
      <c r="E229" s="35">
        <f t="shared" si="14"/>
        <v>2.0313066201201428E-3</v>
      </c>
      <c r="F229" s="35">
        <f t="shared" si="14"/>
        <v>2.8157395440921722E-3</v>
      </c>
      <c r="G229" s="35">
        <f t="shared" si="14"/>
        <v>2.884925572607033E-3</v>
      </c>
      <c r="H229" s="35">
        <f t="shared" si="14"/>
        <v>2.1494958194279976E-3</v>
      </c>
      <c r="I229" s="35">
        <f t="shared" si="14"/>
        <v>1.2084058707275216E-2</v>
      </c>
      <c r="J229" s="35">
        <f t="shared" si="14"/>
        <v>4.4597072443049376E-3</v>
      </c>
      <c r="L229" s="145">
        <f t="shared" si="7"/>
        <v>2.884925572607033E-3</v>
      </c>
      <c r="M229" s="145">
        <f t="shared" si="8"/>
        <v>4.2508449619499825E-3</v>
      </c>
    </row>
    <row r="230" spans="2:17">
      <c r="B230" t="s">
        <v>293</v>
      </c>
      <c r="D230" s="35">
        <f t="shared" ref="D230:J230" si="15">D204/D$216</f>
        <v>1.6658893248100083E-2</v>
      </c>
      <c r="E230" s="35">
        <f t="shared" si="15"/>
        <v>1.1105837199450833E-2</v>
      </c>
      <c r="F230" s="35">
        <f t="shared" si="15"/>
        <v>1.0009074160640142E-2</v>
      </c>
      <c r="G230" s="35">
        <f t="shared" si="15"/>
        <v>1.420341951241993E-2</v>
      </c>
      <c r="H230" s="35">
        <f t="shared" si="15"/>
        <v>1.5146948003014322E-2</v>
      </c>
      <c r="I230" s="35">
        <f t="shared" si="15"/>
        <v>1.7089913326848852E-2</v>
      </c>
      <c r="J230" s="35">
        <f t="shared" si="15"/>
        <v>2.8060933793289198E-2</v>
      </c>
      <c r="L230" s="145">
        <f t="shared" si="7"/>
        <v>1.5146948003014322E-2</v>
      </c>
      <c r="M230" s="145">
        <f t="shared" si="8"/>
        <v>1.6039288463394762E-2</v>
      </c>
    </row>
    <row r="231" spans="2:17">
      <c r="B231" s="144" t="s">
        <v>294</v>
      </c>
      <c r="C231" s="144"/>
      <c r="D231" s="134">
        <f t="shared" ref="D231:J231" si="16">D205/D$216</f>
        <v>7.8800515789184886E-2</v>
      </c>
      <c r="E231" s="134">
        <f t="shared" si="16"/>
        <v>7.3958955357188425E-2</v>
      </c>
      <c r="F231" s="134">
        <f t="shared" si="16"/>
        <v>6.6598839607336327E-2</v>
      </c>
      <c r="G231" s="134">
        <f t="shared" si="16"/>
        <v>8.340015668924837E-2</v>
      </c>
      <c r="H231" s="134">
        <f t="shared" si="16"/>
        <v>9.7904331287903268E-2</v>
      </c>
      <c r="I231" s="134">
        <f t="shared" si="16"/>
        <v>8.2265149215357061E-2</v>
      </c>
      <c r="J231" s="134">
        <f t="shared" si="16"/>
        <v>8.5630522837223264E-2</v>
      </c>
      <c r="L231" s="134">
        <f t="shared" si="7"/>
        <v>8.2265149215357061E-2</v>
      </c>
      <c r="M231" s="134">
        <f t="shared" si="8"/>
        <v>8.1222638683348794E-2</v>
      </c>
    </row>
    <row r="232" spans="2:17">
      <c r="B232" t="s">
        <v>295</v>
      </c>
      <c r="D232" s="35">
        <f t="shared" ref="D232:J232" si="17">D206/D$216</f>
        <v>2.3775686575763393E-2</v>
      </c>
      <c r="E232" s="35">
        <f t="shared" si="17"/>
        <v>2.8392358612382804E-2</v>
      </c>
      <c r="F232" s="35">
        <f t="shared" si="17"/>
        <v>2.962575961723541E-2</v>
      </c>
      <c r="G232" s="35">
        <f t="shared" si="17"/>
        <v>5.4638462601963235E-2</v>
      </c>
      <c r="H232" s="35">
        <f t="shared" si="17"/>
        <v>5.2201528689848217E-2</v>
      </c>
      <c r="I232" s="35">
        <f t="shared" si="17"/>
        <v>3.2172528514165702E-2</v>
      </c>
      <c r="J232" s="35">
        <f t="shared" si="17"/>
        <v>2.2824274067398034E-2</v>
      </c>
      <c r="L232" s="145">
        <f t="shared" si="7"/>
        <v>2.962575961723541E-2</v>
      </c>
      <c r="M232" s="145">
        <f t="shared" si="8"/>
        <v>3.4804371239822399E-2</v>
      </c>
    </row>
    <row r="233" spans="2:17">
      <c r="B233" s="144" t="s">
        <v>315</v>
      </c>
      <c r="C233" s="144"/>
      <c r="D233" s="134">
        <f t="shared" ref="D233:J233" si="18">D207/D$216</f>
        <v>0.10755301928722322</v>
      </c>
      <c r="E233" s="134">
        <f t="shared" si="18"/>
        <v>0.12490494199547802</v>
      </c>
      <c r="F233" s="134">
        <f t="shared" si="18"/>
        <v>9.9502296037616539E-2</v>
      </c>
      <c r="G233" s="134">
        <f t="shared" si="18"/>
        <v>0.13119959445135723</v>
      </c>
      <c r="H233" s="134">
        <f t="shared" si="18"/>
        <v>0.15300893529981702</v>
      </c>
      <c r="I233" s="134">
        <f t="shared" si="18"/>
        <v>0.1691954079957376</v>
      </c>
      <c r="J233" s="134">
        <f t="shared" si="18"/>
        <v>0.19705586806310924</v>
      </c>
      <c r="L233" s="134">
        <f t="shared" si="7"/>
        <v>0.13119959445135723</v>
      </c>
      <c r="M233" s="134">
        <f t="shared" si="8"/>
        <v>0.14034572330433412</v>
      </c>
    </row>
    <row r="234" spans="2:17">
      <c r="B234" t="s">
        <v>296</v>
      </c>
      <c r="D234" s="35">
        <f t="shared" ref="D234:J234" si="19">D208/D$216</f>
        <v>2.6716782353425329E-2</v>
      </c>
      <c r="E234" s="35">
        <f t="shared" si="19"/>
        <v>7.334139731438807E-3</v>
      </c>
      <c r="F234" s="35">
        <f t="shared" si="19"/>
        <v>7.9467649242445076E-3</v>
      </c>
      <c r="G234" s="35">
        <f t="shared" si="19"/>
        <v>1.2954514032904743E-2</v>
      </c>
      <c r="H234" s="35">
        <f t="shared" si="19"/>
        <v>1.6546452793626876E-2</v>
      </c>
      <c r="I234" s="35">
        <f t="shared" si="19"/>
        <v>2.107353278277193E-2</v>
      </c>
      <c r="J234" s="35">
        <f t="shared" si="19"/>
        <v>1.984854606292279E-2</v>
      </c>
      <c r="L234" s="145">
        <f t="shared" si="7"/>
        <v>1.6546452793626876E-2</v>
      </c>
      <c r="M234" s="145">
        <f t="shared" si="8"/>
        <v>1.6060104668762138E-2</v>
      </c>
    </row>
    <row r="235" spans="2:17">
      <c r="B235" t="s">
        <v>297</v>
      </c>
      <c r="D235" s="35">
        <f t="shared" ref="D235:J235" si="20">D209/D$216</f>
        <v>3.2077697604872557E-2</v>
      </c>
      <c r="E235" s="35">
        <f t="shared" si="20"/>
        <v>3.0714581004731206E-2</v>
      </c>
      <c r="F235" s="35">
        <f t="shared" si="20"/>
        <v>3.2782467621744991E-2</v>
      </c>
      <c r="G235" s="35">
        <f t="shared" si="20"/>
        <v>3.3204295128807786E-2</v>
      </c>
      <c r="H235" s="35">
        <f t="shared" si="20"/>
        <v>2.2435138335665846E-2</v>
      </c>
      <c r="I235" s="35">
        <f t="shared" si="20"/>
        <v>2.7885336191461545E-2</v>
      </c>
      <c r="J235" s="35">
        <f t="shared" si="20"/>
        <v>3.1754047922429064E-2</v>
      </c>
      <c r="L235" s="145">
        <f t="shared" si="7"/>
        <v>3.1754047922429064E-2</v>
      </c>
      <c r="M235" s="145">
        <f t="shared" si="8"/>
        <v>3.0121937687101859E-2</v>
      </c>
    </row>
    <row r="236" spans="2:17">
      <c r="B236" t="s">
        <v>298</v>
      </c>
      <c r="D236" s="35">
        <f t="shared" ref="D236:J236" si="21">D210/D$216</f>
        <v>5.1342972372355883E-2</v>
      </c>
      <c r="E236" s="35">
        <f t="shared" si="21"/>
        <v>4.710283617358995E-2</v>
      </c>
      <c r="F236" s="35">
        <f t="shared" si="21"/>
        <v>1.8148321280281578E-2</v>
      </c>
      <c r="G236" s="35">
        <f t="shared" si="21"/>
        <v>2.3125489653901106E-2</v>
      </c>
      <c r="H236" s="35">
        <f t="shared" si="21"/>
        <v>3.9710051315175666E-2</v>
      </c>
      <c r="I236" s="35">
        <f t="shared" si="21"/>
        <v>4.254047121943362E-2</v>
      </c>
      <c r="J236" s="35">
        <f t="shared" si="21"/>
        <v>4.2248086107053689E-2</v>
      </c>
      <c r="L236" s="145">
        <f t="shared" si="7"/>
        <v>4.2248086107053689E-2</v>
      </c>
      <c r="M236" s="145">
        <f t="shared" si="8"/>
        <v>3.7745461160255935E-2</v>
      </c>
    </row>
    <row r="237" spans="2:17">
      <c r="B237" t="s">
        <v>299</v>
      </c>
      <c r="D237" s="35">
        <f t="shared" ref="D237:J237" si="22">D211/D$216</f>
        <v>7.4569947049301756E-3</v>
      </c>
      <c r="E237" s="35">
        <f t="shared" si="22"/>
        <v>5.6754094511899467E-3</v>
      </c>
      <c r="F237" s="35">
        <f t="shared" si="22"/>
        <v>4.9110457282701353E-3</v>
      </c>
      <c r="G237" s="35">
        <f t="shared" si="22"/>
        <v>5.5486427945988298E-3</v>
      </c>
      <c r="H237" s="35">
        <f t="shared" si="22"/>
        <v>5.3181182043277007E-3</v>
      </c>
      <c r="I237" s="35">
        <f t="shared" si="22"/>
        <v>1.1318931175694344E-2</v>
      </c>
      <c r="J237" s="35">
        <f t="shared" si="22"/>
        <v>9.6031326724057547E-3</v>
      </c>
      <c r="L237" s="145">
        <f t="shared" si="7"/>
        <v>5.6754094511899467E-3</v>
      </c>
      <c r="M237" s="145">
        <f t="shared" si="8"/>
        <v>7.1188963902024125E-3</v>
      </c>
    </row>
    <row r="238" spans="2:17">
      <c r="B238" t="s">
        <v>300</v>
      </c>
      <c r="D238" s="35">
        <f t="shared" ref="D238:J238" si="23">D212/D$216</f>
        <v>2.4906033087327497E-2</v>
      </c>
      <c r="E238" s="35">
        <f t="shared" si="23"/>
        <v>2.826986776091827E-2</v>
      </c>
      <c r="F238" s="35">
        <f t="shared" si="23"/>
        <v>3.1000632441499164E-2</v>
      </c>
      <c r="G238" s="35">
        <f t="shared" si="23"/>
        <v>2.4291442001935577E-2</v>
      </c>
      <c r="H238" s="35">
        <f t="shared" si="23"/>
        <v>1.621272472817311E-2</v>
      </c>
      <c r="I238" s="35">
        <f t="shared" si="23"/>
        <v>1.6067678163198294E-2</v>
      </c>
      <c r="J238" s="35">
        <f t="shared" si="23"/>
        <v>1.7269063824056522E-2</v>
      </c>
      <c r="L238" s="145">
        <f t="shared" si="7"/>
        <v>2.4291442001935577E-2</v>
      </c>
      <c r="M238" s="145">
        <f t="shared" si="8"/>
        <v>2.2573920286729773E-2</v>
      </c>
    </row>
    <row r="239" spans="2:17">
      <c r="B239" t="s">
        <v>301</v>
      </c>
      <c r="D239" s="35">
        <f t="shared" ref="D239:J239" si="24">D213/D$216</f>
        <v>6.2004444566380408E-4</v>
      </c>
      <c r="E239" s="35">
        <f t="shared" si="24"/>
        <v>1.2963615113329556E-3</v>
      </c>
      <c r="F239" s="35">
        <f t="shared" si="24"/>
        <v>1.0888992768168947E-3</v>
      </c>
      <c r="G239" s="35">
        <f t="shared" si="24"/>
        <v>2.4517258859855298E-3</v>
      </c>
      <c r="H239" s="35">
        <f t="shared" si="24"/>
        <v>7.6793339792586234E-4</v>
      </c>
      <c r="I239" s="35">
        <f t="shared" si="24"/>
        <v>7.6202984926677854E-4</v>
      </c>
      <c r="J239" s="35">
        <f t="shared" si="24"/>
        <v>2.7296930519729408E-3</v>
      </c>
      <c r="L239" s="145">
        <f t="shared" si="7"/>
        <v>1.0888992768168947E-3</v>
      </c>
      <c r="M239" s="145">
        <f t="shared" si="8"/>
        <v>1.3880982027092523E-3</v>
      </c>
    </row>
    <row r="240" spans="2:17">
      <c r="B240" t="s">
        <v>302</v>
      </c>
      <c r="D240" s="35">
        <f t="shared" ref="D240:J240" si="25">D214/D$216</f>
        <v>2.6886883042058762E-4</v>
      </c>
      <c r="E240" s="35">
        <f t="shared" si="25"/>
        <v>0</v>
      </c>
      <c r="F240" s="35">
        <f t="shared" si="25"/>
        <v>1.0058569582313638E-2</v>
      </c>
      <c r="G240" s="35">
        <f t="shared" si="25"/>
        <v>6.451910226277709E-4</v>
      </c>
      <c r="H240" s="35">
        <f t="shared" si="25"/>
        <v>2.6482936806975998E-3</v>
      </c>
      <c r="I240" s="35">
        <f t="shared" si="25"/>
        <v>4.3677320628705596E-4</v>
      </c>
      <c r="J240" s="35">
        <f t="shared" si="25"/>
        <v>2.3049590287058043E-4</v>
      </c>
      <c r="L240" s="145">
        <f t="shared" si="7"/>
        <v>4.3677320628705596E-4</v>
      </c>
      <c r="M240" s="145">
        <f t="shared" si="8"/>
        <v>2.0411703178881764E-3</v>
      </c>
    </row>
    <row r="241" spans="2:13">
      <c r="B241" t="s">
        <v>303</v>
      </c>
      <c r="D241" s="35">
        <f t="shared" ref="D241:J241" si="26">D215/D$216</f>
        <v>5.2467831764931819E-2</v>
      </c>
      <c r="E241" s="35">
        <f t="shared" si="26"/>
        <v>6.1097415953412636E-2</v>
      </c>
      <c r="F241" s="35">
        <f t="shared" si="26"/>
        <v>4.0421261033354423E-2</v>
      </c>
      <c r="G241" s="35">
        <f t="shared" si="26"/>
        <v>3.9517950135950969E-2</v>
      </c>
      <c r="H241" s="35">
        <f t="shared" si="26"/>
        <v>3.4201743998277544E-2</v>
      </c>
      <c r="I241" s="35">
        <f t="shared" si="26"/>
        <v>2.3824274677686153E-2</v>
      </c>
      <c r="J241" s="35">
        <f t="shared" si="26"/>
        <v>2.3935316116066339E-2</v>
      </c>
      <c r="L241" s="145">
        <f t="shared" si="7"/>
        <v>3.9517950135950969E-2</v>
      </c>
      <c r="M241" s="145">
        <f t="shared" si="8"/>
        <v>3.9352256239954267E-2</v>
      </c>
    </row>
    <row r="242" spans="2:13" ht="15" thickBot="1">
      <c r="B242" s="86" t="s">
        <v>169</v>
      </c>
      <c r="C242" s="86"/>
      <c r="D242" s="143">
        <f t="shared" ref="D242:J242" si="27">D216/D$216</f>
        <v>1</v>
      </c>
      <c r="E242" s="143">
        <f t="shared" si="27"/>
        <v>1</v>
      </c>
      <c r="F242" s="143">
        <f t="shared" si="27"/>
        <v>1</v>
      </c>
      <c r="G242" s="143">
        <f t="shared" si="27"/>
        <v>1</v>
      </c>
      <c r="H242" s="143">
        <f t="shared" si="27"/>
        <v>1</v>
      </c>
      <c r="I242" s="143">
        <f t="shared" si="27"/>
        <v>1</v>
      </c>
      <c r="J242" s="143">
        <f t="shared" si="27"/>
        <v>1</v>
      </c>
    </row>
    <row r="244" spans="2:13">
      <c r="B244" s="450" t="s">
        <v>283</v>
      </c>
      <c r="C244" s="450"/>
      <c r="D244" s="450">
        <v>2019</v>
      </c>
      <c r="E244" s="450">
        <f>D244+1</f>
        <v>2020</v>
      </c>
      <c r="F244" s="450">
        <f t="shared" ref="F244:J244" si="28">E244+1</f>
        <v>2021</v>
      </c>
      <c r="G244" s="450">
        <f t="shared" si="28"/>
        <v>2022</v>
      </c>
      <c r="H244" s="450">
        <f t="shared" si="28"/>
        <v>2023</v>
      </c>
      <c r="I244" s="450">
        <f t="shared" si="28"/>
        <v>2024</v>
      </c>
      <c r="J244" s="450">
        <f t="shared" si="28"/>
        <v>2025</v>
      </c>
      <c r="L244" s="450" t="s">
        <v>259</v>
      </c>
      <c r="M244" s="450" t="s">
        <v>260</v>
      </c>
    </row>
    <row r="245" spans="2:13">
      <c r="B245" s="19" t="s">
        <v>158</v>
      </c>
      <c r="C245" s="19"/>
      <c r="D245" s="107">
        <v>9797.0600000000013</v>
      </c>
      <c r="E245" s="107">
        <v>9153.58</v>
      </c>
      <c r="F245" s="107">
        <v>8720.35</v>
      </c>
      <c r="G245" s="107">
        <v>10297.83</v>
      </c>
      <c r="H245" s="107">
        <v>14442.18</v>
      </c>
      <c r="I245" s="107">
        <v>16535.78</v>
      </c>
      <c r="J245" s="107">
        <v>18870.349999999999</v>
      </c>
    </row>
    <row r="246" spans="2:13">
      <c r="B246" s="133"/>
      <c r="C246" s="133"/>
      <c r="D246" s="133"/>
      <c r="E246" s="133"/>
      <c r="F246" s="133"/>
      <c r="G246" s="133"/>
      <c r="H246" s="133"/>
      <c r="I246" s="133"/>
      <c r="J246" s="133"/>
    </row>
    <row r="247" spans="2:13">
      <c r="B247" t="s">
        <v>284</v>
      </c>
      <c r="D247" s="140">
        <v>702.44</v>
      </c>
      <c r="E247" s="140">
        <v>795.78</v>
      </c>
      <c r="F247" s="140">
        <v>843.23</v>
      </c>
      <c r="G247" s="140">
        <v>821.02</v>
      </c>
      <c r="H247" s="140">
        <v>1001.93</v>
      </c>
      <c r="I247" s="140">
        <v>1235.69</v>
      </c>
      <c r="J247" s="140">
        <v>1391.23</v>
      </c>
      <c r="L247" s="150">
        <f t="shared" ref="L247:L248" si="29">MEDIAN(D247:J247)</f>
        <v>843.23</v>
      </c>
      <c r="M247" s="150">
        <f t="shared" ref="M247:M248" si="30">AVERAGE(D247:J247)</f>
        <v>970.18857142857144</v>
      </c>
    </row>
    <row r="248" spans="2:13">
      <c r="B248" t="s">
        <v>305</v>
      </c>
      <c r="D248" s="35">
        <f>D247/D245</f>
        <v>7.169906073862975E-2</v>
      </c>
      <c r="E248" s="35">
        <f t="shared" ref="E248:J248" si="31">E247/E245</f>
        <v>8.6936477312701696E-2</v>
      </c>
      <c r="F248" s="35">
        <f t="shared" si="31"/>
        <v>9.6696806894218695E-2</v>
      </c>
      <c r="G248" s="35">
        <f t="shared" si="31"/>
        <v>7.9727476565451164E-2</v>
      </c>
      <c r="H248" s="35">
        <f t="shared" si="31"/>
        <v>6.9375260521610999E-2</v>
      </c>
      <c r="I248" s="35">
        <f t="shared" si="31"/>
        <v>7.4728255939544436E-2</v>
      </c>
      <c r="J248" s="35">
        <f t="shared" si="31"/>
        <v>7.3725712559650464E-2</v>
      </c>
      <c r="L248" s="145">
        <f t="shared" si="29"/>
        <v>7.4728255939544436E-2</v>
      </c>
      <c r="M248" s="145">
        <f t="shared" si="30"/>
        <v>7.8984150075972454E-2</v>
      </c>
    </row>
    <row r="249" spans="2:13">
      <c r="D249" s="35"/>
      <c r="E249" s="35"/>
      <c r="F249" s="35"/>
      <c r="G249" s="35"/>
      <c r="H249" s="35"/>
      <c r="I249" s="35"/>
      <c r="J249" s="35"/>
    </row>
    <row r="250" spans="2:13">
      <c r="B250" t="s">
        <v>285</v>
      </c>
      <c r="D250" s="140">
        <v>169.63</v>
      </c>
      <c r="E250" s="140">
        <v>156.38</v>
      </c>
      <c r="F250" s="140">
        <v>139.51</v>
      </c>
      <c r="G250" s="140">
        <v>198.56</v>
      </c>
      <c r="H250" s="140">
        <v>262.25</v>
      </c>
      <c r="I250" s="140">
        <v>239.14</v>
      </c>
      <c r="J250" s="140">
        <v>286.56</v>
      </c>
      <c r="L250" s="150">
        <f t="shared" ref="L250:L251" si="32">MEDIAN(D250:J250)</f>
        <v>198.56</v>
      </c>
      <c r="M250" s="150">
        <f t="shared" ref="M250:M251" si="33">AVERAGE(D250:J250)</f>
        <v>207.4328571428571</v>
      </c>
    </row>
    <row r="251" spans="2:13">
      <c r="B251" t="s">
        <v>307</v>
      </c>
      <c r="D251" s="35">
        <f>D250/D245</f>
        <v>1.7314377986865446E-2</v>
      </c>
      <c r="E251" s="35">
        <f t="shared" ref="E251:J251" si="34">E250/E245</f>
        <v>1.7084026140591988E-2</v>
      </c>
      <c r="F251" s="35">
        <f t="shared" si="34"/>
        <v>1.5998211080977251E-2</v>
      </c>
      <c r="G251" s="35">
        <f t="shared" si="34"/>
        <v>1.9281732170758306E-2</v>
      </c>
      <c r="H251" s="35">
        <f t="shared" si="34"/>
        <v>1.8158615943022451E-2</v>
      </c>
      <c r="I251" s="35">
        <f t="shared" si="34"/>
        <v>1.4461972764514283E-2</v>
      </c>
      <c r="J251" s="35">
        <f t="shared" si="34"/>
        <v>1.518572787468171E-2</v>
      </c>
      <c r="L251" s="145">
        <f t="shared" si="32"/>
        <v>1.7084026140591988E-2</v>
      </c>
      <c r="M251" s="145">
        <f t="shared" si="33"/>
        <v>1.6783523423058777E-2</v>
      </c>
    </row>
    <row r="252" spans="2:13">
      <c r="D252" s="35"/>
      <c r="E252" s="35"/>
      <c r="F252" s="35"/>
      <c r="G252" s="35"/>
      <c r="H252" s="35"/>
      <c r="I252" s="35"/>
      <c r="J252" s="35"/>
    </row>
    <row r="253" spans="2:13">
      <c r="B253" t="s">
        <v>294</v>
      </c>
      <c r="D253" s="148">
        <v>143.61000000000001</v>
      </c>
      <c r="E253" s="148">
        <v>144.91</v>
      </c>
      <c r="F253" s="148">
        <v>121.1</v>
      </c>
      <c r="G253" s="148">
        <v>180.97</v>
      </c>
      <c r="H253" s="148">
        <v>272.83</v>
      </c>
      <c r="I253" s="148">
        <v>265.57</v>
      </c>
      <c r="J253" s="148">
        <v>330.64</v>
      </c>
      <c r="L253" s="150">
        <f t="shared" ref="L253:L254" si="35">MEDIAN(D253:J253)</f>
        <v>180.97</v>
      </c>
      <c r="M253" s="150">
        <f t="shared" ref="M253:M254" si="36">AVERAGE(D253:J253)</f>
        <v>208.51857142857145</v>
      </c>
    </row>
    <row r="254" spans="2:13">
      <c r="B254" t="s">
        <v>308</v>
      </c>
      <c r="D254" s="35">
        <f>D253/D245</f>
        <v>1.4658479176405982E-2</v>
      </c>
      <c r="E254" s="35">
        <f t="shared" ref="E254:J254" si="37">E253/E245</f>
        <v>1.5830964496950921E-2</v>
      </c>
      <c r="F254" s="35">
        <f t="shared" si="37"/>
        <v>1.388705728554473E-2</v>
      </c>
      <c r="G254" s="35">
        <f t="shared" si="37"/>
        <v>1.7573605312963994E-2</v>
      </c>
      <c r="H254" s="35">
        <f t="shared" si="37"/>
        <v>1.8891192326920173E-2</v>
      </c>
      <c r="I254" s="35">
        <f t="shared" si="37"/>
        <v>1.6060324943849034E-2</v>
      </c>
      <c r="J254" s="35">
        <f t="shared" si="37"/>
        <v>1.7521667589631352E-2</v>
      </c>
      <c r="L254" s="145">
        <f t="shared" si="35"/>
        <v>1.6060324943849034E-2</v>
      </c>
      <c r="M254" s="145">
        <f t="shared" si="36"/>
        <v>1.6346184447466598E-2</v>
      </c>
    </row>
    <row r="255" spans="2:13">
      <c r="D255" s="35"/>
      <c r="E255" s="35"/>
      <c r="F255" s="35"/>
      <c r="G255" s="35"/>
      <c r="H255" s="35"/>
      <c r="I255" s="35"/>
      <c r="J255" s="35"/>
    </row>
    <row r="256" spans="2:13">
      <c r="B256" t="s">
        <v>315</v>
      </c>
      <c r="D256" s="148">
        <v>196.01</v>
      </c>
      <c r="E256" s="148">
        <v>244.73</v>
      </c>
      <c r="F256" s="148">
        <v>180.93</v>
      </c>
      <c r="G256" s="148">
        <v>284.69</v>
      </c>
      <c r="H256" s="148">
        <v>426.39</v>
      </c>
      <c r="I256" s="148">
        <v>546.20000000000005</v>
      </c>
      <c r="J256" s="148">
        <v>760.88</v>
      </c>
      <c r="L256" s="150">
        <f t="shared" ref="L256:L257" si="38">MEDIAN(D256:J256)</f>
        <v>284.69</v>
      </c>
      <c r="M256" s="150">
        <f t="shared" ref="M256:M257" si="39">AVERAGE(D256:J256)</f>
        <v>377.11857142857144</v>
      </c>
    </row>
    <row r="257" spans="2:19">
      <c r="B257" t="s">
        <v>316</v>
      </c>
      <c r="D257" s="35">
        <f t="shared" ref="D257:J257" si="40">D256/D245</f>
        <v>2.0007022514917736E-2</v>
      </c>
      <c r="E257" s="35">
        <f t="shared" si="40"/>
        <v>2.6735987449719126E-2</v>
      </c>
      <c r="F257" s="35">
        <f t="shared" si="40"/>
        <v>2.0748020434959605E-2</v>
      </c>
      <c r="G257" s="35">
        <f t="shared" si="40"/>
        <v>2.7645630195876219E-2</v>
      </c>
      <c r="H257" s="35">
        <f t="shared" si="40"/>
        <v>2.9523936137065179E-2</v>
      </c>
      <c r="I257" s="35">
        <f t="shared" si="40"/>
        <v>3.3031402207818444E-2</v>
      </c>
      <c r="J257" s="35">
        <f t="shared" si="40"/>
        <v>4.0321456676744208E-2</v>
      </c>
      <c r="L257" s="145">
        <f t="shared" si="38"/>
        <v>2.7645630195876219E-2</v>
      </c>
      <c r="M257" s="145">
        <f t="shared" si="39"/>
        <v>2.828763651672864E-2</v>
      </c>
    </row>
    <row r="258" spans="2:19">
      <c r="D258" s="35"/>
      <c r="E258" s="35"/>
      <c r="F258" s="35"/>
      <c r="G258" s="35"/>
      <c r="H258" s="35"/>
      <c r="I258" s="35"/>
      <c r="J258" s="35"/>
    </row>
    <row r="259" spans="2:19">
      <c r="B259" t="s">
        <v>309</v>
      </c>
      <c r="D259" s="148">
        <v>610.76</v>
      </c>
      <c r="E259" s="148">
        <v>617.53000000000009</v>
      </c>
      <c r="F259" s="148">
        <f>533.58+8.4</f>
        <v>541.98</v>
      </c>
      <c r="G259" s="148">
        <v>684.66000000000008</v>
      </c>
      <c r="H259" s="148">
        <v>823.3</v>
      </c>
      <c r="I259" s="148">
        <v>941.62</v>
      </c>
      <c r="J259" s="148">
        <v>1091.93</v>
      </c>
      <c r="L259" s="150">
        <f t="shared" ref="L259:L260" si="41">MEDIAN(D259:J259)</f>
        <v>684.66000000000008</v>
      </c>
      <c r="M259" s="150">
        <f t="shared" ref="M259:M260" si="42">AVERAGE(D259:J259)</f>
        <v>758.82571428571441</v>
      </c>
    </row>
    <row r="260" spans="2:19">
      <c r="B260" t="s">
        <v>310</v>
      </c>
      <c r="D260" s="35">
        <f>D259/D245</f>
        <v>6.2341151324989325E-2</v>
      </c>
      <c r="E260" s="35">
        <f t="shared" ref="E260:J260" si="43">E259/E245</f>
        <v>6.7463222039901335E-2</v>
      </c>
      <c r="F260" s="35">
        <f t="shared" si="43"/>
        <v>6.2151175124851639E-2</v>
      </c>
      <c r="G260" s="35">
        <f t="shared" si="43"/>
        <v>6.6485851873647181E-2</v>
      </c>
      <c r="H260" s="35">
        <f t="shared" si="43"/>
        <v>5.700662919309965E-2</v>
      </c>
      <c r="I260" s="35">
        <f t="shared" si="43"/>
        <v>5.6944395728535338E-2</v>
      </c>
      <c r="J260" s="35">
        <f t="shared" si="43"/>
        <v>5.786485147334311E-2</v>
      </c>
      <c r="L260" s="145">
        <f t="shared" si="41"/>
        <v>6.2151175124851639E-2</v>
      </c>
      <c r="M260" s="145">
        <f t="shared" si="42"/>
        <v>6.1465325251195364E-2</v>
      </c>
    </row>
    <row r="261" spans="2:19">
      <c r="D261" s="35"/>
      <c r="E261" s="35"/>
      <c r="F261" s="35"/>
      <c r="G261" s="35"/>
      <c r="H261" s="35"/>
      <c r="I261" s="35"/>
      <c r="J261" s="35"/>
    </row>
    <row r="262" spans="2:19" ht="15" thickBot="1">
      <c r="B262" s="86" t="s">
        <v>311</v>
      </c>
      <c r="C262" s="86"/>
      <c r="D262" s="149">
        <f>D248+D251+D254+D257+D260</f>
        <v>0.18602009174180822</v>
      </c>
      <c r="E262" s="149">
        <f t="shared" ref="E262:J262" si="44">E248+E251+E254+E257+E260</f>
        <v>0.21405067743986506</v>
      </c>
      <c r="F262" s="149">
        <f t="shared" si="44"/>
        <v>0.2094812708205519</v>
      </c>
      <c r="G262" s="149">
        <f t="shared" si="44"/>
        <v>0.21071429611869685</v>
      </c>
      <c r="H262" s="149">
        <f t="shared" si="44"/>
        <v>0.19295563412171846</v>
      </c>
      <c r="I262" s="149">
        <f t="shared" si="44"/>
        <v>0.19522635158426155</v>
      </c>
      <c r="J262" s="149">
        <f t="shared" si="44"/>
        <v>0.20461941617405086</v>
      </c>
      <c r="L262" s="145">
        <f>MEDIAN(D262:J262)</f>
        <v>0.20461941617405086</v>
      </c>
      <c r="M262" s="145">
        <f>AVERAGE(D262:J262)</f>
        <v>0.20186681971442186</v>
      </c>
    </row>
    <row r="264" spans="2:19">
      <c r="B264" s="26" t="s">
        <v>317</v>
      </c>
    </row>
    <row r="266" spans="2:19">
      <c r="B266" s="26"/>
    </row>
    <row r="268" spans="2:19">
      <c r="J268" s="559" t="s">
        <v>318</v>
      </c>
      <c r="K268" s="559"/>
      <c r="L268" s="559"/>
      <c r="M268" s="559"/>
      <c r="N268" s="559"/>
      <c r="O268" s="559"/>
      <c r="P268" s="559"/>
      <c r="Q268" s="559"/>
      <c r="R268" s="559"/>
      <c r="S268" s="559"/>
    </row>
    <row r="269" spans="2:19">
      <c r="J269" s="559"/>
      <c r="K269" s="559"/>
      <c r="L269" s="559"/>
      <c r="M269" s="559"/>
      <c r="N269" s="559"/>
      <c r="O269" s="559"/>
      <c r="P269" s="559"/>
      <c r="Q269" s="559"/>
      <c r="R269" s="559"/>
      <c r="S269" s="559"/>
    </row>
    <row r="270" spans="2:19">
      <c r="J270" s="559"/>
      <c r="K270" s="559"/>
      <c r="L270" s="559"/>
      <c r="M270" s="559"/>
      <c r="N270" s="559"/>
      <c r="O270" s="559"/>
      <c r="P270" s="559"/>
      <c r="Q270" s="559"/>
      <c r="R270" s="559"/>
      <c r="S270" s="559"/>
    </row>
    <row r="271" spans="2:19">
      <c r="J271" s="559"/>
      <c r="K271" s="559"/>
      <c r="L271" s="559"/>
      <c r="M271" s="559"/>
      <c r="N271" s="559"/>
      <c r="O271" s="559"/>
      <c r="P271" s="559"/>
      <c r="Q271" s="559"/>
      <c r="R271" s="559"/>
      <c r="S271" s="559"/>
    </row>
    <row r="272" spans="2:19">
      <c r="J272" s="559"/>
      <c r="K272" s="559"/>
      <c r="L272" s="559"/>
      <c r="M272" s="559"/>
      <c r="N272" s="559"/>
      <c r="O272" s="559"/>
      <c r="P272" s="559"/>
      <c r="Q272" s="559"/>
      <c r="R272" s="559"/>
      <c r="S272" s="559"/>
    </row>
    <row r="273" spans="10:19">
      <c r="J273" s="559"/>
      <c r="K273" s="559"/>
      <c r="L273" s="559"/>
      <c r="M273" s="559"/>
      <c r="N273" s="559"/>
      <c r="O273" s="559"/>
      <c r="P273" s="559"/>
      <c r="Q273" s="559"/>
      <c r="R273" s="559"/>
      <c r="S273" s="559"/>
    </row>
    <row r="282" spans="10:19">
      <c r="J282" s="26" t="s">
        <v>268</v>
      </c>
      <c r="K282" s="26" t="s">
        <v>319</v>
      </c>
    </row>
    <row r="296" spans="2:5" ht="21">
      <c r="B296" s="135" t="s">
        <v>270</v>
      </c>
    </row>
    <row r="299" spans="2:5">
      <c r="B299" t="s">
        <v>271</v>
      </c>
      <c r="D299" t="s">
        <v>244</v>
      </c>
      <c r="E299" t="s">
        <v>245</v>
      </c>
    </row>
    <row r="300" spans="2:5">
      <c r="B300" t="s">
        <v>320</v>
      </c>
      <c r="D300">
        <v>25.7</v>
      </c>
      <c r="E300">
        <v>25.7</v>
      </c>
    </row>
    <row r="302" spans="2:5">
      <c r="B302" t="s">
        <v>321</v>
      </c>
    </row>
    <row r="303" spans="2:5">
      <c r="B303" t="s">
        <v>320</v>
      </c>
      <c r="D303">
        <v>28.1</v>
      </c>
      <c r="E303">
        <v>28.3</v>
      </c>
    </row>
    <row r="305" spans="2:5">
      <c r="B305" t="s">
        <v>275</v>
      </c>
    </row>
    <row r="306" spans="2:5">
      <c r="B306" t="s">
        <v>320</v>
      </c>
      <c r="D306">
        <v>26</v>
      </c>
      <c r="E306">
        <v>26.5</v>
      </c>
    </row>
    <row r="308" spans="2:5">
      <c r="B308" t="s">
        <v>322</v>
      </c>
    </row>
    <row r="309" spans="2:5">
      <c r="B309" t="s">
        <v>320</v>
      </c>
      <c r="D309">
        <v>24.9</v>
      </c>
      <c r="E309">
        <v>25</v>
      </c>
    </row>
    <row r="311" spans="2:5">
      <c r="B311" t="s">
        <v>323</v>
      </c>
    </row>
    <row r="312" spans="2:5">
      <c r="B312" t="s">
        <v>320</v>
      </c>
      <c r="D312">
        <v>24.8</v>
      </c>
      <c r="E312">
        <v>25.1</v>
      </c>
    </row>
    <row r="315" spans="2:5">
      <c r="B315" t="s">
        <v>276</v>
      </c>
      <c r="D315" s="102">
        <f>MEDIAN(D300,D303,D306,D309,D312)</f>
        <v>25.7</v>
      </c>
      <c r="E315" s="102">
        <f>MEDIAN(E300,E303,E306,E309,E312)</f>
        <v>25.7</v>
      </c>
    </row>
    <row r="329" spans="1:10" ht="25.8">
      <c r="A329" t="s">
        <v>18</v>
      </c>
      <c r="B329" s="160" t="s">
        <v>88</v>
      </c>
    </row>
    <row r="331" spans="1:10">
      <c r="B331" s="450" t="s">
        <v>154</v>
      </c>
      <c r="C331" s="450"/>
      <c r="D331" s="450">
        <v>2019</v>
      </c>
      <c r="E331" s="450">
        <v>2020</v>
      </c>
      <c r="F331" s="450">
        <v>2021</v>
      </c>
      <c r="G331" s="450">
        <v>2022</v>
      </c>
      <c r="H331" s="450">
        <v>2023</v>
      </c>
      <c r="I331" s="450">
        <v>2024</v>
      </c>
      <c r="J331" s="450">
        <v>2025</v>
      </c>
    </row>
    <row r="332" spans="1:10">
      <c r="B332" t="s">
        <v>199</v>
      </c>
      <c r="D332" s="140">
        <f>ConsolidatedBS!C25</f>
        <v>633.38</v>
      </c>
      <c r="E332" s="140">
        <f>ConsolidatedBS!D25</f>
        <v>572.35</v>
      </c>
      <c r="F332" s="140">
        <f>ConsolidatedBS!E25</f>
        <v>874.6</v>
      </c>
      <c r="G332" s="140">
        <f>ConsolidatedBS!F25</f>
        <v>1132.4000000000001</v>
      </c>
      <c r="H332" s="140">
        <f>ConsolidatedBS!G25</f>
        <v>1278.44</v>
      </c>
      <c r="I332" s="140">
        <f>ConsolidatedBS!H25</f>
        <v>1409.64</v>
      </c>
      <c r="J332" s="140">
        <f>ConsolidatedBS!I25</f>
        <v>1563.75</v>
      </c>
    </row>
    <row r="333" spans="1:10">
      <c r="B333" t="s">
        <v>200</v>
      </c>
      <c r="D333" s="140">
        <f>ConsolidatedBS!C26</f>
        <v>84.29</v>
      </c>
      <c r="E333" s="140">
        <f>ConsolidatedBS!D26</f>
        <v>86.76</v>
      </c>
      <c r="F333" s="140">
        <f>ConsolidatedBS!E26</f>
        <v>158.16</v>
      </c>
      <c r="G333" s="140">
        <f>ConsolidatedBS!F26</f>
        <v>302.04000000000002</v>
      </c>
      <c r="H333" s="140">
        <f>ConsolidatedBS!G26</f>
        <v>368.92</v>
      </c>
      <c r="I333" s="140">
        <f>ConsolidatedBS!H26</f>
        <v>373.78</v>
      </c>
      <c r="J333" s="140">
        <f>ConsolidatedBS!I26</f>
        <v>549.64</v>
      </c>
    </row>
    <row r="334" spans="1:10">
      <c r="B334" t="s">
        <v>325</v>
      </c>
      <c r="D334" s="140"/>
      <c r="E334" s="140"/>
      <c r="F334" s="140"/>
      <c r="G334" s="140"/>
      <c r="H334" s="140"/>
      <c r="I334" s="140"/>
      <c r="J334" s="140"/>
    </row>
    <row r="335" spans="1:10">
      <c r="B335" s="36" t="s">
        <v>201</v>
      </c>
      <c r="D335" s="140">
        <f>ConsolidatedBS!C28</f>
        <v>468.81</v>
      </c>
      <c r="E335" s="140">
        <f>ConsolidatedBS!D28</f>
        <v>2512.5</v>
      </c>
      <c r="F335" s="140">
        <f>ConsolidatedBS!E28</f>
        <v>1076.08</v>
      </c>
      <c r="G335" s="140">
        <f>ConsolidatedBS!F28</f>
        <v>424.69</v>
      </c>
      <c r="H335" s="140">
        <f>ConsolidatedBS!G28</f>
        <v>219.89</v>
      </c>
      <c r="I335" s="140">
        <f>ConsolidatedBS!H28</f>
        <v>180.92</v>
      </c>
      <c r="J335" s="140">
        <f>ConsolidatedBS!I28</f>
        <v>847.55</v>
      </c>
    </row>
    <row r="336" spans="1:10">
      <c r="B336" s="36" t="s">
        <v>202</v>
      </c>
      <c r="D336" s="140">
        <f>ConsolidatedBS!C29</f>
        <v>1.29</v>
      </c>
      <c r="E336" s="140">
        <f>ConsolidatedBS!D29</f>
        <v>0.12</v>
      </c>
      <c r="F336" s="140">
        <f>ConsolidatedBS!E29</f>
        <v>459.16</v>
      </c>
      <c r="G336" s="140">
        <f>ConsolidatedBS!F29</f>
        <v>676.79</v>
      </c>
      <c r="H336" s="140">
        <f>ConsolidatedBS!G29</f>
        <v>588.94000000000005</v>
      </c>
      <c r="I336" s="140">
        <f>ConsolidatedBS!H29</f>
        <v>476.88</v>
      </c>
      <c r="J336" s="140">
        <f>ConsolidatedBS!I29</f>
        <v>445.96</v>
      </c>
    </row>
    <row r="337" spans="2:10">
      <c r="B337" s="36" t="s">
        <v>203</v>
      </c>
      <c r="D337" s="140">
        <f>ConsolidatedBS!C30</f>
        <v>81.97</v>
      </c>
      <c r="E337" s="140">
        <f>ConsolidatedBS!D30</f>
        <v>90.98</v>
      </c>
      <c r="F337" s="140">
        <f>ConsolidatedBS!E30</f>
        <v>214.93</v>
      </c>
      <c r="G337" s="140">
        <f>ConsolidatedBS!F30</f>
        <v>65.75</v>
      </c>
      <c r="H337" s="140">
        <f>ConsolidatedBS!G30</f>
        <v>125.96</v>
      </c>
      <c r="I337" s="140">
        <f>ConsolidatedBS!H30</f>
        <v>1253.32</v>
      </c>
      <c r="J337" s="140">
        <f>ConsolidatedBS!I30</f>
        <v>2868.12</v>
      </c>
    </row>
    <row r="338" spans="2:10">
      <c r="B338" s="36" t="s">
        <v>204</v>
      </c>
      <c r="D338" s="140">
        <f>ConsolidatedBS!C31</f>
        <v>180.28</v>
      </c>
      <c r="E338" s="140">
        <f>ConsolidatedBS!D31</f>
        <v>161.29</v>
      </c>
      <c r="F338" s="140">
        <f>ConsolidatedBS!E31</f>
        <v>195.19</v>
      </c>
      <c r="G338" s="140">
        <f>ConsolidatedBS!F31</f>
        <v>295.2</v>
      </c>
      <c r="H338" s="140">
        <f>ConsolidatedBS!G31</f>
        <v>335.5</v>
      </c>
      <c r="I338" s="140">
        <f>ConsolidatedBS!H31</f>
        <v>310.48</v>
      </c>
      <c r="J338" s="140">
        <f>ConsolidatedBS!I31</f>
        <v>416.13</v>
      </c>
    </row>
    <row r="339" spans="2:10">
      <c r="B339" t="s">
        <v>205</v>
      </c>
      <c r="D339" s="140">
        <f>ConsolidatedBS!C32</f>
        <v>726.98</v>
      </c>
      <c r="E339" s="140">
        <f>ConsolidatedBS!D32</f>
        <v>43.21</v>
      </c>
      <c r="F339" s="140">
        <f>ConsolidatedBS!E32</f>
        <v>94.12</v>
      </c>
      <c r="G339" s="140">
        <f>ConsolidatedBS!F32</f>
        <v>50.53</v>
      </c>
      <c r="H339" s="140">
        <f>ConsolidatedBS!G32</f>
        <v>88.81</v>
      </c>
      <c r="I339" s="140">
        <f>ConsolidatedBS!H32</f>
        <v>107.21</v>
      </c>
      <c r="J339" s="140">
        <f>ConsolidatedBS!I32</f>
        <v>218.96</v>
      </c>
    </row>
    <row r="340" spans="2:10">
      <c r="B340" t="s">
        <v>206</v>
      </c>
      <c r="D340" s="140">
        <f>ConsolidatedBS!C33</f>
        <v>2238.31</v>
      </c>
      <c r="E340" s="140">
        <f>ConsolidatedBS!D33</f>
        <v>2907.38</v>
      </c>
      <c r="F340" s="140">
        <f>ConsolidatedBS!E33</f>
        <v>5736.24</v>
      </c>
      <c r="G340" s="140">
        <f>ConsolidatedBS!F33</f>
        <v>2671.94</v>
      </c>
      <c r="H340" s="140">
        <f>ConsolidatedBS!G33</f>
        <v>676.77</v>
      </c>
      <c r="I340" s="140">
        <f>ConsolidatedBS!H33</f>
        <v>39.1</v>
      </c>
      <c r="J340" s="140">
        <f>ConsolidatedBS!I33</f>
        <v>44.05</v>
      </c>
    </row>
    <row r="341" spans="2:10" ht="15" thickBot="1">
      <c r="B341" s="86" t="s">
        <v>10</v>
      </c>
      <c r="C341" s="86"/>
      <c r="D341" s="142">
        <f>SUM(D332:D333,D335:D340)</f>
        <v>4415.3099999999995</v>
      </c>
      <c r="E341" s="142">
        <f t="shared" ref="E341:J341" si="45">SUM(E332:E333,E335:E340)</f>
        <v>6374.59</v>
      </c>
      <c r="F341" s="142">
        <f t="shared" si="45"/>
        <v>8808.48</v>
      </c>
      <c r="G341" s="142">
        <f t="shared" si="45"/>
        <v>5619.34</v>
      </c>
      <c r="H341" s="142">
        <f t="shared" si="45"/>
        <v>3683.23</v>
      </c>
      <c r="I341" s="142">
        <f t="shared" si="45"/>
        <v>4151.33</v>
      </c>
      <c r="J341" s="142">
        <f t="shared" si="45"/>
        <v>6954.16</v>
      </c>
    </row>
    <row r="343" spans="2:10">
      <c r="B343" s="26" t="s">
        <v>11</v>
      </c>
      <c r="C343" s="26"/>
      <c r="D343" s="146">
        <v>11386.829999999998</v>
      </c>
      <c r="E343" s="146">
        <v>12449.720000000001</v>
      </c>
      <c r="F343" s="146">
        <v>14558.61</v>
      </c>
      <c r="G343" s="146">
        <v>16139.830000000002</v>
      </c>
      <c r="H343" s="146">
        <v>19197.64</v>
      </c>
      <c r="I343" s="146">
        <v>23127.929999999993</v>
      </c>
      <c r="J343" s="146">
        <v>27174.41</v>
      </c>
    </row>
    <row r="345" spans="2:10">
      <c r="B345" s="26" t="s">
        <v>324</v>
      </c>
      <c r="C345" s="26"/>
      <c r="D345" s="108">
        <f>D341/D343</f>
        <v>0.38775585479013913</v>
      </c>
      <c r="E345" s="108">
        <f t="shared" ref="E345:J345" si="46">E341/E343</f>
        <v>0.51202677650581696</v>
      </c>
      <c r="F345" s="108">
        <f t="shared" si="46"/>
        <v>0.60503578294905891</v>
      </c>
      <c r="G345" s="108">
        <f t="shared" si="46"/>
        <v>0.34816599679178772</v>
      </c>
      <c r="H345" s="108">
        <f t="shared" si="46"/>
        <v>0.19185847843797468</v>
      </c>
      <c r="I345" s="108">
        <f t="shared" si="46"/>
        <v>0.1794942305688404</v>
      </c>
      <c r="J345" s="108">
        <f t="shared" si="46"/>
        <v>0.25590840794703545</v>
      </c>
    </row>
    <row r="347" spans="2:10">
      <c r="B347" s="450" t="s">
        <v>154</v>
      </c>
      <c r="C347" s="450"/>
      <c r="D347" s="450">
        <v>2019</v>
      </c>
      <c r="E347" s="450">
        <v>2020</v>
      </c>
      <c r="F347" s="450">
        <v>2021</v>
      </c>
      <c r="G347" s="450">
        <v>2022</v>
      </c>
      <c r="H347" s="450">
        <v>2023</v>
      </c>
      <c r="I347" s="450">
        <v>2024</v>
      </c>
      <c r="J347" s="450">
        <v>2025</v>
      </c>
    </row>
    <row r="348" spans="2:10">
      <c r="B348" t="s">
        <v>199</v>
      </c>
      <c r="D348" s="35">
        <f t="shared" ref="D348:J349" si="47">D332/D$341</f>
        <v>0.14345085622527073</v>
      </c>
      <c r="E348" s="35">
        <f t="shared" si="47"/>
        <v>8.9786166639736834E-2</v>
      </c>
      <c r="F348" s="35">
        <f t="shared" si="47"/>
        <v>9.929068352315043E-2</v>
      </c>
      <c r="G348" s="35">
        <f t="shared" si="47"/>
        <v>0.20151832777514797</v>
      </c>
      <c r="H348" s="35">
        <f t="shared" si="47"/>
        <v>0.3470975203829248</v>
      </c>
      <c r="I348" s="35">
        <f t="shared" si="47"/>
        <v>0.33956346520271818</v>
      </c>
      <c r="J348" s="35">
        <f t="shared" si="47"/>
        <v>0.22486540430476148</v>
      </c>
    </row>
    <row r="349" spans="2:10">
      <c r="B349" t="s">
        <v>200</v>
      </c>
      <c r="D349" s="35">
        <f t="shared" si="47"/>
        <v>1.9090392294085809E-2</v>
      </c>
      <c r="E349" s="35">
        <f t="shared" si="47"/>
        <v>1.3610287092973824E-2</v>
      </c>
      <c r="F349" s="35">
        <f t="shared" si="47"/>
        <v>1.7955424772491964E-2</v>
      </c>
      <c r="G349" s="35">
        <f t="shared" si="47"/>
        <v>5.3750084529499906E-2</v>
      </c>
      <c r="H349" s="35">
        <f t="shared" si="47"/>
        <v>0.10016208599517272</v>
      </c>
      <c r="I349" s="35">
        <f t="shared" si="47"/>
        <v>9.003861413089298E-2</v>
      </c>
      <c r="J349" s="35">
        <f t="shared" si="47"/>
        <v>7.9037583259516611E-2</v>
      </c>
    </row>
    <row r="350" spans="2:10">
      <c r="B350" t="s">
        <v>9</v>
      </c>
      <c r="D350" s="35">
        <f>D338/D$341</f>
        <v>4.0830655152186375E-2</v>
      </c>
      <c r="E350" s="35">
        <f t="shared" ref="E350:J350" si="48">E338/E$341</f>
        <v>2.5302019423994324E-2</v>
      </c>
      <c r="F350" s="35">
        <f t="shared" si="48"/>
        <v>2.2159328283653933E-2</v>
      </c>
      <c r="G350" s="35">
        <f t="shared" si="48"/>
        <v>5.253285973085807E-2</v>
      </c>
      <c r="H350" s="35">
        <f t="shared" si="48"/>
        <v>9.1088528275453884E-2</v>
      </c>
      <c r="I350" s="35">
        <f t="shared" si="48"/>
        <v>7.4790488831290219E-2</v>
      </c>
      <c r="J350" s="35">
        <f t="shared" si="48"/>
        <v>5.9839002841464678E-2</v>
      </c>
    </row>
    <row r="351" spans="2:10">
      <c r="B351" t="s">
        <v>205</v>
      </c>
      <c r="D351" s="35">
        <f>D339/D$341</f>
        <v>0.16464982073738879</v>
      </c>
      <c r="E351" s="35">
        <f t="shared" ref="E351:J351" si="49">E339/E$341</f>
        <v>6.7784751646772579E-3</v>
      </c>
      <c r="F351" s="35">
        <f t="shared" si="49"/>
        <v>1.0685157938713604E-2</v>
      </c>
      <c r="G351" s="35">
        <f t="shared" si="49"/>
        <v>8.9921592215455905E-3</v>
      </c>
      <c r="H351" s="35">
        <f t="shared" si="49"/>
        <v>2.4111988662125362E-2</v>
      </c>
      <c r="I351" s="35">
        <f t="shared" si="49"/>
        <v>2.5825458347083944E-2</v>
      </c>
      <c r="J351" s="35">
        <f t="shared" si="49"/>
        <v>3.1486189561356084E-2</v>
      </c>
    </row>
    <row r="352" spans="2:10" ht="15" thickBot="1">
      <c r="B352" s="86" t="s">
        <v>10</v>
      </c>
      <c r="C352" s="143"/>
      <c r="D352" s="143">
        <f t="shared" ref="D352:J352" si="50">D341/D$341</f>
        <v>1</v>
      </c>
      <c r="E352" s="143">
        <f t="shared" si="50"/>
        <v>1</v>
      </c>
      <c r="F352" s="143">
        <f t="shared" si="50"/>
        <v>1</v>
      </c>
      <c r="G352" s="143">
        <f t="shared" si="50"/>
        <v>1</v>
      </c>
      <c r="H352" s="143">
        <f t="shared" si="50"/>
        <v>1</v>
      </c>
      <c r="I352" s="143">
        <f t="shared" si="50"/>
        <v>1</v>
      </c>
      <c r="J352" s="143">
        <f t="shared" si="50"/>
        <v>1</v>
      </c>
    </row>
    <row r="355" spans="2:13" ht="23.4">
      <c r="B355" s="159" t="s">
        <v>6</v>
      </c>
    </row>
    <row r="357" spans="2:13">
      <c r="B357" s="450" t="s">
        <v>154</v>
      </c>
      <c r="C357" s="450"/>
      <c r="D357" s="450">
        <v>2019</v>
      </c>
      <c r="E357" s="450">
        <v>2020</v>
      </c>
      <c r="F357" s="450">
        <v>2021</v>
      </c>
      <c r="G357" s="450">
        <v>2022</v>
      </c>
      <c r="H357" s="450">
        <v>2023</v>
      </c>
      <c r="I357" s="450">
        <v>2024</v>
      </c>
      <c r="J357" s="450">
        <v>2025</v>
      </c>
      <c r="L357" s="450" t="s">
        <v>259</v>
      </c>
      <c r="M357" s="450" t="s">
        <v>260</v>
      </c>
    </row>
    <row r="358" spans="2:13">
      <c r="B358" s="26" t="s">
        <v>332</v>
      </c>
      <c r="D358" s="140">
        <v>9797.0600000000013</v>
      </c>
      <c r="E358" s="140">
        <v>9153.58</v>
      </c>
      <c r="F358" s="140">
        <v>8720.35</v>
      </c>
      <c r="G358" s="140">
        <v>10297.83</v>
      </c>
      <c r="H358" s="140">
        <v>14442.18</v>
      </c>
      <c r="I358" s="140">
        <v>16535.78</v>
      </c>
      <c r="J358" s="140">
        <v>18870.349999999999</v>
      </c>
      <c r="L358" s="150"/>
      <c r="M358" s="150"/>
    </row>
    <row r="359" spans="2:13">
      <c r="B359" t="s">
        <v>159</v>
      </c>
      <c r="D359" s="35">
        <v>6.2673142963751927E-2</v>
      </c>
      <c r="E359" s="35">
        <f>E358/D358-1</f>
        <v>-6.5680928768426572E-2</v>
      </c>
      <c r="F359" s="35">
        <f t="shared" ref="F359:J359" si="51">F358/E358-1</f>
        <v>-4.732902318000165E-2</v>
      </c>
      <c r="G359" s="35">
        <f t="shared" si="51"/>
        <v>0.18089640897441028</v>
      </c>
      <c r="H359" s="35">
        <f t="shared" si="51"/>
        <v>0.40244886544058311</v>
      </c>
      <c r="I359" s="35">
        <f t="shared" si="51"/>
        <v>0.14496426439775711</v>
      </c>
      <c r="J359" s="35">
        <f t="shared" si="51"/>
        <v>0.14118293784750402</v>
      </c>
      <c r="L359" s="47">
        <f>MEDIAN(D359:J359)</f>
        <v>0.14118293784750402</v>
      </c>
      <c r="M359" s="47">
        <f>AVERAGE(D359:J359)</f>
        <v>0.11702223823936832</v>
      </c>
    </row>
    <row r="361" spans="2:13">
      <c r="B361" s="26" t="s">
        <v>199</v>
      </c>
      <c r="C361">
        <v>469</v>
      </c>
      <c r="D361" s="140">
        <f>D332</f>
        <v>633.38</v>
      </c>
      <c r="E361" s="140">
        <f t="shared" ref="E361:J361" si="52">E332</f>
        <v>572.35</v>
      </c>
      <c r="F361" s="140">
        <f t="shared" si="52"/>
        <v>874.6</v>
      </c>
      <c r="G361" s="140">
        <f t="shared" si="52"/>
        <v>1132.4000000000001</v>
      </c>
      <c r="H361" s="140">
        <f t="shared" si="52"/>
        <v>1278.44</v>
      </c>
      <c r="I361" s="140">
        <f t="shared" si="52"/>
        <v>1409.64</v>
      </c>
      <c r="J361" s="140">
        <f t="shared" si="52"/>
        <v>1563.75</v>
      </c>
    </row>
    <row r="362" spans="2:13">
      <c r="B362" t="s">
        <v>326</v>
      </c>
      <c r="E362" s="35">
        <f>E361/D361-1</f>
        <v>-9.6356057974675502E-2</v>
      </c>
      <c r="F362" s="35">
        <f t="shared" ref="F362:J362" si="53">F361/E361-1</f>
        <v>0.52808596138726305</v>
      </c>
      <c r="G362" s="35">
        <f t="shared" si="53"/>
        <v>0.29476332037502861</v>
      </c>
      <c r="H362" s="35">
        <f t="shared" si="53"/>
        <v>0.12896503002472626</v>
      </c>
      <c r="I362" s="35">
        <f t="shared" si="53"/>
        <v>0.10262507430931445</v>
      </c>
      <c r="J362" s="35">
        <f t="shared" si="53"/>
        <v>0.10932578530688675</v>
      </c>
      <c r="L362" s="47">
        <f>MEDIAN(E362:J362)</f>
        <v>0.1191454076658065</v>
      </c>
      <c r="M362" s="47">
        <f>AVERAGE(E362:J362)</f>
        <v>0.17790151890475725</v>
      </c>
    </row>
    <row r="364" spans="2:13">
      <c r="B364" s="26" t="s">
        <v>327</v>
      </c>
      <c r="D364" s="140">
        <f>AVERAGE(C361:D361)</f>
        <v>551.19000000000005</v>
      </c>
      <c r="E364" s="140">
        <f>AVERAGE(D361:E361)</f>
        <v>602.86500000000001</v>
      </c>
      <c r="F364" s="140">
        <f t="shared" ref="F364:J364" si="54">AVERAGE(E361:F361)</f>
        <v>723.47500000000002</v>
      </c>
      <c r="G364" s="140">
        <f t="shared" si="54"/>
        <v>1003.5</v>
      </c>
      <c r="H364" s="140">
        <f t="shared" si="54"/>
        <v>1205.42</v>
      </c>
      <c r="I364" s="140">
        <f t="shared" si="54"/>
        <v>1344.04</v>
      </c>
      <c r="J364" s="140">
        <f t="shared" si="54"/>
        <v>1486.6950000000002</v>
      </c>
    </row>
    <row r="365" spans="2:13">
      <c r="B365" s="26"/>
      <c r="E365" s="140"/>
      <c r="F365" s="140"/>
      <c r="G365" s="140"/>
      <c r="H365" s="140"/>
      <c r="I365" s="140"/>
      <c r="J365" s="140"/>
    </row>
    <row r="366" spans="2:13">
      <c r="B366" s="26" t="s">
        <v>335</v>
      </c>
      <c r="E366" s="35">
        <f>E364/E358</f>
        <v>6.586111663414751E-2</v>
      </c>
      <c r="F366" s="35">
        <f t="shared" ref="F366:J366" si="55">F364/F358</f>
        <v>8.2963986537237605E-2</v>
      </c>
      <c r="G366" s="35">
        <f t="shared" si="55"/>
        <v>9.7447714712711325E-2</v>
      </c>
      <c r="H366" s="35">
        <f t="shared" si="55"/>
        <v>8.3465238627409441E-2</v>
      </c>
      <c r="I366" s="35">
        <f t="shared" si="55"/>
        <v>8.1280713700835408E-2</v>
      </c>
      <c r="J366" s="35">
        <f t="shared" si="55"/>
        <v>7.8784707225886125E-2</v>
      </c>
      <c r="L366" s="47">
        <f>MEDIAN(E366:J366)</f>
        <v>8.2122350119036513E-2</v>
      </c>
      <c r="M366" s="47">
        <f>AVERAGE(E366:J366)</f>
        <v>8.1633912906371231E-2</v>
      </c>
    </row>
    <row r="368" spans="2:13">
      <c r="B368" s="26" t="s">
        <v>49</v>
      </c>
      <c r="D368" s="102">
        <f>'ConsolidatedP&amp;L'!C16*-1</f>
        <v>5057.38</v>
      </c>
      <c r="E368" s="102">
        <f>'ConsolidatedP&amp;L'!D16*-1</f>
        <v>4995.9400000000005</v>
      </c>
      <c r="F368" s="102">
        <f>'ConsolidatedP&amp;L'!E16*-1</f>
        <v>5112.2700000000004</v>
      </c>
      <c r="G368" s="102">
        <f>'ConsolidatedP&amp;L'!F16*-1</f>
        <v>5955.6799999999994</v>
      </c>
      <c r="H368" s="102">
        <f>'ConsolidatedP&amp;L'!G16*-1</f>
        <v>8211.9</v>
      </c>
      <c r="I368" s="102">
        <f>'ConsolidatedP&amp;L'!H16*-1</f>
        <v>8980.65</v>
      </c>
      <c r="J368" s="102">
        <f>'ConsolidatedP&amp;L'!I16*-1</f>
        <v>10297.08</v>
      </c>
    </row>
    <row r="370" spans="2:13">
      <c r="B370" s="26" t="s">
        <v>328</v>
      </c>
      <c r="D370" s="89">
        <f>D368/D361</f>
        <v>7.9847484922163634</v>
      </c>
      <c r="E370" s="89">
        <f>E368/E361</f>
        <v>8.7288197781078019</v>
      </c>
      <c r="F370" s="89">
        <f t="shared" ref="F370:J370" si="56">F368/F361</f>
        <v>5.8452664075005725</v>
      </c>
      <c r="G370" s="89">
        <f t="shared" si="56"/>
        <v>5.2593429883433407</v>
      </c>
      <c r="H370" s="89">
        <f t="shared" si="56"/>
        <v>6.4233753637245385</v>
      </c>
      <c r="I370" s="89">
        <f t="shared" si="56"/>
        <v>6.3708819273005863</v>
      </c>
      <c r="J370" s="89">
        <f t="shared" si="56"/>
        <v>6.5848633093525182</v>
      </c>
      <c r="L370" s="89">
        <f>MEDIAN(E370:J370)</f>
        <v>6.3971286455125629</v>
      </c>
      <c r="M370" s="89">
        <f>AVERAGE(E370:J370)</f>
        <v>6.5354249623882268</v>
      </c>
    </row>
    <row r="371" spans="2:13">
      <c r="B371" s="26" t="s">
        <v>329</v>
      </c>
      <c r="D371" s="89">
        <f>D358/D364</f>
        <v>17.774379070737858</v>
      </c>
      <c r="E371" s="89">
        <f>E358/E364</f>
        <v>15.183465618339097</v>
      </c>
      <c r="F371" s="89">
        <f t="shared" ref="F371:J371" si="57">F358/F364</f>
        <v>12.053422716749024</v>
      </c>
      <c r="G371" s="89">
        <f t="shared" si="57"/>
        <v>10.261913303437968</v>
      </c>
      <c r="H371" s="89">
        <f t="shared" si="57"/>
        <v>11.981035655622106</v>
      </c>
      <c r="I371" s="89">
        <f t="shared" si="57"/>
        <v>12.303041576143567</v>
      </c>
      <c r="J371" s="89">
        <f t="shared" si="57"/>
        <v>12.692818634622432</v>
      </c>
      <c r="L371" s="89">
        <f>MEDIAN(E371:J371)</f>
        <v>12.178232146446295</v>
      </c>
      <c r="M371" s="89">
        <f>AVERAGE(E371:J371)</f>
        <v>12.412616250819033</v>
      </c>
    </row>
    <row r="373" spans="2:13">
      <c r="B373" s="26" t="s">
        <v>330</v>
      </c>
      <c r="D373" s="140">
        <f>$B$375/D370</f>
        <v>45.712147396478017</v>
      </c>
      <c r="E373" s="140">
        <f>$B$375/E370</f>
        <v>41.815504189401793</v>
      </c>
      <c r="F373" s="140">
        <f t="shared" ref="F373:J373" si="58">$B$375/F370</f>
        <v>62.443689398251649</v>
      </c>
      <c r="G373" s="140">
        <f t="shared" si="58"/>
        <v>69.400303575746193</v>
      </c>
      <c r="H373" s="140">
        <f t="shared" si="58"/>
        <v>56.823707059267655</v>
      </c>
      <c r="I373" s="140">
        <f t="shared" si="58"/>
        <v>57.29191094185834</v>
      </c>
      <c r="J373" s="140">
        <f t="shared" si="58"/>
        <v>55.430155927699893</v>
      </c>
      <c r="L373" s="140">
        <f>MEDIAN(E373:J373)</f>
        <v>57.057809000562997</v>
      </c>
      <c r="M373" s="140">
        <f>AVERAGE(E373:J373)</f>
        <v>57.200878515370924</v>
      </c>
    </row>
    <row r="374" spans="2:13">
      <c r="B374" s="26" t="s">
        <v>331</v>
      </c>
      <c r="D374" s="140">
        <f>$B$375/D371</f>
        <v>20.535175858880113</v>
      </c>
      <c r="E374" s="140">
        <f>$B$375/E371</f>
        <v>24.039307571463844</v>
      </c>
      <c r="F374" s="140">
        <f t="shared" ref="F374:J374" si="59">$B$375/F371</f>
        <v>30.281855086091728</v>
      </c>
      <c r="G374" s="140">
        <f t="shared" si="59"/>
        <v>35.568415870139631</v>
      </c>
      <c r="H374" s="140">
        <f t="shared" si="59"/>
        <v>30.464812099004444</v>
      </c>
      <c r="I374" s="140">
        <f t="shared" si="59"/>
        <v>29.667460500804921</v>
      </c>
      <c r="J374" s="140">
        <f t="shared" si="59"/>
        <v>28.756418137448435</v>
      </c>
      <c r="L374" s="140">
        <f>AVERAGE(E374:J374)</f>
        <v>29.796378210825505</v>
      </c>
      <c r="M374" s="140">
        <f>AVERAGE(E374:J374)</f>
        <v>29.796378210825505</v>
      </c>
    </row>
    <row r="375" spans="2:13">
      <c r="B375" s="80">
        <v>365</v>
      </c>
    </row>
    <row r="377" spans="2:13">
      <c r="B377" s="450" t="s">
        <v>333</v>
      </c>
      <c r="C377" s="450"/>
      <c r="D377" s="450">
        <v>2019</v>
      </c>
      <c r="E377" s="450">
        <v>2020</v>
      </c>
      <c r="F377" s="450">
        <v>2021</v>
      </c>
      <c r="G377" s="450">
        <v>2022</v>
      </c>
      <c r="H377" s="450">
        <v>2023</v>
      </c>
      <c r="I377" s="450">
        <v>2024</v>
      </c>
      <c r="J377" s="450">
        <v>2025</v>
      </c>
    </row>
    <row r="378" spans="2:13">
      <c r="B378" s="15" t="s">
        <v>337</v>
      </c>
      <c r="C378" s="15"/>
      <c r="D378" s="15"/>
      <c r="E378" s="162">
        <f>E374</f>
        <v>24.039307571463844</v>
      </c>
      <c r="F378" s="162">
        <f t="shared" ref="F378:J378" si="60">F374</f>
        <v>30.281855086091728</v>
      </c>
      <c r="G378" s="162">
        <f t="shared" si="60"/>
        <v>35.568415870139631</v>
      </c>
      <c r="H378" s="162">
        <f t="shared" si="60"/>
        <v>30.464812099004444</v>
      </c>
      <c r="I378" s="162">
        <f t="shared" si="60"/>
        <v>29.667460500804921</v>
      </c>
      <c r="J378" s="162">
        <f t="shared" si="60"/>
        <v>28.756418137448435</v>
      </c>
    </row>
    <row r="379" spans="2:13">
      <c r="B379" s="15" t="s">
        <v>338</v>
      </c>
      <c r="C379" s="15"/>
      <c r="D379" s="15"/>
      <c r="E379" s="15">
        <v>18</v>
      </c>
      <c r="F379" s="15">
        <v>28</v>
      </c>
      <c r="G379" s="15">
        <v>18</v>
      </c>
      <c r="H379" s="15">
        <v>22</v>
      </c>
      <c r="I379" s="15">
        <v>19</v>
      </c>
      <c r="J379" s="15">
        <v>22</v>
      </c>
    </row>
    <row r="380" spans="2:13">
      <c r="B380" s="15" t="s">
        <v>339</v>
      </c>
      <c r="C380" s="15"/>
      <c r="D380" s="15"/>
      <c r="E380" s="15">
        <v>35</v>
      </c>
      <c r="F380" s="15">
        <v>39</v>
      </c>
      <c r="G380" s="15">
        <v>37</v>
      </c>
      <c r="H380" s="15">
        <v>34</v>
      </c>
      <c r="I380" s="15">
        <v>34</v>
      </c>
      <c r="J380" s="15">
        <v>33</v>
      </c>
    </row>
    <row r="381" spans="2:13">
      <c r="B381" s="15" t="s">
        <v>340</v>
      </c>
      <c r="C381" s="15"/>
      <c r="D381" s="15"/>
      <c r="E381" s="15">
        <v>24</v>
      </c>
      <c r="F381" s="15">
        <v>30</v>
      </c>
      <c r="G381" s="15">
        <v>26</v>
      </c>
      <c r="H381" s="15">
        <v>27</v>
      </c>
      <c r="I381" s="15">
        <v>25</v>
      </c>
      <c r="J381" s="15">
        <v>27</v>
      </c>
    </row>
    <row r="383" spans="2:13">
      <c r="B383" s="130" t="s">
        <v>259</v>
      </c>
      <c r="C383" s="130"/>
      <c r="D383" s="130"/>
      <c r="E383" s="161">
        <f>MEDIAN(E378:E381)</f>
        <v>24.019653785731922</v>
      </c>
      <c r="F383" s="161">
        <f t="shared" ref="F383:J383" si="61">MEDIAN(F378:F381)</f>
        <v>30.140927543045862</v>
      </c>
      <c r="G383" s="161">
        <f t="shared" si="61"/>
        <v>30.784207935069816</v>
      </c>
      <c r="H383" s="161">
        <f t="shared" si="61"/>
        <v>28.732406049502224</v>
      </c>
      <c r="I383" s="161">
        <f t="shared" si="61"/>
        <v>27.333730250402461</v>
      </c>
      <c r="J383" s="161">
        <f t="shared" si="61"/>
        <v>27.878209068724217</v>
      </c>
    </row>
    <row r="384" spans="2:13">
      <c r="B384" s="130" t="s">
        <v>260</v>
      </c>
      <c r="C384" s="130"/>
      <c r="D384" s="130"/>
      <c r="E384" s="161">
        <f>AVERAGE(E378:E381)</f>
        <v>25.259826892865959</v>
      </c>
      <c r="F384" s="161">
        <f t="shared" ref="F384:J384" si="62">AVERAGE(F378:F381)</f>
        <v>31.820463771522931</v>
      </c>
      <c r="G384" s="161">
        <f>AVERAGE(G378:G381)</f>
        <v>29.142103967534908</v>
      </c>
      <c r="H384" s="161">
        <f t="shared" si="62"/>
        <v>28.366203024751112</v>
      </c>
      <c r="I384" s="161">
        <f t="shared" si="62"/>
        <v>26.91686512520123</v>
      </c>
      <c r="J384" s="161">
        <f t="shared" si="62"/>
        <v>27.689104534362109</v>
      </c>
    </row>
    <row r="387" spans="2:5" ht="21">
      <c r="B387" s="480" t="s">
        <v>270</v>
      </c>
      <c r="C387" s="450"/>
      <c r="D387" s="480" t="s">
        <v>244</v>
      </c>
      <c r="E387" s="480" t="s">
        <v>245</v>
      </c>
    </row>
    <row r="388" spans="2:5">
      <c r="B388" t="s">
        <v>341</v>
      </c>
      <c r="D388">
        <v>23</v>
      </c>
      <c r="E388">
        <v>24</v>
      </c>
    </row>
    <row r="389" spans="2:5">
      <c r="B389" t="s">
        <v>342</v>
      </c>
      <c r="D389">
        <v>15</v>
      </c>
      <c r="E389">
        <v>15</v>
      </c>
    </row>
    <row r="390" spans="2:5">
      <c r="B390" t="s">
        <v>336</v>
      </c>
      <c r="D390">
        <v>54.8</v>
      </c>
      <c r="E390">
        <v>54</v>
      </c>
    </row>
    <row r="391" spans="2:5">
      <c r="B391" t="s">
        <v>343</v>
      </c>
      <c r="D391">
        <v>30</v>
      </c>
      <c r="E391">
        <v>30</v>
      </c>
    </row>
    <row r="415" spans="12:13">
      <c r="L415" t="s">
        <v>344</v>
      </c>
      <c r="M415" t="s">
        <v>345</v>
      </c>
    </row>
    <row r="440" spans="1:13" ht="25.8">
      <c r="A440" t="s">
        <v>18</v>
      </c>
      <c r="B440" s="160" t="s">
        <v>7</v>
      </c>
      <c r="C440" s="9"/>
    </row>
    <row r="442" spans="1:13">
      <c r="B442" s="450" t="s">
        <v>154</v>
      </c>
      <c r="C442" s="450"/>
      <c r="D442" s="450">
        <v>2019</v>
      </c>
      <c r="E442" s="450">
        <f>D442+1</f>
        <v>2020</v>
      </c>
      <c r="F442" s="450">
        <f t="shared" ref="F442:J442" si="63">E442+1</f>
        <v>2021</v>
      </c>
      <c r="G442" s="450">
        <f t="shared" si="63"/>
        <v>2022</v>
      </c>
      <c r="H442" s="450">
        <f t="shared" si="63"/>
        <v>2023</v>
      </c>
      <c r="I442" s="450">
        <f t="shared" si="63"/>
        <v>2024</v>
      </c>
      <c r="J442" s="450">
        <f t="shared" si="63"/>
        <v>2025</v>
      </c>
      <c r="L442" s="450" t="s">
        <v>259</v>
      </c>
      <c r="M442" s="450" t="s">
        <v>260</v>
      </c>
    </row>
    <row r="443" spans="1:13">
      <c r="B443" t="s">
        <v>38</v>
      </c>
      <c r="D443" s="107">
        <v>9797.0600000000013</v>
      </c>
      <c r="E443" s="107">
        <v>9153.58</v>
      </c>
      <c r="F443" s="107">
        <v>8720.35</v>
      </c>
      <c r="G443" s="107">
        <v>10297.83</v>
      </c>
      <c r="H443" s="107">
        <v>14442.18</v>
      </c>
      <c r="I443" s="107">
        <v>16535.78</v>
      </c>
      <c r="J443" s="107">
        <v>18870.349999999999</v>
      </c>
    </row>
    <row r="444" spans="1:13">
      <c r="B444" s="79" t="s">
        <v>347</v>
      </c>
      <c r="D444" s="35">
        <v>6.2673142963751927E-2</v>
      </c>
      <c r="E444" s="35">
        <f>E443/D443-1</f>
        <v>-6.5680928768426572E-2</v>
      </c>
      <c r="F444" s="35">
        <f t="shared" ref="F444:J444" si="64">F443/E443-1</f>
        <v>-4.732902318000165E-2</v>
      </c>
      <c r="G444" s="35">
        <f t="shared" si="64"/>
        <v>0.18089640897441028</v>
      </c>
      <c r="H444" s="35">
        <f t="shared" si="64"/>
        <v>0.40244886544058311</v>
      </c>
      <c r="I444" s="35">
        <f t="shared" si="64"/>
        <v>0.14496426439775711</v>
      </c>
      <c r="J444" s="35">
        <f t="shared" si="64"/>
        <v>0.14118293784750402</v>
      </c>
      <c r="L444" s="47">
        <f>MEDIAN(D444:J444)</f>
        <v>0.14118293784750402</v>
      </c>
      <c r="M444" s="47">
        <f>AVERAGE(D444:J444)</f>
        <v>0.11702223823936832</v>
      </c>
    </row>
    <row r="446" spans="1:13">
      <c r="B446" t="s">
        <v>348</v>
      </c>
      <c r="D446" s="140">
        <v>84.29</v>
      </c>
      <c r="E446" s="140">
        <v>86.76</v>
      </c>
      <c r="F446" s="140">
        <v>158.16</v>
      </c>
      <c r="G446" s="140">
        <v>302.04000000000002</v>
      </c>
      <c r="H446" s="140">
        <v>368.92</v>
      </c>
      <c r="I446" s="140">
        <v>373.78</v>
      </c>
      <c r="J446" s="140">
        <v>549.64</v>
      </c>
    </row>
    <row r="447" spans="1:13">
      <c r="B447" s="79" t="s">
        <v>349</v>
      </c>
      <c r="E447" s="35">
        <f>E446/D446-1</f>
        <v>2.9303594732471128E-2</v>
      </c>
      <c r="F447" s="35">
        <f t="shared" ref="F447" si="65">F446/E446-1</f>
        <v>0.82295988934993081</v>
      </c>
      <c r="G447" s="35">
        <f t="shared" ref="G447" si="66">G446/F446-1</f>
        <v>0.90971168437025818</v>
      </c>
      <c r="H447" s="35">
        <f t="shared" ref="H447" si="67">H446/G446-1</f>
        <v>0.22142762548006889</v>
      </c>
      <c r="I447" s="35">
        <f t="shared" ref="I447" si="68">I446/H446-1</f>
        <v>1.3173587769706119E-2</v>
      </c>
      <c r="J447" s="35">
        <f t="shared" ref="J447" si="69">J446/I446-1</f>
        <v>0.47049066295681952</v>
      </c>
      <c r="L447" s="47">
        <f>MEDIAN(E447:J447)</f>
        <v>0.3459591442184442</v>
      </c>
      <c r="M447" s="47">
        <f>AVERAGE(E447:J447)</f>
        <v>0.41117784077654246</v>
      </c>
    </row>
    <row r="449" spans="2:13">
      <c r="B449" t="s">
        <v>350</v>
      </c>
      <c r="E449" s="140">
        <f>AVERAGE(D446:E446)</f>
        <v>85.525000000000006</v>
      </c>
      <c r="F449" s="140">
        <f t="shared" ref="F449:J449" si="70">AVERAGE(E446:F446)</f>
        <v>122.46000000000001</v>
      </c>
      <c r="G449" s="140">
        <f t="shared" si="70"/>
        <v>230.10000000000002</v>
      </c>
      <c r="H449" s="140">
        <f t="shared" si="70"/>
        <v>335.48</v>
      </c>
      <c r="I449" s="140">
        <f t="shared" si="70"/>
        <v>371.35</v>
      </c>
      <c r="J449" s="140">
        <f t="shared" si="70"/>
        <v>461.71</v>
      </c>
    </row>
    <row r="451" spans="2:13">
      <c r="B451" t="s">
        <v>351</v>
      </c>
      <c r="E451" s="35">
        <f>E449/E443</f>
        <v>9.3433388903576536E-3</v>
      </c>
      <c r="F451" s="35">
        <f t="shared" ref="F451:J451" si="71">F449/F443</f>
        <v>1.4043014328553326E-2</v>
      </c>
      <c r="G451" s="35">
        <f t="shared" si="71"/>
        <v>2.2344513358639639E-2</v>
      </c>
      <c r="H451" s="35">
        <f t="shared" si="71"/>
        <v>2.3229180082231352E-2</v>
      </c>
      <c r="I451" s="35">
        <f t="shared" si="71"/>
        <v>2.2457362156487328E-2</v>
      </c>
      <c r="J451" s="35">
        <f t="shared" si="71"/>
        <v>2.4467484704841194E-2</v>
      </c>
      <c r="L451" s="47">
        <f>MEDIAN(E451:J451)</f>
        <v>2.2400937757563483E-2</v>
      </c>
      <c r="M451" s="47">
        <f>AVERAGE(E451:J451)</f>
        <v>1.9314148920185081E-2</v>
      </c>
    </row>
    <row r="453" spans="2:13">
      <c r="B453" t="s">
        <v>352</v>
      </c>
      <c r="D453" s="164">
        <f>D443/D446</f>
        <v>116.23039506465774</v>
      </c>
      <c r="E453" s="164">
        <f>E443/E446</f>
        <v>105.50461041954817</v>
      </c>
      <c r="F453" s="164">
        <f t="shared" ref="F453:J453" si="72">F443/F446</f>
        <v>55.136254425897832</v>
      </c>
      <c r="G453" s="164">
        <f t="shared" si="72"/>
        <v>34.094259038537942</v>
      </c>
      <c r="H453" s="164">
        <f t="shared" si="72"/>
        <v>39.147186381871407</v>
      </c>
      <c r="I453" s="164">
        <f t="shared" si="72"/>
        <v>44.239338648402807</v>
      </c>
      <c r="J453" s="164">
        <f t="shared" si="72"/>
        <v>34.332199257695947</v>
      </c>
      <c r="L453" s="164">
        <f>MEDIAN(E453:J453)</f>
        <v>41.693262515137107</v>
      </c>
      <c r="M453" s="164">
        <f>AVERAGE(E453:J453)</f>
        <v>52.075641361992346</v>
      </c>
    </row>
    <row r="455" spans="2:13">
      <c r="B455" t="s">
        <v>353</v>
      </c>
      <c r="D455" s="140">
        <f>$B$456/D453</f>
        <v>3.1403145433425941</v>
      </c>
      <c r="E455" s="140">
        <f>$B$456/E453</f>
        <v>3.4595644545631328</v>
      </c>
      <c r="F455" s="140">
        <f t="shared" ref="F455:J455" si="73">$B$456/F453</f>
        <v>6.6199636482480626</v>
      </c>
      <c r="G455" s="140">
        <f t="shared" si="73"/>
        <v>10.705614678043821</v>
      </c>
      <c r="H455" s="140">
        <f t="shared" si="73"/>
        <v>9.3237862981904396</v>
      </c>
      <c r="I455" s="140">
        <f t="shared" si="73"/>
        <v>8.2505754188795439</v>
      </c>
      <c r="J455" s="140">
        <f t="shared" si="73"/>
        <v>10.6314191310707</v>
      </c>
      <c r="L455" s="140">
        <f>MEDIAN(E455:J455)</f>
        <v>8.7871808585349918</v>
      </c>
      <c r="M455" s="140">
        <f>AVERAGE(E455:J455)</f>
        <v>8.1651539381659504</v>
      </c>
    </row>
    <row r="456" spans="2:13">
      <c r="B456" s="80">
        <v>365</v>
      </c>
    </row>
    <row r="459" spans="2:13">
      <c r="B459" s="450" t="s">
        <v>354</v>
      </c>
      <c r="C459" s="450"/>
      <c r="D459" s="450">
        <v>2019</v>
      </c>
      <c r="E459" s="450">
        <v>2020</v>
      </c>
      <c r="F459" s="450">
        <v>2021</v>
      </c>
      <c r="G459" s="450">
        <v>2022</v>
      </c>
      <c r="H459" s="450">
        <v>2023</v>
      </c>
      <c r="I459" s="450">
        <v>2024</v>
      </c>
      <c r="J459" s="450">
        <v>2025</v>
      </c>
    </row>
    <row r="460" spans="2:13">
      <c r="B460" s="15" t="s">
        <v>334</v>
      </c>
      <c r="C460" s="15"/>
      <c r="D460" s="15"/>
      <c r="E460" s="162">
        <f>E455</f>
        <v>3.4595644545631328</v>
      </c>
      <c r="F460" s="162">
        <f t="shared" ref="F460:J460" si="74">F455</f>
        <v>6.6199636482480626</v>
      </c>
      <c r="G460" s="162">
        <f t="shared" si="74"/>
        <v>10.705614678043821</v>
      </c>
      <c r="H460" s="162">
        <f t="shared" si="74"/>
        <v>9.3237862981904396</v>
      </c>
      <c r="I460" s="162">
        <f t="shared" si="74"/>
        <v>8.2505754188795439</v>
      </c>
      <c r="J460" s="162">
        <f t="shared" si="74"/>
        <v>10.6314191310707</v>
      </c>
    </row>
    <row r="461" spans="2:13">
      <c r="B461" s="15" t="s">
        <v>355</v>
      </c>
      <c r="C461" s="15"/>
      <c r="D461" s="15"/>
      <c r="E461" s="15">
        <v>21</v>
      </c>
      <c r="F461" s="15">
        <v>36</v>
      </c>
      <c r="G461" s="15">
        <v>17</v>
      </c>
      <c r="H461" s="15">
        <v>18</v>
      </c>
      <c r="I461" s="15">
        <v>17</v>
      </c>
      <c r="J461" s="15">
        <v>15</v>
      </c>
    </row>
    <row r="462" spans="2:13">
      <c r="B462" s="15" t="s">
        <v>356</v>
      </c>
      <c r="C462" s="15"/>
      <c r="D462" s="15"/>
      <c r="E462" s="15">
        <v>28</v>
      </c>
      <c r="F462" s="15">
        <v>19</v>
      </c>
      <c r="G462" s="15">
        <v>18</v>
      </c>
      <c r="H462" s="15">
        <v>14</v>
      </c>
      <c r="I462" s="15">
        <v>17</v>
      </c>
      <c r="J462" s="15">
        <v>14</v>
      </c>
    </row>
    <row r="463" spans="2:13">
      <c r="B463" s="15" t="s">
        <v>357</v>
      </c>
      <c r="C463" s="15"/>
      <c r="D463" s="15"/>
      <c r="E463" s="15">
        <v>19</v>
      </c>
      <c r="F463" s="15">
        <v>27</v>
      </c>
      <c r="G463" s="15">
        <v>27</v>
      </c>
      <c r="H463" s="15">
        <v>29</v>
      </c>
      <c r="I463" s="15">
        <v>25</v>
      </c>
      <c r="J463" s="15">
        <v>30</v>
      </c>
    </row>
    <row r="465" spans="2:10">
      <c r="B465" s="130" t="s">
        <v>259</v>
      </c>
      <c r="C465" s="130"/>
      <c r="D465" s="130"/>
      <c r="E465" s="161">
        <f>MEDIAN(E460:E463)</f>
        <v>20</v>
      </c>
      <c r="F465" s="161">
        <f t="shared" ref="F465:J465" si="75">MEDIAN(F460:F463)</f>
        <v>23</v>
      </c>
      <c r="G465" s="161">
        <f t="shared" si="75"/>
        <v>17.5</v>
      </c>
      <c r="H465" s="161">
        <f t="shared" si="75"/>
        <v>16</v>
      </c>
      <c r="I465" s="161">
        <f t="shared" si="75"/>
        <v>17</v>
      </c>
      <c r="J465" s="161">
        <f t="shared" si="75"/>
        <v>14.5</v>
      </c>
    </row>
    <row r="466" spans="2:10">
      <c r="B466" s="130" t="s">
        <v>260</v>
      </c>
      <c r="C466" s="130"/>
      <c r="D466" s="130"/>
      <c r="E466" s="161">
        <f>AVERAGE(E460:E463)</f>
        <v>17.864891113640784</v>
      </c>
      <c r="F466" s="161">
        <f t="shared" ref="F466" si="76">AVERAGE(F460:F463)</f>
        <v>22.154990912062015</v>
      </c>
      <c r="G466" s="161">
        <f>AVERAGE(G460:G463)</f>
        <v>18.176403669510954</v>
      </c>
      <c r="H466" s="161">
        <f t="shared" ref="H466:J466" si="77">AVERAGE(H460:H463)</f>
        <v>17.58094657454761</v>
      </c>
      <c r="I466" s="161">
        <f t="shared" si="77"/>
        <v>16.812643854719887</v>
      </c>
      <c r="J466" s="161">
        <f t="shared" si="77"/>
        <v>17.407854782767675</v>
      </c>
    </row>
    <row r="469" spans="2:10" ht="21">
      <c r="B469" s="480" t="s">
        <v>270</v>
      </c>
      <c r="C469" s="450"/>
      <c r="D469" s="480" t="s">
        <v>244</v>
      </c>
      <c r="E469" s="480" t="s">
        <v>245</v>
      </c>
    </row>
    <row r="470" spans="2:10">
      <c r="B470" t="s">
        <v>358</v>
      </c>
      <c r="D470">
        <v>18</v>
      </c>
      <c r="E470">
        <v>18</v>
      </c>
    </row>
    <row r="471" spans="2:10">
      <c r="B471" t="s">
        <v>359</v>
      </c>
      <c r="D471">
        <v>15</v>
      </c>
      <c r="E471">
        <v>15</v>
      </c>
    </row>
    <row r="472" spans="2:10">
      <c r="B472" t="s">
        <v>360</v>
      </c>
      <c r="D472">
        <v>10.5</v>
      </c>
      <c r="E472">
        <v>10.199999999999999</v>
      </c>
    </row>
    <row r="473" spans="2:10">
      <c r="B473" t="s">
        <v>361</v>
      </c>
      <c r="D473">
        <v>10</v>
      </c>
      <c r="E473">
        <v>10</v>
      </c>
    </row>
    <row r="474" spans="2:10" ht="15" thickBot="1">
      <c r="B474" s="86" t="s">
        <v>259</v>
      </c>
      <c r="C474" s="86"/>
      <c r="D474" s="86">
        <f>MEDIAN(D470:D473)</f>
        <v>12.75</v>
      </c>
      <c r="E474" s="86">
        <f>MEDIAN(E470:E473)</f>
        <v>12.6</v>
      </c>
    </row>
    <row r="478" spans="2:10" ht="23.4">
      <c r="B478" s="560" t="s">
        <v>362</v>
      </c>
      <c r="C478" s="560"/>
      <c r="D478" s="560"/>
    </row>
    <row r="501" spans="5:23">
      <c r="E501">
        <v>505.23</v>
      </c>
      <c r="F501">
        <v>43.02</v>
      </c>
      <c r="G501">
        <v>1.89</v>
      </c>
      <c r="H501">
        <v>3.14</v>
      </c>
      <c r="I501">
        <v>2.2000000000000002</v>
      </c>
      <c r="J501">
        <v>0.55000000000000004</v>
      </c>
      <c r="K501">
        <v>556.03</v>
      </c>
      <c r="Q501">
        <v>281.29000000000002</v>
      </c>
      <c r="R501">
        <v>82.6</v>
      </c>
      <c r="S501">
        <v>7.8</v>
      </c>
      <c r="T501">
        <v>7.11</v>
      </c>
      <c r="U501">
        <v>0.31</v>
      </c>
      <c r="V501">
        <v>0.55000000000000004</v>
      </c>
      <c r="W501">
        <v>379.66</v>
      </c>
    </row>
    <row r="502" spans="5:23">
      <c r="E502" s="35">
        <f>E501/$K$501</f>
        <v>0.9086380231282486</v>
      </c>
      <c r="F502" s="35">
        <f t="shared" ref="F502:J502" si="78">F501/$K$501</f>
        <v>7.7369926083125026E-2</v>
      </c>
      <c r="G502" s="35">
        <f t="shared" si="78"/>
        <v>3.3990971710159525E-3</v>
      </c>
      <c r="H502" s="35">
        <f t="shared" si="78"/>
        <v>5.647177310576768E-3</v>
      </c>
      <c r="I502" s="35">
        <f t="shared" si="78"/>
        <v>3.9566210456270347E-3</v>
      </c>
      <c r="J502" s="35">
        <f t="shared" si="78"/>
        <v>9.8915526140675868E-4</v>
      </c>
      <c r="Q502" s="35">
        <f>Q501/$W$501</f>
        <v>0.74089975241005113</v>
      </c>
      <c r="R502" s="35">
        <f t="shared" ref="R502:V502" si="79">R501/$W$501</f>
        <v>0.21756308275825736</v>
      </c>
      <c r="S502" s="35">
        <f t="shared" si="79"/>
        <v>2.0544697887583625E-2</v>
      </c>
      <c r="T502" s="35">
        <f t="shared" si="79"/>
        <v>1.8727282305220461E-2</v>
      </c>
      <c r="U502" s="35">
        <f t="shared" si="79"/>
        <v>8.1652004425011848E-4</v>
      </c>
      <c r="V502" s="35">
        <f t="shared" si="79"/>
        <v>1.4486645946373072E-3</v>
      </c>
    </row>
    <row r="504" spans="5:23">
      <c r="E504">
        <v>281.29000000000002</v>
      </c>
      <c r="F504">
        <v>82.6</v>
      </c>
      <c r="G504">
        <v>7.8</v>
      </c>
      <c r="H504">
        <v>7.11</v>
      </c>
      <c r="I504">
        <v>0.31</v>
      </c>
      <c r="J504">
        <v>0.55000000000000004</v>
      </c>
    </row>
    <row r="505" spans="5:23">
      <c r="E505" s="35">
        <f>E501/E504-1</f>
        <v>0.7961178854562907</v>
      </c>
      <c r="F505" s="35">
        <f t="shared" ref="F505:J505" si="80">F501/F504-1</f>
        <v>-0.4791767554479418</v>
      </c>
      <c r="G505" s="35">
        <f t="shared" si="80"/>
        <v>-0.75769230769230766</v>
      </c>
      <c r="H505" s="35">
        <f t="shared" si="80"/>
        <v>-0.55836849507735586</v>
      </c>
      <c r="I505" s="35">
        <f t="shared" si="80"/>
        <v>6.0967741935483879</v>
      </c>
      <c r="J505" s="35">
        <f t="shared" si="80"/>
        <v>0</v>
      </c>
      <c r="K505" t="s">
        <v>363</v>
      </c>
    </row>
    <row r="563" spans="1:20" ht="25.8">
      <c r="A563" t="s">
        <v>18</v>
      </c>
      <c r="B563" s="160" t="s">
        <v>9</v>
      </c>
      <c r="C563" s="9"/>
    </row>
    <row r="565" spans="1:20">
      <c r="B565" s="450" t="s">
        <v>154</v>
      </c>
      <c r="C565" s="450"/>
      <c r="D565" s="450">
        <v>2019</v>
      </c>
      <c r="E565" s="450">
        <f>D565+1</f>
        <v>2020</v>
      </c>
      <c r="F565" s="450">
        <f t="shared" ref="F565:J565" si="81">E565+1</f>
        <v>2021</v>
      </c>
      <c r="G565" s="450">
        <f t="shared" si="81"/>
        <v>2022</v>
      </c>
      <c r="H565" s="450">
        <f t="shared" si="81"/>
        <v>2023</v>
      </c>
      <c r="I565" s="450">
        <f t="shared" si="81"/>
        <v>2024</v>
      </c>
      <c r="J565" s="450">
        <f t="shared" si="81"/>
        <v>2025</v>
      </c>
    </row>
    <row r="566" spans="1:20" ht="14.4" customHeight="1">
      <c r="B566" t="s">
        <v>38</v>
      </c>
      <c r="D566" s="107">
        <v>9797.0600000000013</v>
      </c>
      <c r="E566" s="107">
        <v>9153.58</v>
      </c>
      <c r="F566" s="107">
        <v>8720.35</v>
      </c>
      <c r="G566" s="107">
        <v>10297.83</v>
      </c>
      <c r="H566" s="107">
        <v>14442.18</v>
      </c>
      <c r="I566" s="107">
        <v>16535.78</v>
      </c>
      <c r="J566" s="107">
        <v>18870.349999999999</v>
      </c>
      <c r="P566" s="170"/>
      <c r="Q566" s="170"/>
      <c r="R566" s="170"/>
      <c r="S566" s="170"/>
      <c r="T566" s="170"/>
    </row>
    <row r="567" spans="1:20" ht="14.4" customHeight="1">
      <c r="B567" t="s">
        <v>204</v>
      </c>
      <c r="D567" s="140">
        <f>D338</f>
        <v>180.28</v>
      </c>
      <c r="E567" s="140">
        <f t="shared" ref="E567:J567" si="82">E338</f>
        <v>161.29</v>
      </c>
      <c r="F567" s="140">
        <f t="shared" si="82"/>
        <v>195.19</v>
      </c>
      <c r="G567" s="140">
        <f t="shared" si="82"/>
        <v>295.2</v>
      </c>
      <c r="H567" s="140">
        <f t="shared" si="82"/>
        <v>335.5</v>
      </c>
      <c r="I567" s="140">
        <f t="shared" si="82"/>
        <v>310.48</v>
      </c>
      <c r="J567" s="140">
        <f t="shared" si="82"/>
        <v>416.13</v>
      </c>
      <c r="P567" s="170"/>
      <c r="Q567" s="170"/>
      <c r="R567" s="170"/>
      <c r="S567" s="170"/>
      <c r="T567" s="170"/>
    </row>
    <row r="568" spans="1:20" ht="14.4" customHeight="1">
      <c r="P568" s="170"/>
      <c r="Q568" s="170"/>
      <c r="R568" s="170"/>
      <c r="S568" s="170"/>
      <c r="T568" s="170"/>
    </row>
    <row r="569" spans="1:20" ht="14.4" customHeight="1">
      <c r="B569" t="s">
        <v>367</v>
      </c>
      <c r="D569" s="35">
        <f>D567/D566</f>
        <v>1.8401438798986633E-2</v>
      </c>
      <c r="E569" s="35">
        <f t="shared" ref="E569:J569" si="83">E567/E566</f>
        <v>1.7620428291444439E-2</v>
      </c>
      <c r="F569" s="35">
        <f t="shared" si="83"/>
        <v>2.2383275900623254E-2</v>
      </c>
      <c r="G569" s="35">
        <f t="shared" si="83"/>
        <v>2.8666233565712386E-2</v>
      </c>
      <c r="H569" s="35">
        <f t="shared" si="83"/>
        <v>2.3230564914715091E-2</v>
      </c>
      <c r="I569" s="35">
        <f t="shared" si="83"/>
        <v>1.8776253675363366E-2</v>
      </c>
      <c r="J569" s="35">
        <f t="shared" si="83"/>
        <v>2.2052055208302973E-2</v>
      </c>
      <c r="K569" s="200"/>
      <c r="L569" s="200"/>
      <c r="M569" s="47"/>
      <c r="P569" s="170"/>
      <c r="Q569" s="170"/>
      <c r="R569" s="170"/>
      <c r="S569" s="170"/>
      <c r="T569" s="170"/>
    </row>
    <row r="570" spans="1:20" ht="14.4" customHeight="1">
      <c r="P570" s="170"/>
      <c r="Q570" s="170"/>
      <c r="R570" s="170"/>
      <c r="S570" s="170"/>
      <c r="T570" s="170"/>
    </row>
    <row r="571" spans="1:20" ht="14.4" customHeight="1">
      <c r="B571" t="s">
        <v>368</v>
      </c>
      <c r="P571" s="170"/>
      <c r="Q571" s="170"/>
      <c r="R571" s="170"/>
      <c r="S571" s="170"/>
      <c r="T571" s="170"/>
    </row>
    <row r="572" spans="1:20" ht="14.4" customHeight="1">
      <c r="P572" s="170"/>
      <c r="Q572" s="170"/>
      <c r="R572" s="170"/>
      <c r="S572" s="170"/>
      <c r="T572" s="170"/>
    </row>
    <row r="573" spans="1:20" ht="14.4" customHeight="1">
      <c r="E573" s="140"/>
      <c r="F573" s="140"/>
      <c r="G573" s="140"/>
      <c r="H573" s="140"/>
      <c r="I573" s="140"/>
      <c r="J573" s="140"/>
      <c r="P573" s="170"/>
      <c r="Q573" s="170"/>
      <c r="R573" s="170"/>
      <c r="S573" s="170"/>
      <c r="T573" s="170"/>
    </row>
    <row r="574" spans="1:20" ht="25.8" customHeight="1">
      <c r="A574" t="s">
        <v>18</v>
      </c>
      <c r="B574" s="160" t="s">
        <v>182</v>
      </c>
    </row>
    <row r="575" spans="1:20" ht="14.4" customHeight="1"/>
    <row r="576" spans="1:20" ht="14.4" customHeight="1">
      <c r="B576" s="450" t="s">
        <v>154</v>
      </c>
      <c r="C576" s="450"/>
      <c r="D576" s="450">
        <v>2019</v>
      </c>
      <c r="E576" s="450">
        <f>D576+1</f>
        <v>2020</v>
      </c>
      <c r="F576" s="450">
        <f t="shared" ref="F576" si="84">E576+1</f>
        <v>2021</v>
      </c>
      <c r="G576" s="450">
        <f t="shared" ref="G576" si="85">F576+1</f>
        <v>2022</v>
      </c>
      <c r="H576" s="450">
        <f t="shared" ref="H576" si="86">G576+1</f>
        <v>2023</v>
      </c>
      <c r="I576" s="450">
        <f t="shared" ref="I576" si="87">H576+1</f>
        <v>2024</v>
      </c>
      <c r="J576" s="450">
        <f t="shared" ref="J576" si="88">I576+1</f>
        <v>2025</v>
      </c>
      <c r="L576" s="450" t="s">
        <v>259</v>
      </c>
      <c r="M576" s="450" t="s">
        <v>260</v>
      </c>
    </row>
    <row r="577" spans="2:13" ht="14.4" customHeight="1">
      <c r="B577" t="s">
        <v>374</v>
      </c>
      <c r="D577" s="140">
        <v>2324.3200000000002</v>
      </c>
      <c r="E577" s="140">
        <v>2689.6900000000005</v>
      </c>
      <c r="F577" s="140">
        <v>2747.59</v>
      </c>
      <c r="G577" s="140">
        <v>2929.06</v>
      </c>
      <c r="H577" s="140">
        <v>3162.0600000000004</v>
      </c>
      <c r="I577" s="140">
        <v>3469.4799999999996</v>
      </c>
      <c r="J577" s="140">
        <v>3964.94</v>
      </c>
      <c r="K577" s="140"/>
      <c r="L577" s="140"/>
    </row>
    <row r="578" spans="2:13" ht="14.4" customHeight="1">
      <c r="B578" t="s">
        <v>375</v>
      </c>
      <c r="D578" s="140">
        <v>892.72</v>
      </c>
      <c r="E578" s="140">
        <v>1241.71</v>
      </c>
      <c r="F578" s="140">
        <v>1692.21</v>
      </c>
      <c r="G578" s="140">
        <v>2100.48</v>
      </c>
      <c r="H578" s="140">
        <v>2593.4299999999998</v>
      </c>
      <c r="I578" s="140">
        <v>2973.61</v>
      </c>
      <c r="J578" s="140">
        <v>3505.28</v>
      </c>
    </row>
    <row r="579" spans="2:13" ht="15" thickBot="1">
      <c r="B579" s="86" t="s">
        <v>376</v>
      </c>
      <c r="C579" s="86"/>
      <c r="D579" s="142">
        <f>D577-D578</f>
        <v>1431.6000000000001</v>
      </c>
      <c r="E579" s="142">
        <f t="shared" ref="E579:J579" si="89">E577-E578</f>
        <v>1447.9800000000005</v>
      </c>
      <c r="F579" s="142">
        <f t="shared" si="89"/>
        <v>1055.3800000000001</v>
      </c>
      <c r="G579" s="142">
        <f t="shared" si="89"/>
        <v>828.57999999999993</v>
      </c>
      <c r="H579" s="142">
        <f t="shared" si="89"/>
        <v>568.63000000000056</v>
      </c>
      <c r="I579" s="142">
        <f t="shared" si="89"/>
        <v>495.86999999999944</v>
      </c>
      <c r="J579" s="142">
        <f t="shared" si="89"/>
        <v>459.65999999999985</v>
      </c>
    </row>
    <row r="581" spans="2:13">
      <c r="B581" s="26" t="s">
        <v>11</v>
      </c>
      <c r="C581" s="26"/>
      <c r="D581" s="146">
        <v>11386.829999999998</v>
      </c>
      <c r="E581" s="146">
        <v>12449.720000000001</v>
      </c>
      <c r="F581" s="146">
        <v>14558.61</v>
      </c>
      <c r="G581" s="146">
        <v>16139.830000000002</v>
      </c>
      <c r="H581" s="146">
        <v>19197.64</v>
      </c>
      <c r="I581" s="146">
        <v>23127.929999999993</v>
      </c>
      <c r="J581" s="146">
        <v>27174.41</v>
      </c>
    </row>
    <row r="583" spans="2:13">
      <c r="B583" s="172" t="s">
        <v>377</v>
      </c>
      <c r="C583" s="173"/>
      <c r="D583" s="174">
        <f>D579/D581</f>
        <v>0.1257241918953739</v>
      </c>
      <c r="E583" s="174">
        <f t="shared" ref="E583:J583" si="90">E579/E581</f>
        <v>0.11630623018027718</v>
      </c>
      <c r="F583" s="174">
        <f t="shared" si="90"/>
        <v>7.2491810687970906E-2</v>
      </c>
      <c r="G583" s="174">
        <f t="shared" si="90"/>
        <v>5.1337591535970319E-2</v>
      </c>
      <c r="H583" s="174">
        <f t="shared" si="90"/>
        <v>2.9619786598769463E-2</v>
      </c>
      <c r="I583" s="174">
        <f t="shared" si="90"/>
        <v>2.1440310481742188E-2</v>
      </c>
      <c r="J583" s="174">
        <f t="shared" si="90"/>
        <v>1.6915178655212748E-2</v>
      </c>
      <c r="L583" s="176">
        <f>MEDIAN(D583:J583)</f>
        <v>5.1337591535970319E-2</v>
      </c>
      <c r="M583" s="176">
        <f>AVERAGE(D583:J583)</f>
        <v>6.1976442862188098E-2</v>
      </c>
    </row>
    <row r="585" spans="2:13">
      <c r="B585" s="26" t="s">
        <v>378</v>
      </c>
      <c r="C585" s="26"/>
      <c r="D585" s="146">
        <v>9797.0600000000013</v>
      </c>
      <c r="E585" s="146">
        <v>9153.58</v>
      </c>
      <c r="F585" s="146">
        <v>8720.35</v>
      </c>
      <c r="G585" s="146">
        <v>10297.83</v>
      </c>
      <c r="H585" s="146">
        <v>14442.18</v>
      </c>
      <c r="I585" s="146">
        <v>16535.78</v>
      </c>
      <c r="J585" s="146">
        <v>18870.349999999999</v>
      </c>
    </row>
    <row r="587" spans="2:13">
      <c r="B587" s="172" t="s">
        <v>379</v>
      </c>
      <c r="C587" s="173"/>
      <c r="D587" s="174">
        <f>D579/D585</f>
        <v>0.14612547029414946</v>
      </c>
      <c r="E587" s="174">
        <f t="shared" ref="E587:J587" si="91">E579/E585</f>
        <v>0.15818728847074046</v>
      </c>
      <c r="F587" s="174">
        <f t="shared" si="91"/>
        <v>0.12102495886059619</v>
      </c>
      <c r="G587" s="174">
        <f t="shared" si="91"/>
        <v>8.046161181530477E-2</v>
      </c>
      <c r="H587" s="174">
        <f t="shared" si="91"/>
        <v>3.9372864761414175E-2</v>
      </c>
      <c r="I587" s="174">
        <f t="shared" si="91"/>
        <v>2.9987699400935396E-2</v>
      </c>
      <c r="J587" s="174">
        <f t="shared" si="91"/>
        <v>2.4358848670003465E-2</v>
      </c>
      <c r="L587" s="176">
        <f>MEDIAN(D587:J587)</f>
        <v>8.046161181530477E-2</v>
      </c>
      <c r="M587" s="176">
        <f>AVERAGE(D587:J587)</f>
        <v>8.5645534610449131E-2</v>
      </c>
    </row>
    <row r="589" spans="2:13">
      <c r="B589" s="173" t="s">
        <v>388</v>
      </c>
      <c r="C589" s="173"/>
      <c r="D589" s="173"/>
      <c r="E589" s="178">
        <f>E577/D577-1</f>
        <v>0.15719436222206928</v>
      </c>
      <c r="F589" s="178">
        <f t="shared" ref="F589:J589" si="92">F577/E577-1</f>
        <v>2.1526644334477041E-2</v>
      </c>
      <c r="G589" s="178">
        <f t="shared" si="92"/>
        <v>6.6046972073708243E-2</v>
      </c>
      <c r="H589" s="178">
        <f t="shared" si="92"/>
        <v>7.9547704724382662E-2</v>
      </c>
      <c r="I589" s="178">
        <f t="shared" si="92"/>
        <v>9.7221431598388142E-2</v>
      </c>
      <c r="J589" s="178">
        <f t="shared" si="92"/>
        <v>0.1428052618836253</v>
      </c>
      <c r="L589" s="176">
        <f>MEDIAN(E589:J589)</f>
        <v>8.8384568161385402E-2</v>
      </c>
      <c r="M589" s="176">
        <f>AVERAGE(E589:J589)</f>
        <v>9.4057062806108441E-2</v>
      </c>
    </row>
    <row r="590" spans="2:13">
      <c r="B590" t="s">
        <v>380</v>
      </c>
      <c r="E590" s="140">
        <f>E577-D577</f>
        <v>365.37000000000035</v>
      </c>
      <c r="F590" s="140">
        <f t="shared" ref="F590:J590" si="93">F577-E577</f>
        <v>57.899999999999636</v>
      </c>
      <c r="G590" s="140">
        <f t="shared" si="93"/>
        <v>181.4699999999998</v>
      </c>
      <c r="H590" s="140">
        <f t="shared" si="93"/>
        <v>233.00000000000045</v>
      </c>
      <c r="I590" s="140">
        <f t="shared" si="93"/>
        <v>307.41999999999916</v>
      </c>
      <c r="J590" s="140">
        <f t="shared" si="93"/>
        <v>495.46000000000049</v>
      </c>
    </row>
    <row r="591" spans="2:13">
      <c r="B591" t="s">
        <v>112</v>
      </c>
      <c r="E591" s="140">
        <f>E585-D585</f>
        <v>-643.48000000000138</v>
      </c>
      <c r="F591" s="140">
        <f t="shared" ref="F591:J591" si="94">F585-E585</f>
        <v>-433.22999999999956</v>
      </c>
      <c r="G591" s="140">
        <f t="shared" si="94"/>
        <v>1577.4799999999996</v>
      </c>
      <c r="H591" s="140">
        <f t="shared" si="94"/>
        <v>4144.3500000000004</v>
      </c>
      <c r="I591" s="140">
        <f t="shared" si="94"/>
        <v>2093.5999999999985</v>
      </c>
      <c r="J591" s="140">
        <f t="shared" si="94"/>
        <v>2334.5699999999997</v>
      </c>
    </row>
    <row r="593" spans="2:13">
      <c r="B593" s="173" t="s">
        <v>381</v>
      </c>
      <c r="C593" s="173"/>
      <c r="D593" s="173"/>
      <c r="E593" s="179">
        <f>E591/E590</f>
        <v>-1.7611736048389326</v>
      </c>
      <c r="F593" s="179">
        <f t="shared" ref="F593:J593" si="95">F591/F590</f>
        <v>-7.4823834196891585</v>
      </c>
      <c r="G593" s="179">
        <f t="shared" si="95"/>
        <v>8.6927866865046628</v>
      </c>
      <c r="H593" s="179">
        <f t="shared" si="95"/>
        <v>17.786909871244603</v>
      </c>
      <c r="I593" s="179">
        <f t="shared" si="95"/>
        <v>6.8102270509400959</v>
      </c>
      <c r="J593" s="179">
        <f t="shared" si="95"/>
        <v>4.7119242723933263</v>
      </c>
      <c r="L593" s="175">
        <f>MEDIAN(E593:J593)</f>
        <v>5.7610756616667107</v>
      </c>
      <c r="M593" s="175">
        <f>AVERAGE(E593:J593)</f>
        <v>4.7930484760924328</v>
      </c>
    </row>
    <row r="594" spans="2:13">
      <c r="B594" s="173" t="s">
        <v>111</v>
      </c>
      <c r="C594" s="173"/>
      <c r="D594" s="179">
        <f>D585/D581</f>
        <v>0.86038519939263192</v>
      </c>
      <c r="E594" s="179">
        <f t="shared" ref="E594:J594" si="96">E585/E581</f>
        <v>0.7352438448414903</v>
      </c>
      <c r="F594" s="179">
        <f t="shared" si="96"/>
        <v>0.59898232042756827</v>
      </c>
      <c r="G594" s="179">
        <f t="shared" si="96"/>
        <v>0.6380383188670512</v>
      </c>
      <c r="H594" s="179">
        <f t="shared" si="96"/>
        <v>0.75228934389852087</v>
      </c>
      <c r="I594" s="179">
        <f t="shared" si="96"/>
        <v>0.7149701681041063</v>
      </c>
      <c r="J594" s="179">
        <f t="shared" si="96"/>
        <v>0.69441618051689069</v>
      </c>
      <c r="L594" s="179">
        <f>MEDIAN(D594:J594)</f>
        <v>0.7149701681041063</v>
      </c>
      <c r="M594" s="179">
        <f>AVERAGE(D594:J594)</f>
        <v>0.71347505372118003</v>
      </c>
    </row>
    <row r="596" spans="2:13">
      <c r="B596" s="450" t="s">
        <v>383</v>
      </c>
      <c r="C596" s="450"/>
      <c r="D596" s="450">
        <v>2019</v>
      </c>
      <c r="E596" s="450">
        <f>D596+1</f>
        <v>2020</v>
      </c>
      <c r="F596" s="450">
        <f t="shared" ref="F596" si="97">E596+1</f>
        <v>2021</v>
      </c>
      <c r="G596" s="450">
        <f t="shared" ref="G596" si="98">F596+1</f>
        <v>2022</v>
      </c>
      <c r="H596" s="450">
        <f t="shared" ref="H596" si="99">G596+1</f>
        <v>2023</v>
      </c>
      <c r="I596" s="450">
        <f t="shared" ref="I596" si="100">H596+1</f>
        <v>2024</v>
      </c>
      <c r="J596" s="450">
        <f t="shared" ref="J596" si="101">I596+1</f>
        <v>2025</v>
      </c>
    </row>
    <row r="597" spans="2:13">
      <c r="B597" t="s">
        <v>183</v>
      </c>
      <c r="D597" s="140">
        <v>1692.07</v>
      </c>
      <c r="E597" s="140">
        <v>2001.77</v>
      </c>
      <c r="F597" s="140">
        <v>1894.51</v>
      </c>
      <c r="G597" s="140">
        <v>1910.78</v>
      </c>
      <c r="H597" s="140">
        <v>1999.65</v>
      </c>
      <c r="I597" s="140">
        <v>1950.26</v>
      </c>
      <c r="J597" s="140">
        <v>2268.6999999999998</v>
      </c>
    </row>
    <row r="598" spans="2:13">
      <c r="B598" t="s">
        <v>184</v>
      </c>
      <c r="D598" s="140">
        <v>272.14</v>
      </c>
      <c r="E598" s="140">
        <v>26.75</v>
      </c>
      <c r="F598" s="140">
        <v>63.91</v>
      </c>
      <c r="G598" s="140">
        <v>133.97999999999999</v>
      </c>
      <c r="H598" s="140">
        <v>77.75</v>
      </c>
      <c r="I598" s="140">
        <v>211.65</v>
      </c>
      <c r="J598" s="140">
        <v>110.3</v>
      </c>
    </row>
    <row r="599" spans="2:13">
      <c r="B599" t="s">
        <v>185</v>
      </c>
      <c r="D599" s="140">
        <v>3.51</v>
      </c>
      <c r="E599" s="140">
        <v>3.16</v>
      </c>
      <c r="F599" s="140">
        <v>0</v>
      </c>
      <c r="G599" s="140">
        <v>0</v>
      </c>
      <c r="H599" s="140">
        <v>0</v>
      </c>
      <c r="I599" s="140">
        <v>0</v>
      </c>
      <c r="J599" s="140">
        <v>0</v>
      </c>
    </row>
    <row r="600" spans="2:13">
      <c r="B600" t="s">
        <v>186</v>
      </c>
      <c r="D600" s="140">
        <v>179</v>
      </c>
      <c r="E600" s="140">
        <v>184.83</v>
      </c>
      <c r="F600" s="140">
        <v>341.17</v>
      </c>
      <c r="G600" s="140">
        <v>329.84</v>
      </c>
      <c r="H600" s="140">
        <v>464.21</v>
      </c>
      <c r="I600" s="140">
        <v>692.13</v>
      </c>
      <c r="J600" s="140">
        <v>887.73</v>
      </c>
    </row>
    <row r="601" spans="2:13">
      <c r="B601" t="s">
        <v>187</v>
      </c>
      <c r="D601" s="140">
        <v>0</v>
      </c>
      <c r="E601" s="140">
        <v>187.76</v>
      </c>
      <c r="F601" s="140">
        <v>197.62</v>
      </c>
      <c r="G601" s="140">
        <v>183.66</v>
      </c>
      <c r="H601" s="140">
        <v>226.13</v>
      </c>
      <c r="I601" s="140">
        <v>271.99</v>
      </c>
      <c r="J601" s="140">
        <v>317.04000000000002</v>
      </c>
    </row>
    <row r="602" spans="2:13">
      <c r="B602" t="s">
        <v>188</v>
      </c>
      <c r="D602" s="140">
        <v>177.6</v>
      </c>
      <c r="E602" s="140">
        <v>285.42</v>
      </c>
      <c r="F602" s="140">
        <v>250.38</v>
      </c>
      <c r="G602" s="140">
        <v>370.8</v>
      </c>
      <c r="H602" s="140">
        <v>394.32</v>
      </c>
      <c r="I602" s="140">
        <v>343.45</v>
      </c>
      <c r="J602" s="140">
        <v>381.17</v>
      </c>
    </row>
    <row r="603" spans="2:13" ht="15" thickBot="1">
      <c r="B603" s="86" t="s">
        <v>382</v>
      </c>
      <c r="C603" s="86"/>
      <c r="D603" s="142">
        <f>SUM(D597:D602)</f>
        <v>2324.3200000000002</v>
      </c>
      <c r="E603" s="142">
        <f t="shared" ref="E603:J603" si="102">SUM(E597:E602)</f>
        <v>2689.6900000000005</v>
      </c>
      <c r="F603" s="142">
        <f t="shared" si="102"/>
        <v>2747.59</v>
      </c>
      <c r="G603" s="142">
        <f t="shared" si="102"/>
        <v>2929.06</v>
      </c>
      <c r="H603" s="142">
        <f t="shared" si="102"/>
        <v>3162.0600000000004</v>
      </c>
      <c r="I603" s="142">
        <f t="shared" si="102"/>
        <v>3469.4799999999996</v>
      </c>
      <c r="J603" s="142">
        <f t="shared" si="102"/>
        <v>3964.94</v>
      </c>
    </row>
    <row r="605" spans="2:13">
      <c r="B605" s="450" t="s">
        <v>384</v>
      </c>
      <c r="C605" s="450"/>
      <c r="D605" s="450">
        <v>2019</v>
      </c>
      <c r="E605" s="450">
        <f>D605+1</f>
        <v>2020</v>
      </c>
      <c r="F605" s="450">
        <f t="shared" ref="F605" si="103">E605+1</f>
        <v>2021</v>
      </c>
      <c r="G605" s="450">
        <f t="shared" ref="G605" si="104">F605+1</f>
        <v>2022</v>
      </c>
      <c r="H605" s="450">
        <f t="shared" ref="H605" si="105">G605+1</f>
        <v>2023</v>
      </c>
      <c r="I605" s="450">
        <f t="shared" ref="I605" si="106">H605+1</f>
        <v>2024</v>
      </c>
      <c r="J605" s="450">
        <f t="shared" ref="J605" si="107">I605+1</f>
        <v>2025</v>
      </c>
    </row>
    <row r="606" spans="2:13">
      <c r="B606" t="s">
        <v>183</v>
      </c>
      <c r="D606" s="134">
        <f>D597/D$603</f>
        <v>0.72798495904178417</v>
      </c>
      <c r="E606" s="134">
        <f t="shared" ref="E606:J606" si="108">E597/E$603</f>
        <v>0.74423818358249449</v>
      </c>
      <c r="F606" s="134">
        <f t="shared" si="108"/>
        <v>0.68951699489370677</v>
      </c>
      <c r="G606" s="134">
        <f t="shared" si="108"/>
        <v>0.65235263190238502</v>
      </c>
      <c r="H606" s="134">
        <f t="shared" si="108"/>
        <v>0.6323883797271399</v>
      </c>
      <c r="I606" s="134">
        <f t="shared" si="108"/>
        <v>0.56211881895846072</v>
      </c>
      <c r="J606" s="134">
        <f t="shared" si="108"/>
        <v>0.57219024751950842</v>
      </c>
    </row>
    <row r="607" spans="2:13">
      <c r="B607" t="s">
        <v>184</v>
      </c>
      <c r="D607" s="35">
        <f t="shared" ref="D607:D611" si="109">D598/D$603</f>
        <v>0.11708370620224408</v>
      </c>
      <c r="E607" s="35">
        <f t="shared" ref="E607:J607" si="110">E598/E$603</f>
        <v>9.9453840405399861E-3</v>
      </c>
      <c r="F607" s="35">
        <f t="shared" si="110"/>
        <v>2.3260384555192002E-2</v>
      </c>
      <c r="G607" s="35">
        <f t="shared" si="110"/>
        <v>4.5741637248810196E-2</v>
      </c>
      <c r="H607" s="35">
        <f t="shared" si="110"/>
        <v>2.4588401232108179E-2</v>
      </c>
      <c r="I607" s="35">
        <f t="shared" si="110"/>
        <v>6.1003378027831269E-2</v>
      </c>
      <c r="J607" s="35">
        <f t="shared" si="110"/>
        <v>2.781883206303248E-2</v>
      </c>
    </row>
    <row r="608" spans="2:13">
      <c r="B608" t="s">
        <v>185</v>
      </c>
      <c r="D608" s="35">
        <f t="shared" si="109"/>
        <v>1.5101190885936529E-3</v>
      </c>
      <c r="E608" s="35">
        <f t="shared" ref="E608:J608" si="111">E599/E$603</f>
        <v>1.1748565819852843E-3</v>
      </c>
      <c r="F608" s="35">
        <f t="shared" si="111"/>
        <v>0</v>
      </c>
      <c r="G608" s="35">
        <f t="shared" si="111"/>
        <v>0</v>
      </c>
      <c r="H608" s="35">
        <f t="shared" si="111"/>
        <v>0</v>
      </c>
      <c r="I608" s="35">
        <f t="shared" si="111"/>
        <v>0</v>
      </c>
      <c r="J608" s="35">
        <f t="shared" si="111"/>
        <v>0</v>
      </c>
    </row>
    <row r="609" spans="2:10">
      <c r="B609" t="s">
        <v>186</v>
      </c>
      <c r="D609" s="134">
        <f t="shared" si="109"/>
        <v>7.7011771184690575E-2</v>
      </c>
      <c r="E609" s="134">
        <f t="shared" ref="E609:J609" si="112">E600/E$603</f>
        <v>6.8717956344411427E-2</v>
      </c>
      <c r="F609" s="134">
        <f t="shared" si="112"/>
        <v>0.12417063681262488</v>
      </c>
      <c r="G609" s="134">
        <f t="shared" si="112"/>
        <v>0.11260950612141779</v>
      </c>
      <c r="H609" s="134">
        <f t="shared" si="112"/>
        <v>0.14680619596086092</v>
      </c>
      <c r="I609" s="134">
        <f t="shared" si="112"/>
        <v>0.19949099000426579</v>
      </c>
      <c r="J609" s="134">
        <f t="shared" si="112"/>
        <v>0.2238949391415759</v>
      </c>
    </row>
    <row r="610" spans="2:10">
      <c r="B610" t="s">
        <v>187</v>
      </c>
      <c r="D610" s="35">
        <f t="shared" si="109"/>
        <v>0</v>
      </c>
      <c r="E610" s="35">
        <f t="shared" ref="E610:J610" si="113">E601/E$603</f>
        <v>6.9807301213150943E-2</v>
      </c>
      <c r="F610" s="35">
        <f t="shared" si="113"/>
        <v>7.1924850505351967E-2</v>
      </c>
      <c r="G610" s="35">
        <f t="shared" si="113"/>
        <v>6.2702710084463958E-2</v>
      </c>
      <c r="H610" s="35">
        <f t="shared" si="113"/>
        <v>7.1513507017577138E-2</v>
      </c>
      <c r="I610" s="35">
        <f t="shared" si="113"/>
        <v>7.8395033261468586E-2</v>
      </c>
      <c r="J610" s="35">
        <f t="shared" si="113"/>
        <v>7.9960856910823372E-2</v>
      </c>
    </row>
    <row r="611" spans="2:10">
      <c r="B611" t="s">
        <v>188</v>
      </c>
      <c r="D611" s="134">
        <f t="shared" si="109"/>
        <v>7.6409444482687397E-2</v>
      </c>
      <c r="E611" s="134">
        <f t="shared" ref="E611:J611" si="114">E602/E$603</f>
        <v>0.10611631823741768</v>
      </c>
      <c r="F611" s="134">
        <f t="shared" si="114"/>
        <v>9.1127133233124297E-2</v>
      </c>
      <c r="G611" s="134">
        <f t="shared" si="114"/>
        <v>0.12659351464292298</v>
      </c>
      <c r="H611" s="134">
        <f t="shared" si="114"/>
        <v>0.12470351606231379</v>
      </c>
      <c r="I611" s="134">
        <f t="shared" si="114"/>
        <v>9.8991779747973768E-2</v>
      </c>
      <c r="J611" s="134">
        <f t="shared" si="114"/>
        <v>9.6135124365059749E-2</v>
      </c>
    </row>
    <row r="612" spans="2:10" ht="15" thickBot="1">
      <c r="B612" s="143" t="s">
        <v>382</v>
      </c>
      <c r="C612" s="143"/>
      <c r="D612" s="143">
        <f>D603/D$603</f>
        <v>1</v>
      </c>
      <c r="E612" s="143">
        <f t="shared" ref="E612:J612" si="115">E603/E$603</f>
        <v>1</v>
      </c>
      <c r="F612" s="143">
        <f t="shared" si="115"/>
        <v>1</v>
      </c>
      <c r="G612" s="143">
        <f t="shared" si="115"/>
        <v>1</v>
      </c>
      <c r="H612" s="143">
        <f t="shared" si="115"/>
        <v>1</v>
      </c>
      <c r="I612" s="143">
        <f t="shared" si="115"/>
        <v>1</v>
      </c>
      <c r="J612" s="143">
        <f t="shared" si="115"/>
        <v>1</v>
      </c>
    </row>
    <row r="615" spans="2:10">
      <c r="B615" s="450" t="s">
        <v>154</v>
      </c>
      <c r="C615" s="450"/>
      <c r="D615" s="450">
        <v>2019</v>
      </c>
      <c r="E615" s="450">
        <v>2020</v>
      </c>
      <c r="F615" s="450">
        <v>2021</v>
      </c>
      <c r="G615" s="450">
        <v>2022</v>
      </c>
      <c r="H615" s="450">
        <v>2023</v>
      </c>
      <c r="I615" s="450">
        <v>2024</v>
      </c>
      <c r="J615" s="450">
        <v>2025</v>
      </c>
    </row>
    <row r="616" spans="2:10">
      <c r="B616" t="s">
        <v>380</v>
      </c>
      <c r="E616" s="140">
        <v>365.37000000000035</v>
      </c>
      <c r="F616" s="140">
        <v>57.899999999999636</v>
      </c>
      <c r="G616" s="140">
        <v>181.4699999999998</v>
      </c>
      <c r="H616" s="140">
        <v>233.00000000000045</v>
      </c>
      <c r="I616" s="140">
        <v>307.41999999999916</v>
      </c>
      <c r="J616" s="140">
        <v>495.46000000000049</v>
      </c>
    </row>
    <row r="617" spans="2:10">
      <c r="B617" t="s">
        <v>385</v>
      </c>
      <c r="D617" s="140"/>
      <c r="E617" s="140">
        <v>381.54</v>
      </c>
      <c r="F617" s="140">
        <v>450.73</v>
      </c>
      <c r="G617" s="140">
        <v>451.93</v>
      </c>
      <c r="H617" s="140">
        <v>526.21</v>
      </c>
      <c r="I617" s="140">
        <v>597.6</v>
      </c>
      <c r="J617" s="140">
        <v>729.33</v>
      </c>
    </row>
    <row r="619" spans="2:10">
      <c r="B619" s="12" t="s">
        <v>386</v>
      </c>
      <c r="C619" s="12"/>
      <c r="D619" s="12"/>
      <c r="E619" s="177">
        <f>E617</f>
        <v>381.54</v>
      </c>
      <c r="F619" s="177">
        <f t="shared" ref="F619:J619" si="116">F617</f>
        <v>450.73</v>
      </c>
      <c r="G619" s="177">
        <f t="shared" si="116"/>
        <v>451.93</v>
      </c>
      <c r="H619" s="177">
        <f t="shared" si="116"/>
        <v>526.21</v>
      </c>
      <c r="I619" s="177">
        <f t="shared" si="116"/>
        <v>597.6</v>
      </c>
      <c r="J619" s="177">
        <f t="shared" si="116"/>
        <v>729.33</v>
      </c>
    </row>
    <row r="620" spans="2:10">
      <c r="B620" t="s">
        <v>387</v>
      </c>
      <c r="E620" s="140">
        <f>IF(E617&gt;E616,0,E616-E617)</f>
        <v>0</v>
      </c>
      <c r="F620">
        <f t="shared" ref="F620:J620" si="117">IF(F617&gt;F616,0,F616-F617)</f>
        <v>0</v>
      </c>
      <c r="G620">
        <f t="shared" si="117"/>
        <v>0</v>
      </c>
      <c r="H620">
        <f t="shared" si="117"/>
        <v>0</v>
      </c>
      <c r="I620">
        <f t="shared" si="117"/>
        <v>0</v>
      </c>
      <c r="J620">
        <f t="shared" si="117"/>
        <v>0</v>
      </c>
    </row>
    <row r="623" spans="2:10">
      <c r="B623" s="450" t="s">
        <v>317</v>
      </c>
      <c r="C623" s="450"/>
      <c r="D623" s="450"/>
      <c r="E623" s="450"/>
      <c r="F623" s="450"/>
      <c r="G623" s="450"/>
      <c r="H623" s="450"/>
      <c r="I623" s="450"/>
      <c r="J623" s="450"/>
    </row>
    <row r="625" spans="2:10">
      <c r="B625" t="s">
        <v>389</v>
      </c>
      <c r="D625">
        <v>1000</v>
      </c>
      <c r="E625" s="26" t="s">
        <v>390</v>
      </c>
    </row>
    <row r="626" spans="2:10">
      <c r="B626" t="s">
        <v>391</v>
      </c>
      <c r="D626" t="s">
        <v>392</v>
      </c>
      <c r="E626" t="s">
        <v>393</v>
      </c>
    </row>
    <row r="628" spans="2:10">
      <c r="B628" t="s">
        <v>394</v>
      </c>
    </row>
    <row r="630" spans="2:10">
      <c r="B630" s="450" t="s">
        <v>395</v>
      </c>
      <c r="C630" s="450"/>
      <c r="D630" s="450"/>
      <c r="E630" s="450"/>
      <c r="F630" s="450"/>
      <c r="G630" s="450"/>
      <c r="H630" s="450"/>
      <c r="I630" s="450"/>
      <c r="J630" s="450"/>
    </row>
    <row r="632" spans="2:10">
      <c r="B632" t="s">
        <v>438</v>
      </c>
    </row>
    <row r="646" spans="2:12">
      <c r="B646" s="450" t="s">
        <v>154</v>
      </c>
      <c r="C646" s="450"/>
      <c r="D646" s="450">
        <v>2019</v>
      </c>
      <c r="E646" s="450">
        <v>2020</v>
      </c>
      <c r="F646" s="450">
        <v>2021</v>
      </c>
      <c r="G646" s="450">
        <v>2022</v>
      </c>
      <c r="H646" s="450">
        <v>2023</v>
      </c>
      <c r="I646" s="450">
        <v>2024</v>
      </c>
      <c r="J646" s="450">
        <v>2025</v>
      </c>
      <c r="K646" s="450">
        <v>2026</v>
      </c>
      <c r="L646" s="450">
        <v>2027</v>
      </c>
    </row>
    <row r="647" spans="2:12">
      <c r="B647" t="s">
        <v>183</v>
      </c>
      <c r="D647" s="140">
        <v>1692.07</v>
      </c>
      <c r="E647" s="140">
        <v>2001.77</v>
      </c>
      <c r="F647" s="140">
        <v>1894.51</v>
      </c>
      <c r="G647" s="140">
        <v>1910.78</v>
      </c>
      <c r="H647" s="140">
        <v>1999.65</v>
      </c>
      <c r="I647" s="140">
        <v>1950.26</v>
      </c>
      <c r="J647" s="140">
        <v>2268.6999999999998</v>
      </c>
    </row>
    <row r="648" spans="2:12">
      <c r="B648" t="s">
        <v>187</v>
      </c>
      <c r="D648" s="140">
        <v>0</v>
      </c>
      <c r="E648" s="140">
        <v>187.76</v>
      </c>
      <c r="F648" s="140">
        <v>197.62</v>
      </c>
      <c r="G648" s="140">
        <v>183.66</v>
      </c>
      <c r="H648" s="140">
        <v>226.13</v>
      </c>
      <c r="I648" s="140">
        <v>271.99</v>
      </c>
      <c r="J648" s="140">
        <v>317.04000000000002</v>
      </c>
    </row>
    <row r="649" spans="2:12">
      <c r="B649" t="s">
        <v>186</v>
      </c>
      <c r="D649" s="140">
        <v>179</v>
      </c>
      <c r="E649" s="140">
        <v>184.83</v>
      </c>
      <c r="F649" s="140">
        <v>341.17</v>
      </c>
      <c r="G649" s="140">
        <v>329.84</v>
      </c>
      <c r="H649" s="140">
        <v>464.21</v>
      </c>
      <c r="I649" s="140">
        <v>692.13</v>
      </c>
      <c r="J649" s="140">
        <v>887.73</v>
      </c>
    </row>
    <row r="650" spans="2:12">
      <c r="B650" t="s">
        <v>188</v>
      </c>
      <c r="D650" s="140">
        <v>177.6</v>
      </c>
      <c r="E650" s="140">
        <v>285.42</v>
      </c>
      <c r="F650" s="140">
        <v>250.38</v>
      </c>
      <c r="G650" s="140">
        <v>370.8</v>
      </c>
      <c r="H650" s="140">
        <v>394.32</v>
      </c>
      <c r="I650" s="140">
        <v>343.45</v>
      </c>
      <c r="J650" s="140">
        <v>381.17</v>
      </c>
    </row>
    <row r="651" spans="2:12" ht="15" thickBot="1">
      <c r="B651" s="86" t="s">
        <v>11</v>
      </c>
      <c r="C651" s="86"/>
      <c r="D651" s="142">
        <f>SUM(D647:D650)</f>
        <v>2048.67</v>
      </c>
      <c r="E651" s="142">
        <f t="shared" ref="E651:J651" si="118">SUM(E647:E650)</f>
        <v>2659.7799999999997</v>
      </c>
      <c r="F651" s="142">
        <f t="shared" si="118"/>
        <v>2683.6800000000003</v>
      </c>
      <c r="G651" s="142">
        <f t="shared" si="118"/>
        <v>2795.0800000000004</v>
      </c>
      <c r="H651" s="142">
        <f t="shared" si="118"/>
        <v>3084.3100000000004</v>
      </c>
      <c r="I651" s="142">
        <f t="shared" si="118"/>
        <v>3257.83</v>
      </c>
      <c r="J651" s="142">
        <f t="shared" si="118"/>
        <v>3854.64</v>
      </c>
      <c r="K651" s="140">
        <f>J651+1200</f>
        <v>5054.6399999999994</v>
      </c>
      <c r="L651" s="140">
        <f>K651+1200</f>
        <v>6254.6399999999994</v>
      </c>
    </row>
    <row r="652" spans="2:12">
      <c r="K652" s="35">
        <f>K651/J651-1</f>
        <v>0.31131311873482348</v>
      </c>
      <c r="L652" s="35">
        <f>L651/K651-1</f>
        <v>0.23740563126157355</v>
      </c>
    </row>
    <row r="653" spans="2:12">
      <c r="K653" s="35"/>
      <c r="L653" s="35"/>
    </row>
    <row r="654" spans="2:12">
      <c r="B654" s="450" t="s">
        <v>154</v>
      </c>
      <c r="C654" s="450"/>
      <c r="D654" s="450">
        <v>2026</v>
      </c>
      <c r="E654" s="450">
        <v>2027</v>
      </c>
      <c r="F654" s="450">
        <v>2028</v>
      </c>
      <c r="G654" s="450">
        <v>2029</v>
      </c>
      <c r="H654" s="450">
        <v>2030</v>
      </c>
      <c r="I654" s="133"/>
      <c r="J654" s="133"/>
      <c r="K654" s="133"/>
      <c r="L654" s="133"/>
    </row>
    <row r="655" spans="2:12">
      <c r="B655" t="s">
        <v>396</v>
      </c>
      <c r="D655">
        <v>1200</v>
      </c>
      <c r="E655">
        <v>1200</v>
      </c>
      <c r="F655">
        <f t="shared" ref="F655:H655" si="119">E655</f>
        <v>1200</v>
      </c>
      <c r="G655">
        <f t="shared" si="119"/>
        <v>1200</v>
      </c>
      <c r="H655">
        <f t="shared" si="119"/>
        <v>1200</v>
      </c>
      <c r="K655" s="35"/>
      <c r="L655" s="35"/>
    </row>
    <row r="656" spans="2:12">
      <c r="F656" s="87"/>
      <c r="G656" s="87"/>
      <c r="H656" s="87"/>
      <c r="K656" s="35"/>
      <c r="L656" s="35"/>
    </row>
    <row r="657" spans="1:12">
      <c r="B657" t="s">
        <v>439</v>
      </c>
      <c r="K657" s="35"/>
      <c r="L657" s="35"/>
    </row>
    <row r="658" spans="1:12">
      <c r="K658" s="35"/>
      <c r="L658" s="35"/>
    </row>
    <row r="659" spans="1:12">
      <c r="K659" s="35"/>
      <c r="L659" s="35"/>
    </row>
    <row r="660" spans="1:12">
      <c r="K660" s="35"/>
      <c r="L660" s="35"/>
    </row>
    <row r="661" spans="1:12">
      <c r="K661" s="35"/>
      <c r="L661" s="35"/>
    </row>
    <row r="662" spans="1:12">
      <c r="K662" s="35"/>
      <c r="L662" s="35"/>
    </row>
    <row r="663" spans="1:12">
      <c r="K663" s="35"/>
      <c r="L663" s="35"/>
    </row>
    <row r="665" spans="1:12" ht="25.8">
      <c r="A665" t="s">
        <v>18</v>
      </c>
      <c r="B665" s="160" t="s">
        <v>407</v>
      </c>
    </row>
    <row r="667" spans="1:12">
      <c r="B667" s="450" t="s">
        <v>154</v>
      </c>
      <c r="C667" s="450"/>
      <c r="D667" s="450">
        <v>2019</v>
      </c>
      <c r="E667" s="450">
        <v>2020</v>
      </c>
      <c r="F667" s="450">
        <v>2021</v>
      </c>
      <c r="G667" s="450">
        <v>2022</v>
      </c>
      <c r="H667" s="450">
        <v>2023</v>
      </c>
      <c r="I667" s="450">
        <v>2024</v>
      </c>
      <c r="J667" s="450">
        <v>2025</v>
      </c>
    </row>
    <row r="668" spans="1:12">
      <c r="B668" t="s">
        <v>38</v>
      </c>
      <c r="D668" s="140">
        <v>9797.0600000000013</v>
      </c>
      <c r="E668" s="140">
        <v>9153.58</v>
      </c>
      <c r="F668" s="140">
        <v>8720.35</v>
      </c>
      <c r="G668" s="140">
        <v>10297.83</v>
      </c>
      <c r="H668" s="140">
        <v>14442.18</v>
      </c>
      <c r="I668" s="140">
        <v>16535.78</v>
      </c>
      <c r="J668" s="140">
        <v>18870.349999999999</v>
      </c>
    </row>
    <row r="669" spans="1:12">
      <c r="B669" t="s">
        <v>408</v>
      </c>
      <c r="D669" s="140">
        <v>148</v>
      </c>
      <c r="E669" s="140">
        <v>78.569999999999993</v>
      </c>
      <c r="F669" s="140">
        <v>102.29</v>
      </c>
      <c r="G669" s="140">
        <v>139.41</v>
      </c>
      <c r="H669" s="140">
        <v>145.83000000000001</v>
      </c>
      <c r="I669" s="140">
        <v>188.77</v>
      </c>
      <c r="J669" s="140">
        <v>151.85</v>
      </c>
    </row>
    <row r="671" spans="1:12">
      <c r="B671" t="s">
        <v>409</v>
      </c>
      <c r="D671" s="106">
        <f>D669/D668</f>
        <v>1.5106572788162978E-2</v>
      </c>
      <c r="E671" s="106">
        <f t="shared" ref="E671:J671" si="120">E669/E668</f>
        <v>8.58352688237826E-3</v>
      </c>
      <c r="F671" s="106">
        <f t="shared" si="120"/>
        <v>1.1730033771580269E-2</v>
      </c>
      <c r="G671" s="106">
        <f t="shared" si="120"/>
        <v>1.3537803595514783E-2</v>
      </c>
      <c r="H671" s="106">
        <f t="shared" si="120"/>
        <v>1.0097506055180035E-2</v>
      </c>
      <c r="I671" s="106">
        <f t="shared" si="120"/>
        <v>1.1415850960765082E-2</v>
      </c>
      <c r="J671" s="106">
        <f t="shared" si="120"/>
        <v>8.0470155561502572E-3</v>
      </c>
    </row>
    <row r="674" spans="1:12" ht="25.8">
      <c r="A674" t="s">
        <v>18</v>
      </c>
      <c r="B674" s="160" t="s">
        <v>417</v>
      </c>
    </row>
    <row r="676" spans="1:12">
      <c r="B676" s="450" t="s">
        <v>154</v>
      </c>
      <c r="C676" s="450"/>
      <c r="D676" s="450">
        <v>2019</v>
      </c>
      <c r="E676" s="450">
        <v>2020</v>
      </c>
      <c r="F676" s="450">
        <v>2021</v>
      </c>
      <c r="G676" s="450">
        <v>2022</v>
      </c>
      <c r="H676" s="450">
        <v>2023</v>
      </c>
      <c r="I676" s="450">
        <v>2024</v>
      </c>
      <c r="J676" s="450">
        <v>2025</v>
      </c>
    </row>
    <row r="677" spans="1:12">
      <c r="B677" t="s">
        <v>376</v>
      </c>
      <c r="D677" s="140">
        <v>1431.6000000000001</v>
      </c>
      <c r="E677" s="140">
        <v>1447.9800000000005</v>
      </c>
      <c r="F677" s="140">
        <v>1055.3800000000001</v>
      </c>
      <c r="G677" s="140">
        <v>828.57999999999993</v>
      </c>
      <c r="H677" s="140">
        <v>568.63000000000056</v>
      </c>
      <c r="I677" s="140">
        <v>495.86999999999944</v>
      </c>
      <c r="J677" s="140">
        <v>459.65999999999985</v>
      </c>
      <c r="K677" s="26"/>
    </row>
    <row r="678" spans="1:12">
      <c r="B678" t="s">
        <v>417</v>
      </c>
      <c r="D678" s="140">
        <v>272.14</v>
      </c>
      <c r="E678" s="140">
        <v>26.75</v>
      </c>
      <c r="F678" s="140">
        <v>63.91</v>
      </c>
      <c r="G678" s="140">
        <v>133.97999999999999</v>
      </c>
      <c r="H678" s="140">
        <v>77.75</v>
      </c>
      <c r="I678" s="140">
        <v>211.65</v>
      </c>
      <c r="J678" s="140">
        <v>110.3</v>
      </c>
      <c r="K678" s="148"/>
      <c r="L678" s="148"/>
    </row>
    <row r="679" spans="1:12">
      <c r="B679" s="13" t="s">
        <v>418</v>
      </c>
      <c r="C679" s="13"/>
      <c r="D679" s="81">
        <f t="shared" ref="D679:J679" si="121">D678/D677</f>
        <v>0.1900949986029617</v>
      </c>
      <c r="E679" s="81">
        <f t="shared" si="121"/>
        <v>1.847401207198994E-2</v>
      </c>
      <c r="F679" s="81">
        <f t="shared" si="121"/>
        <v>6.0556387272830629E-2</v>
      </c>
      <c r="G679" s="81">
        <f t="shared" si="121"/>
        <v>0.16169832725868352</v>
      </c>
      <c r="H679" s="81">
        <f t="shared" si="121"/>
        <v>0.13673214568348474</v>
      </c>
      <c r="I679" s="81">
        <f t="shared" si="121"/>
        <v>0.42682557928489373</v>
      </c>
      <c r="J679" s="81">
        <f t="shared" si="121"/>
        <v>0.23995997041291398</v>
      </c>
      <c r="K679" s="88"/>
      <c r="L679" s="88"/>
    </row>
    <row r="681" spans="1:12">
      <c r="B681" s="26" t="s">
        <v>419</v>
      </c>
      <c r="D681" s="47">
        <f>MEDIAN(E679:F679)</f>
        <v>3.9515199672410281E-2</v>
      </c>
    </row>
    <row r="682" spans="1:12">
      <c r="B682" s="26" t="s">
        <v>420</v>
      </c>
      <c r="D682" s="47">
        <f>MEDIAN(D679,G679:J679)</f>
        <v>0.1900949986029617</v>
      </c>
    </row>
    <row r="684" spans="1:12">
      <c r="B684" s="450" t="s">
        <v>317</v>
      </c>
      <c r="C684" s="450"/>
      <c r="D684" s="450"/>
      <c r="E684" s="450"/>
      <c r="F684" s="450"/>
      <c r="G684" s="450"/>
      <c r="H684" s="450"/>
      <c r="I684" s="450"/>
      <c r="J684" s="450"/>
    </row>
    <row r="686" spans="1:12">
      <c r="B686" t="s">
        <v>421</v>
      </c>
    </row>
    <row r="688" spans="1:12">
      <c r="B688" s="450" t="s">
        <v>395</v>
      </c>
      <c r="C688" s="450"/>
      <c r="D688" s="450"/>
      <c r="E688" s="450"/>
      <c r="F688" s="450"/>
      <c r="G688" s="450"/>
      <c r="H688" s="450"/>
      <c r="I688" s="450"/>
      <c r="J688" s="450"/>
    </row>
    <row r="690" spans="1:13">
      <c r="B690" s="26" t="s">
        <v>417</v>
      </c>
      <c r="C690" s="26"/>
      <c r="D690" s="26" t="s">
        <v>244</v>
      </c>
      <c r="E690" s="26" t="s">
        <v>245</v>
      </c>
    </row>
    <row r="691" spans="1:13">
      <c r="B691" t="s">
        <v>323</v>
      </c>
      <c r="D691">
        <v>121</v>
      </c>
      <c r="E691">
        <v>133</v>
      </c>
      <c r="K691" s="106"/>
    </row>
    <row r="692" spans="1:13">
      <c r="B692">
        <v>110</v>
      </c>
    </row>
    <row r="693" spans="1:13">
      <c r="D693" s="35">
        <f>D691/B692-1</f>
        <v>0.10000000000000009</v>
      </c>
      <c r="E693" s="35">
        <f>E691/D691-1</f>
        <v>9.9173553719008156E-2</v>
      </c>
    </row>
    <row r="701" spans="1:13" ht="25.8">
      <c r="A701" t="s">
        <v>18</v>
      </c>
      <c r="B701" s="160" t="s">
        <v>2</v>
      </c>
    </row>
    <row r="703" spans="1:13">
      <c r="B703" s="450" t="s">
        <v>154</v>
      </c>
      <c r="C703" s="450"/>
      <c r="D703" s="450">
        <v>2019</v>
      </c>
      <c r="E703" s="450">
        <v>2020</v>
      </c>
      <c r="F703" s="450">
        <v>2021</v>
      </c>
      <c r="G703" s="450">
        <v>2022</v>
      </c>
      <c r="H703" s="450">
        <v>2023</v>
      </c>
      <c r="I703" s="450">
        <v>2024</v>
      </c>
      <c r="J703" s="450">
        <v>2025</v>
      </c>
      <c r="L703" s="450" t="s">
        <v>259</v>
      </c>
      <c r="M703" s="450" t="s">
        <v>260</v>
      </c>
    </row>
    <row r="704" spans="1:13">
      <c r="B704" s="26" t="s">
        <v>374</v>
      </c>
      <c r="C704" s="26"/>
      <c r="D704" s="146">
        <v>2324.3200000000002</v>
      </c>
      <c r="E704" s="146">
        <v>2689.6900000000005</v>
      </c>
      <c r="F704" s="146">
        <v>2747.59</v>
      </c>
      <c r="G704" s="146">
        <v>2929.06</v>
      </c>
      <c r="H704" s="146">
        <v>3162.0600000000004</v>
      </c>
      <c r="I704" s="146">
        <v>3469.4799999999996</v>
      </c>
      <c r="J704" s="146">
        <v>3964.94</v>
      </c>
    </row>
    <row r="705" spans="2:13">
      <c r="B705" t="s">
        <v>428</v>
      </c>
      <c r="D705" s="140">
        <f>ConsolidatedBS!C9+ConsolidatedBS!C11</f>
        <v>356.6</v>
      </c>
      <c r="E705" s="140">
        <f>ConsolidatedBS!D9+ConsolidatedBS!D11</f>
        <v>470.25</v>
      </c>
      <c r="F705" s="140">
        <f>ConsolidatedBS!E9+ConsolidatedBS!E11</f>
        <v>591.54999999999995</v>
      </c>
      <c r="G705" s="140">
        <f>ConsolidatedBS!F9+ConsolidatedBS!F11</f>
        <v>700.64</v>
      </c>
      <c r="H705" s="140">
        <f>ConsolidatedBS!G9+ConsolidatedBS!G11</f>
        <v>858.53</v>
      </c>
      <c r="I705" s="140">
        <f>ConsolidatedBS!H9+ConsolidatedBS!H11</f>
        <v>1035.58</v>
      </c>
      <c r="J705" s="140">
        <f>ConsolidatedBS!I9+ConsolidatedBS!I11</f>
        <v>1268.9000000000001</v>
      </c>
    </row>
    <row r="706" spans="2:13">
      <c r="B706" s="13" t="s">
        <v>423</v>
      </c>
      <c r="C706" s="13"/>
      <c r="D706" s="183">
        <f>D704-D705</f>
        <v>1967.7200000000003</v>
      </c>
      <c r="E706" s="183">
        <f t="shared" ref="E706:J706" si="122">E704-E705</f>
        <v>2219.4400000000005</v>
      </c>
      <c r="F706" s="183">
        <f t="shared" si="122"/>
        <v>2156.04</v>
      </c>
      <c r="G706" s="183">
        <f t="shared" si="122"/>
        <v>2228.42</v>
      </c>
      <c r="H706" s="183">
        <f t="shared" si="122"/>
        <v>2303.5300000000007</v>
      </c>
      <c r="I706" s="183">
        <f t="shared" si="122"/>
        <v>2433.8999999999996</v>
      </c>
      <c r="J706" s="183">
        <f t="shared" si="122"/>
        <v>2696.04</v>
      </c>
    </row>
    <row r="707" spans="2:13">
      <c r="B707" t="s">
        <v>375</v>
      </c>
      <c r="D707" s="140">
        <v>892.72</v>
      </c>
      <c r="E707" s="140">
        <v>1241.71</v>
      </c>
      <c r="F707" s="140">
        <v>1692.21</v>
      </c>
      <c r="G707" s="140">
        <v>2100.48</v>
      </c>
      <c r="H707" s="140">
        <v>2593.4299999999998</v>
      </c>
      <c r="I707" s="140">
        <v>2973.61</v>
      </c>
      <c r="J707" s="140">
        <v>3505.28</v>
      </c>
    </row>
    <row r="708" spans="2:13">
      <c r="B708" s="13" t="s">
        <v>424</v>
      </c>
      <c r="C708" s="13"/>
      <c r="D708" s="183">
        <f>D706-D707</f>
        <v>1075.0000000000002</v>
      </c>
      <c r="E708" s="183">
        <f t="shared" ref="E708:J708" si="123">E706-E707</f>
        <v>977.73000000000047</v>
      </c>
      <c r="F708" s="183">
        <f t="shared" si="123"/>
        <v>463.82999999999993</v>
      </c>
      <c r="G708" s="183">
        <f t="shared" si="123"/>
        <v>127.94000000000005</v>
      </c>
      <c r="H708" s="183">
        <f t="shared" si="123"/>
        <v>-289.89999999999918</v>
      </c>
      <c r="I708" s="183">
        <f t="shared" si="123"/>
        <v>-539.71000000000049</v>
      </c>
      <c r="J708" s="183">
        <f t="shared" si="123"/>
        <v>-809.24000000000024</v>
      </c>
    </row>
    <row r="709" spans="2:13">
      <c r="D709" s="140"/>
      <c r="E709" s="140"/>
      <c r="F709" s="140"/>
      <c r="G709" s="140"/>
      <c r="H709" s="140"/>
      <c r="I709" s="140"/>
      <c r="J709" s="140"/>
    </row>
    <row r="710" spans="2:13">
      <c r="B710" t="s">
        <v>429</v>
      </c>
      <c r="D710" s="140">
        <f>-300.28*-1</f>
        <v>300.27999999999997</v>
      </c>
      <c r="E710" s="140">
        <f>-381.54*-1</f>
        <v>381.54</v>
      </c>
      <c r="F710" s="140">
        <f>-450.73*-1</f>
        <v>450.73</v>
      </c>
      <c r="G710" s="140">
        <f>-451.93*-1</f>
        <v>451.93</v>
      </c>
      <c r="H710" s="140">
        <f>-526.21*-1</f>
        <v>526.21</v>
      </c>
      <c r="I710" s="140">
        <f>-597.6*-1</f>
        <v>597.6</v>
      </c>
      <c r="J710" s="140">
        <f>-729.33*-1</f>
        <v>729.33</v>
      </c>
    </row>
    <row r="711" spans="2:13">
      <c r="D711" s="140"/>
      <c r="E711" s="140"/>
      <c r="F711" s="140"/>
      <c r="G711" s="140"/>
      <c r="H711" s="140"/>
      <c r="I711" s="140"/>
      <c r="J711" s="140"/>
    </row>
    <row r="712" spans="2:13">
      <c r="B712" s="144" t="s">
        <v>430</v>
      </c>
      <c r="C712" s="144"/>
      <c r="D712" s="184">
        <f>D706/D710</f>
        <v>6.5529505794591731</v>
      </c>
      <c r="E712" s="184">
        <f t="shared" ref="E712:J712" si="124">E706/E710</f>
        <v>5.8170571892855278</v>
      </c>
      <c r="F712" s="184">
        <f t="shared" si="124"/>
        <v>4.783440197013733</v>
      </c>
      <c r="G712" s="184">
        <f t="shared" si="124"/>
        <v>4.9308963777576178</v>
      </c>
      <c r="H712" s="184">
        <f t="shared" si="124"/>
        <v>4.3775868949658889</v>
      </c>
      <c r="I712" s="184">
        <f t="shared" si="124"/>
        <v>4.0727911646586339</v>
      </c>
      <c r="J712" s="184">
        <f t="shared" si="124"/>
        <v>3.6965982477067993</v>
      </c>
      <c r="K712" s="144"/>
      <c r="L712" s="184">
        <f>MEDIAN(D712:J712)</f>
        <v>4.783440197013733</v>
      </c>
      <c r="M712" s="184">
        <f>AVERAGE(D712:J712)</f>
        <v>4.8901886644067671</v>
      </c>
    </row>
    <row r="713" spans="2:13">
      <c r="B713" s="144" t="s">
        <v>431</v>
      </c>
      <c r="C713" s="144"/>
      <c r="D713" s="184">
        <f>D707/D710</f>
        <v>2.9729585719994676</v>
      </c>
      <c r="E713" s="184">
        <f t="shared" ref="E713:J713" si="125">E707/E710</f>
        <v>3.2544687319809196</v>
      </c>
      <c r="F713" s="184">
        <f t="shared" si="125"/>
        <v>3.7543762341091118</v>
      </c>
      <c r="G713" s="184">
        <f t="shared" si="125"/>
        <v>4.6477994379660563</v>
      </c>
      <c r="H713" s="184">
        <f t="shared" si="125"/>
        <v>4.9285076300336357</v>
      </c>
      <c r="I713" s="184">
        <f t="shared" si="125"/>
        <v>4.975920348058902</v>
      </c>
      <c r="J713" s="184">
        <f t="shared" si="125"/>
        <v>4.8061645619952555</v>
      </c>
      <c r="K713" s="144"/>
      <c r="L713" s="184">
        <f>MEDIAN(D713:J713)</f>
        <v>4.6477994379660563</v>
      </c>
      <c r="M713" s="184">
        <f>AVERAGE(D713:J713)</f>
        <v>4.1914565023061927</v>
      </c>
    </row>
    <row r="714" spans="2:13">
      <c r="B714" s="144" t="s">
        <v>432</v>
      </c>
      <c r="C714" s="144"/>
      <c r="D714" s="134">
        <f>D707/D706</f>
        <v>0.45368243449271234</v>
      </c>
      <c r="E714" s="134">
        <f t="shared" ref="E714:J714" si="126">E707/E706</f>
        <v>0.55946995638539443</v>
      </c>
      <c r="F714" s="134">
        <f t="shared" si="126"/>
        <v>0.78486948294094727</v>
      </c>
      <c r="G714" s="134">
        <f t="shared" si="126"/>
        <v>0.94258712450974236</v>
      </c>
      <c r="H714" s="134">
        <f t="shared" si="126"/>
        <v>1.1258503253701924</v>
      </c>
      <c r="I714" s="134">
        <f t="shared" si="126"/>
        <v>1.2217469904268872</v>
      </c>
      <c r="J714" s="134">
        <f t="shared" si="126"/>
        <v>1.3001587513538375</v>
      </c>
    </row>
    <row r="716" spans="2:13">
      <c r="B716" s="144" t="s">
        <v>433</v>
      </c>
      <c r="C716" s="144"/>
      <c r="D716" s="185">
        <f>D710/D708</f>
        <v>0.27933023255813944</v>
      </c>
      <c r="E716" s="185">
        <f t="shared" ref="E716:J716" si="127">E710/E708</f>
        <v>0.39023043171427679</v>
      </c>
      <c r="F716" s="185">
        <f t="shared" si="127"/>
        <v>0.97175689368949847</v>
      </c>
      <c r="G716" s="185">
        <f t="shared" si="127"/>
        <v>3.5323589182429251</v>
      </c>
      <c r="H716" s="185">
        <f t="shared" si="127"/>
        <v>-1.8151431528113195</v>
      </c>
      <c r="I716" s="185">
        <f t="shared" si="127"/>
        <v>-1.1072613069982018</v>
      </c>
      <c r="J716" s="185">
        <f t="shared" si="127"/>
        <v>-0.90125302753200509</v>
      </c>
      <c r="K716" s="144"/>
      <c r="L716" s="185">
        <f>MEDIAN(D716:J716)</f>
        <v>0.27933023255813944</v>
      </c>
      <c r="M716" s="185">
        <f>AVERAGE(D716:J716)</f>
        <v>0.19285985555190185</v>
      </c>
    </row>
    <row r="718" spans="2:13">
      <c r="B718" s="144" t="s">
        <v>434</v>
      </c>
      <c r="C718" s="144"/>
      <c r="D718" s="185">
        <f>D710/D704</f>
        <v>0.12919047291250774</v>
      </c>
      <c r="E718" s="185">
        <f t="shared" ref="E718:J718" si="128">E710/E704</f>
        <v>0.14185277857299539</v>
      </c>
      <c r="F718" s="185">
        <f t="shared" si="128"/>
        <v>0.16404558176438261</v>
      </c>
      <c r="G718" s="185">
        <f t="shared" si="128"/>
        <v>0.15429182058407817</v>
      </c>
      <c r="H718" s="185">
        <f t="shared" si="128"/>
        <v>0.16641366703984112</v>
      </c>
      <c r="I718" s="185">
        <f t="shared" si="128"/>
        <v>0.1722448320785824</v>
      </c>
      <c r="J718" s="185">
        <f t="shared" si="128"/>
        <v>0.18394477596130082</v>
      </c>
      <c r="K718" s="144"/>
      <c r="L718" s="185">
        <f>MEDIAN(D718:J718)</f>
        <v>0.16404558176438261</v>
      </c>
      <c r="M718" s="185">
        <f>AVERAGE(D718:J718)</f>
        <v>0.15885484698766975</v>
      </c>
    </row>
    <row r="720" spans="2:13">
      <c r="B720" s="144" t="s">
        <v>435</v>
      </c>
      <c r="C720" s="144"/>
      <c r="D720" s="185">
        <f>D710/D7</f>
        <v>3.0650011329929585E-2</v>
      </c>
      <c r="E720" s="185">
        <f t="shared" ref="E720:J720" si="129">E710/E7</f>
        <v>4.1682052268074352E-2</v>
      </c>
      <c r="F720" s="185">
        <f t="shared" si="129"/>
        <v>5.1687145584752903E-2</v>
      </c>
      <c r="G720" s="185">
        <f t="shared" si="129"/>
        <v>4.3885944902955283E-2</v>
      </c>
      <c r="H720" s="185">
        <f t="shared" si="129"/>
        <v>3.643563506340456E-2</v>
      </c>
      <c r="I720" s="185">
        <f t="shared" si="129"/>
        <v>3.6139813180872025E-2</v>
      </c>
      <c r="J720" s="185">
        <f t="shared" si="129"/>
        <v>3.8649521603997809E-2</v>
      </c>
      <c r="K720" s="144"/>
      <c r="L720" s="185">
        <f>MEDIAN(D720:J720)</f>
        <v>3.8649521603997809E-2</v>
      </c>
      <c r="M720" s="185">
        <f>AVERAGE(D720:J720)</f>
        <v>3.9875731990569499E-2</v>
      </c>
    </row>
    <row r="723" spans="1:13" ht="25.8">
      <c r="A723" t="s">
        <v>18</v>
      </c>
      <c r="B723" s="160" t="s">
        <v>89</v>
      </c>
    </row>
    <row r="725" spans="1:13">
      <c r="B725" s="450" t="s">
        <v>154</v>
      </c>
      <c r="C725" s="450"/>
      <c r="D725" s="450">
        <v>2019</v>
      </c>
      <c r="E725" s="450">
        <v>2020</v>
      </c>
      <c r="F725" s="450">
        <v>2021</v>
      </c>
      <c r="G725" s="450">
        <v>2022</v>
      </c>
      <c r="H725" s="450">
        <v>2023</v>
      </c>
      <c r="I725" s="450">
        <v>2024</v>
      </c>
      <c r="J725" s="450">
        <v>2025</v>
      </c>
      <c r="L725" s="450" t="s">
        <v>259</v>
      </c>
      <c r="M725" s="450" t="s">
        <v>260</v>
      </c>
    </row>
    <row r="726" spans="1:13">
      <c r="B726" s="26" t="s">
        <v>502</v>
      </c>
      <c r="C726" s="26"/>
      <c r="D726" s="146">
        <v>1234.05</v>
      </c>
      <c r="E726" s="146">
        <v>1007.8199999999999</v>
      </c>
      <c r="F726" s="146">
        <v>1513.23</v>
      </c>
      <c r="G726" s="146">
        <v>1788.09</v>
      </c>
      <c r="H726" s="146">
        <v>1810.44</v>
      </c>
      <c r="I726" s="146">
        <v>2090.1299999999997</v>
      </c>
      <c r="J726" s="146">
        <v>2529.75</v>
      </c>
    </row>
    <row r="727" spans="1:13">
      <c r="B727" s="79" t="s">
        <v>363</v>
      </c>
      <c r="C727" s="79"/>
      <c r="D727" s="79"/>
      <c r="E727" s="199">
        <f>E726/D726-1</f>
        <v>-0.18332320408411329</v>
      </c>
      <c r="F727" s="199">
        <f t="shared" ref="F727:J727" si="130">F726/E726-1</f>
        <v>0.50148836101684835</v>
      </c>
      <c r="G727" s="199">
        <f t="shared" si="130"/>
        <v>0.18163795325231447</v>
      </c>
      <c r="H727" s="199">
        <f t="shared" si="130"/>
        <v>1.2499370837038448E-2</v>
      </c>
      <c r="I727" s="199">
        <f t="shared" si="130"/>
        <v>0.15448730695300572</v>
      </c>
      <c r="J727" s="199">
        <f t="shared" si="130"/>
        <v>0.2103314147923816</v>
      </c>
    </row>
    <row r="729" spans="1:13">
      <c r="B729" s="26" t="s">
        <v>49</v>
      </c>
      <c r="C729" s="26"/>
      <c r="D729" s="146">
        <f>-5057.38*-1</f>
        <v>5057.38</v>
      </c>
      <c r="E729" s="146">
        <f>-4995.94*-1</f>
        <v>4995.9399999999996</v>
      </c>
      <c r="F729" s="146">
        <f>-5112.27*-1</f>
        <v>5112.2700000000004</v>
      </c>
      <c r="G729" s="146">
        <f>-5955.68*-1</f>
        <v>5955.68</v>
      </c>
      <c r="H729" s="146">
        <f>-8211.9*-1</f>
        <v>8211.9</v>
      </c>
      <c r="I729" s="146">
        <f>-8980.65*-1</f>
        <v>8980.65</v>
      </c>
      <c r="J729" s="146">
        <f>-10297.08*-1</f>
        <v>10297.08</v>
      </c>
    </row>
    <row r="731" spans="1:13">
      <c r="B731" s="130" t="s">
        <v>503</v>
      </c>
      <c r="C731" s="144"/>
      <c r="D731" s="134">
        <f>D726/D729</f>
        <v>0.24400974417583807</v>
      </c>
      <c r="E731" s="134">
        <f t="shared" ref="E731:J731" si="131">E726/E729</f>
        <v>0.20172780297601653</v>
      </c>
      <c r="F731" s="134">
        <f t="shared" si="131"/>
        <v>0.29599962443298178</v>
      </c>
      <c r="G731" s="134">
        <f t="shared" si="131"/>
        <v>0.30023271901781157</v>
      </c>
      <c r="H731" s="134">
        <f t="shared" si="131"/>
        <v>0.22046542213129727</v>
      </c>
      <c r="I731" s="134">
        <f t="shared" si="131"/>
        <v>0.23273705132701972</v>
      </c>
      <c r="J731" s="134">
        <f t="shared" si="131"/>
        <v>0.24567644419583026</v>
      </c>
      <c r="L731" s="185">
        <f>MEDIAN(D731:J731)</f>
        <v>0.24400974417583807</v>
      </c>
      <c r="M731" s="185">
        <f>AVERAGE(D731:J731)</f>
        <v>0.24869268689382792</v>
      </c>
    </row>
    <row r="732" spans="1:13">
      <c r="B732" s="80"/>
    </row>
    <row r="733" spans="1:13">
      <c r="B733" s="26" t="s">
        <v>504</v>
      </c>
      <c r="D733" s="140">
        <f>D731*$B$734</f>
        <v>89.06355662418089</v>
      </c>
      <c r="E733" s="140">
        <f t="shared" ref="E733:J733" si="132">E731*$B$734</f>
        <v>73.630648086246026</v>
      </c>
      <c r="F733" s="140">
        <f t="shared" si="132"/>
        <v>108.03986291803835</v>
      </c>
      <c r="G733" s="140">
        <f t="shared" si="132"/>
        <v>109.58494244150123</v>
      </c>
      <c r="H733" s="140">
        <f t="shared" si="132"/>
        <v>80.469879077923508</v>
      </c>
      <c r="I733" s="140">
        <f t="shared" si="132"/>
        <v>84.9490237343622</v>
      </c>
      <c r="J733" s="140">
        <f t="shared" si="132"/>
        <v>89.671902131478049</v>
      </c>
      <c r="L733" s="184">
        <f>MEDIAN(D733:J733)</f>
        <v>89.06355662418089</v>
      </c>
      <c r="M733" s="184">
        <f>AVERAGE(D733:J733)</f>
        <v>90.772830716247185</v>
      </c>
    </row>
    <row r="734" spans="1:13">
      <c r="B734" s="80">
        <v>365</v>
      </c>
    </row>
    <row r="736" spans="1:13">
      <c r="B736" t="s">
        <v>38</v>
      </c>
      <c r="D736" s="140">
        <v>9797.0600000000013</v>
      </c>
      <c r="E736" s="140">
        <v>9153.58</v>
      </c>
      <c r="F736" s="140">
        <v>8720.35</v>
      </c>
      <c r="G736" s="140">
        <v>10297.83</v>
      </c>
      <c r="H736" s="140">
        <v>14442.18</v>
      </c>
      <c r="I736" s="140">
        <v>16535.78</v>
      </c>
      <c r="J736" s="140">
        <v>18870.349999999999</v>
      </c>
    </row>
    <row r="738" spans="2:13">
      <c r="B738" s="26" t="s">
        <v>505</v>
      </c>
      <c r="D738" s="35">
        <f>D726/D736</f>
        <v>0.1259612577650846</v>
      </c>
      <c r="E738" s="35">
        <f t="shared" ref="E738:J738" si="133">E726/E736</f>
        <v>0.11010118445460683</v>
      </c>
      <c r="F738" s="35">
        <f t="shared" si="133"/>
        <v>0.17352858543521762</v>
      </c>
      <c r="G738" s="35">
        <f t="shared" si="133"/>
        <v>0.17363755276597106</v>
      </c>
      <c r="H738" s="35">
        <f t="shared" si="133"/>
        <v>0.12535780609298597</v>
      </c>
      <c r="I738" s="35">
        <f t="shared" si="133"/>
        <v>0.12640044799821962</v>
      </c>
      <c r="J738" s="35">
        <f t="shared" si="133"/>
        <v>0.13405951664913476</v>
      </c>
      <c r="L738" s="185">
        <f t="shared" ref="L738:L739" si="134">MEDIAN(D738:J738)</f>
        <v>0.12640044799821962</v>
      </c>
      <c r="M738" s="185">
        <f t="shared" ref="M738:M739" si="135">AVERAGE(D738:J738)</f>
        <v>0.13843519302303148</v>
      </c>
    </row>
    <row r="739" spans="2:13">
      <c r="B739" s="26" t="s">
        <v>506</v>
      </c>
      <c r="D739" s="35">
        <f>D446/D736</f>
        <v>8.6036014886098477E-3</v>
      </c>
      <c r="E739" s="35">
        <f t="shared" ref="E739:J739" si="136">E446/E736</f>
        <v>9.4782587796250223E-3</v>
      </c>
      <c r="F739" s="35">
        <f t="shared" si="136"/>
        <v>1.813688670752894E-2</v>
      </c>
      <c r="G739" s="35">
        <f t="shared" si="136"/>
        <v>2.9330451172722798E-2</v>
      </c>
      <c r="H739" s="35">
        <f t="shared" si="136"/>
        <v>2.55446199950423E-2</v>
      </c>
      <c r="I739" s="35">
        <f t="shared" si="136"/>
        <v>2.2604316216108342E-2</v>
      </c>
      <c r="J739" s="35">
        <f t="shared" si="136"/>
        <v>2.9127175701563566E-2</v>
      </c>
      <c r="L739" s="185">
        <f t="shared" si="134"/>
        <v>2.2604316216108342E-2</v>
      </c>
      <c r="M739" s="185">
        <f t="shared" si="135"/>
        <v>2.0403615723028689E-2</v>
      </c>
    </row>
    <row r="741" spans="2:13">
      <c r="B741" s="450" t="s">
        <v>507</v>
      </c>
      <c r="C741" s="450"/>
      <c r="D741" s="450"/>
      <c r="E741" s="450"/>
      <c r="F741" s="450"/>
      <c r="G741" s="450"/>
      <c r="H741" s="450"/>
      <c r="I741" s="450"/>
      <c r="J741" s="450"/>
    </row>
    <row r="743" spans="2:13">
      <c r="B743" s="450" t="s">
        <v>508</v>
      </c>
      <c r="C743" s="450"/>
      <c r="D743" s="450">
        <v>2019</v>
      </c>
      <c r="E743" s="450">
        <v>2020</v>
      </c>
      <c r="F743" s="450">
        <v>2021</v>
      </c>
      <c r="G743" s="450">
        <v>2022</v>
      </c>
      <c r="H743" s="450">
        <v>2023</v>
      </c>
      <c r="I743" s="450">
        <v>2024</v>
      </c>
      <c r="J743" s="450">
        <v>2025</v>
      </c>
    </row>
    <row r="744" spans="2:13">
      <c r="B744" s="15" t="s">
        <v>334</v>
      </c>
      <c r="C744" s="15"/>
      <c r="D744" s="162">
        <f>D733</f>
        <v>89.06355662418089</v>
      </c>
      <c r="E744" s="162">
        <f t="shared" ref="E744:J744" si="137">E733</f>
        <v>73.630648086246026</v>
      </c>
      <c r="F744" s="162">
        <f t="shared" si="137"/>
        <v>108.03986291803835</v>
      </c>
      <c r="G744" s="162">
        <f t="shared" si="137"/>
        <v>109.58494244150123</v>
      </c>
      <c r="H744" s="162">
        <f t="shared" si="137"/>
        <v>80.469879077923508</v>
      </c>
      <c r="I744" s="162">
        <f t="shared" si="137"/>
        <v>84.9490237343622</v>
      </c>
      <c r="J744" s="162">
        <f t="shared" si="137"/>
        <v>89.671902131478049</v>
      </c>
    </row>
    <row r="745" spans="2:13">
      <c r="B745" s="15" t="s">
        <v>355</v>
      </c>
      <c r="C745" s="15"/>
      <c r="D745" s="15">
        <v>63</v>
      </c>
      <c r="E745" s="15">
        <v>56</v>
      </c>
      <c r="F745" s="15">
        <v>85</v>
      </c>
      <c r="G745" s="15">
        <v>54</v>
      </c>
      <c r="H745" s="15">
        <v>58</v>
      </c>
      <c r="I745" s="15">
        <v>64</v>
      </c>
      <c r="J745" s="15">
        <v>66</v>
      </c>
    </row>
    <row r="746" spans="2:13">
      <c r="B746" s="15" t="s">
        <v>356</v>
      </c>
      <c r="C746" s="15"/>
      <c r="D746" s="15">
        <v>83</v>
      </c>
      <c r="E746" s="15">
        <v>94</v>
      </c>
      <c r="F746" s="15">
        <v>121</v>
      </c>
      <c r="G746" s="15">
        <v>105</v>
      </c>
      <c r="H746" s="15">
        <v>89</v>
      </c>
      <c r="I746" s="15">
        <v>99</v>
      </c>
      <c r="J746" s="15">
        <v>103</v>
      </c>
    </row>
    <row r="747" spans="2:13">
      <c r="B747" s="15" t="s">
        <v>357</v>
      </c>
      <c r="C747" s="15"/>
      <c r="D747" s="15">
        <v>54</v>
      </c>
      <c r="E747" s="15">
        <v>58</v>
      </c>
      <c r="F747" s="15">
        <v>88</v>
      </c>
      <c r="G747" s="15">
        <v>76</v>
      </c>
      <c r="H747" s="15">
        <v>73</v>
      </c>
      <c r="I747" s="15">
        <v>80</v>
      </c>
      <c r="J747" s="15">
        <v>77</v>
      </c>
    </row>
    <row r="749" spans="2:13">
      <c r="B749" s="130" t="s">
        <v>259</v>
      </c>
      <c r="C749" s="130"/>
      <c r="D749" s="161">
        <f>MEDIAN(D744:D747)</f>
        <v>73</v>
      </c>
      <c r="E749" s="161">
        <f>MEDIAN(E744:E747)</f>
        <v>65.815324043123013</v>
      </c>
      <c r="F749" s="161">
        <f t="shared" ref="F749:J749" si="138">MEDIAN(F744:F747)</f>
        <v>98.019931459019176</v>
      </c>
      <c r="G749" s="161">
        <f t="shared" si="138"/>
        <v>90.5</v>
      </c>
      <c r="H749" s="161">
        <f t="shared" si="138"/>
        <v>76.734939538961754</v>
      </c>
      <c r="I749" s="161">
        <f t="shared" si="138"/>
        <v>82.474511867181093</v>
      </c>
      <c r="J749" s="161">
        <f t="shared" si="138"/>
        <v>83.335951065739025</v>
      </c>
    </row>
    <row r="750" spans="2:13">
      <c r="B750" s="130" t="s">
        <v>260</v>
      </c>
      <c r="C750" s="130"/>
      <c r="D750" s="161">
        <f>AVERAGE(D744:D747)</f>
        <v>72.265889156045219</v>
      </c>
      <c r="E750" s="161">
        <f>AVERAGE(E744:E747)</f>
        <v>70.407662021561507</v>
      </c>
      <c r="F750" s="161">
        <f t="shared" ref="F750" si="139">AVERAGE(F744:F747)</f>
        <v>100.50996572950959</v>
      </c>
      <c r="G750" s="161">
        <f>AVERAGE(G744:G747)</f>
        <v>86.1462356103753</v>
      </c>
      <c r="H750" s="161">
        <f t="shared" ref="H750:J750" si="140">AVERAGE(H744:H747)</f>
        <v>75.117469769480877</v>
      </c>
      <c r="I750" s="161">
        <f t="shared" si="140"/>
        <v>81.987255933590546</v>
      </c>
      <c r="J750" s="161">
        <f t="shared" si="140"/>
        <v>83.917975532869519</v>
      </c>
    </row>
    <row r="751" spans="2:13">
      <c r="B751" t="s">
        <v>510</v>
      </c>
    </row>
    <row r="753" spans="2:10" ht="21">
      <c r="B753" s="480" t="s">
        <v>270</v>
      </c>
      <c r="C753" s="450"/>
      <c r="D753" s="480" t="s">
        <v>244</v>
      </c>
      <c r="E753" s="480" t="s">
        <v>245</v>
      </c>
    </row>
    <row r="754" spans="2:10">
      <c r="B754" t="s">
        <v>360</v>
      </c>
      <c r="D754">
        <v>90</v>
      </c>
      <c r="E754">
        <v>91</v>
      </c>
    </row>
    <row r="755" spans="2:10">
      <c r="B755" t="s">
        <v>321</v>
      </c>
      <c r="D755">
        <v>87</v>
      </c>
      <c r="E755">
        <v>88</v>
      </c>
    </row>
    <row r="756" spans="2:10" ht="15" thickBot="1">
      <c r="B756" s="86" t="s">
        <v>259</v>
      </c>
      <c r="C756" s="86"/>
      <c r="D756" s="142">
        <f>MEDIAN(D754:D755)</f>
        <v>88.5</v>
      </c>
      <c r="E756" s="142">
        <f>MEDIAN(E754:E755)</f>
        <v>89.5</v>
      </c>
    </row>
    <row r="759" spans="2:10">
      <c r="B759" s="450" t="s">
        <v>317</v>
      </c>
      <c r="C759" s="450"/>
      <c r="D759" s="450"/>
      <c r="E759" s="450"/>
      <c r="F759" s="450"/>
      <c r="G759" s="450"/>
      <c r="H759" s="450"/>
      <c r="I759" s="450"/>
      <c r="J759" s="450"/>
    </row>
    <row r="761" spans="2:10">
      <c r="B761" t="s">
        <v>509</v>
      </c>
    </row>
    <row r="773" spans="1:14" ht="25.8">
      <c r="A773" t="s">
        <v>18</v>
      </c>
      <c r="B773" s="160" t="s">
        <v>13</v>
      </c>
      <c r="C773" s="9"/>
    </row>
    <row r="775" spans="1:14">
      <c r="B775" s="105" t="s">
        <v>154</v>
      </c>
      <c r="C775" s="105"/>
      <c r="D775" s="105">
        <v>2019</v>
      </c>
      <c r="E775" s="105">
        <f>D775+1</f>
        <v>2020</v>
      </c>
      <c r="F775" s="105">
        <f t="shared" ref="F775" si="141">E775+1</f>
        <v>2021</v>
      </c>
      <c r="G775" s="105">
        <f t="shared" ref="G775" si="142">F775+1</f>
        <v>2022</v>
      </c>
      <c r="H775" s="105">
        <f t="shared" ref="H775" si="143">G775+1</f>
        <v>2023</v>
      </c>
      <c r="I775" s="105">
        <f t="shared" ref="I775" si="144">H775+1</f>
        <v>2024</v>
      </c>
      <c r="J775" s="105">
        <f t="shared" ref="J775" si="145">I775+1</f>
        <v>2025</v>
      </c>
    </row>
    <row r="776" spans="1:14">
      <c r="B776" t="s">
        <v>38</v>
      </c>
      <c r="D776" s="107">
        <v>9797.0600000000013</v>
      </c>
      <c r="E776" s="107">
        <v>9153.58</v>
      </c>
      <c r="F776" s="107">
        <v>8720.35</v>
      </c>
      <c r="G776" s="107">
        <v>10297.83</v>
      </c>
      <c r="H776" s="107">
        <v>14442.18</v>
      </c>
      <c r="I776" s="107">
        <v>16535.78</v>
      </c>
      <c r="J776" s="107">
        <v>18870.349999999999</v>
      </c>
      <c r="L776" t="s">
        <v>513</v>
      </c>
    </row>
    <row r="777" spans="1:14">
      <c r="B777" t="s">
        <v>224</v>
      </c>
      <c r="D777" s="140">
        <v>225.62</v>
      </c>
      <c r="E777" s="140">
        <v>138.08000000000001</v>
      </c>
      <c r="F777" s="140">
        <v>273.05</v>
      </c>
      <c r="G777" s="140">
        <v>300.93</v>
      </c>
      <c r="H777" s="140">
        <v>453.64</v>
      </c>
      <c r="I777" s="140">
        <v>454.34</v>
      </c>
      <c r="J777" s="140">
        <v>558.58000000000004</v>
      </c>
    </row>
    <row r="779" spans="1:14">
      <c r="B779" t="s">
        <v>367</v>
      </c>
      <c r="D779" s="106">
        <f>D777/D776</f>
        <v>2.3029357786927912E-2</v>
      </c>
      <c r="E779" s="106">
        <f t="shared" ref="E779:J779" si="146">E777/E776</f>
        <v>1.5084808348209118E-2</v>
      </c>
      <c r="F779" s="106">
        <f t="shared" si="146"/>
        <v>3.1311816612865306E-2</v>
      </c>
      <c r="G779" s="106">
        <f t="shared" si="146"/>
        <v>2.9222661473339531E-2</v>
      </c>
      <c r="H779" s="106">
        <f t="shared" si="146"/>
        <v>3.1410770396159027E-2</v>
      </c>
      <c r="I779" s="106">
        <f t="shared" si="146"/>
        <v>2.7476175904614115E-2</v>
      </c>
      <c r="J779" s="106">
        <f t="shared" si="146"/>
        <v>2.9600934799831485E-2</v>
      </c>
      <c r="K779" s="202">
        <f>MEDIAN(D779:J779)</f>
        <v>2.9222661473339531E-2</v>
      </c>
      <c r="L779" s="202">
        <f>AVERAGE(D779:J779)</f>
        <v>2.6733789331706642E-2</v>
      </c>
    </row>
    <row r="781" spans="1:14">
      <c r="B781" t="s">
        <v>511</v>
      </c>
    </row>
    <row r="783" spans="1:14">
      <c r="B783" t="s">
        <v>512</v>
      </c>
      <c r="N783" t="s">
        <v>514</v>
      </c>
    </row>
    <row r="798" spans="1:10" ht="25.8">
      <c r="A798" t="s">
        <v>18</v>
      </c>
      <c r="B798" s="160" t="s">
        <v>515</v>
      </c>
    </row>
    <row r="800" spans="1:10">
      <c r="B800" s="450" t="s">
        <v>154</v>
      </c>
      <c r="C800" s="450"/>
      <c r="D800" s="450">
        <v>2019</v>
      </c>
      <c r="E800" s="450">
        <f>D800+1</f>
        <v>2020</v>
      </c>
      <c r="F800" s="450">
        <f t="shared" ref="F800" si="147">E800+1</f>
        <v>2021</v>
      </c>
      <c r="G800" s="450">
        <f t="shared" ref="G800" si="148">F800+1</f>
        <v>2022</v>
      </c>
      <c r="H800" s="450">
        <f t="shared" ref="H800" si="149">G800+1</f>
        <v>2023</v>
      </c>
      <c r="I800" s="450">
        <f t="shared" ref="I800" si="150">H800+1</f>
        <v>2024</v>
      </c>
      <c r="J800" s="450">
        <f t="shared" ref="J800" si="151">I800+1</f>
        <v>2025</v>
      </c>
    </row>
    <row r="801" spans="2:13">
      <c r="B801" t="s">
        <v>516</v>
      </c>
      <c r="D801" s="140">
        <v>0</v>
      </c>
      <c r="E801" s="140">
        <v>0</v>
      </c>
      <c r="F801" s="140">
        <v>0</v>
      </c>
      <c r="G801" s="140">
        <v>0</v>
      </c>
      <c r="H801" s="140">
        <v>62.96</v>
      </c>
      <c r="I801" s="140">
        <v>163.46</v>
      </c>
      <c r="J801" s="140">
        <v>184.36</v>
      </c>
    </row>
    <row r="802" spans="2:13">
      <c r="B802" s="79" t="s">
        <v>399</v>
      </c>
      <c r="C802" s="79"/>
      <c r="D802" s="79"/>
      <c r="E802" s="198">
        <f>IFERROR(E801/D801-1,0)</f>
        <v>0</v>
      </c>
      <c r="F802" s="198">
        <f t="shared" ref="F802:J802" si="152">IFERROR(F801/E801-1,0)</f>
        <v>0</v>
      </c>
      <c r="G802" s="198">
        <f t="shared" si="152"/>
        <v>0</v>
      </c>
      <c r="H802" s="198">
        <f t="shared" si="152"/>
        <v>0</v>
      </c>
      <c r="I802" s="198">
        <f t="shared" si="152"/>
        <v>1.5962515883100381</v>
      </c>
      <c r="J802" s="198">
        <f t="shared" si="152"/>
        <v>0.12786002691790044</v>
      </c>
      <c r="L802" s="202">
        <f>MEDIAN(E802:J802)</f>
        <v>0</v>
      </c>
      <c r="M802" s="202">
        <f>AVERAGE(E802:J802)</f>
        <v>0.28735193587132307</v>
      </c>
    </row>
    <row r="803" spans="2:13">
      <c r="B803" t="s">
        <v>517</v>
      </c>
      <c r="D803" s="140">
        <v>186.76</v>
      </c>
      <c r="E803" s="140">
        <v>144.43</v>
      </c>
      <c r="F803" s="140">
        <v>157.41</v>
      </c>
      <c r="G803" s="140">
        <v>58.84</v>
      </c>
      <c r="H803" s="140">
        <v>132.74</v>
      </c>
      <c r="I803" s="140">
        <v>112.12</v>
      </c>
      <c r="J803" s="140">
        <v>82.11</v>
      </c>
    </row>
    <row r="804" spans="2:13">
      <c r="B804" s="79" t="s">
        <v>399</v>
      </c>
      <c r="C804" s="79"/>
      <c r="D804" s="79"/>
      <c r="E804" s="198">
        <f>E803/D803-1</f>
        <v>-0.22665452987791812</v>
      </c>
      <c r="F804" s="198">
        <f t="shared" ref="F804:J804" si="153">F803/E803-1</f>
        <v>8.9870525514089694E-2</v>
      </c>
      <c r="G804" s="198">
        <f t="shared" si="153"/>
        <v>-0.62619909789721107</v>
      </c>
      <c r="H804" s="198">
        <f t="shared" si="153"/>
        <v>1.2559483344663493</v>
      </c>
      <c r="I804" s="198">
        <f t="shared" si="153"/>
        <v>-0.15534126864547237</v>
      </c>
      <c r="J804" s="198">
        <f t="shared" si="153"/>
        <v>-0.26765965037459871</v>
      </c>
      <c r="L804" s="202">
        <f>MEDIAN(E804:J804)</f>
        <v>-0.19099789926169525</v>
      </c>
      <c r="M804" s="202">
        <f>AVERAGE(E804:J804)</f>
        <v>1.1660718864206462E-2</v>
      </c>
    </row>
    <row r="805" spans="2:13">
      <c r="B805" s="13" t="s">
        <v>518</v>
      </c>
      <c r="C805" s="13"/>
      <c r="D805" s="183">
        <f>D801+D803</f>
        <v>186.76</v>
      </c>
      <c r="E805" s="183">
        <f t="shared" ref="E805:J805" si="154">E801+E803</f>
        <v>144.43</v>
      </c>
      <c r="F805" s="183">
        <f t="shared" si="154"/>
        <v>157.41</v>
      </c>
      <c r="G805" s="183">
        <f t="shared" si="154"/>
        <v>58.84</v>
      </c>
      <c r="H805" s="183">
        <f t="shared" si="154"/>
        <v>195.70000000000002</v>
      </c>
      <c r="I805" s="183">
        <f t="shared" si="154"/>
        <v>275.58000000000004</v>
      </c>
      <c r="J805" s="183">
        <f t="shared" si="154"/>
        <v>266.47000000000003</v>
      </c>
    </row>
    <row r="806" spans="2:13">
      <c r="B806" s="79" t="s">
        <v>399</v>
      </c>
      <c r="C806" s="79"/>
      <c r="D806" s="79"/>
      <c r="E806" s="198">
        <f>E805/D805-1</f>
        <v>-0.22665452987791812</v>
      </c>
      <c r="F806" s="198">
        <f t="shared" ref="F806" si="155">F805/E805-1</f>
        <v>8.9870525514089694E-2</v>
      </c>
      <c r="G806" s="198">
        <f t="shared" ref="G806" si="156">G805/F805-1</f>
        <v>-0.62619909789721107</v>
      </c>
      <c r="H806" s="198">
        <f t="shared" ref="H806" si="157">H805/G805-1</f>
        <v>2.3259687287559485</v>
      </c>
      <c r="I806" s="198">
        <f t="shared" ref="I806" si="158">I805/H805-1</f>
        <v>0.4081757792539602</v>
      </c>
      <c r="J806" s="198">
        <f t="shared" ref="J806" si="159">J805/I805-1</f>
        <v>-3.3057551346251546E-2</v>
      </c>
      <c r="L806" s="202">
        <f>MEDIAN(E806:J806)</f>
        <v>2.8406487083919074E-2</v>
      </c>
      <c r="M806" s="202">
        <f>AVERAGE(E806:J806)</f>
        <v>0.32301730906710296</v>
      </c>
    </row>
    <row r="808" spans="2:13">
      <c r="B808" s="144" t="s">
        <v>519</v>
      </c>
      <c r="C808" s="144"/>
      <c r="D808" s="134">
        <f>D801/D805</f>
        <v>0</v>
      </c>
      <c r="E808" s="134">
        <f t="shared" ref="E808:J808" si="160">E801/E805</f>
        <v>0</v>
      </c>
      <c r="F808" s="134">
        <f t="shared" si="160"/>
        <v>0</v>
      </c>
      <c r="G808" s="134">
        <f t="shared" si="160"/>
        <v>0</v>
      </c>
      <c r="H808" s="134">
        <f t="shared" si="160"/>
        <v>0.3217169136433316</v>
      </c>
      <c r="I808" s="134">
        <f t="shared" si="160"/>
        <v>0.59314899484723127</v>
      </c>
      <c r="J808" s="134">
        <f t="shared" si="160"/>
        <v>0.69186024693211245</v>
      </c>
      <c r="L808" s="202">
        <f>MEDIAN(H808:J808)</f>
        <v>0.59314899484723127</v>
      </c>
      <c r="M808" s="202">
        <f>AVERAGE(H808:J808)</f>
        <v>0.53557538514089176</v>
      </c>
    </row>
    <row r="809" spans="2:13">
      <c r="B809" s="144" t="s">
        <v>520</v>
      </c>
      <c r="C809" s="144"/>
      <c r="D809" s="134">
        <f>D803/D805</f>
        <v>1</v>
      </c>
      <c r="E809" s="134">
        <f t="shared" ref="E809:J809" si="161">E803/E805</f>
        <v>1</v>
      </c>
      <c r="F809" s="134">
        <f t="shared" si="161"/>
        <v>1</v>
      </c>
      <c r="G809" s="134">
        <f t="shared" si="161"/>
        <v>1</v>
      </c>
      <c r="H809" s="134">
        <f t="shared" si="161"/>
        <v>0.67828308635666834</v>
      </c>
      <c r="I809" s="134">
        <f t="shared" si="161"/>
        <v>0.40685100515276867</v>
      </c>
      <c r="J809" s="134">
        <f t="shared" si="161"/>
        <v>0.30813975306788755</v>
      </c>
      <c r="L809" s="202">
        <f>MEDIAN(H809:J809)</f>
        <v>0.40685100515276867</v>
      </c>
      <c r="M809" s="202">
        <f>AVERAGE(H809:J809)</f>
        <v>0.46442461485910819</v>
      </c>
    </row>
    <row r="811" spans="2:13">
      <c r="B811" t="s">
        <v>38</v>
      </c>
      <c r="D811" s="107">
        <v>9797.0600000000013</v>
      </c>
      <c r="E811" s="107">
        <v>9153.58</v>
      </c>
      <c r="F811" s="107">
        <v>8720.35</v>
      </c>
      <c r="G811" s="107">
        <v>10297.83</v>
      </c>
      <c r="H811" s="107">
        <v>14442.18</v>
      </c>
      <c r="I811" s="107">
        <v>16535.78</v>
      </c>
      <c r="J811" s="107">
        <v>18870.349999999999</v>
      </c>
    </row>
    <row r="813" spans="2:13">
      <c r="B813" s="144" t="s">
        <v>521</v>
      </c>
      <c r="C813" s="144"/>
      <c r="D813" s="134">
        <f t="shared" ref="D813:J813" si="162">D801/D811</f>
        <v>0</v>
      </c>
      <c r="E813" s="134">
        <f t="shared" si="162"/>
        <v>0</v>
      </c>
      <c r="F813" s="134">
        <f t="shared" si="162"/>
        <v>0</v>
      </c>
      <c r="G813" s="134">
        <f t="shared" si="162"/>
        <v>0</v>
      </c>
      <c r="H813" s="134">
        <f t="shared" si="162"/>
        <v>4.3594526588091268E-3</v>
      </c>
      <c r="I813" s="134">
        <f t="shared" si="162"/>
        <v>9.8852306936836384E-3</v>
      </c>
      <c r="J813" s="134">
        <f t="shared" si="162"/>
        <v>9.7698240891133468E-3</v>
      </c>
      <c r="L813" s="176">
        <f>MEDIAN(D813:J813)</f>
        <v>0</v>
      </c>
      <c r="M813" s="176">
        <f>AVERAGE(D813:J813)</f>
        <v>3.4306439202294444E-3</v>
      </c>
    </row>
    <row r="814" spans="2:13">
      <c r="B814" s="144" t="s">
        <v>522</v>
      </c>
      <c r="C814" s="144"/>
      <c r="D814" s="134">
        <f t="shared" ref="D814:J814" si="163">D803/D811</f>
        <v>1.9062861715657551E-2</v>
      </c>
      <c r="E814" s="134">
        <f t="shared" si="163"/>
        <v>1.5778525997478584E-2</v>
      </c>
      <c r="F814" s="134">
        <f t="shared" si="163"/>
        <v>1.8050880985281553E-2</v>
      </c>
      <c r="G814" s="134">
        <f t="shared" si="163"/>
        <v>5.7138251456860332E-3</v>
      </c>
      <c r="H814" s="134">
        <f t="shared" si="163"/>
        <v>9.1911331945731187E-3</v>
      </c>
      <c r="I814" s="134">
        <f t="shared" si="163"/>
        <v>6.7804482159293366E-3</v>
      </c>
      <c r="J814" s="134">
        <f t="shared" si="163"/>
        <v>4.3512706441586934E-3</v>
      </c>
      <c r="L814" s="176">
        <f>MEDIAN(D814:J814)</f>
        <v>9.1911331945731187E-3</v>
      </c>
      <c r="M814" s="176">
        <f>AVERAGE(D814:J814)</f>
        <v>1.1275563699823552E-2</v>
      </c>
    </row>
    <row r="816" spans="2:13">
      <c r="B816" s="144" t="s">
        <v>523</v>
      </c>
      <c r="C816" s="144"/>
      <c r="D816" s="203">
        <f>D805/ConsolidatedBS!C42</f>
        <v>2.0940224606221518E-2</v>
      </c>
      <c r="E816" s="203">
        <f>E805/ConsolidatedBS!D42</f>
        <v>1.4470595425476386E-2</v>
      </c>
      <c r="F816" s="203">
        <f>F805/ConsolidatedBS!E42</f>
        <v>1.3761925078334826E-2</v>
      </c>
      <c r="G816" s="203">
        <f>G805/ConsolidatedBS!F42</f>
        <v>4.6668781725888332E-3</v>
      </c>
      <c r="H816" s="203">
        <f>H805/ConsolidatedBS!G42</f>
        <v>1.3055126388566459E-2</v>
      </c>
      <c r="I816" s="203">
        <f>I805/ConsolidatedBS!H42</f>
        <v>1.5271371913155224E-2</v>
      </c>
      <c r="J816" s="203">
        <f>J805/ConsolidatedBS!I42</f>
        <v>1.2512390539473879E-2</v>
      </c>
      <c r="L816" s="203">
        <f>MEDIAN(D816:J816)</f>
        <v>1.3761925078334826E-2</v>
      </c>
      <c r="M816" s="203">
        <f>AVERAGE(D816:J816)</f>
        <v>1.3525501731973876E-2</v>
      </c>
    </row>
    <row r="817" spans="2:13">
      <c r="B817" s="144" t="s">
        <v>524</v>
      </c>
      <c r="C817" s="144"/>
      <c r="D817" s="203">
        <f>D805/(ConsolidatedBS!C42+'Assumptions Working'!D805)</f>
        <v>2.0510725409313948E-2</v>
      </c>
      <c r="E817" s="203">
        <f>E805/(ConsolidatedBS!D42+'Assumptions Working'!E805)</f>
        <v>1.4264184187031377E-2</v>
      </c>
      <c r="F817" s="203">
        <f>F805/(ConsolidatedBS!E42+'Assumptions Working'!F805)</f>
        <v>1.3575105493601391E-2</v>
      </c>
      <c r="G817" s="203">
        <f>G805/(ConsolidatedBS!F42+'Assumptions Working'!G805)</f>
        <v>4.6451995920055835E-3</v>
      </c>
      <c r="H817" s="203">
        <f>H805/(ConsolidatedBS!G42+'Assumptions Working'!H805)</f>
        <v>1.2886886457113732E-2</v>
      </c>
      <c r="I817" s="203">
        <f>I805/(ConsolidatedBS!H42+'Assumptions Working'!I805)</f>
        <v>1.5041665051953729E-2</v>
      </c>
      <c r="J817" s="203">
        <f>J805/(ConsolidatedBS!I42+'Assumptions Working'!J805)</f>
        <v>1.2357765353179714E-2</v>
      </c>
      <c r="L817" s="203">
        <f>MEDIAN(D817:J817)</f>
        <v>1.3575105493601391E-2</v>
      </c>
      <c r="M817" s="203">
        <f>AVERAGE(D817:J817)</f>
        <v>1.3325933077742783E-2</v>
      </c>
    </row>
    <row r="818" spans="2:13">
      <c r="B818" s="144" t="s">
        <v>525</v>
      </c>
      <c r="C818" s="144"/>
      <c r="D818" s="204">
        <f>D805/ConsolidatedBS!C36</f>
        <v>1.6401404078220192E-2</v>
      </c>
      <c r="E818" s="204">
        <f>E805/ConsolidatedBS!D36</f>
        <v>1.1601064120317564E-2</v>
      </c>
      <c r="F818" s="204">
        <f>F805/ConsolidatedBS!E36</f>
        <v>1.0812158578325815E-2</v>
      </c>
      <c r="G818" s="204">
        <f>G805/ConsolidatedBS!F36</f>
        <v>3.6456393902538006E-3</v>
      </c>
      <c r="H818" s="204">
        <f>H805/ConsolidatedBS!G36</f>
        <v>1.019396134108151E-2</v>
      </c>
      <c r="I818" s="204">
        <f>I805/ConsolidatedBS!H36</f>
        <v>1.1915463251575048E-2</v>
      </c>
      <c r="J818" s="204">
        <f>J805/ConsolidatedBS!I36</f>
        <v>9.8059166693959515E-3</v>
      </c>
      <c r="L818" s="203">
        <f>MEDIAN(D818:J818)</f>
        <v>1.0812158578325815E-2</v>
      </c>
      <c r="M818" s="203">
        <f>AVERAGE(D818:J818)</f>
        <v>1.0625086775595699E-2</v>
      </c>
    </row>
    <row r="819" spans="2:13">
      <c r="B819" s="144" t="s">
        <v>526</v>
      </c>
      <c r="C819" s="144"/>
      <c r="D819" s="204">
        <f>D805/'ConsolidatedP&amp;L'!C33</f>
        <v>6.4331010536975833E-2</v>
      </c>
      <c r="E819" s="204">
        <f>E805/'ConsolidatedP&amp;L'!D33</f>
        <v>6.6241658449331553E-2</v>
      </c>
      <c r="F819" s="204">
        <f>F805/'ConsolidatedP&amp;L'!E33</f>
        <v>8.8370526315789469E-2</v>
      </c>
      <c r="G819" s="204">
        <f>G805/'ConsolidatedP&amp;L'!F33</f>
        <v>2.7087121648060764E-2</v>
      </c>
      <c r="H819" s="204">
        <f>H805/'ConsolidatedP&amp;L'!G33</f>
        <v>5.6830391627318073E-2</v>
      </c>
      <c r="I819" s="204">
        <f>I805/'ConsolidatedP&amp;L'!H33</f>
        <v>6.3689792484706201E-2</v>
      </c>
      <c r="J819" s="204">
        <f>J805/'ConsolidatedP&amp;L'!I33</f>
        <v>5.6550998189739896E-2</v>
      </c>
      <c r="L819" s="203">
        <f>MEDIAN(D819:J819)</f>
        <v>6.3689792484706201E-2</v>
      </c>
      <c r="M819" s="203">
        <f>AVERAGE(D819:J819)</f>
        <v>6.044307132170311E-2</v>
      </c>
    </row>
    <row r="822" spans="2:13">
      <c r="B822" s="450" t="s">
        <v>317</v>
      </c>
      <c r="C822" s="450"/>
      <c r="D822" s="450"/>
      <c r="E822" s="450"/>
      <c r="F822" s="450"/>
      <c r="G822" s="450"/>
      <c r="H822" s="450"/>
      <c r="I822" s="450"/>
      <c r="J822" s="450"/>
    </row>
    <row r="824" spans="2:13">
      <c r="B824" t="s">
        <v>527</v>
      </c>
    </row>
    <row r="834" spans="1:10" ht="25.8">
      <c r="A834" t="s">
        <v>18</v>
      </c>
      <c r="B834" s="160" t="s">
        <v>118</v>
      </c>
    </row>
    <row r="836" spans="1:10">
      <c r="B836" s="450" t="s">
        <v>154</v>
      </c>
      <c r="C836" s="450"/>
      <c r="D836" s="450">
        <v>2019</v>
      </c>
      <c r="E836" s="450">
        <f>D836+1</f>
        <v>2020</v>
      </c>
      <c r="F836" s="450">
        <f t="shared" ref="F836" si="164">E836+1</f>
        <v>2021</v>
      </c>
      <c r="G836" s="450">
        <f t="shared" ref="G836" si="165">F836+1</f>
        <v>2022</v>
      </c>
      <c r="H836" s="450">
        <f t="shared" ref="H836" si="166">G836+1</f>
        <v>2023</v>
      </c>
      <c r="I836" s="450">
        <f t="shared" ref="I836" si="167">H836+1</f>
        <v>2024</v>
      </c>
      <c r="J836" s="450">
        <f t="shared" ref="J836" si="168">I836+1</f>
        <v>2025</v>
      </c>
    </row>
    <row r="837" spans="1:10">
      <c r="B837" s="26" t="s">
        <v>518</v>
      </c>
      <c r="D837" s="140">
        <v>186.76</v>
      </c>
      <c r="E837" s="140">
        <v>144.43</v>
      </c>
      <c r="F837" s="140">
        <v>157.41</v>
      </c>
      <c r="G837" s="140">
        <v>58.84</v>
      </c>
      <c r="H837" s="140">
        <v>195.70000000000002</v>
      </c>
      <c r="I837" s="140">
        <v>275.58000000000004</v>
      </c>
      <c r="J837" s="140">
        <v>266.47000000000003</v>
      </c>
    </row>
    <row r="838" spans="1:10">
      <c r="B838" t="s">
        <v>533</v>
      </c>
      <c r="D838" s="140">
        <f>'ConsolidatedP&amp;L'!C38*-1</f>
        <v>7.33</v>
      </c>
      <c r="E838" s="140">
        <f>'ConsolidatedP&amp;L'!D38*-1</f>
        <v>18.88</v>
      </c>
      <c r="F838" s="140">
        <f>'ConsolidatedP&amp;L'!E38*-1</f>
        <v>16.45</v>
      </c>
      <c r="G838" s="140">
        <f>'ConsolidatedP&amp;L'!F38*-1</f>
        <v>18.78</v>
      </c>
      <c r="H838" s="140">
        <f>'ConsolidatedP&amp;L'!G38*-1</f>
        <v>28.02</v>
      </c>
      <c r="I838" s="140">
        <f>'ConsolidatedP&amp;L'!H38*-1</f>
        <v>50.88</v>
      </c>
      <c r="J838" s="140">
        <f>'ConsolidatedP&amp;L'!I38*-1</f>
        <v>54.34</v>
      </c>
    </row>
    <row r="839" spans="1:10">
      <c r="B839" t="s">
        <v>534</v>
      </c>
      <c r="D839" s="106">
        <f>D838/D837</f>
        <v>3.9248233026343976E-2</v>
      </c>
      <c r="E839" s="106">
        <f t="shared" ref="E839:J839" si="169">E838/E837</f>
        <v>0.13072076438413072</v>
      </c>
      <c r="F839" s="106">
        <f t="shared" si="169"/>
        <v>0.10450416110793469</v>
      </c>
      <c r="G839" s="106">
        <f t="shared" si="169"/>
        <v>0.31917063222297759</v>
      </c>
      <c r="H839" s="106">
        <f t="shared" si="169"/>
        <v>0.143178334184977</v>
      </c>
      <c r="I839" s="106">
        <f t="shared" si="169"/>
        <v>0.18462878293054646</v>
      </c>
      <c r="J839" s="106">
        <f t="shared" si="169"/>
        <v>0.20392539497879686</v>
      </c>
    </row>
    <row r="842" spans="1:10">
      <c r="B842" s="450" t="s">
        <v>154</v>
      </c>
      <c r="C842" s="450"/>
      <c r="D842" s="450" t="s">
        <v>535</v>
      </c>
      <c r="E842" s="450" t="s">
        <v>536</v>
      </c>
    </row>
    <row r="843" spans="1:10">
      <c r="D843" s="87">
        <v>1E-3</v>
      </c>
      <c r="E843">
        <v>184.36</v>
      </c>
    </row>
    <row r="844" spans="1:10">
      <c r="D844" s="87">
        <v>6.5000000000000002E-2</v>
      </c>
      <c r="E844">
        <v>79.59</v>
      </c>
    </row>
    <row r="845" spans="1:10">
      <c r="D845" s="87">
        <v>2.8500000000000001E-2</v>
      </c>
      <c r="E845">
        <v>2.52</v>
      </c>
    </row>
    <row r="846" spans="1:10">
      <c r="B846" t="s">
        <v>537</v>
      </c>
      <c r="D846" s="168" cm="1">
        <f t="array" ref="D846">SUMPRODUCT(D843:D845,E843:E845/(SUM(E843:E845)))</f>
        <v>2.0375764626411982E-2</v>
      </c>
    </row>
    <row r="849" spans="1:20" ht="25.8">
      <c r="A849" t="s">
        <v>18</v>
      </c>
      <c r="B849" s="160" t="s">
        <v>448</v>
      </c>
    </row>
    <row r="851" spans="1:20">
      <c r="B851" s="450" t="s">
        <v>154</v>
      </c>
      <c r="C851" s="450"/>
      <c r="D851" s="450">
        <v>2019</v>
      </c>
      <c r="E851" s="450">
        <f>D851+1</f>
        <v>2020</v>
      </c>
      <c r="F851" s="450">
        <f t="shared" ref="F851" si="170">E851+1</f>
        <v>2021</v>
      </c>
      <c r="G851" s="450">
        <f t="shared" ref="G851" si="171">F851+1</f>
        <v>2022</v>
      </c>
      <c r="H851" s="450">
        <f t="shared" ref="H851" si="172">G851+1</f>
        <v>2023</v>
      </c>
      <c r="I851" s="450">
        <f t="shared" ref="I851" si="173">H851+1</f>
        <v>2024</v>
      </c>
      <c r="J851" s="450">
        <f t="shared" ref="J851" si="174">I851+1</f>
        <v>2025</v>
      </c>
      <c r="L851" s="450" t="s">
        <v>259</v>
      </c>
      <c r="M851" s="450" t="s">
        <v>260</v>
      </c>
    </row>
    <row r="852" spans="1:20">
      <c r="B852" t="s">
        <v>38</v>
      </c>
      <c r="D852" s="140">
        <f>'ConsolidatedP&amp;L'!C6</f>
        <v>9797.0600000000013</v>
      </c>
      <c r="E852" s="140">
        <f>'ConsolidatedP&amp;L'!D6</f>
        <v>9153.58</v>
      </c>
      <c r="F852" s="140">
        <f>'ConsolidatedP&amp;L'!E6</f>
        <v>8720.35</v>
      </c>
      <c r="G852" s="140">
        <f>'ConsolidatedP&amp;L'!F6</f>
        <v>10297.83</v>
      </c>
      <c r="H852" s="140">
        <f>'ConsolidatedP&amp;L'!G6</f>
        <v>14442.18</v>
      </c>
      <c r="I852" s="140">
        <f>'ConsolidatedP&amp;L'!H6</f>
        <v>16535.78</v>
      </c>
      <c r="J852" s="140">
        <f>'ConsolidatedP&amp;L'!I6</f>
        <v>18870.349999999999</v>
      </c>
    </row>
    <row r="853" spans="1:20">
      <c r="B853" t="s">
        <v>448</v>
      </c>
      <c r="D853" s="140">
        <f>'ConsolidatedP&amp;L'!C39</f>
        <v>443.39</v>
      </c>
      <c r="E853" s="140">
        <f>'ConsolidatedP&amp;L'!D39</f>
        <v>543.25</v>
      </c>
      <c r="F853" s="140">
        <f>'ConsolidatedP&amp;L'!E39</f>
        <v>453.19</v>
      </c>
      <c r="G853" s="140">
        <f>'ConsolidatedP&amp;L'!F39</f>
        <v>440.82</v>
      </c>
      <c r="H853" s="140">
        <f>'ConsolidatedP&amp;L'!G39</f>
        <v>595.11</v>
      </c>
      <c r="I853" s="140">
        <f>'ConsolidatedP&amp;L'!H39</f>
        <v>1075.8699999999999</v>
      </c>
      <c r="J853" s="140">
        <f>'ConsolidatedP&amp;L'!I39</f>
        <v>1304.9000000000001</v>
      </c>
    </row>
    <row r="855" spans="1:20">
      <c r="B855" t="s">
        <v>540</v>
      </c>
      <c r="D855" s="35">
        <f>D853/D852</f>
        <v>4.5257454787456637E-2</v>
      </c>
      <c r="E855" s="35">
        <f t="shared" ref="E855:J855" si="175">E853/E852</f>
        <v>5.9348364246557088E-2</v>
      </c>
      <c r="F855" s="35">
        <f t="shared" si="175"/>
        <v>5.1969244353724332E-2</v>
      </c>
      <c r="G855" s="35">
        <f t="shared" si="175"/>
        <v>4.2807076830749781E-2</v>
      </c>
      <c r="H855" s="35">
        <f t="shared" si="175"/>
        <v>4.1206382969884048E-2</v>
      </c>
      <c r="I855" s="35">
        <f t="shared" si="175"/>
        <v>6.5063153960684045E-2</v>
      </c>
      <c r="J855" s="35">
        <f t="shared" si="175"/>
        <v>6.915081066328925E-2</v>
      </c>
      <c r="L855" s="210">
        <f>MEDIAN(D855:J855)</f>
        <v>5.1969244353724332E-2</v>
      </c>
      <c r="M855" s="210">
        <f>AVERAGE(D855:J855)</f>
        <v>5.3543212544620744E-2</v>
      </c>
      <c r="O855" t="s">
        <v>541</v>
      </c>
    </row>
    <row r="858" spans="1:20" ht="25.8">
      <c r="A858" t="s">
        <v>18</v>
      </c>
      <c r="B858" s="160" t="s">
        <v>542</v>
      </c>
    </row>
    <row r="860" spans="1:20">
      <c r="B860" s="450" t="s">
        <v>154</v>
      </c>
      <c r="C860" s="450"/>
      <c r="D860" s="450">
        <v>2019</v>
      </c>
      <c r="E860" s="450">
        <f>D860+1</f>
        <v>2020</v>
      </c>
      <c r="F860" s="450">
        <f t="shared" ref="F860" si="176">E860+1</f>
        <v>2021</v>
      </c>
      <c r="G860" s="450">
        <f t="shared" ref="G860" si="177">F860+1</f>
        <v>2022</v>
      </c>
      <c r="H860" s="450">
        <f t="shared" ref="H860" si="178">G860+1</f>
        <v>2023</v>
      </c>
      <c r="I860" s="450">
        <f t="shared" ref="I860" si="179">H860+1</f>
        <v>2024</v>
      </c>
      <c r="J860" s="450">
        <f t="shared" ref="J860" si="180">I860+1</f>
        <v>2025</v>
      </c>
    </row>
    <row r="861" spans="1:20">
      <c r="B861" t="s">
        <v>543</v>
      </c>
      <c r="D861" s="140">
        <v>341</v>
      </c>
      <c r="E861" s="140">
        <v>341.25</v>
      </c>
      <c r="F861" s="140">
        <v>464.61</v>
      </c>
      <c r="G861" s="140">
        <v>574.14</v>
      </c>
      <c r="H861" s="140">
        <v>1011.95</v>
      </c>
      <c r="I861" s="140">
        <v>1396.38</v>
      </c>
      <c r="J861" s="140">
        <v>1919.4</v>
      </c>
    </row>
    <row r="862" spans="1:20">
      <c r="B862" t="s">
        <v>544</v>
      </c>
      <c r="D862" s="140">
        <v>2220.25</v>
      </c>
      <c r="E862" s="140">
        <v>1827.4399999999998</v>
      </c>
      <c r="F862" s="140">
        <v>1346.89</v>
      </c>
      <c r="G862" s="140">
        <v>1676.6000000000008</v>
      </c>
      <c r="H862" s="140">
        <v>2913.940000000001</v>
      </c>
      <c r="I862" s="140">
        <v>4001.0099999999993</v>
      </c>
      <c r="J862" s="140">
        <v>4734.4399999999978</v>
      </c>
    </row>
    <row r="864" spans="1:20">
      <c r="B864" t="s">
        <v>545</v>
      </c>
      <c r="D864" s="35">
        <f>D861/D862</f>
        <v>0.15358630784821528</v>
      </c>
      <c r="E864" s="35">
        <f t="shared" ref="E864:J864" si="181">E861/E862</f>
        <v>0.18673663704417109</v>
      </c>
      <c r="F864" s="35">
        <f t="shared" si="181"/>
        <v>0.34495021865185721</v>
      </c>
      <c r="G864" s="35">
        <f t="shared" si="181"/>
        <v>0.3424430394846712</v>
      </c>
      <c r="H864" s="35">
        <f t="shared" si="181"/>
        <v>0.34727894191369751</v>
      </c>
      <c r="I864" s="35">
        <f t="shared" si="181"/>
        <v>0.34900687576386968</v>
      </c>
      <c r="J864" s="35">
        <f t="shared" si="181"/>
        <v>0.40541225572612621</v>
      </c>
      <c r="L864" s="561" t="s">
        <v>561</v>
      </c>
      <c r="M864" s="561"/>
      <c r="N864" s="561"/>
      <c r="O864" s="561"/>
      <c r="P864" s="561"/>
      <c r="Q864" s="561"/>
      <c r="R864" s="561"/>
      <c r="S864" s="561"/>
      <c r="T864" s="561"/>
    </row>
    <row r="865" spans="1:20">
      <c r="L865" s="561"/>
      <c r="M865" s="561"/>
      <c r="N865" s="561"/>
      <c r="O865" s="561"/>
      <c r="P865" s="561"/>
      <c r="Q865" s="561"/>
      <c r="R865" s="561"/>
      <c r="S865" s="561"/>
      <c r="T865" s="561"/>
    </row>
    <row r="866" spans="1:20">
      <c r="L866" s="561"/>
      <c r="M866" s="561"/>
      <c r="N866" s="561"/>
      <c r="O866" s="561"/>
      <c r="P866" s="561"/>
      <c r="Q866" s="561"/>
      <c r="R866" s="561"/>
      <c r="S866" s="561"/>
      <c r="T866" s="561"/>
    </row>
    <row r="867" spans="1:20" ht="25.8">
      <c r="A867" t="s">
        <v>18</v>
      </c>
      <c r="B867" s="160" t="s">
        <v>542</v>
      </c>
    </row>
    <row r="869" spans="1:20">
      <c r="B869" s="450" t="s">
        <v>154</v>
      </c>
      <c r="C869" s="450"/>
      <c r="D869" s="450">
        <v>2019</v>
      </c>
      <c r="E869" s="450">
        <f>D869+1</f>
        <v>2020</v>
      </c>
      <c r="F869" s="450">
        <f t="shared" ref="F869" si="182">E869+1</f>
        <v>2021</v>
      </c>
      <c r="G869" s="450">
        <f t="shared" ref="G869" si="183">F869+1</f>
        <v>2022</v>
      </c>
      <c r="H869" s="450">
        <f t="shared" ref="H869" si="184">G869+1</f>
        <v>2023</v>
      </c>
      <c r="I869" s="450">
        <f t="shared" ref="I869" si="185">H869+1</f>
        <v>2024</v>
      </c>
      <c r="J869" s="450">
        <f t="shared" ref="J869" si="186">I869+1</f>
        <v>2025</v>
      </c>
      <c r="K869" s="450">
        <v>2026</v>
      </c>
      <c r="L869" s="450">
        <v>2027</v>
      </c>
      <c r="M869" s="450">
        <v>2028</v>
      </c>
      <c r="N869" s="450">
        <v>2029</v>
      </c>
      <c r="O869" s="450">
        <v>2030</v>
      </c>
    </row>
    <row r="870" spans="1:20">
      <c r="B870" t="s">
        <v>558</v>
      </c>
      <c r="D870" s="140">
        <f>ConsolidatedBS!C32</f>
        <v>726.98</v>
      </c>
      <c r="E870" s="140">
        <f>ConsolidatedBS!D32</f>
        <v>43.21</v>
      </c>
      <c r="F870" s="140">
        <f>ConsolidatedBS!E32</f>
        <v>94.12</v>
      </c>
      <c r="G870" s="140">
        <f>ConsolidatedBS!F32</f>
        <v>50.53</v>
      </c>
      <c r="H870" s="140">
        <f>ConsolidatedBS!G32</f>
        <v>88.81</v>
      </c>
      <c r="I870" s="140">
        <f>ConsolidatedBS!H32</f>
        <v>107.21</v>
      </c>
      <c r="J870" s="140">
        <f>ConsolidatedBS!I32</f>
        <v>218.96</v>
      </c>
      <c r="K870" s="184">
        <f>'3StatementModel'!I72</f>
        <v>1423.5211290233456</v>
      </c>
      <c r="L870" s="184">
        <f>'3StatementModel'!J72</f>
        <v>2481.2340616069932</v>
      </c>
      <c r="M870" s="184">
        <f>'3StatementModel'!K72</f>
        <v>3654.9457891469629</v>
      </c>
      <c r="N870" s="184">
        <f>'3StatementModel'!L72</f>
        <v>4250.3237681258734</v>
      </c>
      <c r="O870" s="184">
        <f>'3StatementModel'!M72</f>
        <v>4661.3341451782826</v>
      </c>
    </row>
    <row r="871" spans="1:20">
      <c r="B871" t="s">
        <v>38</v>
      </c>
      <c r="D871" s="140">
        <f>'ConsolidatedP&amp;L'!C6</f>
        <v>9797.0600000000013</v>
      </c>
      <c r="E871" s="140">
        <f>'ConsolidatedP&amp;L'!D6</f>
        <v>9153.58</v>
      </c>
      <c r="F871" s="140">
        <f>'ConsolidatedP&amp;L'!E6</f>
        <v>8720.35</v>
      </c>
      <c r="G871" s="140">
        <f>'ConsolidatedP&amp;L'!F6</f>
        <v>10297.83</v>
      </c>
      <c r="H871" s="140">
        <f>'ConsolidatedP&amp;L'!G6</f>
        <v>14442.18</v>
      </c>
      <c r="I871" s="140">
        <f>'ConsolidatedP&amp;L'!H6</f>
        <v>16535.78</v>
      </c>
      <c r="J871" s="140">
        <f>'ConsolidatedP&amp;L'!I6</f>
        <v>18870.349999999999</v>
      </c>
      <c r="K871" s="184">
        <f>'3StatementModel'!I13</f>
        <v>21700.902499999997</v>
      </c>
      <c r="L871" s="184">
        <f>'3StatementModel'!J13</f>
        <v>24793.281106249997</v>
      </c>
      <c r="M871" s="184">
        <f>'3StatementModel'!K13</f>
        <v>28140.374055593747</v>
      </c>
      <c r="N871" s="184">
        <f>'3StatementModel'!L13</f>
        <v>31728.271747681949</v>
      </c>
      <c r="O871" s="184">
        <f>'3StatementModel'!M13</f>
        <v>35535.664357403788</v>
      </c>
    </row>
    <row r="872" spans="1:20">
      <c r="K872" s="144"/>
      <c r="L872" s="144"/>
      <c r="M872" s="144"/>
      <c r="N872" s="144"/>
      <c r="O872" s="144"/>
    </row>
    <row r="873" spans="1:20">
      <c r="B873" t="s">
        <v>559</v>
      </c>
      <c r="D873" s="106">
        <f>D870/D871</f>
        <v>7.4203893821207581E-2</v>
      </c>
      <c r="E873" s="106">
        <f t="shared" ref="E873:O873" si="187">E870/E871</f>
        <v>4.7205574212493915E-3</v>
      </c>
      <c r="F873" s="106">
        <f t="shared" si="187"/>
        <v>1.0793144770565402E-2</v>
      </c>
      <c r="G873" s="106">
        <f t="shared" si="187"/>
        <v>4.9068590178707556E-3</v>
      </c>
      <c r="H873" s="106">
        <f t="shared" si="187"/>
        <v>6.1493486440412732E-3</v>
      </c>
      <c r="I873" s="106">
        <f t="shared" si="187"/>
        <v>6.4835163506045679E-3</v>
      </c>
      <c r="J873" s="106">
        <f t="shared" si="187"/>
        <v>1.1603388384423183E-2</v>
      </c>
      <c r="K873" s="185">
        <f t="shared" si="187"/>
        <v>6.5597323845095645E-2</v>
      </c>
      <c r="L873" s="185">
        <f t="shared" si="187"/>
        <v>0.100076873689038</v>
      </c>
      <c r="M873" s="185">
        <f t="shared" si="187"/>
        <v>0.12988262991551927</v>
      </c>
      <c r="N873" s="185">
        <f t="shared" si="187"/>
        <v>0.13396014135047868</v>
      </c>
      <c r="O873" s="185">
        <f t="shared" si="187"/>
        <v>0.13117340647684</v>
      </c>
    </row>
    <row r="874" spans="1:20">
      <c r="K874" s="144"/>
      <c r="L874" s="144"/>
      <c r="M874" s="144"/>
      <c r="N874" s="144"/>
      <c r="O874" s="144"/>
    </row>
    <row r="875" spans="1:20">
      <c r="B875" t="s">
        <v>110</v>
      </c>
      <c r="D875" s="140">
        <f>ConsolidatedBS!C36</f>
        <v>11386.829999999998</v>
      </c>
      <c r="E875" s="140">
        <f>ConsolidatedBS!D36</f>
        <v>12449.720000000001</v>
      </c>
      <c r="F875" s="140">
        <f>ConsolidatedBS!E36</f>
        <v>14558.61</v>
      </c>
      <c r="G875" s="140">
        <f>ConsolidatedBS!F36</f>
        <v>16139.830000000002</v>
      </c>
      <c r="H875" s="140">
        <f>ConsolidatedBS!G36</f>
        <v>19197.64</v>
      </c>
      <c r="I875" s="140">
        <f>ConsolidatedBS!H36</f>
        <v>23127.929999999993</v>
      </c>
      <c r="J875" s="140">
        <f>ConsolidatedBS!I36</f>
        <v>27174.41</v>
      </c>
      <c r="K875" s="184">
        <f>'3StatementModel'!I76</f>
        <v>30073.19738470827</v>
      </c>
      <c r="L875" s="184">
        <f>'3StatementModel'!J76</f>
        <v>32857.872816852017</v>
      </c>
      <c r="M875" s="184">
        <f>'3StatementModel'!K76</f>
        <v>35586.829288598463</v>
      </c>
      <c r="N875" s="184">
        <f>'3StatementModel'!L76</f>
        <v>37856.812090097381</v>
      </c>
      <c r="O875" s="184">
        <f>'3StatementModel'!M76</f>
        <v>39927.654244163707</v>
      </c>
    </row>
    <row r="876" spans="1:20">
      <c r="K876" s="144"/>
      <c r="L876" s="144"/>
      <c r="M876" s="144"/>
      <c r="N876" s="144"/>
      <c r="O876" s="144"/>
    </row>
    <row r="877" spans="1:20">
      <c r="B877" t="s">
        <v>560</v>
      </c>
      <c r="D877" s="88">
        <f>D870/D875</f>
        <v>6.3843931981069371E-2</v>
      </c>
      <c r="E877" s="88">
        <f t="shared" ref="E877:O877" si="188">E870/E875</f>
        <v>3.4707607881944331E-3</v>
      </c>
      <c r="F877" s="88">
        <f t="shared" si="188"/>
        <v>6.4649028993839387E-3</v>
      </c>
      <c r="G877" s="88">
        <f t="shared" si="188"/>
        <v>3.1307640786798867E-3</v>
      </c>
      <c r="H877" s="88">
        <f t="shared" si="188"/>
        <v>4.6260894568290693E-3</v>
      </c>
      <c r="I877" s="88">
        <f t="shared" si="188"/>
        <v>4.6355207750974695E-3</v>
      </c>
      <c r="J877" s="88">
        <f t="shared" si="188"/>
        <v>8.0575806429652019E-3</v>
      </c>
      <c r="K877" s="185">
        <f t="shared" si="188"/>
        <v>4.7335210513637732E-2</v>
      </c>
      <c r="L877" s="185">
        <f t="shared" si="188"/>
        <v>7.5514141631664838E-2</v>
      </c>
      <c r="M877" s="185">
        <f t="shared" si="188"/>
        <v>0.10270501368656515</v>
      </c>
      <c r="N877" s="185">
        <f t="shared" si="188"/>
        <v>0.11227368427141483</v>
      </c>
      <c r="O877" s="185">
        <f t="shared" si="188"/>
        <v>0.11674450286193905</v>
      </c>
    </row>
    <row r="878" spans="1:20">
      <c r="K878" s="144"/>
      <c r="L878" s="144"/>
      <c r="M878" s="144"/>
      <c r="N878" s="144"/>
      <c r="O878" s="144"/>
    </row>
    <row r="879" spans="1:20">
      <c r="K879" s="144"/>
      <c r="L879" s="144"/>
      <c r="M879" s="144"/>
      <c r="N879" s="144"/>
      <c r="O879" s="144"/>
    </row>
    <row r="880" spans="1:20">
      <c r="B880" t="s">
        <v>577</v>
      </c>
      <c r="D880" s="88">
        <v>7.4203893821207581E-2</v>
      </c>
      <c r="E880" s="88">
        <v>4.7205574212493915E-3</v>
      </c>
      <c r="F880" s="88">
        <v>1.0793144770565402E-2</v>
      </c>
      <c r="G880" s="88">
        <v>4.9068590178707556E-3</v>
      </c>
      <c r="H880" s="88">
        <v>6.1493486440412732E-3</v>
      </c>
      <c r="I880" s="88">
        <v>6.4835163506045679E-3</v>
      </c>
      <c r="J880" s="88">
        <v>1.1603388384423183E-2</v>
      </c>
      <c r="K880" s="88">
        <v>0.02</v>
      </c>
      <c r="L880" s="88">
        <f>K880</f>
        <v>0.02</v>
      </c>
      <c r="M880" s="88">
        <f t="shared" ref="M880:O880" si="189">L880</f>
        <v>0.02</v>
      </c>
      <c r="N880" s="88">
        <f t="shared" si="189"/>
        <v>0.02</v>
      </c>
      <c r="O880" s="88">
        <f t="shared" si="189"/>
        <v>0.02</v>
      </c>
    </row>
    <row r="882" spans="2:15">
      <c r="B882" t="s">
        <v>578</v>
      </c>
      <c r="D882" s="140">
        <f>D880*D871</f>
        <v>726.98</v>
      </c>
      <c r="E882" s="140">
        <f t="shared" ref="E882:O882" si="190">E880*E871</f>
        <v>43.210000000000008</v>
      </c>
      <c r="F882" s="140">
        <f t="shared" si="190"/>
        <v>94.12</v>
      </c>
      <c r="G882" s="140">
        <f t="shared" si="190"/>
        <v>50.53</v>
      </c>
      <c r="H882" s="140">
        <f t="shared" si="190"/>
        <v>88.81</v>
      </c>
      <c r="I882" s="140">
        <f t="shared" si="190"/>
        <v>107.21</v>
      </c>
      <c r="J882" s="140">
        <f t="shared" si="190"/>
        <v>218.96</v>
      </c>
      <c r="K882" s="140">
        <f t="shared" si="190"/>
        <v>434.01804999999996</v>
      </c>
      <c r="L882" s="140">
        <f t="shared" si="190"/>
        <v>495.86562212499996</v>
      </c>
      <c r="M882" s="140">
        <f t="shared" si="190"/>
        <v>562.80748111187495</v>
      </c>
      <c r="N882" s="140">
        <f t="shared" si="190"/>
        <v>634.56543495363894</v>
      </c>
      <c r="O882" s="140">
        <f t="shared" si="190"/>
        <v>710.71328714807578</v>
      </c>
    </row>
    <row r="884" spans="2:15">
      <c r="B884" t="s">
        <v>579</v>
      </c>
      <c r="D884" s="141">
        <f>D870-D882</f>
        <v>0</v>
      </c>
      <c r="E884" s="141">
        <f t="shared" ref="E884:O884" si="191">E870-E882</f>
        <v>0</v>
      </c>
      <c r="F884" s="141">
        <f t="shared" si="191"/>
        <v>0</v>
      </c>
      <c r="G884" s="141">
        <f t="shared" si="191"/>
        <v>0</v>
      </c>
      <c r="H884" s="141">
        <f t="shared" si="191"/>
        <v>0</v>
      </c>
      <c r="I884" s="141">
        <f t="shared" si="191"/>
        <v>0</v>
      </c>
      <c r="J884" s="141">
        <f t="shared" si="191"/>
        <v>0</v>
      </c>
      <c r="K884" s="140">
        <f t="shared" si="191"/>
        <v>989.50307902334566</v>
      </c>
      <c r="L884" s="140">
        <f t="shared" si="191"/>
        <v>1985.3684394819934</v>
      </c>
      <c r="M884" s="140">
        <f t="shared" si="191"/>
        <v>3092.1383080350879</v>
      </c>
      <c r="N884" s="140">
        <f t="shared" si="191"/>
        <v>3615.7583331722344</v>
      </c>
      <c r="O884" s="140">
        <f t="shared" si="191"/>
        <v>3950.6208580302068</v>
      </c>
    </row>
  </sheetData>
  <sheetProtection algorithmName="SHA-512" hashValue="WdqewNaPjNNKARsZfAzj1NpLxjZAv9e4HcL2G+RTxX2jKKp5j1uMGC/7Tn/1rDztXLeKcOnyUeNBtmICFNgnDw==" saltValue="aonmbk6IUs4gpCCA+JP2qA==" spinCount="100000" sheet="1" objects="1" scenarios="1" selectLockedCells="1" selectUnlockedCells="1"/>
  <mergeCells count="4">
    <mergeCell ref="V19:V20"/>
    <mergeCell ref="J268:S273"/>
    <mergeCell ref="B478:D478"/>
    <mergeCell ref="L864:T866"/>
  </mergeCells>
  <hyperlinks>
    <hyperlink ref="C147" r:id="rId1" xr:uid="{7DBD7754-9645-4B37-B53D-EC3FFC0BA7A3}"/>
  </hyperlinks>
  <pageMargins left="0.7" right="0.7" top="0.75" bottom="0.75" header="0.3" footer="0.3"/>
  <ignoredErrors>
    <ignoredError sqref="D216 E383:J383 E384:F384 G384:J384 E449:J449 D603 D651 E651:J651" formulaRange="1"/>
    <ignoredError sqref="D350:J350 E805:J805" formula="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8F304-ACF4-468E-A448-AAD694C12654}">
  <dimension ref="B2:BP292"/>
  <sheetViews>
    <sheetView topLeftCell="N1" zoomScale="26" zoomScaleNormal="120" workbookViewId="0">
      <selection activeCell="BI257" sqref="BI257"/>
    </sheetView>
  </sheetViews>
  <sheetFormatPr defaultRowHeight="14.4"/>
  <cols>
    <col min="12" max="12" width="10.33203125" bestFit="1" customWidth="1"/>
    <col min="29" max="29" width="27.33203125" bestFit="1" customWidth="1"/>
    <col min="36" max="36" width="10.33203125" bestFit="1" customWidth="1"/>
  </cols>
  <sheetData>
    <row r="2" spans="2:56" ht="14.4" customHeight="1">
      <c r="B2" s="563" t="s">
        <v>988</v>
      </c>
      <c r="C2" s="563"/>
      <c r="D2" s="563"/>
      <c r="E2" s="563"/>
      <c r="F2" s="563"/>
      <c r="G2" s="563"/>
      <c r="H2" s="563"/>
      <c r="I2" s="563"/>
      <c r="J2" s="563"/>
      <c r="K2" s="563"/>
      <c r="L2" s="563"/>
      <c r="M2" s="563"/>
      <c r="N2" s="563"/>
      <c r="O2" s="563"/>
      <c r="P2" s="563"/>
      <c r="Q2" s="563"/>
      <c r="R2" s="563"/>
      <c r="S2" s="563"/>
      <c r="T2" s="563"/>
      <c r="V2" s="542" t="s">
        <v>995</v>
      </c>
      <c r="W2" s="542"/>
      <c r="X2" s="542"/>
      <c r="Y2" s="542"/>
      <c r="Z2" s="542"/>
      <c r="AA2" s="542"/>
      <c r="AB2" s="542"/>
      <c r="AC2" s="542"/>
      <c r="AD2" s="542"/>
      <c r="AE2" s="542"/>
      <c r="AF2" s="542"/>
      <c r="AG2" s="542"/>
      <c r="AH2" s="542"/>
      <c r="AI2" s="542"/>
      <c r="AJ2" s="542"/>
      <c r="AK2" s="542"/>
    </row>
    <row r="3" spans="2:56">
      <c r="B3" s="563"/>
      <c r="C3" s="563"/>
      <c r="D3" s="563"/>
      <c r="E3" s="563"/>
      <c r="F3" s="563"/>
      <c r="G3" s="563"/>
      <c r="H3" s="563"/>
      <c r="I3" s="563"/>
      <c r="J3" s="563"/>
      <c r="K3" s="563"/>
      <c r="L3" s="563"/>
      <c r="M3" s="563"/>
      <c r="N3" s="563"/>
      <c r="O3" s="563"/>
      <c r="P3" s="563"/>
      <c r="Q3" s="563"/>
      <c r="R3" s="563"/>
      <c r="S3" s="563"/>
      <c r="T3" s="563"/>
      <c r="V3" s="542"/>
      <c r="W3" s="542"/>
      <c r="X3" s="542"/>
      <c r="Y3" s="542"/>
      <c r="Z3" s="542"/>
      <c r="AA3" s="542"/>
      <c r="AB3" s="542"/>
      <c r="AC3" s="542"/>
      <c r="AD3" s="542"/>
      <c r="AE3" s="542"/>
      <c r="AF3" s="542"/>
      <c r="AG3" s="542"/>
      <c r="AH3" s="542"/>
      <c r="AI3" s="542"/>
      <c r="AJ3" s="542"/>
      <c r="AK3" s="542"/>
    </row>
    <row r="4" spans="2:56">
      <c r="B4" s="563"/>
      <c r="C4" s="563"/>
      <c r="D4" s="563"/>
      <c r="E4" s="563"/>
      <c r="F4" s="563"/>
      <c r="G4" s="563"/>
      <c r="H4" s="563"/>
      <c r="I4" s="563"/>
      <c r="J4" s="563"/>
      <c r="K4" s="563"/>
      <c r="L4" s="563"/>
      <c r="M4" s="563"/>
      <c r="N4" s="563"/>
      <c r="O4" s="563"/>
      <c r="P4" s="563"/>
      <c r="Q4" s="563"/>
      <c r="R4" s="563"/>
      <c r="S4" s="563"/>
      <c r="T4" s="563"/>
      <c r="V4" s="542"/>
      <c r="W4" s="542"/>
      <c r="X4" s="542"/>
      <c r="Y4" s="542"/>
      <c r="Z4" s="542"/>
      <c r="AA4" s="542"/>
      <c r="AB4" s="542"/>
      <c r="AC4" s="542"/>
      <c r="AD4" s="542"/>
      <c r="AE4" s="542"/>
      <c r="AF4" s="542"/>
      <c r="AG4" s="542"/>
      <c r="AH4" s="542"/>
      <c r="AI4" s="542"/>
      <c r="AJ4" s="542"/>
      <c r="AK4" s="542"/>
    </row>
    <row r="5" spans="2:56">
      <c r="B5" s="563"/>
      <c r="C5" s="563"/>
      <c r="D5" s="563"/>
      <c r="E5" s="563"/>
      <c r="F5" s="563"/>
      <c r="G5" s="563"/>
      <c r="H5" s="563"/>
      <c r="I5" s="563"/>
      <c r="J5" s="563"/>
      <c r="K5" s="563"/>
      <c r="L5" s="563"/>
      <c r="M5" s="563"/>
      <c r="N5" s="563"/>
      <c r="O5" s="563"/>
      <c r="P5" s="563"/>
      <c r="Q5" s="563"/>
      <c r="R5" s="563"/>
      <c r="S5" s="563"/>
      <c r="T5" s="563"/>
      <c r="V5" s="542"/>
      <c r="W5" s="542"/>
      <c r="X5" s="542"/>
      <c r="Y5" s="542"/>
      <c r="Z5" s="542"/>
      <c r="AA5" s="542"/>
      <c r="AB5" s="542"/>
      <c r="AC5" s="542"/>
      <c r="AD5" s="542"/>
      <c r="AE5" s="542"/>
      <c r="AF5" s="542"/>
      <c r="AG5" s="542"/>
      <c r="AH5" s="542"/>
      <c r="AI5" s="542"/>
      <c r="AJ5" s="542"/>
      <c r="AK5" s="542"/>
    </row>
    <row r="6" spans="2:56">
      <c r="B6" s="563"/>
      <c r="C6" s="563"/>
      <c r="D6" s="563"/>
      <c r="E6" s="563"/>
      <c r="F6" s="563"/>
      <c r="G6" s="563"/>
      <c r="H6" s="563"/>
      <c r="I6" s="563"/>
      <c r="J6" s="563"/>
      <c r="K6" s="563"/>
      <c r="L6" s="563"/>
      <c r="M6" s="563"/>
      <c r="N6" s="563"/>
      <c r="O6" s="563"/>
      <c r="P6" s="563"/>
      <c r="Q6" s="563"/>
      <c r="R6" s="563"/>
      <c r="S6" s="563"/>
      <c r="T6" s="563"/>
      <c r="V6" s="542"/>
      <c r="W6" s="542"/>
      <c r="X6" s="542"/>
      <c r="Y6" s="542"/>
      <c r="Z6" s="542"/>
      <c r="AA6" s="542"/>
      <c r="AB6" s="542"/>
      <c r="AC6" s="542"/>
      <c r="AD6" s="542"/>
      <c r="AE6" s="542"/>
      <c r="AF6" s="542"/>
      <c r="AG6" s="542"/>
      <c r="AH6" s="542"/>
      <c r="AI6" s="542"/>
      <c r="AJ6" s="542"/>
      <c r="AK6" s="542"/>
    </row>
    <row r="7" spans="2:56">
      <c r="B7" s="563"/>
      <c r="C7" s="563"/>
      <c r="D7" s="563"/>
      <c r="E7" s="563"/>
      <c r="F7" s="563"/>
      <c r="G7" s="563"/>
      <c r="H7" s="563"/>
      <c r="I7" s="563"/>
      <c r="J7" s="563"/>
      <c r="K7" s="563"/>
      <c r="L7" s="563"/>
      <c r="M7" s="563"/>
      <c r="N7" s="563"/>
      <c r="O7" s="563"/>
      <c r="P7" s="563"/>
      <c r="Q7" s="563"/>
      <c r="R7" s="563"/>
      <c r="S7" s="563"/>
      <c r="T7" s="563"/>
      <c r="V7" s="542"/>
      <c r="W7" s="542"/>
      <c r="X7" s="542"/>
      <c r="Y7" s="542"/>
      <c r="Z7" s="542"/>
      <c r="AA7" s="542"/>
      <c r="AB7" s="542"/>
      <c r="AC7" s="542"/>
      <c r="AD7" s="542"/>
      <c r="AE7" s="542"/>
      <c r="AF7" s="542"/>
      <c r="AG7" s="542"/>
      <c r="AH7" s="542"/>
      <c r="AI7" s="542"/>
      <c r="AJ7" s="542"/>
      <c r="AK7" s="542"/>
    </row>
    <row r="8" spans="2:56">
      <c r="B8" s="563"/>
      <c r="C8" s="563"/>
      <c r="D8" s="563"/>
      <c r="E8" s="563"/>
      <c r="F8" s="563"/>
      <c r="G8" s="563"/>
      <c r="H8" s="563"/>
      <c r="I8" s="563"/>
      <c r="J8" s="563"/>
      <c r="K8" s="563"/>
      <c r="L8" s="563"/>
      <c r="M8" s="563"/>
      <c r="N8" s="563"/>
      <c r="O8" s="563"/>
      <c r="P8" s="563"/>
      <c r="Q8" s="563"/>
      <c r="R8" s="563"/>
      <c r="S8" s="563"/>
      <c r="T8" s="563"/>
      <c r="V8" s="542"/>
      <c r="W8" s="542"/>
      <c r="X8" s="542"/>
      <c r="Y8" s="542"/>
      <c r="Z8" s="542"/>
      <c r="AA8" s="542"/>
      <c r="AB8" s="542"/>
      <c r="AC8" s="542"/>
      <c r="AD8" s="542"/>
      <c r="AE8" s="542"/>
      <c r="AF8" s="542"/>
      <c r="AG8" s="542"/>
      <c r="AH8" s="542"/>
      <c r="AI8" s="542"/>
      <c r="AJ8" s="542"/>
      <c r="AK8" s="542"/>
    </row>
    <row r="9" spans="2:56">
      <c r="B9" s="487"/>
      <c r="C9" s="487"/>
      <c r="D9" s="487"/>
      <c r="E9" s="487"/>
      <c r="F9" s="487"/>
      <c r="G9" s="487"/>
      <c r="H9" s="487"/>
      <c r="I9" s="487"/>
      <c r="J9" s="487"/>
      <c r="K9" s="487"/>
      <c r="L9" s="487"/>
      <c r="M9" s="487"/>
      <c r="N9" s="487"/>
      <c r="O9" s="487"/>
      <c r="P9" s="487"/>
      <c r="Q9" s="487"/>
      <c r="R9" s="487"/>
      <c r="S9" s="487"/>
      <c r="T9" s="487"/>
      <c r="V9" s="542"/>
      <c r="W9" s="542"/>
      <c r="X9" s="542"/>
      <c r="Y9" s="542"/>
      <c r="Z9" s="542"/>
      <c r="AA9" s="542"/>
      <c r="AB9" s="542"/>
      <c r="AC9" s="542"/>
      <c r="AD9" s="542"/>
      <c r="AE9" s="542"/>
      <c r="AF9" s="542"/>
      <c r="AG9" s="542"/>
      <c r="AH9" s="542"/>
      <c r="AI9" s="542"/>
      <c r="AJ9" s="542"/>
      <c r="AK9" s="542"/>
    </row>
    <row r="10" spans="2:56">
      <c r="B10" s="487"/>
      <c r="C10" s="487"/>
      <c r="D10" s="487"/>
      <c r="E10" s="487"/>
      <c r="F10" s="487"/>
      <c r="G10" s="487"/>
      <c r="H10" s="487"/>
      <c r="I10" s="487"/>
      <c r="J10" s="487"/>
      <c r="K10" s="487"/>
      <c r="L10" s="487"/>
      <c r="M10" s="487"/>
      <c r="N10" s="487"/>
      <c r="O10" s="487"/>
      <c r="P10" s="487"/>
      <c r="Q10" s="487"/>
      <c r="R10" s="487"/>
      <c r="S10" s="487"/>
      <c r="T10" s="487"/>
      <c r="V10" s="542"/>
      <c r="W10" s="542"/>
      <c r="X10" s="542"/>
      <c r="Y10" s="542"/>
      <c r="Z10" s="542"/>
      <c r="AA10" s="542"/>
      <c r="AB10" s="542"/>
      <c r="AC10" s="542"/>
      <c r="AD10" s="542"/>
      <c r="AE10" s="542"/>
      <c r="AF10" s="542"/>
      <c r="AG10" s="542"/>
      <c r="AH10" s="542"/>
      <c r="AI10" s="542"/>
      <c r="AJ10" s="542"/>
      <c r="AK10" s="542"/>
    </row>
    <row r="11" spans="2:56">
      <c r="B11" s="487"/>
      <c r="C11" s="487"/>
      <c r="D11" s="487"/>
      <c r="E11" s="487"/>
      <c r="F11" s="487"/>
      <c r="G11" s="487"/>
      <c r="H11" s="487"/>
      <c r="I11" s="487"/>
      <c r="J11" s="487"/>
      <c r="K11" s="487"/>
      <c r="L11" s="487"/>
      <c r="M11" s="487"/>
      <c r="N11" s="487"/>
      <c r="O11" s="487"/>
      <c r="P11" s="487"/>
      <c r="Q11" s="487"/>
      <c r="R11" s="487"/>
      <c r="S11" s="487"/>
      <c r="T11" s="487"/>
      <c r="V11" s="542"/>
      <c r="W11" s="542"/>
      <c r="X11" s="542"/>
      <c r="Y11" s="542"/>
      <c r="Z11" s="542"/>
      <c r="AA11" s="542"/>
      <c r="AB11" s="542"/>
      <c r="AC11" s="542"/>
      <c r="AD11" s="542"/>
      <c r="AE11" s="542"/>
      <c r="AF11" s="542"/>
      <c r="AG11" s="542"/>
      <c r="AH11" s="542"/>
      <c r="AI11" s="542"/>
      <c r="AJ11" s="542"/>
      <c r="AK11" s="542"/>
    </row>
    <row r="12" spans="2:56">
      <c r="B12" s="486"/>
      <c r="C12" s="486"/>
      <c r="D12" s="486"/>
      <c r="E12" s="486"/>
      <c r="F12" s="486"/>
      <c r="G12" s="486"/>
      <c r="H12" s="486"/>
      <c r="I12" s="486"/>
      <c r="J12" s="486"/>
      <c r="K12" s="486"/>
      <c r="L12" s="486"/>
      <c r="M12" s="486"/>
      <c r="N12" s="486"/>
      <c r="O12" s="486"/>
      <c r="P12" s="486"/>
      <c r="Q12" s="486"/>
      <c r="R12" s="486"/>
      <c r="S12" s="486"/>
      <c r="T12" s="486"/>
      <c r="V12" s="542"/>
      <c r="W12" s="542"/>
      <c r="X12" s="542"/>
      <c r="Y12" s="542"/>
      <c r="Z12" s="542"/>
      <c r="AA12" s="542"/>
      <c r="AB12" s="542"/>
      <c r="AC12" s="542"/>
      <c r="AD12" s="542"/>
      <c r="AE12" s="542"/>
      <c r="AF12" s="542"/>
      <c r="AG12" s="542"/>
      <c r="AH12" s="542"/>
      <c r="AI12" s="542"/>
      <c r="AJ12" s="542"/>
      <c r="AK12" s="542"/>
    </row>
    <row r="13" spans="2:56">
      <c r="B13" s="486"/>
      <c r="C13" s="486"/>
      <c r="D13" s="486"/>
      <c r="E13" s="486"/>
      <c r="F13" s="486"/>
      <c r="G13" s="486"/>
      <c r="H13" s="486"/>
      <c r="I13" s="486"/>
      <c r="J13" s="486"/>
      <c r="K13" s="486"/>
      <c r="L13" s="486"/>
      <c r="M13" s="486"/>
      <c r="N13" s="486"/>
      <c r="O13" s="486"/>
      <c r="P13" s="486"/>
      <c r="Q13" s="486"/>
      <c r="R13" s="486"/>
      <c r="S13" s="486" t="s">
        <v>678</v>
      </c>
      <c r="T13" s="490">
        <v>0.85499999999999998</v>
      </c>
      <c r="V13" s="542"/>
      <c r="W13" s="542"/>
      <c r="X13" s="542"/>
      <c r="Y13" s="542"/>
      <c r="Z13" s="542"/>
      <c r="AA13" s="542"/>
      <c r="AB13" s="542"/>
      <c r="AC13" s="542"/>
      <c r="AD13" s="542"/>
      <c r="AE13" s="542"/>
      <c r="AF13" s="542"/>
      <c r="AG13" s="542"/>
      <c r="AH13" s="542"/>
      <c r="AI13" s="542"/>
      <c r="AJ13" s="542"/>
      <c r="AK13" s="542"/>
    </row>
    <row r="14" spans="2:56" ht="21.6">
      <c r="B14" s="486"/>
      <c r="C14" s="486"/>
      <c r="D14" s="486"/>
      <c r="E14" s="486"/>
      <c r="F14" s="486"/>
      <c r="G14" s="486"/>
      <c r="H14" s="486"/>
      <c r="I14" s="486"/>
      <c r="J14" s="486"/>
      <c r="K14" s="486"/>
      <c r="L14" s="486"/>
      <c r="M14" s="486"/>
      <c r="N14" s="486"/>
      <c r="O14" s="486"/>
      <c r="P14" s="486"/>
      <c r="Q14" s="486"/>
      <c r="R14" s="486"/>
      <c r="S14" s="486" t="s">
        <v>994</v>
      </c>
      <c r="T14" s="490">
        <v>0.14499999999999999</v>
      </c>
      <c r="V14" s="542"/>
      <c r="W14" s="542"/>
      <c r="X14" s="542"/>
      <c r="Y14" s="542"/>
      <c r="Z14" s="542"/>
      <c r="AA14" s="542"/>
      <c r="AB14" s="542"/>
      <c r="AC14" s="542"/>
      <c r="AD14" s="542"/>
      <c r="AE14" s="542"/>
      <c r="AF14" s="542"/>
      <c r="AG14" s="542"/>
      <c r="AH14" s="542"/>
      <c r="AI14" s="542"/>
      <c r="AJ14" s="542"/>
      <c r="AK14" s="542"/>
    </row>
    <row r="15" spans="2:56">
      <c r="B15" s="486"/>
      <c r="C15" s="486"/>
      <c r="D15" s="486"/>
      <c r="E15" s="486"/>
      <c r="F15" s="486"/>
      <c r="G15" s="486"/>
      <c r="H15" s="486"/>
      <c r="I15" s="486"/>
      <c r="J15" s="486"/>
      <c r="K15" s="486"/>
      <c r="L15" s="486"/>
      <c r="M15" s="486"/>
      <c r="N15" s="486"/>
      <c r="O15" s="486"/>
      <c r="P15" s="486"/>
      <c r="Q15" s="486"/>
      <c r="R15" s="486"/>
      <c r="S15" s="486"/>
      <c r="T15" s="486"/>
    </row>
    <row r="16" spans="2:56" ht="13.95" customHeight="1">
      <c r="B16" s="486"/>
      <c r="C16" s="486"/>
      <c r="D16" s="486"/>
      <c r="E16" s="486"/>
      <c r="F16" s="486"/>
      <c r="G16" s="486"/>
      <c r="H16" s="486"/>
      <c r="I16" s="486"/>
      <c r="J16" s="486"/>
      <c r="K16" s="486"/>
      <c r="L16" s="486"/>
      <c r="M16" s="486"/>
      <c r="N16" s="486"/>
      <c r="O16" s="486"/>
      <c r="P16" s="486"/>
      <c r="Q16" s="486"/>
      <c r="R16" s="486"/>
      <c r="S16" s="486"/>
      <c r="T16" s="486"/>
      <c r="AC16" s="542" t="s">
        <v>996</v>
      </c>
      <c r="AD16" s="542"/>
      <c r="AE16" s="542"/>
      <c r="AF16" s="542"/>
      <c r="AG16" s="542"/>
      <c r="AH16" s="542"/>
      <c r="AI16" s="542"/>
      <c r="AJ16" s="542"/>
      <c r="AK16" s="542"/>
      <c r="AL16" s="363"/>
      <c r="AM16" s="363"/>
      <c r="AN16" s="363"/>
      <c r="AO16" s="363"/>
      <c r="AP16" s="363"/>
      <c r="AQ16" s="363"/>
      <c r="AR16" s="363"/>
      <c r="AS16" s="363"/>
      <c r="AT16" s="363"/>
      <c r="AU16" s="363"/>
      <c r="AV16" s="363"/>
      <c r="AW16" s="363"/>
      <c r="AX16" s="363"/>
      <c r="AY16" s="363"/>
      <c r="AZ16" s="363"/>
      <c r="BA16" s="363"/>
      <c r="BB16" s="363"/>
      <c r="BC16" s="363"/>
      <c r="BD16" s="363"/>
    </row>
    <row r="17" spans="4:37">
      <c r="AC17" s="542"/>
      <c r="AD17" s="542"/>
      <c r="AE17" s="542"/>
      <c r="AF17" s="542"/>
      <c r="AG17" s="542"/>
      <c r="AH17" s="542"/>
      <c r="AI17" s="542"/>
      <c r="AJ17" s="542"/>
      <c r="AK17" s="542"/>
    </row>
    <row r="18" spans="4:37">
      <c r="AC18" s="542"/>
      <c r="AD18" s="542"/>
      <c r="AE18" s="542"/>
      <c r="AF18" s="542"/>
      <c r="AG18" s="542"/>
      <c r="AH18" s="542"/>
      <c r="AI18" s="542"/>
      <c r="AJ18" s="542"/>
      <c r="AK18" s="542"/>
    </row>
    <row r="19" spans="4:37">
      <c r="AC19" s="542"/>
      <c r="AD19" s="542"/>
      <c r="AE19" s="542"/>
      <c r="AF19" s="542"/>
      <c r="AG19" s="542"/>
      <c r="AH19" s="542"/>
      <c r="AI19" s="542"/>
      <c r="AJ19" s="542"/>
      <c r="AK19" s="542"/>
    </row>
    <row r="20" spans="4:37">
      <c r="AC20" s="542"/>
      <c r="AD20" s="542"/>
      <c r="AE20" s="542"/>
      <c r="AF20" s="542"/>
      <c r="AG20" s="542"/>
      <c r="AH20" s="542"/>
      <c r="AI20" s="542"/>
      <c r="AJ20" s="542"/>
      <c r="AK20" s="542"/>
    </row>
    <row r="21" spans="4:37">
      <c r="AC21" s="542"/>
      <c r="AD21" s="542"/>
      <c r="AE21" s="542"/>
      <c r="AF21" s="542"/>
      <c r="AG21" s="542"/>
      <c r="AH21" s="542"/>
      <c r="AI21" s="542"/>
      <c r="AJ21" s="542"/>
      <c r="AK21" s="542"/>
    </row>
    <row r="22" spans="4:37">
      <c r="AC22" s="542"/>
      <c r="AD22" s="542"/>
      <c r="AE22" s="542"/>
      <c r="AF22" s="542"/>
      <c r="AG22" s="542"/>
      <c r="AH22" s="542"/>
      <c r="AI22" s="542"/>
      <c r="AJ22" s="542"/>
      <c r="AK22" s="542"/>
    </row>
    <row r="23" spans="4:37">
      <c r="AC23" s="542"/>
      <c r="AD23" s="542"/>
      <c r="AE23" s="542"/>
      <c r="AF23" s="542"/>
      <c r="AG23" s="542"/>
      <c r="AH23" s="542"/>
      <c r="AI23" s="542"/>
      <c r="AJ23" s="542"/>
      <c r="AK23" s="542"/>
    </row>
    <row r="24" spans="4:37">
      <c r="D24" t="s">
        <v>989</v>
      </c>
      <c r="E24" s="87">
        <v>5.8999999999999997E-2</v>
      </c>
      <c r="AC24" s="542"/>
      <c r="AD24" s="542"/>
      <c r="AE24" s="542"/>
      <c r="AF24" s="542"/>
      <c r="AG24" s="542"/>
      <c r="AH24" s="542"/>
      <c r="AI24" s="542"/>
      <c r="AJ24" s="542"/>
      <c r="AK24" s="542"/>
    </row>
    <row r="25" spans="4:37">
      <c r="D25" t="s">
        <v>990</v>
      </c>
      <c r="E25" s="87">
        <v>7.0999999999999994E-2</v>
      </c>
      <c r="AC25" s="542"/>
      <c r="AD25" s="542"/>
      <c r="AE25" s="542"/>
      <c r="AF25" s="542"/>
      <c r="AG25" s="542"/>
      <c r="AH25" s="542"/>
      <c r="AI25" s="542"/>
      <c r="AJ25" s="542"/>
      <c r="AK25" s="542"/>
    </row>
    <row r="26" spans="4:37">
      <c r="D26" t="s">
        <v>991</v>
      </c>
      <c r="E26" s="87">
        <v>0.87</v>
      </c>
      <c r="AC26" s="542"/>
      <c r="AD26" s="542"/>
      <c r="AE26" s="542"/>
      <c r="AF26" s="542"/>
      <c r="AG26" s="542"/>
      <c r="AH26" s="542"/>
      <c r="AI26" s="542"/>
      <c r="AJ26" s="542"/>
      <c r="AK26" s="542"/>
    </row>
    <row r="27" spans="4:37">
      <c r="E27" s="87"/>
      <c r="AC27" s="542"/>
      <c r="AD27" s="542"/>
      <c r="AE27" s="542"/>
      <c r="AF27" s="542"/>
      <c r="AG27" s="542"/>
      <c r="AH27" s="542"/>
      <c r="AI27" s="542"/>
      <c r="AJ27" s="542"/>
      <c r="AK27" s="542"/>
    </row>
    <row r="31" spans="4:37">
      <c r="AC31" t="s">
        <v>997</v>
      </c>
    </row>
    <row r="32" spans="4:37">
      <c r="AC32" t="s">
        <v>1016</v>
      </c>
    </row>
    <row r="34" spans="12:32">
      <c r="N34" s="488"/>
    </row>
    <row r="35" spans="12:32">
      <c r="AC35" t="s">
        <v>999</v>
      </c>
      <c r="AD35" t="s">
        <v>1005</v>
      </c>
      <c r="AE35" t="s">
        <v>1006</v>
      </c>
      <c r="AF35" t="s">
        <v>1007</v>
      </c>
    </row>
    <row r="36" spans="12:32">
      <c r="AC36" t="s">
        <v>998</v>
      </c>
      <c r="AD36" s="87">
        <v>3.3000000000000002E-2</v>
      </c>
      <c r="AE36" s="168">
        <v>0.03</v>
      </c>
      <c r="AF36" s="168">
        <v>3.1E-2</v>
      </c>
    </row>
    <row r="37" spans="12:32">
      <c r="AC37" t="s">
        <v>1000</v>
      </c>
      <c r="AD37" s="87">
        <v>1.7999999999999999E-2</v>
      </c>
      <c r="AE37" s="87">
        <v>1.4999999999999999E-2</v>
      </c>
      <c r="AF37" s="87">
        <v>1.6E-2</v>
      </c>
    </row>
    <row r="38" spans="12:32">
      <c r="AC38" t="s">
        <v>1001</v>
      </c>
      <c r="AD38" s="87">
        <v>4.2999999999999997E-2</v>
      </c>
      <c r="AE38" s="87">
        <v>4.1000000000000002E-2</v>
      </c>
      <c r="AF38" s="87">
        <v>0.04</v>
      </c>
    </row>
    <row r="39" spans="12:32">
      <c r="AC39" t="s">
        <v>1002</v>
      </c>
      <c r="AD39" s="87">
        <v>8.9999999999999993E-3</v>
      </c>
      <c r="AE39" s="87">
        <v>0.01</v>
      </c>
      <c r="AF39" s="87">
        <v>1.2E-2</v>
      </c>
    </row>
    <row r="40" spans="12:32">
      <c r="AC40" t="s">
        <v>1003</v>
      </c>
      <c r="AD40" s="87">
        <v>2.8000000000000001E-2</v>
      </c>
      <c r="AE40" s="87">
        <v>1.9E-2</v>
      </c>
      <c r="AF40" s="87">
        <v>0.02</v>
      </c>
    </row>
    <row r="41" spans="12:32">
      <c r="AC41" t="s">
        <v>686</v>
      </c>
      <c r="AD41" s="87">
        <v>2E-3</v>
      </c>
      <c r="AE41" s="87">
        <v>7.0000000000000001E-3</v>
      </c>
      <c r="AF41" s="87">
        <v>5.0000000000000001E-3</v>
      </c>
    </row>
    <row r="42" spans="12:32">
      <c r="L42" t="s">
        <v>992</v>
      </c>
      <c r="M42" t="s">
        <v>993</v>
      </c>
      <c r="AC42" t="s">
        <v>1004</v>
      </c>
      <c r="AD42" s="87">
        <v>1.0999999999999999E-2</v>
      </c>
      <c r="AE42" s="87">
        <v>1.2E-2</v>
      </c>
      <c r="AF42" s="87">
        <v>1.4E-2</v>
      </c>
    </row>
    <row r="43" spans="12:32">
      <c r="L43" s="489">
        <v>45623</v>
      </c>
      <c r="M43" s="100">
        <v>4917.5</v>
      </c>
      <c r="AC43" t="s">
        <v>641</v>
      </c>
      <c r="AD43" s="87">
        <v>0.05</v>
      </c>
      <c r="AE43" s="87">
        <v>4.8000000000000001E-2</v>
      </c>
      <c r="AF43" s="87">
        <v>4.2000000000000003E-2</v>
      </c>
    </row>
    <row r="44" spans="12:32">
      <c r="L44" s="489">
        <v>45624</v>
      </c>
      <c r="M44" s="100">
        <v>4815.7</v>
      </c>
      <c r="AC44" t="s">
        <v>678</v>
      </c>
      <c r="AD44" s="87">
        <v>6.5000000000000002E-2</v>
      </c>
      <c r="AE44" s="87">
        <v>6.4000000000000001E-2</v>
      </c>
      <c r="AF44" s="87">
        <v>6.6000000000000003E-2</v>
      </c>
    </row>
    <row r="45" spans="12:32">
      <c r="L45" s="489">
        <v>45625</v>
      </c>
      <c r="M45" s="100">
        <v>4831.8500000000004</v>
      </c>
    </row>
    <row r="46" spans="12:32">
      <c r="L46" s="489">
        <v>45628</v>
      </c>
      <c r="M46" s="100">
        <v>4820.7</v>
      </c>
    </row>
    <row r="47" spans="12:32">
      <c r="L47" s="489">
        <v>45629</v>
      </c>
      <c r="M47" s="100">
        <v>4844.3500000000004</v>
      </c>
    </row>
    <row r="48" spans="12:32">
      <c r="L48" s="489">
        <v>45630</v>
      </c>
      <c r="M48" s="100">
        <v>4797.05</v>
      </c>
    </row>
    <row r="49" spans="12:40">
      <c r="L49" s="489">
        <v>45631</v>
      </c>
      <c r="M49" s="100">
        <v>4837.55</v>
      </c>
    </row>
    <row r="50" spans="12:40">
      <c r="L50" s="489">
        <v>45632</v>
      </c>
      <c r="M50" s="100">
        <v>4877.05</v>
      </c>
    </row>
    <row r="51" spans="12:40">
      <c r="L51" s="489">
        <v>45635</v>
      </c>
      <c r="M51" s="100">
        <v>4842.1000000000004</v>
      </c>
    </row>
    <row r="52" spans="12:40">
      <c r="L52" s="489">
        <v>45636</v>
      </c>
      <c r="M52" s="100">
        <v>4813.05</v>
      </c>
    </row>
    <row r="53" spans="12:40">
      <c r="L53" s="489">
        <v>45637</v>
      </c>
      <c r="M53" s="100">
        <v>4801.95</v>
      </c>
    </row>
    <row r="54" spans="12:40">
      <c r="L54" s="489">
        <v>45638</v>
      </c>
      <c r="M54" s="100">
        <v>4807.6499999999996</v>
      </c>
    </row>
    <row r="55" spans="12:40">
      <c r="L55" s="489">
        <v>45639</v>
      </c>
      <c r="M55" s="100">
        <v>4825.8999999999996</v>
      </c>
    </row>
    <row r="56" spans="12:40">
      <c r="L56" s="489">
        <v>45642</v>
      </c>
      <c r="M56" s="100">
        <v>4838.5</v>
      </c>
    </row>
    <row r="57" spans="12:40">
      <c r="L57" s="489">
        <v>45643</v>
      </c>
      <c r="M57" s="100">
        <v>4742.6499999999996</v>
      </c>
      <c r="AD57" t="s">
        <v>1008</v>
      </c>
    </row>
    <row r="58" spans="12:40" ht="14.4" customHeight="1">
      <c r="L58" s="489">
        <v>45644</v>
      </c>
      <c r="M58" s="100">
        <v>4749.8500000000004</v>
      </c>
      <c r="AD58" s="542" t="s">
        <v>1009</v>
      </c>
      <c r="AE58" s="542"/>
      <c r="AF58" s="542"/>
      <c r="AG58" s="542"/>
      <c r="AH58" s="542"/>
      <c r="AI58" s="542"/>
      <c r="AJ58" s="542"/>
      <c r="AK58" s="542"/>
      <c r="AL58" s="542"/>
      <c r="AM58" s="542"/>
      <c r="AN58" s="542"/>
    </row>
    <row r="59" spans="12:40">
      <c r="L59" s="489">
        <v>45645</v>
      </c>
      <c r="M59" s="100">
        <v>4771.95</v>
      </c>
      <c r="AD59" s="542"/>
      <c r="AE59" s="542"/>
      <c r="AF59" s="542"/>
      <c r="AG59" s="542"/>
      <c r="AH59" s="542"/>
      <c r="AI59" s="542"/>
      <c r="AJ59" s="542"/>
      <c r="AK59" s="542"/>
      <c r="AL59" s="542"/>
      <c r="AM59" s="542"/>
      <c r="AN59" s="542"/>
    </row>
    <row r="60" spans="12:40">
      <c r="L60" s="489">
        <v>45646</v>
      </c>
      <c r="M60" s="100">
        <v>4734.5</v>
      </c>
      <c r="AD60" s="542"/>
      <c r="AE60" s="542"/>
      <c r="AF60" s="542"/>
      <c r="AG60" s="542"/>
      <c r="AH60" s="542"/>
      <c r="AI60" s="542"/>
      <c r="AJ60" s="542"/>
      <c r="AK60" s="542"/>
      <c r="AL60" s="542"/>
      <c r="AM60" s="542"/>
      <c r="AN60" s="542"/>
    </row>
    <row r="61" spans="12:40">
      <c r="L61" s="489">
        <v>45649</v>
      </c>
      <c r="M61" s="100">
        <v>4750.55</v>
      </c>
      <c r="AD61" s="362" t="s">
        <v>268</v>
      </c>
      <c r="AE61" s="362"/>
      <c r="AF61" s="362"/>
      <c r="AG61" s="362"/>
      <c r="AH61" s="362"/>
      <c r="AI61" s="362"/>
      <c r="AJ61" s="362"/>
      <c r="AK61" s="362"/>
      <c r="AL61" s="362"/>
      <c r="AM61" s="362"/>
      <c r="AN61" s="362"/>
    </row>
    <row r="62" spans="12:40">
      <c r="L62" s="489">
        <v>45650</v>
      </c>
      <c r="M62" s="100">
        <v>4792.8999999999996</v>
      </c>
      <c r="AD62" s="362"/>
      <c r="AE62" s="362"/>
      <c r="AF62" s="362"/>
      <c r="AG62" s="362"/>
      <c r="AH62" s="362"/>
      <c r="AI62" s="362"/>
      <c r="AJ62" s="362"/>
      <c r="AK62" s="362"/>
      <c r="AL62" s="362"/>
      <c r="AM62" s="362"/>
      <c r="AN62" s="362"/>
    </row>
    <row r="63" spans="12:40">
      <c r="L63" s="489">
        <v>45652</v>
      </c>
      <c r="M63" s="100">
        <v>4801.3500000000004</v>
      </c>
      <c r="AD63" s="363" t="s">
        <v>1010</v>
      </c>
      <c r="AE63" s="362"/>
      <c r="AF63" s="362"/>
      <c r="AG63" s="362"/>
      <c r="AH63" s="362"/>
      <c r="AI63" s="362"/>
      <c r="AJ63" s="362"/>
      <c r="AK63" s="362"/>
      <c r="AL63" s="362"/>
      <c r="AM63" s="362"/>
      <c r="AN63" s="362"/>
    </row>
    <row r="64" spans="12:40">
      <c r="L64" s="489">
        <v>45653</v>
      </c>
      <c r="M64" s="100">
        <v>4876.8999999999996</v>
      </c>
      <c r="AD64" s="363" t="s">
        <v>1011</v>
      </c>
      <c r="AE64" s="362"/>
      <c r="AF64" s="362"/>
      <c r="AG64" s="362"/>
      <c r="AH64" s="362"/>
      <c r="AI64" s="362"/>
      <c r="AJ64" s="362"/>
      <c r="AK64" s="362"/>
      <c r="AL64" s="362"/>
      <c r="AM64" s="362"/>
      <c r="AN64" s="362"/>
    </row>
    <row r="65" spans="12:40">
      <c r="L65" s="489">
        <v>45656</v>
      </c>
      <c r="M65" s="100">
        <v>4855.8</v>
      </c>
      <c r="AD65" s="362" t="s">
        <v>268</v>
      </c>
      <c r="AE65" s="363" t="s">
        <v>1012</v>
      </c>
      <c r="AF65" s="362"/>
      <c r="AG65" s="362"/>
      <c r="AH65" s="362"/>
      <c r="AI65" s="362"/>
      <c r="AJ65" s="362"/>
      <c r="AK65" s="362"/>
      <c r="AL65" s="362"/>
      <c r="AM65" s="362"/>
      <c r="AN65" s="362"/>
    </row>
    <row r="66" spans="12:40">
      <c r="L66" s="489">
        <v>45657</v>
      </c>
      <c r="M66" s="100">
        <v>4821.8999999999996</v>
      </c>
    </row>
    <row r="67" spans="12:40">
      <c r="L67" s="489">
        <v>45658</v>
      </c>
      <c r="M67" s="100">
        <v>4885.3</v>
      </c>
    </row>
    <row r="68" spans="12:40">
      <c r="L68" s="489">
        <v>45659</v>
      </c>
      <c r="M68" s="100">
        <v>5308.1</v>
      </c>
      <c r="AD68" t="s">
        <v>1013</v>
      </c>
    </row>
    <row r="69" spans="12:40">
      <c r="L69" s="489">
        <v>45660</v>
      </c>
      <c r="M69" s="100">
        <v>5310.75</v>
      </c>
      <c r="AD69" t="s">
        <v>1014</v>
      </c>
    </row>
    <row r="70" spans="12:40">
      <c r="L70" s="489">
        <v>45663</v>
      </c>
      <c r="M70" s="100">
        <v>5250.1</v>
      </c>
      <c r="AD70" t="s">
        <v>268</v>
      </c>
      <c r="AE70" s="136" t="s">
        <v>1015</v>
      </c>
    </row>
    <row r="71" spans="12:40">
      <c r="L71" s="489">
        <v>45664</v>
      </c>
      <c r="M71" s="100">
        <v>5177.3</v>
      </c>
    </row>
    <row r="72" spans="12:40">
      <c r="L72" s="489">
        <v>45665</v>
      </c>
      <c r="M72" s="100">
        <v>5163.2</v>
      </c>
    </row>
    <row r="73" spans="12:40">
      <c r="L73" s="489">
        <v>45666</v>
      </c>
      <c r="M73" s="100">
        <v>5139.8999999999996</v>
      </c>
    </row>
    <row r="74" spans="12:40">
      <c r="L74" s="489">
        <v>45667</v>
      </c>
      <c r="M74" s="100">
        <v>5058.45</v>
      </c>
    </row>
    <row r="75" spans="12:40">
      <c r="L75" s="489">
        <v>45670</v>
      </c>
      <c r="M75" s="100">
        <v>4939.1000000000004</v>
      </c>
    </row>
    <row r="76" spans="12:40">
      <c r="L76" s="489">
        <v>45671</v>
      </c>
      <c r="M76" s="100">
        <v>5029.55</v>
      </c>
    </row>
    <row r="77" spans="12:40">
      <c r="L77" s="489">
        <v>45672</v>
      </c>
      <c r="M77" s="100">
        <v>5081.8999999999996</v>
      </c>
    </row>
    <row r="78" spans="12:40">
      <c r="L78" s="489">
        <v>45673</v>
      </c>
      <c r="M78" s="100">
        <v>5047.8</v>
      </c>
    </row>
    <row r="79" spans="12:40">
      <c r="L79" s="489">
        <v>45674</v>
      </c>
      <c r="M79" s="100">
        <v>5012.3</v>
      </c>
    </row>
    <row r="80" spans="12:40">
      <c r="L80" s="489">
        <v>45677</v>
      </c>
      <c r="M80" s="100">
        <v>5016.75</v>
      </c>
    </row>
    <row r="81" spans="12:49">
      <c r="L81" s="489">
        <v>45678</v>
      </c>
      <c r="M81" s="100">
        <v>4969.95</v>
      </c>
    </row>
    <row r="82" spans="12:49">
      <c r="L82" s="489">
        <v>45679</v>
      </c>
      <c r="M82" s="100">
        <v>5009.7</v>
      </c>
    </row>
    <row r="83" spans="12:49">
      <c r="L83" s="489">
        <v>45680</v>
      </c>
      <c r="M83" s="100">
        <v>5116.2</v>
      </c>
    </row>
    <row r="84" spans="12:49">
      <c r="L84" s="489">
        <v>45681</v>
      </c>
      <c r="M84" s="100">
        <v>5206.3</v>
      </c>
    </row>
    <row r="85" spans="12:49">
      <c r="L85" s="489">
        <v>45684</v>
      </c>
      <c r="M85" s="100">
        <v>5144.5</v>
      </c>
    </row>
    <row r="86" spans="12:49">
      <c r="L86" s="489">
        <v>45685</v>
      </c>
      <c r="M86" s="100">
        <v>5105.3999999999996</v>
      </c>
    </row>
    <row r="87" spans="12:49">
      <c r="L87" s="489">
        <v>45686</v>
      </c>
      <c r="M87" s="100">
        <v>5182.8999999999996</v>
      </c>
    </row>
    <row r="88" spans="12:49">
      <c r="L88" s="489">
        <v>45687</v>
      </c>
      <c r="M88" s="100">
        <v>5164.3500000000004</v>
      </c>
    </row>
    <row r="89" spans="12:49">
      <c r="L89" s="489">
        <v>45688</v>
      </c>
      <c r="M89" s="100">
        <v>5194.3</v>
      </c>
    </row>
    <row r="90" spans="12:49">
      <c r="L90" s="489">
        <v>45689</v>
      </c>
      <c r="M90" s="100">
        <v>5390.15</v>
      </c>
    </row>
    <row r="91" spans="12:49">
      <c r="L91" s="489">
        <v>45691</v>
      </c>
      <c r="M91" s="100">
        <v>5485.25</v>
      </c>
    </row>
    <row r="92" spans="12:49">
      <c r="L92" s="489">
        <v>45692</v>
      </c>
      <c r="M92" s="100">
        <v>5450.1</v>
      </c>
    </row>
    <row r="93" spans="12:49">
      <c r="L93" s="489">
        <v>45693</v>
      </c>
      <c r="M93" s="100">
        <v>5417.2</v>
      </c>
    </row>
    <row r="94" spans="12:49">
      <c r="L94" s="489">
        <v>45694</v>
      </c>
      <c r="M94" s="100">
        <v>5342</v>
      </c>
      <c r="AK94" t="s">
        <v>154</v>
      </c>
      <c r="AL94" s="491">
        <v>2019</v>
      </c>
      <c r="AM94" s="491">
        <v>2020</v>
      </c>
      <c r="AN94" s="491">
        <v>2021</v>
      </c>
      <c r="AO94" s="491">
        <v>2022</v>
      </c>
      <c r="AP94" s="491">
        <v>2023</v>
      </c>
      <c r="AQ94" s="491">
        <v>2024</v>
      </c>
      <c r="AR94" s="491">
        <v>2025</v>
      </c>
      <c r="AS94" s="494">
        <f>AR94+1</f>
        <v>2026</v>
      </c>
      <c r="AT94" s="494">
        <f t="shared" ref="AT94:AW94" si="0">AS94+1</f>
        <v>2027</v>
      </c>
      <c r="AU94" s="494">
        <f t="shared" si="0"/>
        <v>2028</v>
      </c>
      <c r="AV94" s="494">
        <f t="shared" si="0"/>
        <v>2029</v>
      </c>
      <c r="AW94" s="494">
        <f t="shared" si="0"/>
        <v>2030</v>
      </c>
    </row>
    <row r="95" spans="12:49">
      <c r="L95" s="489">
        <v>45695</v>
      </c>
      <c r="M95" s="100">
        <v>5372.55</v>
      </c>
      <c r="AE95" t="s">
        <v>1017</v>
      </c>
      <c r="AK95" t="s">
        <v>38</v>
      </c>
      <c r="AL95">
        <v>9797.0600000000013</v>
      </c>
      <c r="AM95">
        <v>9153.58</v>
      </c>
      <c r="AN95">
        <v>8720.35</v>
      </c>
      <c r="AO95">
        <v>10297.83</v>
      </c>
      <c r="AP95">
        <v>14442.18</v>
      </c>
      <c r="AQ95">
        <v>16535.78</v>
      </c>
      <c r="AR95">
        <v>18870.349999999999</v>
      </c>
      <c r="AS95" s="140">
        <v>21700.902499999997</v>
      </c>
      <c r="AT95" s="140">
        <v>24793.281106249997</v>
      </c>
      <c r="AU95" s="140">
        <v>28140.374055593747</v>
      </c>
      <c r="AV95" s="140">
        <v>31728.271747681949</v>
      </c>
      <c r="AW95" s="140">
        <v>35535.664357403788</v>
      </c>
    </row>
    <row r="96" spans="12:49">
      <c r="L96" s="489">
        <v>45698</v>
      </c>
      <c r="M96" s="100">
        <v>5335.35</v>
      </c>
      <c r="AF96" t="s">
        <v>1018</v>
      </c>
      <c r="AG96" t="s">
        <v>1019</v>
      </c>
      <c r="AK96" t="s">
        <v>233</v>
      </c>
      <c r="AL96" s="106">
        <v>6.2673142963751927E-2</v>
      </c>
      <c r="AM96" s="106">
        <v>-6.5680928768426572E-2</v>
      </c>
      <c r="AN96" s="106">
        <v>-4.732902318000165E-2</v>
      </c>
      <c r="AO96" s="106">
        <v>0.18089640897441028</v>
      </c>
      <c r="AP96" s="106">
        <v>0.40244886544058311</v>
      </c>
      <c r="AQ96" s="106">
        <v>0.14496426439775711</v>
      </c>
      <c r="AR96" s="106">
        <v>0.14118293784750402</v>
      </c>
      <c r="AS96" s="106">
        <f>AS95/AR95-1</f>
        <v>0.14999999999999991</v>
      </c>
      <c r="AT96" s="106">
        <f t="shared" ref="AT96:AW96" si="1">AT95/AS95-1</f>
        <v>0.14250000000000007</v>
      </c>
      <c r="AU96" s="106">
        <f t="shared" si="1"/>
        <v>0.13500000000000001</v>
      </c>
      <c r="AV96" s="106">
        <f t="shared" si="1"/>
        <v>0.12749999999999995</v>
      </c>
      <c r="AW96" s="106">
        <f t="shared" si="1"/>
        <v>0.12000000000000011</v>
      </c>
    </row>
    <row r="97" spans="12:47">
      <c r="L97" s="489">
        <v>45699</v>
      </c>
      <c r="M97" s="100">
        <v>4972.3500000000004</v>
      </c>
      <c r="AE97" s="491">
        <v>2020</v>
      </c>
      <c r="AF97" s="87">
        <v>-5.8000000000000003E-2</v>
      </c>
      <c r="AG97" s="87">
        <v>-2.8000000000000001E-2</v>
      </c>
    </row>
    <row r="98" spans="12:47">
      <c r="L98" s="489">
        <v>45700</v>
      </c>
      <c r="M98" s="100">
        <v>4849.45</v>
      </c>
      <c r="AE98" s="491">
        <v>2021</v>
      </c>
      <c r="AF98" s="87">
        <v>9.7000000000000003E-2</v>
      </c>
      <c r="AG98" s="87">
        <v>6.4000000000000001E-2</v>
      </c>
    </row>
    <row r="99" spans="12:47">
      <c r="L99" s="489">
        <v>45701</v>
      </c>
      <c r="M99" s="100">
        <v>4820.3999999999996</v>
      </c>
      <c r="AE99" s="491">
        <v>2022</v>
      </c>
      <c r="AF99" s="87">
        <v>7.5999999999999998E-2</v>
      </c>
      <c r="AG99" s="87">
        <v>3.4000000000000002E-2</v>
      </c>
    </row>
    <row r="100" spans="12:47">
      <c r="L100" s="489">
        <v>45702</v>
      </c>
      <c r="M100" s="100">
        <v>4703.3500000000004</v>
      </c>
      <c r="AE100" s="491">
        <v>2023</v>
      </c>
      <c r="AF100" s="87">
        <v>9.1999999999999998E-2</v>
      </c>
      <c r="AG100" s="87">
        <v>2.9000000000000001E-2</v>
      </c>
    </row>
    <row r="101" spans="12:47">
      <c r="L101" s="489">
        <v>45705</v>
      </c>
      <c r="M101" s="100">
        <v>4745.2</v>
      </c>
      <c r="AE101" s="491">
        <v>2024</v>
      </c>
      <c r="AF101" s="87">
        <v>6.5000000000000002E-2</v>
      </c>
      <c r="AG101" s="87">
        <v>2.9000000000000001E-2</v>
      </c>
      <c r="AK101" t="s">
        <v>154</v>
      </c>
      <c r="AL101" s="491">
        <v>2021</v>
      </c>
      <c r="AM101" s="491">
        <v>2022</v>
      </c>
      <c r="AN101" s="491">
        <v>2023</v>
      </c>
      <c r="AO101" s="491">
        <v>2024</v>
      </c>
      <c r="AP101" s="491">
        <v>2025</v>
      </c>
      <c r="AQ101" s="494">
        <f>AP101+1</f>
        <v>2026</v>
      </c>
      <c r="AR101" s="494">
        <f t="shared" ref="AR101:AU101" si="2">AQ101+1</f>
        <v>2027</v>
      </c>
      <c r="AS101" s="494">
        <f t="shared" si="2"/>
        <v>2028</v>
      </c>
      <c r="AT101" s="494">
        <f t="shared" si="2"/>
        <v>2029</v>
      </c>
      <c r="AU101" s="494">
        <f t="shared" si="2"/>
        <v>2030</v>
      </c>
    </row>
    <row r="102" spans="12:47">
      <c r="L102" s="489">
        <v>45706</v>
      </c>
      <c r="M102" s="100">
        <v>4719.3999999999996</v>
      </c>
      <c r="AE102" s="492">
        <v>2025</v>
      </c>
      <c r="AF102" s="87">
        <v>6.4000000000000001E-2</v>
      </c>
      <c r="AG102" s="88">
        <v>0.03</v>
      </c>
      <c r="AK102" t="s">
        <v>1</v>
      </c>
      <c r="AL102" s="140">
        <v>3608.08</v>
      </c>
      <c r="AM102" s="140">
        <v>4342.1500000000005</v>
      </c>
      <c r="AN102" s="140">
        <v>6230.2800000000007</v>
      </c>
      <c r="AO102" s="140">
        <v>7555.1299999999992</v>
      </c>
      <c r="AP102" s="140">
        <v>8573.2699999999986</v>
      </c>
      <c r="AQ102" s="140">
        <v>9765.4061249999977</v>
      </c>
      <c r="AR102" s="140">
        <v>11156.976497812497</v>
      </c>
      <c r="AS102" s="140">
        <v>12663.168325017185</v>
      </c>
      <c r="AT102" s="140">
        <v>14277.722286456876</v>
      </c>
      <c r="AU102" s="140">
        <v>16133.191618261317</v>
      </c>
    </row>
    <row r="103" spans="12:47">
      <c r="L103" s="489">
        <v>45707</v>
      </c>
      <c r="M103" s="100">
        <v>4810.6000000000004</v>
      </c>
      <c r="AE103" s="492">
        <v>2026</v>
      </c>
      <c r="AF103" s="87">
        <v>6.6000000000000003E-2</v>
      </c>
      <c r="AG103" s="87">
        <v>3.1E-2</v>
      </c>
    </row>
    <row r="104" spans="12:47">
      <c r="L104" s="489">
        <v>45708</v>
      </c>
      <c r="M104" s="100">
        <v>4888.3999999999996</v>
      </c>
    </row>
    <row r="105" spans="12:47">
      <c r="L105" s="489">
        <v>45709</v>
      </c>
      <c r="M105" s="100">
        <v>4962.45</v>
      </c>
    </row>
    <row r="106" spans="12:47">
      <c r="L106" s="489">
        <v>45712</v>
      </c>
      <c r="M106" s="100">
        <v>5010.8</v>
      </c>
      <c r="AL106" s="180"/>
      <c r="AM106" s="180"/>
      <c r="AN106" s="180"/>
      <c r="AO106" s="180"/>
      <c r="AP106" s="180"/>
      <c r="AQ106" s="180"/>
      <c r="AR106" s="180"/>
      <c r="AS106" s="180"/>
      <c r="AT106" s="180"/>
      <c r="AU106" s="180"/>
    </row>
    <row r="107" spans="12:47">
      <c r="L107" s="489">
        <v>45713</v>
      </c>
      <c r="M107" s="100">
        <v>4989.8</v>
      </c>
    </row>
    <row r="108" spans="12:47">
      <c r="L108" s="489">
        <v>45715</v>
      </c>
      <c r="M108" s="100">
        <v>4935.5</v>
      </c>
      <c r="AE108" t="s">
        <v>1020</v>
      </c>
      <c r="AF108" s="87">
        <v>9.2999999999999999E-2</v>
      </c>
      <c r="AK108" t="s">
        <v>154</v>
      </c>
      <c r="AL108" s="491">
        <v>2021</v>
      </c>
      <c r="AM108" s="491">
        <v>2022</v>
      </c>
      <c r="AN108" s="491">
        <v>2023</v>
      </c>
      <c r="AO108" s="491">
        <v>2024</v>
      </c>
      <c r="AP108" s="491">
        <v>2025</v>
      </c>
      <c r="AQ108" s="494">
        <f>AP108+1</f>
        <v>2026</v>
      </c>
      <c r="AR108" s="494">
        <f t="shared" ref="AR108:AU108" si="3">AQ108+1</f>
        <v>2027</v>
      </c>
      <c r="AS108" s="494">
        <f t="shared" si="3"/>
        <v>2028</v>
      </c>
      <c r="AT108" s="494">
        <f t="shared" si="3"/>
        <v>2029</v>
      </c>
      <c r="AU108" s="494">
        <f t="shared" si="3"/>
        <v>2030</v>
      </c>
    </row>
    <row r="109" spans="12:47">
      <c r="L109" s="489">
        <v>45716</v>
      </c>
      <c r="M109" s="100">
        <v>4773.6000000000004</v>
      </c>
      <c r="AE109" t="s">
        <v>1021</v>
      </c>
      <c r="AF109" s="87">
        <v>9.5000000000000001E-2</v>
      </c>
      <c r="AK109" t="s">
        <v>100</v>
      </c>
      <c r="AL109" s="106">
        <v>0.41375403510180209</v>
      </c>
      <c r="AM109" s="106">
        <v>0.42165679565500697</v>
      </c>
      <c r="AN109" s="106">
        <v>0.43139470633934768</v>
      </c>
      <c r="AO109" s="106">
        <v>0.45689589484136822</v>
      </c>
      <c r="AP109" s="106">
        <v>0.45432490653326513</v>
      </c>
      <c r="AQ109" s="106">
        <v>0.44999999999999996</v>
      </c>
      <c r="AR109" s="106">
        <v>0.4499999999999999</v>
      </c>
      <c r="AS109" s="106">
        <v>0.44999999999999996</v>
      </c>
      <c r="AT109" s="106">
        <v>0.44999999999999996</v>
      </c>
      <c r="AU109" s="106">
        <v>0.4539999999999999</v>
      </c>
    </row>
    <row r="110" spans="12:47">
      <c r="L110" s="489">
        <v>45719</v>
      </c>
      <c r="M110" s="100">
        <v>4906.6000000000004</v>
      </c>
      <c r="AE110" t="s">
        <v>1022</v>
      </c>
      <c r="AF110" s="87">
        <v>8.4000000000000005E-2</v>
      </c>
    </row>
    <row r="111" spans="12:47">
      <c r="L111" s="489">
        <v>45720</v>
      </c>
      <c r="M111" s="100">
        <v>4815.1000000000004</v>
      </c>
      <c r="AE111" t="s">
        <v>1023</v>
      </c>
      <c r="AF111" s="87">
        <v>6.5000000000000002E-2</v>
      </c>
    </row>
    <row r="112" spans="12:47">
      <c r="L112" s="489">
        <v>45721</v>
      </c>
      <c r="M112" s="100">
        <v>4988.3</v>
      </c>
      <c r="AE112" t="s">
        <v>1024</v>
      </c>
      <c r="AF112" s="87">
        <v>5.6000000000000001E-2</v>
      </c>
    </row>
    <row r="113" spans="12:32">
      <c r="L113" s="489">
        <v>45722</v>
      </c>
      <c r="M113" s="100">
        <v>5094.3999999999996</v>
      </c>
      <c r="AE113" t="s">
        <v>1025</v>
      </c>
      <c r="AF113" s="87">
        <v>6.4000000000000001E-2</v>
      </c>
    </row>
    <row r="114" spans="12:32">
      <c r="L114" s="489">
        <v>45723</v>
      </c>
      <c r="M114" s="100">
        <v>5100.7</v>
      </c>
      <c r="AE114" t="s">
        <v>1026</v>
      </c>
      <c r="AF114" s="87">
        <v>7.3999999999999996E-2</v>
      </c>
    </row>
    <row r="115" spans="12:32">
      <c r="L115" s="489">
        <v>45726</v>
      </c>
      <c r="M115" s="100">
        <v>4990.55</v>
      </c>
      <c r="AE115" t="s">
        <v>1027</v>
      </c>
      <c r="AF115" s="87">
        <v>7.8E-2</v>
      </c>
    </row>
    <row r="116" spans="12:32">
      <c r="L116" s="489">
        <v>45727</v>
      </c>
      <c r="M116" s="100">
        <v>4985.55</v>
      </c>
      <c r="AE116" t="s">
        <v>241</v>
      </c>
      <c r="AF116" s="87">
        <v>8.2000000000000003E-2</v>
      </c>
    </row>
    <row r="117" spans="12:32">
      <c r="L117" s="489">
        <v>45728</v>
      </c>
      <c r="M117" s="100">
        <v>5017.45</v>
      </c>
    </row>
    <row r="118" spans="12:32">
      <c r="L118" s="489">
        <v>45729</v>
      </c>
      <c r="M118" s="100">
        <v>5015.25</v>
      </c>
    </row>
    <row r="119" spans="12:32">
      <c r="L119" s="489">
        <v>45733</v>
      </c>
      <c r="M119" s="100">
        <v>5050.25</v>
      </c>
    </row>
    <row r="120" spans="12:32">
      <c r="L120" s="489">
        <v>45734</v>
      </c>
      <c r="M120" s="100">
        <v>5127.3999999999996</v>
      </c>
    </row>
    <row r="121" spans="12:32">
      <c r="L121" s="489">
        <v>45735</v>
      </c>
      <c r="M121" s="100">
        <v>5100.8999999999996</v>
      </c>
    </row>
    <row r="122" spans="12:32">
      <c r="L122" s="489">
        <v>45736</v>
      </c>
      <c r="M122" s="100">
        <v>5229.3500000000004</v>
      </c>
    </row>
    <row r="123" spans="12:32">
      <c r="L123" s="489">
        <v>45737</v>
      </c>
      <c r="M123" s="100">
        <v>5305.95</v>
      </c>
    </row>
    <row r="124" spans="12:32">
      <c r="L124" s="489">
        <v>45740</v>
      </c>
      <c r="M124" s="100">
        <v>5424.2</v>
      </c>
    </row>
    <row r="125" spans="12:32">
      <c r="L125" s="489">
        <v>45741</v>
      </c>
      <c r="M125" s="100">
        <v>5431.25</v>
      </c>
    </row>
    <row r="126" spans="12:32">
      <c r="L126" s="489">
        <v>45742</v>
      </c>
      <c r="M126" s="100">
        <v>5403.3</v>
      </c>
    </row>
    <row r="127" spans="12:32">
      <c r="L127" s="489">
        <v>45743</v>
      </c>
      <c r="M127" s="100">
        <v>5345.75</v>
      </c>
    </row>
    <row r="128" spans="12:32">
      <c r="L128" s="489">
        <v>45744</v>
      </c>
      <c r="M128" s="100">
        <v>5347.7</v>
      </c>
    </row>
    <row r="129" spans="12:52">
      <c r="L129" s="489">
        <v>45748</v>
      </c>
      <c r="M129" s="100">
        <v>5307.2</v>
      </c>
    </row>
    <row r="130" spans="12:52">
      <c r="L130" s="489">
        <v>45749</v>
      </c>
      <c r="M130" s="100">
        <v>5355.5</v>
      </c>
    </row>
    <row r="131" spans="12:52">
      <c r="L131" s="489">
        <v>45750</v>
      </c>
      <c r="M131" s="100">
        <v>5379.15</v>
      </c>
    </row>
    <row r="132" spans="12:52">
      <c r="L132" s="489">
        <v>45751</v>
      </c>
      <c r="M132" s="100">
        <v>5247.9</v>
      </c>
    </row>
    <row r="133" spans="12:52">
      <c r="L133" s="489">
        <v>45754</v>
      </c>
      <c r="M133" s="100">
        <v>5065.25</v>
      </c>
    </row>
    <row r="134" spans="12:52">
      <c r="L134" s="489">
        <v>45755</v>
      </c>
      <c r="M134" s="100">
        <v>5231.3500000000004</v>
      </c>
    </row>
    <row r="135" spans="12:52">
      <c r="L135" s="489">
        <v>45756</v>
      </c>
      <c r="M135" s="100">
        <v>5258.3</v>
      </c>
    </row>
    <row r="136" spans="12:52">
      <c r="L136" s="489">
        <v>45758</v>
      </c>
      <c r="M136" s="100">
        <v>5350.9</v>
      </c>
    </row>
    <row r="137" spans="12:52">
      <c r="L137" s="489">
        <v>45762</v>
      </c>
      <c r="M137" s="100">
        <v>5529</v>
      </c>
      <c r="AQ137" s="561" t="s">
        <v>1035</v>
      </c>
      <c r="AR137" s="561"/>
      <c r="AS137" s="561"/>
      <c r="AT137" s="561"/>
      <c r="AU137" s="561"/>
      <c r="AV137" s="561"/>
      <c r="AW137" s="561"/>
      <c r="AX137" s="561"/>
      <c r="AY137" s="561"/>
      <c r="AZ137" s="561"/>
    </row>
    <row r="138" spans="12:52">
      <c r="L138" s="489">
        <v>45763</v>
      </c>
      <c r="M138" s="100">
        <v>5615.5</v>
      </c>
      <c r="AQ138" s="561"/>
      <c r="AR138" s="561"/>
      <c r="AS138" s="561"/>
      <c r="AT138" s="561"/>
      <c r="AU138" s="561"/>
      <c r="AV138" s="561"/>
      <c r="AW138" s="561"/>
      <c r="AX138" s="561"/>
      <c r="AY138" s="561"/>
      <c r="AZ138" s="561"/>
    </row>
    <row r="139" spans="12:52">
      <c r="L139" s="489">
        <v>45764</v>
      </c>
      <c r="M139" s="100">
        <v>5678.5</v>
      </c>
      <c r="AQ139" s="561"/>
      <c r="AR139" s="561"/>
      <c r="AS139" s="561"/>
      <c r="AT139" s="561"/>
      <c r="AU139" s="561"/>
      <c r="AV139" s="561"/>
      <c r="AW139" s="561"/>
      <c r="AX139" s="561"/>
      <c r="AY139" s="561"/>
      <c r="AZ139" s="561"/>
    </row>
    <row r="140" spans="12:52">
      <c r="L140" s="489">
        <v>45768</v>
      </c>
      <c r="M140" s="100">
        <v>5810.5</v>
      </c>
      <c r="AQ140" s="561"/>
      <c r="AR140" s="561"/>
      <c r="AS140" s="561"/>
      <c r="AT140" s="561"/>
      <c r="AU140" s="561"/>
      <c r="AV140" s="561"/>
      <c r="AW140" s="561"/>
      <c r="AX140" s="561"/>
      <c r="AY140" s="561"/>
      <c r="AZ140" s="561"/>
    </row>
    <row r="141" spans="12:52">
      <c r="L141" s="489">
        <v>45769</v>
      </c>
      <c r="M141" s="100">
        <v>5784</v>
      </c>
      <c r="AQ141" s="561"/>
      <c r="AR141" s="561"/>
      <c r="AS141" s="561"/>
      <c r="AT141" s="561"/>
      <c r="AU141" s="561"/>
      <c r="AV141" s="561"/>
      <c r="AW141" s="561"/>
      <c r="AX141" s="561"/>
      <c r="AY141" s="561"/>
      <c r="AZ141" s="561"/>
    </row>
    <row r="142" spans="12:52">
      <c r="L142" s="489">
        <v>45770</v>
      </c>
      <c r="M142" s="100">
        <v>5740</v>
      </c>
      <c r="AQ142" s="561"/>
      <c r="AR142" s="561"/>
      <c r="AS142" s="561"/>
      <c r="AT142" s="561"/>
      <c r="AU142" s="561"/>
      <c r="AV142" s="561"/>
      <c r="AW142" s="561"/>
      <c r="AX142" s="561"/>
      <c r="AY142" s="561"/>
      <c r="AZ142" s="561"/>
    </row>
    <row r="143" spans="12:52">
      <c r="L143" s="489">
        <v>45771</v>
      </c>
      <c r="M143" s="100">
        <v>5650.5</v>
      </c>
      <c r="AQ143" s="561"/>
      <c r="AR143" s="561"/>
      <c r="AS143" s="561"/>
      <c r="AT143" s="561"/>
      <c r="AU143" s="561"/>
      <c r="AV143" s="561"/>
      <c r="AW143" s="561"/>
      <c r="AX143" s="561"/>
      <c r="AY143" s="561"/>
      <c r="AZ143" s="561"/>
    </row>
    <row r="144" spans="12:52">
      <c r="L144" s="489">
        <v>45772</v>
      </c>
      <c r="M144" s="100">
        <v>5575.5</v>
      </c>
      <c r="AQ144" s="561"/>
      <c r="AR144" s="561"/>
      <c r="AS144" s="561"/>
      <c r="AT144" s="561"/>
      <c r="AU144" s="561"/>
      <c r="AV144" s="561"/>
      <c r="AW144" s="561"/>
      <c r="AX144" s="561"/>
      <c r="AY144" s="561"/>
      <c r="AZ144" s="561"/>
    </row>
    <row r="145" spans="12:68">
      <c r="L145" s="489">
        <v>45775</v>
      </c>
      <c r="M145" s="100">
        <v>5622</v>
      </c>
      <c r="AQ145" s="561"/>
      <c r="AR145" s="561"/>
      <c r="AS145" s="561"/>
      <c r="AT145" s="561"/>
      <c r="AU145" s="561"/>
      <c r="AV145" s="561"/>
      <c r="AW145" s="561"/>
      <c r="AX145" s="561"/>
      <c r="AY145" s="561"/>
      <c r="AZ145" s="561"/>
    </row>
    <row r="146" spans="12:68">
      <c r="L146" s="489">
        <v>45776</v>
      </c>
      <c r="M146" s="100">
        <v>5579</v>
      </c>
      <c r="AQ146" s="561"/>
      <c r="AR146" s="561"/>
      <c r="AS146" s="561"/>
      <c r="AT146" s="561"/>
      <c r="AU146" s="561"/>
      <c r="AV146" s="561"/>
      <c r="AW146" s="561"/>
      <c r="AX146" s="561"/>
      <c r="AY146" s="561"/>
      <c r="AZ146" s="561"/>
    </row>
    <row r="147" spans="12:68">
      <c r="L147" s="489">
        <v>45777</v>
      </c>
      <c r="M147" s="100">
        <v>5567</v>
      </c>
    </row>
    <row r="148" spans="12:68">
      <c r="L148" s="489">
        <v>45779</v>
      </c>
      <c r="M148" s="100">
        <v>5437.5</v>
      </c>
    </row>
    <row r="149" spans="12:68">
      <c r="L149" s="489">
        <v>45782</v>
      </c>
      <c r="M149" s="100">
        <v>5460.5</v>
      </c>
    </row>
    <row r="150" spans="12:68">
      <c r="L150" s="489">
        <v>45783</v>
      </c>
      <c r="M150" s="100">
        <v>5515</v>
      </c>
    </row>
    <row r="151" spans="12:68">
      <c r="L151" s="489">
        <v>45784</v>
      </c>
      <c r="M151" s="100">
        <v>5489</v>
      </c>
    </row>
    <row r="152" spans="12:68">
      <c r="L152" s="489">
        <v>45785</v>
      </c>
      <c r="M152" s="100">
        <v>5372.5</v>
      </c>
    </row>
    <row r="153" spans="12:68">
      <c r="L153" s="489">
        <v>45786</v>
      </c>
      <c r="M153" s="100">
        <v>5324</v>
      </c>
    </row>
    <row r="154" spans="12:68">
      <c r="L154" s="489">
        <v>45789</v>
      </c>
      <c r="M154" s="100">
        <v>5520</v>
      </c>
    </row>
    <row r="155" spans="12:68">
      <c r="L155" s="489">
        <v>45790</v>
      </c>
      <c r="M155" s="100">
        <v>5419</v>
      </c>
    </row>
    <row r="156" spans="12:68">
      <c r="L156" s="489">
        <v>45791</v>
      </c>
      <c r="M156" s="100">
        <v>5446.5</v>
      </c>
    </row>
    <row r="157" spans="12:68">
      <c r="L157" s="489">
        <v>45792</v>
      </c>
      <c r="M157" s="100">
        <v>5466</v>
      </c>
      <c r="Y157" t="s">
        <v>1028</v>
      </c>
    </row>
    <row r="158" spans="12:68">
      <c r="L158" s="489">
        <v>45793</v>
      </c>
      <c r="M158" s="100">
        <v>5509.5</v>
      </c>
      <c r="BH158" s="450" t="s">
        <v>154</v>
      </c>
      <c r="BI158" s="450">
        <v>2019</v>
      </c>
      <c r="BJ158" s="450">
        <v>2020</v>
      </c>
      <c r="BK158" s="450">
        <v>2021</v>
      </c>
      <c r="BL158" s="450">
        <v>2022</v>
      </c>
      <c r="BM158" s="450">
        <v>2023</v>
      </c>
      <c r="BN158" s="450">
        <v>2024</v>
      </c>
      <c r="BO158" s="450">
        <v>2025</v>
      </c>
      <c r="BP158" s="133"/>
    </row>
    <row r="159" spans="12:68">
      <c r="L159" s="489">
        <v>45796</v>
      </c>
      <c r="M159" s="100">
        <v>5530</v>
      </c>
      <c r="BH159" s="26" t="s">
        <v>199</v>
      </c>
      <c r="BI159" s="140">
        <v>633.38</v>
      </c>
      <c r="BJ159" s="140">
        <v>572.35</v>
      </c>
      <c r="BK159" s="140">
        <v>874.6</v>
      </c>
      <c r="BL159" s="140">
        <v>1132.4000000000001</v>
      </c>
      <c r="BM159" s="140">
        <v>1278.44</v>
      </c>
      <c r="BN159" s="140">
        <v>1409.64</v>
      </c>
      <c r="BO159" s="140">
        <v>1563.75</v>
      </c>
      <c r="BP159" s="140"/>
    </row>
    <row r="160" spans="12:68">
      <c r="L160" s="489">
        <v>45797</v>
      </c>
      <c r="M160" s="100">
        <v>5387.5</v>
      </c>
      <c r="BH160" s="26" t="s">
        <v>331</v>
      </c>
      <c r="BI160">
        <v>21</v>
      </c>
      <c r="BJ160" s="140">
        <v>24.039307571463844</v>
      </c>
      <c r="BK160" s="140">
        <v>30.281855086091728</v>
      </c>
      <c r="BL160" s="140">
        <v>35.568415870139631</v>
      </c>
      <c r="BM160" s="140">
        <v>30.464812099004444</v>
      </c>
      <c r="BN160" s="140">
        <v>29.667460500804921</v>
      </c>
      <c r="BO160" s="140">
        <v>28.756418137448435</v>
      </c>
      <c r="BP160" s="140"/>
    </row>
    <row r="161" spans="12:57">
      <c r="L161" s="489">
        <v>45798</v>
      </c>
      <c r="M161" s="100">
        <v>5409</v>
      </c>
    </row>
    <row r="162" spans="12:57">
      <c r="L162" s="489">
        <v>45799</v>
      </c>
      <c r="M162" s="100">
        <v>5387</v>
      </c>
    </row>
    <row r="163" spans="12:57">
      <c r="L163" s="489">
        <v>45800</v>
      </c>
      <c r="M163" s="100">
        <v>5400</v>
      </c>
    </row>
    <row r="164" spans="12:57">
      <c r="L164" s="489">
        <v>45803</v>
      </c>
      <c r="M164" s="100">
        <v>5427.5</v>
      </c>
      <c r="AX164" t="s">
        <v>154</v>
      </c>
      <c r="AY164">
        <v>2019</v>
      </c>
      <c r="AZ164">
        <v>2020</v>
      </c>
      <c r="BA164">
        <v>2021</v>
      </c>
      <c r="BB164">
        <v>2022</v>
      </c>
      <c r="BC164">
        <v>2023</v>
      </c>
      <c r="BD164">
        <v>2024</v>
      </c>
      <c r="BE164">
        <v>2025</v>
      </c>
    </row>
    <row r="165" spans="12:57">
      <c r="L165" s="489">
        <v>45804</v>
      </c>
      <c r="M165" s="100">
        <v>5389.5</v>
      </c>
      <c r="AX165" t="s">
        <v>280</v>
      </c>
      <c r="AY165" s="140">
        <v>1822.4500000000003</v>
      </c>
      <c r="AZ165" s="140">
        <v>1959.3300000000002</v>
      </c>
      <c r="BA165" s="140">
        <v>1818.3499999999997</v>
      </c>
      <c r="BB165" s="140">
        <v>2169.8999999999996</v>
      </c>
      <c r="BC165" s="140">
        <v>2786.6999999999994</v>
      </c>
      <c r="BD165" s="140">
        <v>3228.2200000000003</v>
      </c>
      <c r="BE165" s="140">
        <v>3861.2400000000002</v>
      </c>
    </row>
    <row r="166" spans="12:57">
      <c r="L166" s="489">
        <v>45805</v>
      </c>
      <c r="M166" s="100">
        <v>5326.5</v>
      </c>
      <c r="AX166" t="s">
        <v>304</v>
      </c>
      <c r="AY166" s="106">
        <v>0.18602009174180822</v>
      </c>
      <c r="AZ166" s="106">
        <v>0.21405067743986506</v>
      </c>
      <c r="BA166" s="106">
        <v>0.2094812708205519</v>
      </c>
      <c r="BB166" s="106">
        <v>0.21071429611869685</v>
      </c>
      <c r="BC166" s="106">
        <v>0.19295563412171846</v>
      </c>
      <c r="BD166" s="106">
        <v>0.19522635158426155</v>
      </c>
      <c r="BE166" s="106">
        <v>0.20461941617405086</v>
      </c>
    </row>
    <row r="167" spans="12:57">
      <c r="L167" s="489">
        <v>45806</v>
      </c>
      <c r="M167" s="100">
        <v>5379</v>
      </c>
      <c r="AI167" t="s">
        <v>1030</v>
      </c>
      <c r="AJ167">
        <v>15121</v>
      </c>
    </row>
    <row r="168" spans="12:57">
      <c r="L168" s="489">
        <v>45807</v>
      </c>
      <c r="M168" s="100">
        <v>5333.5</v>
      </c>
      <c r="AI168" t="s">
        <v>1031</v>
      </c>
      <c r="AJ168">
        <v>13570</v>
      </c>
    </row>
    <row r="169" spans="12:57">
      <c r="L169" s="489">
        <v>45810</v>
      </c>
      <c r="M169" s="100">
        <v>5361</v>
      </c>
      <c r="AI169" t="s">
        <v>1032</v>
      </c>
      <c r="AJ169">
        <v>15863</v>
      </c>
    </row>
    <row r="170" spans="12:57">
      <c r="L170" s="489">
        <v>45811</v>
      </c>
      <c r="M170" s="100">
        <v>5354</v>
      </c>
      <c r="AI170" t="s">
        <v>1033</v>
      </c>
      <c r="AJ170">
        <v>17974</v>
      </c>
    </row>
    <row r="171" spans="12:57">
      <c r="L171" s="489">
        <v>45812</v>
      </c>
      <c r="M171" s="100">
        <v>5319.5</v>
      </c>
      <c r="AI171" t="s">
        <v>1034</v>
      </c>
      <c r="AJ171">
        <v>19607</v>
      </c>
    </row>
    <row r="172" spans="12:57">
      <c r="L172" s="489">
        <v>45813</v>
      </c>
      <c r="M172" s="100">
        <v>5308.5</v>
      </c>
    </row>
    <row r="173" spans="12:57">
      <c r="L173" s="489">
        <v>45814</v>
      </c>
      <c r="M173" s="100">
        <v>5394</v>
      </c>
    </row>
    <row r="174" spans="12:57">
      <c r="L174" s="489">
        <v>45817</v>
      </c>
      <c r="M174" s="100">
        <v>5391</v>
      </c>
      <c r="AI174" t="s">
        <v>1030</v>
      </c>
      <c r="AJ174">
        <v>3283</v>
      </c>
    </row>
    <row r="175" spans="12:57">
      <c r="L175" s="489">
        <v>45818</v>
      </c>
      <c r="M175" s="100">
        <v>5377.5</v>
      </c>
      <c r="AI175" t="s">
        <v>1031</v>
      </c>
      <c r="AJ175">
        <v>4443</v>
      </c>
    </row>
    <row r="176" spans="12:57">
      <c r="L176" s="489">
        <v>45819</v>
      </c>
      <c r="M176" s="100">
        <v>5352</v>
      </c>
      <c r="AI176" t="s">
        <v>1032</v>
      </c>
      <c r="AJ176">
        <v>3652</v>
      </c>
    </row>
    <row r="177" spans="12:67">
      <c r="L177" s="489">
        <v>45820</v>
      </c>
      <c r="M177" s="100">
        <v>5315.5</v>
      </c>
      <c r="AI177" t="s">
        <v>1033</v>
      </c>
      <c r="AJ177">
        <v>3458</v>
      </c>
    </row>
    <row r="178" spans="12:67">
      <c r="L178" s="489">
        <v>45821</v>
      </c>
      <c r="M178" s="100">
        <v>5319</v>
      </c>
      <c r="AI178" t="s">
        <v>1034</v>
      </c>
      <c r="AJ178">
        <v>4198</v>
      </c>
    </row>
    <row r="179" spans="12:67">
      <c r="L179" s="489">
        <v>45824</v>
      </c>
      <c r="M179" s="100">
        <v>5365</v>
      </c>
      <c r="Y179" t="s">
        <v>1029</v>
      </c>
    </row>
    <row r="180" spans="12:67">
      <c r="L180" s="489">
        <v>45825</v>
      </c>
      <c r="M180" s="100">
        <v>5341</v>
      </c>
    </row>
    <row r="181" spans="12:67">
      <c r="L181" s="489">
        <v>45826</v>
      </c>
      <c r="M181" s="100">
        <v>5393</v>
      </c>
    </row>
    <row r="182" spans="12:67">
      <c r="L182" s="489">
        <v>45827</v>
      </c>
      <c r="M182" s="100">
        <v>5493.5</v>
      </c>
    </row>
    <row r="183" spans="12:67">
      <c r="L183" s="489">
        <v>45828</v>
      </c>
      <c r="M183" s="100">
        <v>5525</v>
      </c>
    </row>
    <row r="184" spans="12:67">
      <c r="L184" s="489">
        <v>45831</v>
      </c>
      <c r="M184" s="100">
        <v>5552.5</v>
      </c>
    </row>
    <row r="185" spans="12:67">
      <c r="L185" s="489">
        <v>45832</v>
      </c>
      <c r="M185" s="100">
        <v>5629</v>
      </c>
    </row>
    <row r="186" spans="12:67">
      <c r="L186" s="489">
        <v>45833</v>
      </c>
      <c r="M186" s="100">
        <v>5576</v>
      </c>
      <c r="BH186" t="s">
        <v>154</v>
      </c>
      <c r="BI186" s="491">
        <v>2019</v>
      </c>
      <c r="BJ186" s="491">
        <v>2020</v>
      </c>
      <c r="BK186" s="491">
        <v>2021</v>
      </c>
      <c r="BL186" s="491">
        <v>2022</v>
      </c>
      <c r="BM186" s="491">
        <v>2023</v>
      </c>
      <c r="BN186" s="491">
        <v>2024</v>
      </c>
      <c r="BO186" s="491">
        <v>2025</v>
      </c>
    </row>
    <row r="187" spans="12:67" ht="14.4" customHeight="1">
      <c r="L187" s="489">
        <v>45834</v>
      </c>
      <c r="M187" s="100">
        <v>5611.5</v>
      </c>
      <c r="Y187" s="562" t="s">
        <v>1036</v>
      </c>
      <c r="Z187" s="562"/>
      <c r="AA187" s="562"/>
      <c r="AB187" s="562"/>
      <c r="AC187" s="562"/>
      <c r="AD187" s="562"/>
      <c r="AE187" s="562"/>
      <c r="AF187" s="562"/>
      <c r="AG187" s="562"/>
      <c r="AH187" s="562"/>
      <c r="BH187" t="s">
        <v>348</v>
      </c>
      <c r="BI187" s="140">
        <v>84.29</v>
      </c>
      <c r="BJ187" s="140">
        <v>86.76</v>
      </c>
      <c r="BK187" s="140">
        <v>158.16</v>
      </c>
      <c r="BL187" s="140">
        <v>302.04000000000002</v>
      </c>
      <c r="BM187" s="140">
        <v>368.92</v>
      </c>
      <c r="BN187" s="140">
        <v>373.78</v>
      </c>
      <c r="BO187" s="140">
        <v>549.64</v>
      </c>
    </row>
    <row r="188" spans="12:67">
      <c r="L188" s="489">
        <v>45835</v>
      </c>
      <c r="M188" s="100">
        <v>5660</v>
      </c>
      <c r="Y188" s="562"/>
      <c r="Z188" s="562"/>
      <c r="AA188" s="562"/>
      <c r="AB188" s="562"/>
      <c r="AC188" s="562"/>
      <c r="AD188" s="562"/>
      <c r="AE188" s="562"/>
      <c r="AF188" s="562"/>
      <c r="AG188" s="562"/>
      <c r="AH188" s="562"/>
      <c r="BH188" t="s">
        <v>353</v>
      </c>
      <c r="BI188" s="140">
        <v>3.1403145433425941</v>
      </c>
      <c r="BJ188" s="140">
        <v>3.4595644545631328</v>
      </c>
      <c r="BK188" s="140">
        <v>6.6199636482480626</v>
      </c>
      <c r="BL188" s="140">
        <v>10.705614678043821</v>
      </c>
      <c r="BM188" s="140">
        <v>9.3237862981904396</v>
      </c>
      <c r="BN188" s="140">
        <v>8.2505754188795439</v>
      </c>
      <c r="BO188" s="140">
        <v>10.6314191310707</v>
      </c>
    </row>
    <row r="189" spans="12:67">
      <c r="L189" s="489">
        <v>45838</v>
      </c>
      <c r="M189" s="100">
        <v>5656.5</v>
      </c>
      <c r="Y189" s="562"/>
      <c r="Z189" s="562"/>
      <c r="AA189" s="562"/>
      <c r="AB189" s="562"/>
      <c r="AC189" s="562"/>
      <c r="AD189" s="562"/>
      <c r="AE189" s="562"/>
      <c r="AF189" s="562"/>
      <c r="AG189" s="562"/>
      <c r="AH189" s="562"/>
    </row>
    <row r="190" spans="12:67">
      <c r="L190" s="489">
        <v>45839</v>
      </c>
      <c r="M190" s="100">
        <v>5715.5</v>
      </c>
      <c r="Y190" s="562"/>
      <c r="Z190" s="562"/>
      <c r="AA190" s="562"/>
      <c r="AB190" s="562"/>
      <c r="AC190" s="562"/>
      <c r="AD190" s="562"/>
      <c r="AE190" s="562"/>
      <c r="AF190" s="562"/>
      <c r="AG190" s="562"/>
      <c r="AH190" s="562"/>
    </row>
    <row r="191" spans="12:67">
      <c r="L191" s="489">
        <v>45840</v>
      </c>
      <c r="M191" s="100">
        <v>5722.5</v>
      </c>
      <c r="Y191" s="493"/>
      <c r="Z191" s="493"/>
      <c r="AA191" s="493"/>
      <c r="AB191" s="493"/>
      <c r="AC191" s="493"/>
      <c r="AD191" s="493"/>
      <c r="AE191" s="493"/>
      <c r="AF191" s="493"/>
      <c r="AG191" s="493"/>
      <c r="AH191" s="493"/>
    </row>
    <row r="192" spans="12:67">
      <c r="L192" s="489">
        <v>45841</v>
      </c>
      <c r="M192" s="100">
        <v>5716</v>
      </c>
      <c r="Y192" s="493"/>
      <c r="Z192" s="493"/>
      <c r="AA192" s="493"/>
      <c r="AB192" s="493"/>
      <c r="AC192" s="493"/>
      <c r="AD192" s="493"/>
      <c r="AE192" s="493"/>
      <c r="AF192" s="493"/>
      <c r="AG192" s="493"/>
      <c r="AH192" s="493"/>
    </row>
    <row r="193" spans="12:34">
      <c r="L193" s="489">
        <v>45842</v>
      </c>
      <c r="M193" s="100">
        <v>5629</v>
      </c>
      <c r="Y193" s="493"/>
      <c r="Z193" s="493"/>
      <c r="AA193" s="493"/>
      <c r="AB193" s="493"/>
      <c r="AC193" s="493"/>
      <c r="AD193" s="493"/>
      <c r="AE193" s="493"/>
      <c r="AF193" s="493"/>
      <c r="AG193" s="493"/>
      <c r="AH193" s="493"/>
    </row>
    <row r="194" spans="12:34">
      <c r="L194" s="489">
        <v>45845</v>
      </c>
      <c r="M194" s="100">
        <v>5682.5</v>
      </c>
    </row>
    <row r="195" spans="12:34">
      <c r="L195" s="489">
        <v>45846</v>
      </c>
      <c r="M195" s="100">
        <v>5679.5</v>
      </c>
    </row>
    <row r="196" spans="12:34">
      <c r="L196" s="489">
        <v>45847</v>
      </c>
      <c r="M196" s="100">
        <v>5695</v>
      </c>
    </row>
    <row r="197" spans="12:34">
      <c r="L197" s="489">
        <v>45848</v>
      </c>
      <c r="M197" s="100">
        <v>5652</v>
      </c>
    </row>
    <row r="198" spans="12:34">
      <c r="L198" s="489">
        <v>45849</v>
      </c>
      <c r="M198" s="100">
        <v>5612.5</v>
      </c>
    </row>
    <row r="199" spans="12:34">
      <c r="L199" s="489">
        <v>45852</v>
      </c>
      <c r="M199" s="100">
        <v>5540.5</v>
      </c>
    </row>
    <row r="200" spans="12:34">
      <c r="L200" s="489">
        <v>45853</v>
      </c>
      <c r="M200" s="100">
        <v>5591</v>
      </c>
    </row>
    <row r="201" spans="12:34">
      <c r="L201" s="489">
        <v>45854</v>
      </c>
      <c r="M201" s="100">
        <v>5626.5</v>
      </c>
    </row>
    <row r="202" spans="12:34">
      <c r="L202" s="489">
        <v>45855</v>
      </c>
      <c r="M202" s="100">
        <v>5650</v>
      </c>
    </row>
    <row r="203" spans="12:34">
      <c r="L203" s="489">
        <v>45856</v>
      </c>
      <c r="M203" s="100">
        <v>5627.5</v>
      </c>
    </row>
    <row r="204" spans="12:34">
      <c r="L204" s="489">
        <v>45859</v>
      </c>
      <c r="M204" s="100">
        <v>5558</v>
      </c>
    </row>
    <row r="205" spans="12:34">
      <c r="L205" s="489">
        <v>45860</v>
      </c>
      <c r="M205" s="100">
        <v>5439.5</v>
      </c>
    </row>
    <row r="206" spans="12:34">
      <c r="L206" s="489">
        <v>45861</v>
      </c>
      <c r="M206" s="100">
        <v>5441.5</v>
      </c>
    </row>
    <row r="207" spans="12:34">
      <c r="L207" s="489">
        <v>45862</v>
      </c>
      <c r="M207" s="100">
        <v>5469</v>
      </c>
    </row>
    <row r="208" spans="12:34">
      <c r="L208" s="489">
        <v>45863</v>
      </c>
      <c r="M208" s="100">
        <v>5433</v>
      </c>
    </row>
    <row r="209" spans="12:67">
      <c r="L209" s="489">
        <v>45866</v>
      </c>
      <c r="M209" s="100">
        <v>5386</v>
      </c>
      <c r="BH209" t="s">
        <v>154</v>
      </c>
      <c r="BI209" s="491">
        <v>2019</v>
      </c>
      <c r="BJ209" s="491">
        <v>2020</v>
      </c>
      <c r="BK209" s="491">
        <v>2021</v>
      </c>
      <c r="BL209" s="491">
        <v>2022</v>
      </c>
      <c r="BM209" s="491">
        <v>2023</v>
      </c>
      <c r="BN209" s="491">
        <v>2024</v>
      </c>
      <c r="BO209" s="491">
        <v>2025</v>
      </c>
    </row>
    <row r="210" spans="12:67">
      <c r="L210" s="489">
        <v>45867</v>
      </c>
      <c r="M210" s="100">
        <v>5470.5</v>
      </c>
      <c r="BH210" t="s">
        <v>502</v>
      </c>
      <c r="BI210" s="140">
        <v>1234.05</v>
      </c>
      <c r="BJ210" s="140">
        <v>1007.8199999999999</v>
      </c>
      <c r="BK210" s="140">
        <v>1513.23</v>
      </c>
      <c r="BL210" s="140">
        <v>1788.09</v>
      </c>
      <c r="BM210" s="140">
        <v>1810.44</v>
      </c>
      <c r="BN210" s="140">
        <v>2090.1299999999997</v>
      </c>
      <c r="BO210" s="140">
        <v>2529.75</v>
      </c>
    </row>
    <row r="211" spans="12:67">
      <c r="L211" s="489">
        <v>45868</v>
      </c>
      <c r="M211" s="100">
        <v>5481</v>
      </c>
      <c r="BH211" t="s">
        <v>504</v>
      </c>
      <c r="BI211" s="140">
        <v>89.06355662418089</v>
      </c>
      <c r="BJ211" s="140">
        <v>73.630648086246026</v>
      </c>
      <c r="BK211" s="140">
        <v>108.03986291803835</v>
      </c>
      <c r="BL211" s="140">
        <v>109.58494244150123</v>
      </c>
      <c r="BM211" s="140">
        <v>80.469879077923508</v>
      </c>
      <c r="BN211" s="140">
        <v>84.9490237343622</v>
      </c>
      <c r="BO211" s="140">
        <v>89.671902131478049</v>
      </c>
    </row>
    <row r="212" spans="12:67">
      <c r="L212" s="489">
        <v>45869</v>
      </c>
      <c r="M212" s="100">
        <v>5468.5</v>
      </c>
    </row>
    <row r="213" spans="12:67">
      <c r="L213" s="489">
        <v>45870</v>
      </c>
      <c r="M213" s="100">
        <v>5528</v>
      </c>
    </row>
    <row r="214" spans="12:67">
      <c r="L214" s="489">
        <v>45873</v>
      </c>
      <c r="M214" s="100">
        <v>5621</v>
      </c>
    </row>
    <row r="215" spans="12:67">
      <c r="L215" s="489">
        <v>45874</v>
      </c>
      <c r="M215" s="100">
        <v>5681</v>
      </c>
    </row>
    <row r="216" spans="12:67">
      <c r="L216" s="489">
        <v>45875</v>
      </c>
      <c r="M216" s="100">
        <v>5668</v>
      </c>
    </row>
    <row r="217" spans="12:67">
      <c r="L217" s="489">
        <v>45876</v>
      </c>
      <c r="M217" s="100">
        <v>5681.5</v>
      </c>
    </row>
    <row r="218" spans="12:67">
      <c r="L218" s="489">
        <v>45877</v>
      </c>
      <c r="M218" s="100">
        <v>5663</v>
      </c>
    </row>
    <row r="219" spans="12:67">
      <c r="L219" s="489">
        <v>45880</v>
      </c>
      <c r="M219" s="100">
        <v>5671.5</v>
      </c>
    </row>
    <row r="220" spans="12:67">
      <c r="L220" s="489">
        <v>45881</v>
      </c>
      <c r="M220" s="100">
        <v>5658</v>
      </c>
    </row>
    <row r="221" spans="12:67">
      <c r="L221" s="489">
        <v>45882</v>
      </c>
      <c r="M221" s="100">
        <v>5714.5</v>
      </c>
    </row>
    <row r="222" spans="12:67">
      <c r="L222" s="489">
        <v>45883</v>
      </c>
      <c r="M222" s="100">
        <v>5764</v>
      </c>
    </row>
    <row r="223" spans="12:67">
      <c r="L223" s="489">
        <v>45887</v>
      </c>
      <c r="M223" s="100">
        <v>5912</v>
      </c>
    </row>
    <row r="224" spans="12:67">
      <c r="L224" s="489">
        <v>45888</v>
      </c>
      <c r="M224" s="100">
        <v>5938.5</v>
      </c>
    </row>
    <row r="225" spans="12:67">
      <c r="L225" s="489">
        <v>45889</v>
      </c>
      <c r="M225" s="100">
        <v>5937.5</v>
      </c>
    </row>
    <row r="226" spans="12:67">
      <c r="L226" s="489">
        <v>45890</v>
      </c>
      <c r="M226" s="100">
        <v>5975</v>
      </c>
    </row>
    <row r="227" spans="12:67">
      <c r="L227" s="489">
        <v>45891</v>
      </c>
      <c r="M227" s="100">
        <v>5924.5</v>
      </c>
    </row>
    <row r="228" spans="12:67">
      <c r="L228" s="489">
        <v>45894</v>
      </c>
      <c r="M228" s="100">
        <v>5990.5</v>
      </c>
    </row>
    <row r="229" spans="12:67">
      <c r="L229" s="489">
        <v>45895</v>
      </c>
      <c r="M229" s="100">
        <v>6151</v>
      </c>
    </row>
    <row r="230" spans="12:67">
      <c r="L230" s="489">
        <v>45897</v>
      </c>
      <c r="M230" s="100">
        <v>6133</v>
      </c>
    </row>
    <row r="231" spans="12:67">
      <c r="L231" s="489">
        <v>45898</v>
      </c>
      <c r="M231" s="100">
        <v>6103</v>
      </c>
    </row>
    <row r="232" spans="12:67">
      <c r="L232" s="489">
        <v>45901</v>
      </c>
      <c r="M232" s="100">
        <v>6280</v>
      </c>
    </row>
    <row r="233" spans="12:67">
      <c r="L233" s="489">
        <v>45902</v>
      </c>
      <c r="M233" s="100">
        <v>6349</v>
      </c>
      <c r="BH233" t="s">
        <v>154</v>
      </c>
      <c r="BI233" s="491">
        <v>2019</v>
      </c>
      <c r="BJ233" s="491">
        <v>2020</v>
      </c>
      <c r="BK233" s="491">
        <v>2021</v>
      </c>
      <c r="BL233" s="491">
        <v>2022</v>
      </c>
      <c r="BM233" s="491">
        <v>2023</v>
      </c>
      <c r="BN233" s="491">
        <v>2024</v>
      </c>
      <c r="BO233" s="491">
        <v>2025</v>
      </c>
    </row>
    <row r="234" spans="12:67">
      <c r="L234" s="489">
        <v>45903</v>
      </c>
      <c r="M234" s="100">
        <v>6371.5</v>
      </c>
      <c r="BH234" t="s">
        <v>519</v>
      </c>
      <c r="BI234" s="106">
        <v>0</v>
      </c>
      <c r="BJ234" s="106">
        <v>0</v>
      </c>
      <c r="BK234" s="106">
        <v>0</v>
      </c>
      <c r="BL234" s="106">
        <v>0</v>
      </c>
      <c r="BM234" s="106">
        <v>0.3217169136433316</v>
      </c>
      <c r="BN234" s="106">
        <v>0.59314899484723127</v>
      </c>
      <c r="BO234" s="106">
        <v>0.69186024693211245</v>
      </c>
    </row>
    <row r="235" spans="12:67">
      <c r="L235" s="489">
        <v>45904</v>
      </c>
      <c r="M235" s="100">
        <v>6425</v>
      </c>
      <c r="BH235" t="s">
        <v>520</v>
      </c>
      <c r="BI235" s="106">
        <v>1</v>
      </c>
      <c r="BJ235" s="106">
        <v>1</v>
      </c>
      <c r="BK235" s="106">
        <v>1</v>
      </c>
      <c r="BL235" s="106">
        <v>1</v>
      </c>
      <c r="BM235" s="106">
        <v>0.67828308635666834</v>
      </c>
      <c r="BN235" s="106">
        <v>0.40685100515276867</v>
      </c>
      <c r="BO235" s="106">
        <v>0.30813975306788755</v>
      </c>
    </row>
    <row r="236" spans="12:67">
      <c r="L236" s="489">
        <v>45905</v>
      </c>
      <c r="M236" s="100">
        <v>6580.5</v>
      </c>
    </row>
    <row r="237" spans="12:67">
      <c r="L237" s="489">
        <v>45908</v>
      </c>
      <c r="M237" s="100">
        <v>6815</v>
      </c>
    </row>
    <row r="238" spans="12:67">
      <c r="L238" s="489">
        <v>45909</v>
      </c>
      <c r="M238" s="100">
        <v>6874.5</v>
      </c>
    </row>
    <row r="239" spans="12:67">
      <c r="L239" s="489">
        <v>45910</v>
      </c>
      <c r="M239" s="100">
        <v>6836.5</v>
      </c>
    </row>
    <row r="240" spans="12:67">
      <c r="L240" s="489">
        <v>45911</v>
      </c>
      <c r="M240" s="100">
        <v>6758</v>
      </c>
    </row>
    <row r="241" spans="12:13">
      <c r="L241" s="489">
        <v>45912</v>
      </c>
      <c r="M241" s="100">
        <v>6875</v>
      </c>
    </row>
    <row r="242" spans="12:13">
      <c r="L242" s="489">
        <v>45915</v>
      </c>
      <c r="M242" s="100">
        <v>6801</v>
      </c>
    </row>
    <row r="243" spans="12:13">
      <c r="L243" s="489">
        <v>45916</v>
      </c>
      <c r="M243" s="100">
        <v>6927.5</v>
      </c>
    </row>
    <row r="244" spans="12:13">
      <c r="L244" s="489">
        <v>45917</v>
      </c>
      <c r="M244" s="100">
        <v>6890.5</v>
      </c>
    </row>
    <row r="245" spans="12:13">
      <c r="L245" s="489">
        <v>45918</v>
      </c>
      <c r="M245" s="100">
        <v>6924.5</v>
      </c>
    </row>
    <row r="246" spans="12:13">
      <c r="L246" s="489">
        <v>45919</v>
      </c>
      <c r="M246" s="100">
        <v>6973.5</v>
      </c>
    </row>
    <row r="247" spans="12:13">
      <c r="L247" s="489">
        <v>45922</v>
      </c>
      <c r="M247" s="100">
        <v>6946</v>
      </c>
    </row>
    <row r="248" spans="12:13">
      <c r="L248" s="489">
        <v>45923</v>
      </c>
      <c r="M248" s="100">
        <v>6990.5</v>
      </c>
    </row>
    <row r="249" spans="12:13">
      <c r="L249" s="489">
        <v>45924</v>
      </c>
      <c r="M249" s="100">
        <v>7011.5</v>
      </c>
    </row>
    <row r="250" spans="12:13">
      <c r="L250" s="489">
        <v>45925</v>
      </c>
      <c r="M250" s="100">
        <v>6986</v>
      </c>
    </row>
    <row r="251" spans="12:13">
      <c r="L251" s="489">
        <v>45926</v>
      </c>
      <c r="M251" s="100">
        <v>7047</v>
      </c>
    </row>
    <row r="252" spans="12:13">
      <c r="L252" s="489">
        <v>45929</v>
      </c>
      <c r="M252" s="100">
        <v>6985</v>
      </c>
    </row>
    <row r="253" spans="12:13">
      <c r="L253" s="489">
        <v>45930</v>
      </c>
      <c r="M253" s="100">
        <v>7005.5</v>
      </c>
    </row>
    <row r="254" spans="12:13">
      <c r="L254" s="489">
        <v>45931</v>
      </c>
      <c r="M254" s="100">
        <v>7021.5</v>
      </c>
    </row>
    <row r="255" spans="12:13">
      <c r="L255" s="489">
        <v>45933</v>
      </c>
      <c r="M255" s="100">
        <v>6941</v>
      </c>
    </row>
    <row r="256" spans="12:13">
      <c r="L256" s="489">
        <v>45936</v>
      </c>
      <c r="M256" s="100">
        <v>6880</v>
      </c>
    </row>
    <row r="257" spans="12:13">
      <c r="L257" s="489">
        <v>45937</v>
      </c>
      <c r="M257" s="100">
        <v>6957</v>
      </c>
    </row>
    <row r="258" spans="12:13">
      <c r="L258" s="489">
        <v>45938</v>
      </c>
      <c r="M258" s="100">
        <v>6902.5</v>
      </c>
    </row>
    <row r="259" spans="12:13">
      <c r="L259" s="489">
        <v>45939</v>
      </c>
      <c r="M259" s="100">
        <v>6896.5</v>
      </c>
    </row>
    <row r="260" spans="12:13">
      <c r="L260" s="489">
        <v>45940</v>
      </c>
      <c r="M260" s="100">
        <v>6965</v>
      </c>
    </row>
    <row r="261" spans="12:13">
      <c r="L261" s="489">
        <v>45943</v>
      </c>
      <c r="M261" s="100">
        <v>6912</v>
      </c>
    </row>
    <row r="262" spans="12:13">
      <c r="L262" s="489">
        <v>45944</v>
      </c>
      <c r="M262" s="100">
        <v>6887</v>
      </c>
    </row>
    <row r="263" spans="12:13">
      <c r="L263" s="489">
        <v>45945</v>
      </c>
      <c r="M263" s="100">
        <v>6895</v>
      </c>
    </row>
    <row r="264" spans="12:13">
      <c r="L264" s="489">
        <v>45946</v>
      </c>
      <c r="M264" s="100">
        <v>6988</v>
      </c>
    </row>
    <row r="265" spans="12:13">
      <c r="L265" s="489">
        <v>45947</v>
      </c>
      <c r="M265" s="100">
        <v>7042.5</v>
      </c>
    </row>
    <row r="266" spans="12:13">
      <c r="L266" s="489">
        <v>45950</v>
      </c>
      <c r="M266" s="100">
        <v>7013.5</v>
      </c>
    </row>
    <row r="267" spans="12:13">
      <c r="L267" s="489">
        <v>45951</v>
      </c>
      <c r="M267" s="100">
        <v>7018.5</v>
      </c>
    </row>
    <row r="268" spans="12:13">
      <c r="L268" s="489">
        <v>45953</v>
      </c>
      <c r="M268" s="100">
        <v>6884.5</v>
      </c>
    </row>
    <row r="269" spans="12:13">
      <c r="L269" s="489">
        <v>45954</v>
      </c>
      <c r="M269" s="100">
        <v>6840</v>
      </c>
    </row>
    <row r="270" spans="12:13">
      <c r="L270" s="489">
        <v>45957</v>
      </c>
      <c r="M270" s="100">
        <v>6906.5</v>
      </c>
    </row>
    <row r="271" spans="12:13">
      <c r="L271" s="489">
        <v>45958</v>
      </c>
      <c r="M271" s="100">
        <v>7002.5</v>
      </c>
    </row>
    <row r="272" spans="12:13">
      <c r="L272" s="489">
        <v>45959</v>
      </c>
      <c r="M272" s="100">
        <v>6952</v>
      </c>
    </row>
    <row r="273" spans="12:37">
      <c r="L273" s="489">
        <v>45960</v>
      </c>
      <c r="M273" s="100">
        <v>6889</v>
      </c>
    </row>
    <row r="274" spans="12:37">
      <c r="L274" s="489">
        <v>45961</v>
      </c>
      <c r="M274" s="100">
        <v>7007</v>
      </c>
    </row>
    <row r="275" spans="12:37">
      <c r="L275" s="489">
        <v>45964</v>
      </c>
      <c r="M275" s="100">
        <v>7023.5</v>
      </c>
    </row>
    <row r="276" spans="12:37">
      <c r="L276" s="489">
        <v>45965</v>
      </c>
      <c r="M276" s="100">
        <v>6930</v>
      </c>
    </row>
    <row r="277" spans="12:37">
      <c r="L277" s="489">
        <v>45967</v>
      </c>
      <c r="M277" s="100">
        <v>6806.5</v>
      </c>
    </row>
    <row r="278" spans="12:37">
      <c r="L278" s="489">
        <v>45968</v>
      </c>
      <c r="M278" s="100">
        <v>6886</v>
      </c>
    </row>
    <row r="279" spans="12:37">
      <c r="L279" s="489">
        <v>45971</v>
      </c>
      <c r="M279" s="100">
        <v>6866.5</v>
      </c>
    </row>
    <row r="280" spans="12:37">
      <c r="L280" s="489">
        <v>45972</v>
      </c>
      <c r="M280" s="100">
        <v>6873</v>
      </c>
      <c r="AJ280" t="s">
        <v>1037</v>
      </c>
    </row>
    <row r="281" spans="12:37">
      <c r="L281" s="489">
        <v>45973</v>
      </c>
      <c r="M281" s="100">
        <v>6879</v>
      </c>
      <c r="AJ281" s="140">
        <v>2016</v>
      </c>
      <c r="AK281">
        <v>509</v>
      </c>
    </row>
    <row r="282" spans="12:37">
      <c r="L282" s="489">
        <v>45974</v>
      </c>
      <c r="M282" s="100">
        <v>6855</v>
      </c>
      <c r="AJ282" s="140">
        <f>AJ281+1</f>
        <v>2017</v>
      </c>
      <c r="AK282">
        <v>547</v>
      </c>
    </row>
    <row r="283" spans="12:37">
      <c r="L283" s="489">
        <v>45975</v>
      </c>
      <c r="M283" s="100">
        <v>6695</v>
      </c>
      <c r="AJ283" s="140">
        <f t="shared" ref="AJ283:AJ291" si="4">AJ282+1</f>
        <v>2018</v>
      </c>
      <c r="AK283">
        <v>745</v>
      </c>
    </row>
    <row r="284" spans="12:37">
      <c r="L284" s="489">
        <v>45978</v>
      </c>
      <c r="M284" s="100">
        <v>6799</v>
      </c>
      <c r="AJ284" s="140">
        <f t="shared" si="4"/>
        <v>2019</v>
      </c>
      <c r="AK284">
        <v>790</v>
      </c>
    </row>
    <row r="285" spans="12:37">
      <c r="L285" s="489">
        <v>45979</v>
      </c>
      <c r="M285" s="100">
        <v>6814.5</v>
      </c>
      <c r="AJ285" s="491">
        <f t="shared" si="4"/>
        <v>2020</v>
      </c>
      <c r="AK285">
        <v>544</v>
      </c>
    </row>
    <row r="286" spans="12:37">
      <c r="L286" s="489">
        <v>45980</v>
      </c>
      <c r="M286" s="100">
        <v>6896.5</v>
      </c>
      <c r="AJ286" s="491">
        <f t="shared" si="4"/>
        <v>2021</v>
      </c>
      <c r="AK286">
        <v>521</v>
      </c>
    </row>
    <row r="287" spans="12:37">
      <c r="L287" s="489">
        <v>45981</v>
      </c>
      <c r="M287" s="100">
        <v>7125.5</v>
      </c>
      <c r="AJ287" s="491">
        <f t="shared" si="4"/>
        <v>2022</v>
      </c>
      <c r="AK287">
        <v>629</v>
      </c>
    </row>
    <row r="288" spans="12:37">
      <c r="L288" s="489">
        <v>45982</v>
      </c>
      <c r="M288" s="100">
        <v>7134.5</v>
      </c>
      <c r="AJ288" s="491">
        <f t="shared" si="4"/>
        <v>2023</v>
      </c>
      <c r="AK288">
        <v>654</v>
      </c>
    </row>
    <row r="289" spans="12:37">
      <c r="L289" s="489">
        <v>45985</v>
      </c>
      <c r="M289" s="100">
        <v>7258.5</v>
      </c>
      <c r="AJ289" s="491">
        <f t="shared" si="4"/>
        <v>2024</v>
      </c>
      <c r="AK289">
        <v>808</v>
      </c>
    </row>
    <row r="290" spans="12:37">
      <c r="L290" s="489">
        <v>45986</v>
      </c>
      <c r="M290" s="100">
        <v>7218.5</v>
      </c>
      <c r="AJ290" s="491">
        <f t="shared" si="4"/>
        <v>2025</v>
      </c>
      <c r="AK290">
        <v>1010</v>
      </c>
    </row>
    <row r="291" spans="12:37">
      <c r="L291" s="489">
        <v>45987</v>
      </c>
      <c r="M291" s="100">
        <v>7198.5</v>
      </c>
      <c r="AJ291" s="140">
        <f t="shared" si="4"/>
        <v>2026</v>
      </c>
      <c r="AK291">
        <v>1300</v>
      </c>
    </row>
    <row r="292" spans="12:37">
      <c r="L292" s="489">
        <v>45988</v>
      </c>
      <c r="M292" s="100">
        <v>6999</v>
      </c>
    </row>
  </sheetData>
  <sheetProtection algorithmName="SHA-512" hashValue="X3c91Ob7RXxrfypBpmXMpVjp82EjFWXaNZr+T6hrAF2fH0dBYxSvuVwv2jbOU95K5+yq/ZQc312j/TQ0274mvg==" saltValue="m2UjHUuuMriZLXTBJOGXuw==" spinCount="100000" sheet="1" objects="1" scenarios="1" selectLockedCells="1" selectUnlockedCells="1"/>
  <mergeCells count="6">
    <mergeCell ref="AQ137:AZ146"/>
    <mergeCell ref="Y187:AH190"/>
    <mergeCell ref="AC16:AK27"/>
    <mergeCell ref="AD58:AN60"/>
    <mergeCell ref="B2:T8"/>
    <mergeCell ref="V2:AK14"/>
  </mergeCells>
  <hyperlinks>
    <hyperlink ref="AE70" r:id="rId1" xr:uid="{E32CD356-D979-45DC-91BB-C7777E089D27}"/>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F73C-A776-4360-ACF7-F4D8C0E88914}">
  <dimension ref="B2:AK1683"/>
  <sheetViews>
    <sheetView showGridLines="0" topLeftCell="A460" zoomScale="19" workbookViewId="0">
      <selection activeCell="BW495" sqref="BW495"/>
    </sheetView>
  </sheetViews>
  <sheetFormatPr defaultRowHeight="14.4"/>
  <cols>
    <col min="1" max="1" width="1.88671875" customWidth="1"/>
    <col min="2" max="2" width="59.33203125" bestFit="1" customWidth="1"/>
    <col min="8" max="9" width="14.77734375" customWidth="1"/>
    <col min="10" max="10" width="14" customWidth="1"/>
    <col min="11" max="11" width="11.21875" customWidth="1"/>
    <col min="13" max="13" width="14.44140625" customWidth="1"/>
    <col min="14" max="14" width="20" customWidth="1"/>
    <col min="15" max="15" width="14.88671875" customWidth="1"/>
  </cols>
  <sheetData>
    <row r="2" spans="2:21" ht="33.6">
      <c r="B2" s="508" t="s">
        <v>1038</v>
      </c>
      <c r="C2" s="509" t="s">
        <v>1039</v>
      </c>
    </row>
    <row r="5" spans="2:21">
      <c r="J5" t="s">
        <v>1040</v>
      </c>
    </row>
    <row r="6" spans="2:21">
      <c r="J6" t="s">
        <v>1041</v>
      </c>
      <c r="T6" t="s">
        <v>268</v>
      </c>
      <c r="U6" t="s">
        <v>1042</v>
      </c>
    </row>
    <row r="7" spans="2:21">
      <c r="J7" t="s">
        <v>1043</v>
      </c>
    </row>
    <row r="8" spans="2:21">
      <c r="J8" t="s">
        <v>1044</v>
      </c>
    </row>
    <row r="9" spans="2:21">
      <c r="J9" t="s">
        <v>1045</v>
      </c>
    </row>
    <row r="46" spans="2:3" ht="33.6">
      <c r="B46" s="508" t="s">
        <v>1046</v>
      </c>
      <c r="C46" s="510" t="s">
        <v>1047</v>
      </c>
    </row>
    <row r="51" spans="3:3">
      <c r="C51" t="s">
        <v>1048</v>
      </c>
    </row>
    <row r="68" spans="16:21">
      <c r="Q68">
        <v>2019</v>
      </c>
      <c r="R68">
        <v>19721</v>
      </c>
    </row>
    <row r="69" spans="16:21">
      <c r="Q69">
        <f>Q68+1</f>
        <v>2020</v>
      </c>
      <c r="R69">
        <v>38622</v>
      </c>
      <c r="S69" s="35">
        <f>R69/R68-1</f>
        <v>0.95841995841995842</v>
      </c>
    </row>
    <row r="70" spans="16:21">
      <c r="Q70">
        <f t="shared" ref="Q70:Q74" si="0">Q69+1</f>
        <v>2021</v>
      </c>
      <c r="R70">
        <v>35675</v>
      </c>
      <c r="S70" s="35">
        <f t="shared" ref="S70:S74" si="1">R70/R69-1</f>
        <v>-7.630366112578324E-2</v>
      </c>
    </row>
    <row r="71" spans="16:21">
      <c r="Q71">
        <f t="shared" si="0"/>
        <v>2022</v>
      </c>
      <c r="R71">
        <v>74238</v>
      </c>
      <c r="S71" s="35">
        <f t="shared" si="1"/>
        <v>1.0809530483531886</v>
      </c>
    </row>
    <row r="72" spans="16:21">
      <c r="Q72">
        <f t="shared" si="0"/>
        <v>2023</v>
      </c>
      <c r="R72">
        <v>89226</v>
      </c>
      <c r="S72" s="35">
        <f t="shared" si="1"/>
        <v>0.2018912147417764</v>
      </c>
    </row>
    <row r="73" spans="16:21">
      <c r="Q73">
        <f t="shared" si="0"/>
        <v>2024</v>
      </c>
      <c r="R73">
        <v>77209</v>
      </c>
      <c r="S73" s="35">
        <f t="shared" si="1"/>
        <v>-0.13468047430121266</v>
      </c>
      <c r="T73" s="26" t="s">
        <v>260</v>
      </c>
      <c r="U73" s="47">
        <f>AVERAGE(S69:S74)</f>
        <v>0.38787122219508685</v>
      </c>
    </row>
    <row r="74" spans="16:21">
      <c r="Q74">
        <f t="shared" si="0"/>
        <v>2025</v>
      </c>
      <c r="R74">
        <v>100136</v>
      </c>
      <c r="S74" s="35">
        <f t="shared" si="1"/>
        <v>0.29694724708259401</v>
      </c>
      <c r="T74" s="26" t="s">
        <v>259</v>
      </c>
      <c r="U74" s="47">
        <f>MEDIAN(S69:S74)</f>
        <v>0.24941923091218521</v>
      </c>
    </row>
    <row r="77" spans="16:21">
      <c r="P77" t="s">
        <v>1049</v>
      </c>
    </row>
    <row r="82" spans="26:31" ht="14.4" customHeight="1">
      <c r="Z82" s="568" t="s">
        <v>1050</v>
      </c>
      <c r="AA82" s="568"/>
      <c r="AB82" s="568"/>
      <c r="AC82" s="568"/>
      <c r="AD82" s="568"/>
      <c r="AE82" s="568"/>
    </row>
    <row r="83" spans="26:31">
      <c r="Z83" s="568"/>
      <c r="AA83" s="568"/>
      <c r="AB83" s="568"/>
      <c r="AC83" s="568"/>
      <c r="AD83" s="568"/>
      <c r="AE83" s="568"/>
    </row>
    <row r="84" spans="26:31">
      <c r="Z84" s="511"/>
      <c r="AA84" s="511"/>
      <c r="AB84" s="511"/>
      <c r="AC84" s="511"/>
      <c r="AD84" s="511"/>
      <c r="AE84" s="511"/>
    </row>
    <row r="85" spans="26:31">
      <c r="Z85" s="511"/>
      <c r="AA85" s="511"/>
      <c r="AB85" s="511"/>
      <c r="AC85" s="511"/>
      <c r="AD85" s="511"/>
      <c r="AE85" s="511"/>
    </row>
    <row r="86" spans="26:31">
      <c r="Z86" s="511"/>
      <c r="AA86" s="511"/>
      <c r="AB86" s="511"/>
      <c r="AC86" s="511"/>
      <c r="AD86" s="511"/>
      <c r="AE86" s="511"/>
    </row>
    <row r="113" spans="2:10" ht="21">
      <c r="J113" s="510" t="s">
        <v>1051</v>
      </c>
    </row>
    <row r="117" spans="2:10" ht="33.6">
      <c r="B117" s="508" t="s">
        <v>1052</v>
      </c>
      <c r="D117" t="s">
        <v>1053</v>
      </c>
    </row>
    <row r="119" spans="2:10" ht="23.4">
      <c r="B119" s="512" t="s">
        <v>1024</v>
      </c>
    </row>
    <row r="121" spans="2:10" ht="23.4">
      <c r="B121" s="513" t="s">
        <v>1054</v>
      </c>
    </row>
    <row r="123" spans="2:10" ht="14.4" customHeight="1">
      <c r="B123" s="568" t="s">
        <v>1055</v>
      </c>
      <c r="C123" s="568"/>
      <c r="D123" s="568"/>
      <c r="E123" s="568"/>
      <c r="F123" s="568"/>
      <c r="G123" s="568"/>
      <c r="H123" s="568"/>
    </row>
    <row r="124" spans="2:10">
      <c r="B124" s="568"/>
      <c r="C124" s="568"/>
      <c r="D124" s="568"/>
      <c r="E124" s="568"/>
      <c r="F124" s="568"/>
      <c r="G124" s="568"/>
      <c r="H124" s="568"/>
    </row>
    <row r="125" spans="2:10">
      <c r="B125" s="568"/>
      <c r="C125" s="568"/>
      <c r="D125" s="568"/>
      <c r="E125" s="568"/>
      <c r="F125" s="568"/>
      <c r="G125" s="568"/>
      <c r="H125" s="568"/>
    </row>
    <row r="126" spans="2:10">
      <c r="B126" s="511"/>
      <c r="C126" s="511"/>
      <c r="D126" s="511"/>
      <c r="E126" s="511"/>
      <c r="F126" s="511"/>
      <c r="G126" s="511"/>
      <c r="H126" s="511"/>
    </row>
    <row r="127" spans="2:10">
      <c r="B127" s="511"/>
      <c r="C127" s="511"/>
      <c r="D127" s="511"/>
      <c r="E127" s="511"/>
      <c r="F127" s="511"/>
      <c r="G127" s="511"/>
      <c r="H127" s="511"/>
    </row>
    <row r="128" spans="2:10" ht="23.4">
      <c r="B128" s="512" t="s">
        <v>1056</v>
      </c>
      <c r="C128" s="511"/>
      <c r="D128" s="511"/>
      <c r="E128" s="511"/>
      <c r="F128" s="511"/>
      <c r="G128" s="511"/>
      <c r="H128" s="511"/>
    </row>
    <row r="129" spans="2:35">
      <c r="B129" t="s">
        <v>1057</v>
      </c>
      <c r="L129" s="511"/>
    </row>
    <row r="130" spans="2:35">
      <c r="B130" t="s">
        <v>1058</v>
      </c>
    </row>
    <row r="131" spans="2:35">
      <c r="B131" t="s">
        <v>1059</v>
      </c>
    </row>
    <row r="132" spans="2:35">
      <c r="B132" t="s">
        <v>1060</v>
      </c>
    </row>
    <row r="138" spans="2:35">
      <c r="X138" t="s">
        <v>1061</v>
      </c>
      <c r="AI138" t="s">
        <v>1061</v>
      </c>
    </row>
    <row r="141" spans="2:35">
      <c r="B141" t="s">
        <v>1062</v>
      </c>
    </row>
    <row r="143" spans="2:35" ht="23.4">
      <c r="B143" s="512" t="s">
        <v>1063</v>
      </c>
    </row>
    <row r="146" spans="7:7">
      <c r="G146" t="s">
        <v>1064</v>
      </c>
    </row>
    <row r="169" spans="30:37" ht="30">
      <c r="AI169" s="514"/>
      <c r="AK169" s="515"/>
    </row>
    <row r="170" spans="30:37">
      <c r="AD170" t="s">
        <v>268</v>
      </c>
      <c r="AE170" t="s">
        <v>1065</v>
      </c>
    </row>
    <row r="182" spans="14:28" ht="33.6">
      <c r="AB182" s="516" t="s">
        <v>1066</v>
      </c>
    </row>
    <row r="188" spans="14:28">
      <c r="N188" t="s">
        <v>268</v>
      </c>
      <c r="O188" t="s">
        <v>1067</v>
      </c>
    </row>
    <row r="197" spans="2:14" ht="23.4">
      <c r="B197" s="566" t="s">
        <v>1068</v>
      </c>
      <c r="C197" s="566"/>
      <c r="D197" s="566"/>
      <c r="E197" s="566"/>
      <c r="F197" s="566"/>
      <c r="G197" s="566"/>
      <c r="H197" s="566"/>
      <c r="I197" s="566"/>
      <c r="J197" s="566"/>
      <c r="K197" s="566"/>
      <c r="L197" s="566"/>
      <c r="M197" s="566"/>
      <c r="N197" s="566"/>
    </row>
    <row r="210" spans="8:8">
      <c r="H210" t="s">
        <v>1069</v>
      </c>
    </row>
    <row r="211" spans="8:8">
      <c r="H211" t="s">
        <v>1070</v>
      </c>
    </row>
    <row r="236" spans="8:15">
      <c r="H236" s="517"/>
      <c r="I236" s="517"/>
      <c r="J236" s="517"/>
      <c r="K236" s="517"/>
    </row>
    <row r="237" spans="8:15" ht="20.399999999999999">
      <c r="H237" s="518" t="s">
        <v>1071</v>
      </c>
      <c r="I237" s="518" t="s">
        <v>1072</v>
      </c>
      <c r="J237" s="518" t="s">
        <v>1073</v>
      </c>
      <c r="K237" s="518"/>
      <c r="L237" t="s">
        <v>1074</v>
      </c>
    </row>
    <row r="238" spans="8:15" ht="30.6" customHeight="1">
      <c r="H238" s="519" t="s">
        <v>1075</v>
      </c>
      <c r="I238" s="518" t="s">
        <v>1076</v>
      </c>
      <c r="J238" s="518" t="s">
        <v>1077</v>
      </c>
      <c r="K238" s="518"/>
      <c r="L238" s="400" t="s">
        <v>1078</v>
      </c>
      <c r="M238" s="400" t="s">
        <v>1079</v>
      </c>
      <c r="N238" s="400" t="s">
        <v>1080</v>
      </c>
      <c r="O238" s="400" t="s">
        <v>1081</v>
      </c>
    </row>
    <row r="239" spans="8:15" ht="20.399999999999999" customHeight="1">
      <c r="H239" s="519" t="s">
        <v>1082</v>
      </c>
      <c r="I239" s="518" t="s">
        <v>1083</v>
      </c>
      <c r="J239" s="518" t="s">
        <v>1084</v>
      </c>
      <c r="K239" s="518"/>
      <c r="L239" s="520" t="s">
        <v>1085</v>
      </c>
      <c r="M239" s="400" t="s">
        <v>1086</v>
      </c>
      <c r="N239" s="400" t="s">
        <v>1087</v>
      </c>
      <c r="O239" s="400" t="s">
        <v>1088</v>
      </c>
    </row>
    <row r="240" spans="8:15" ht="57.6">
      <c r="H240" s="519" t="s">
        <v>1089</v>
      </c>
      <c r="I240" s="518" t="s">
        <v>1090</v>
      </c>
      <c r="J240" s="518" t="s">
        <v>1091</v>
      </c>
      <c r="K240" s="518"/>
      <c r="L240" s="520" t="s">
        <v>1092</v>
      </c>
      <c r="M240" s="400" t="s">
        <v>1093</v>
      </c>
      <c r="N240" s="521">
        <v>0.23200000000000001</v>
      </c>
      <c r="O240" s="520" t="s">
        <v>1094</v>
      </c>
    </row>
    <row r="241" spans="8:15" ht="20.399999999999999" customHeight="1">
      <c r="H241" s="519" t="s">
        <v>1095</v>
      </c>
      <c r="I241" s="518" t="s">
        <v>1096</v>
      </c>
      <c r="J241" s="518" t="s">
        <v>1097</v>
      </c>
      <c r="K241" s="518"/>
      <c r="L241" s="520" t="s">
        <v>1098</v>
      </c>
      <c r="M241" s="400" t="s">
        <v>1099</v>
      </c>
      <c r="N241" s="400" t="s">
        <v>1100</v>
      </c>
      <c r="O241" s="520" t="s">
        <v>1101</v>
      </c>
    </row>
    <row r="242" spans="8:15" ht="51" customHeight="1">
      <c r="H242" s="519" t="s">
        <v>1102</v>
      </c>
      <c r="I242" s="518" t="s">
        <v>1103</v>
      </c>
      <c r="J242" s="519" t="s">
        <v>1104</v>
      </c>
      <c r="K242" s="518"/>
      <c r="L242" s="520" t="s">
        <v>1105</v>
      </c>
      <c r="M242" s="400" t="s">
        <v>1106</v>
      </c>
      <c r="N242" s="400" t="s">
        <v>1107</v>
      </c>
      <c r="O242" s="400" t="s">
        <v>1093</v>
      </c>
    </row>
    <row r="243" spans="8:15" ht="40.799999999999997" customHeight="1">
      <c r="H243" s="519" t="s">
        <v>1108</v>
      </c>
      <c r="I243" s="522">
        <v>912003</v>
      </c>
      <c r="J243" s="519" t="s">
        <v>1109</v>
      </c>
      <c r="K243" s="518"/>
      <c r="L243" s="520" t="s">
        <v>1110</v>
      </c>
      <c r="M243" s="400" t="s">
        <v>1093</v>
      </c>
      <c r="N243" s="521">
        <v>0.29699999999999999</v>
      </c>
      <c r="O243" s="400" t="s">
        <v>1093</v>
      </c>
    </row>
    <row r="244" spans="8:15" ht="30.6">
      <c r="H244" s="519" t="s">
        <v>1111</v>
      </c>
      <c r="I244" s="518" t="s">
        <v>1112</v>
      </c>
      <c r="J244" s="519" t="s">
        <v>1113</v>
      </c>
      <c r="K244" s="518"/>
      <c r="L244" s="523" t="s">
        <v>1114</v>
      </c>
    </row>
    <row r="245" spans="8:15">
      <c r="H245" s="523" t="s">
        <v>1114</v>
      </c>
    </row>
    <row r="255" spans="8:15">
      <c r="H255" s="523" t="s">
        <v>1114</v>
      </c>
    </row>
    <row r="322" spans="2:2" ht="25.8">
      <c r="B322" s="524" t="s">
        <v>1115</v>
      </c>
    </row>
    <row r="323" spans="2:2">
      <c r="B323" s="26" t="s">
        <v>1116</v>
      </c>
    </row>
    <row r="324" spans="2:2">
      <c r="B324" t="s">
        <v>1117</v>
      </c>
    </row>
    <row r="325" spans="2:2">
      <c r="B325" t="s">
        <v>1118</v>
      </c>
    </row>
    <row r="353" spans="2:14" ht="23.4">
      <c r="B353" s="566" t="s">
        <v>1119</v>
      </c>
      <c r="C353" s="566"/>
      <c r="D353" s="566"/>
      <c r="E353" s="566"/>
      <c r="F353" s="566"/>
      <c r="G353" s="566"/>
      <c r="H353" s="566"/>
      <c r="I353" s="566"/>
      <c r="J353" s="566"/>
      <c r="K353" s="566"/>
      <c r="L353" s="566"/>
      <c r="M353" s="566"/>
      <c r="N353" s="566"/>
    </row>
    <row r="375" spans="10:10" ht="28.8">
      <c r="J375" s="525" t="s">
        <v>1120</v>
      </c>
    </row>
    <row r="464" spans="2:2" ht="33.6">
      <c r="B464" s="516" t="s">
        <v>1121</v>
      </c>
    </row>
    <row r="465" spans="2:2" ht="25.8">
      <c r="B465" s="524" t="s">
        <v>1122</v>
      </c>
    </row>
    <row r="508" spans="2:14" ht="23.4">
      <c r="B508" s="566" t="s">
        <v>345</v>
      </c>
      <c r="C508" s="566"/>
      <c r="D508" s="566"/>
      <c r="E508" s="566"/>
      <c r="F508" s="566"/>
      <c r="G508" s="566"/>
      <c r="H508" s="566"/>
      <c r="I508" s="566"/>
      <c r="J508" s="566"/>
      <c r="K508" s="566"/>
      <c r="L508" s="566"/>
      <c r="M508" s="566"/>
      <c r="N508" s="566"/>
    </row>
    <row r="533" spans="8:8" ht="25.8">
      <c r="H533" s="524" t="s">
        <v>1123</v>
      </c>
    </row>
    <row r="547" spans="8:17" ht="25.8">
      <c r="H547" s="524" t="s">
        <v>1124</v>
      </c>
    </row>
    <row r="553" spans="8:17">
      <c r="O553" s="559" t="s">
        <v>1125</v>
      </c>
      <c r="P553" s="559"/>
      <c r="Q553" s="559"/>
    </row>
    <row r="554" spans="8:17">
      <c r="O554" s="559"/>
      <c r="P554" s="559"/>
      <c r="Q554" s="559"/>
    </row>
    <row r="555" spans="8:17">
      <c r="O555" s="559"/>
      <c r="P555" s="559"/>
      <c r="Q555" s="559"/>
    </row>
    <row r="556" spans="8:17">
      <c r="O556" s="559"/>
      <c r="P556" s="559"/>
      <c r="Q556" s="559"/>
    </row>
    <row r="557" spans="8:17">
      <c r="O557" s="559"/>
      <c r="P557" s="559"/>
      <c r="Q557" s="559"/>
    </row>
    <row r="558" spans="8:17">
      <c r="O558" s="559"/>
      <c r="P558" s="559"/>
      <c r="Q558" s="559"/>
    </row>
    <row r="569" spans="2:6" ht="70.2" customHeight="1">
      <c r="B569" s="565" t="s">
        <v>1126</v>
      </c>
      <c r="C569" s="565"/>
      <c r="D569" s="565"/>
      <c r="E569" s="565"/>
      <c r="F569" s="565"/>
    </row>
    <row r="570" spans="2:6">
      <c r="B570" s="565"/>
      <c r="C570" s="565"/>
      <c r="D570" s="565"/>
      <c r="E570" s="565"/>
      <c r="F570" s="565"/>
    </row>
    <row r="571" spans="2:6">
      <c r="B571" s="565"/>
      <c r="C571" s="565"/>
      <c r="D571" s="565"/>
      <c r="E571" s="565"/>
      <c r="F571" s="565"/>
    </row>
    <row r="572" spans="2:6">
      <c r="B572" s="565"/>
      <c r="C572" s="565"/>
      <c r="D572" s="565"/>
      <c r="E572" s="565"/>
      <c r="F572" s="565"/>
    </row>
    <row r="573" spans="2:6">
      <c r="B573" s="565"/>
      <c r="C573" s="565"/>
      <c r="D573" s="565"/>
      <c r="E573" s="565"/>
      <c r="F573" s="565"/>
    </row>
    <row r="575" spans="2:6" ht="25.8">
      <c r="B575" s="524" t="s">
        <v>1127</v>
      </c>
    </row>
    <row r="582" spans="8:8" ht="46.2">
      <c r="H582" s="526" t="s">
        <v>1128</v>
      </c>
    </row>
    <row r="607" spans="8:8" ht="31.2">
      <c r="H607" s="527" t="s">
        <v>1129</v>
      </c>
    </row>
    <row r="664" spans="11:11" ht="33.6">
      <c r="K664" s="516" t="s">
        <v>1130</v>
      </c>
    </row>
    <row r="757" spans="2:14" ht="23.4">
      <c r="B757" s="566" t="s">
        <v>1131</v>
      </c>
      <c r="C757" s="566"/>
      <c r="D757" s="566"/>
      <c r="E757" s="566"/>
      <c r="F757" s="566"/>
      <c r="G757" s="566"/>
      <c r="H757" s="566"/>
      <c r="I757" s="566"/>
      <c r="J757" s="566"/>
      <c r="K757" s="566"/>
      <c r="L757" s="566"/>
      <c r="M757" s="566"/>
      <c r="N757" s="566"/>
    </row>
    <row r="819" spans="15:15" ht="31.2">
      <c r="O819" s="527" t="s">
        <v>1132</v>
      </c>
    </row>
    <row r="1016" spans="2:14" ht="23.4">
      <c r="B1016" s="566" t="s">
        <v>1133</v>
      </c>
      <c r="C1016" s="566"/>
      <c r="D1016" s="566"/>
      <c r="E1016" s="566"/>
      <c r="F1016" s="566"/>
      <c r="G1016" s="566"/>
      <c r="H1016" s="566"/>
      <c r="I1016" s="566"/>
      <c r="J1016" s="566"/>
      <c r="K1016" s="566"/>
      <c r="L1016" s="566"/>
      <c r="M1016" s="566"/>
      <c r="N1016" s="566"/>
    </row>
    <row r="1066" spans="15:27" ht="28.8" customHeight="1">
      <c r="O1066" t="s">
        <v>1134</v>
      </c>
      <c r="P1066" s="567" t="s">
        <v>1135</v>
      </c>
      <c r="Q1066" s="567"/>
      <c r="R1066" s="567"/>
      <c r="S1066" s="567"/>
      <c r="T1066" s="567"/>
      <c r="U1066" s="567"/>
      <c r="V1066" s="567"/>
      <c r="W1066" s="567"/>
      <c r="X1066" s="567"/>
      <c r="Y1066" s="567"/>
      <c r="Z1066" s="567"/>
      <c r="AA1066" s="567"/>
    </row>
    <row r="1067" spans="15:27">
      <c r="P1067" s="567"/>
      <c r="Q1067" s="567"/>
      <c r="R1067" s="567"/>
      <c r="S1067" s="567"/>
      <c r="T1067" s="567"/>
      <c r="U1067" s="567"/>
      <c r="V1067" s="567"/>
      <c r="W1067" s="567"/>
      <c r="X1067" s="567"/>
      <c r="Y1067" s="567"/>
      <c r="Z1067" s="567"/>
      <c r="AA1067" s="567"/>
    </row>
    <row r="1068" spans="15:27">
      <c r="P1068" s="567"/>
      <c r="Q1068" s="567"/>
      <c r="R1068" s="567"/>
      <c r="S1068" s="567"/>
      <c r="T1068" s="567"/>
      <c r="U1068" s="567"/>
      <c r="V1068" s="567"/>
      <c r="W1068" s="567"/>
      <c r="X1068" s="567"/>
      <c r="Y1068" s="567"/>
      <c r="Z1068" s="567"/>
      <c r="AA1068" s="567"/>
    </row>
    <row r="1069" spans="15:27">
      <c r="P1069" s="567"/>
      <c r="Q1069" s="567"/>
      <c r="R1069" s="567"/>
      <c r="S1069" s="567"/>
      <c r="T1069" s="567"/>
      <c r="U1069" s="567"/>
      <c r="V1069" s="567"/>
      <c r="W1069" s="567"/>
      <c r="X1069" s="567"/>
      <c r="Y1069" s="567"/>
      <c r="Z1069" s="567"/>
      <c r="AA1069" s="567"/>
    </row>
    <row r="1070" spans="15:27">
      <c r="P1070" s="567"/>
      <c r="Q1070" s="567"/>
      <c r="R1070" s="567"/>
      <c r="S1070" s="567"/>
      <c r="T1070" s="567"/>
      <c r="U1070" s="567"/>
      <c r="V1070" s="567"/>
      <c r="W1070" s="567"/>
      <c r="X1070" s="567"/>
      <c r="Y1070" s="567"/>
      <c r="Z1070" s="567"/>
      <c r="AA1070" s="567"/>
    </row>
    <row r="1071" spans="15:27">
      <c r="P1071" s="567"/>
      <c r="Q1071" s="567"/>
      <c r="R1071" s="567"/>
      <c r="S1071" s="567"/>
      <c r="T1071" s="567"/>
      <c r="U1071" s="567"/>
      <c r="V1071" s="567"/>
      <c r="W1071" s="567"/>
      <c r="X1071" s="567"/>
      <c r="Y1071" s="567"/>
      <c r="Z1071" s="567"/>
      <c r="AA1071" s="567"/>
    </row>
    <row r="1072" spans="15:27">
      <c r="P1072" s="567"/>
      <c r="Q1072" s="567"/>
      <c r="R1072" s="567"/>
      <c r="S1072" s="567"/>
      <c r="T1072" s="567"/>
      <c r="U1072" s="567"/>
      <c r="V1072" s="567"/>
      <c r="W1072" s="567"/>
      <c r="X1072" s="567"/>
      <c r="Y1072" s="567"/>
      <c r="Z1072" s="567"/>
      <c r="AA1072" s="567"/>
    </row>
    <row r="1073" spans="16:27">
      <c r="P1073" s="567"/>
      <c r="Q1073" s="567"/>
      <c r="R1073" s="567"/>
      <c r="S1073" s="567"/>
      <c r="T1073" s="567"/>
      <c r="U1073" s="567"/>
      <c r="V1073" s="567"/>
      <c r="W1073" s="567"/>
      <c r="X1073" s="567"/>
      <c r="Y1073" s="567"/>
      <c r="Z1073" s="567"/>
      <c r="AA1073" s="567"/>
    </row>
    <row r="1074" spans="16:27">
      <c r="P1074" s="567"/>
      <c r="Q1074" s="567"/>
      <c r="R1074" s="567"/>
      <c r="S1074" s="567"/>
      <c r="T1074" s="567"/>
      <c r="U1074" s="567"/>
      <c r="V1074" s="567"/>
      <c r="W1074" s="567"/>
      <c r="X1074" s="567"/>
      <c r="Y1074" s="567"/>
      <c r="Z1074" s="567"/>
      <c r="AA1074" s="567"/>
    </row>
    <row r="1075" spans="16:27">
      <c r="P1075" s="567"/>
      <c r="Q1075" s="567"/>
      <c r="R1075" s="567"/>
      <c r="S1075" s="567"/>
      <c r="T1075" s="567"/>
      <c r="U1075" s="567"/>
      <c r="V1075" s="567"/>
      <c r="W1075" s="567"/>
      <c r="X1075" s="567"/>
      <c r="Y1075" s="567"/>
      <c r="Z1075" s="567"/>
      <c r="AA1075" s="567"/>
    </row>
    <row r="1076" spans="16:27">
      <c r="P1076" s="567"/>
      <c r="Q1076" s="567"/>
      <c r="R1076" s="567"/>
      <c r="S1076" s="567"/>
      <c r="T1076" s="567"/>
      <c r="U1076" s="567"/>
      <c r="V1076" s="567"/>
      <c r="W1076" s="567"/>
      <c r="X1076" s="567"/>
      <c r="Y1076" s="567"/>
      <c r="Z1076" s="567"/>
      <c r="AA1076" s="567"/>
    </row>
    <row r="1186" spans="9:9" ht="25.8">
      <c r="I1186" s="524" t="s">
        <v>1136</v>
      </c>
    </row>
    <row r="1187" spans="9:9" ht="28.8">
      <c r="I1187" s="525" t="s">
        <v>1137</v>
      </c>
    </row>
    <row r="1219" spans="17:17" ht="28.8">
      <c r="Q1219" s="525" t="s">
        <v>1138</v>
      </c>
    </row>
    <row r="1255" spans="2:14" ht="23.4">
      <c r="B1255" s="566" t="s">
        <v>1139</v>
      </c>
      <c r="C1255" s="566"/>
      <c r="D1255" s="566"/>
      <c r="E1255" s="566"/>
      <c r="F1255" s="566"/>
      <c r="G1255" s="566"/>
      <c r="H1255" s="566"/>
      <c r="I1255" s="566"/>
      <c r="J1255" s="566"/>
      <c r="K1255" s="566"/>
      <c r="L1255" s="566"/>
      <c r="M1255" s="566"/>
      <c r="N1255" s="566"/>
    </row>
    <row r="1348" spans="21:21" ht="28.8">
      <c r="U1348" s="525" t="s">
        <v>1140</v>
      </c>
    </row>
    <row r="1349" spans="21:21" ht="28.8">
      <c r="U1349" s="525" t="s">
        <v>1141</v>
      </c>
    </row>
    <row r="1391" spans="2:2">
      <c r="B1391" s="26"/>
    </row>
    <row r="1483" spans="2:14" ht="23.4">
      <c r="B1483" s="566" t="s">
        <v>1142</v>
      </c>
      <c r="C1483" s="566"/>
      <c r="D1483" s="566"/>
      <c r="E1483" s="566"/>
      <c r="F1483" s="566"/>
      <c r="G1483" s="566"/>
      <c r="H1483" s="566"/>
      <c r="I1483" s="566"/>
      <c r="J1483" s="566"/>
      <c r="K1483" s="566"/>
      <c r="L1483" s="566"/>
      <c r="M1483" s="566"/>
      <c r="N1483" s="566"/>
    </row>
    <row r="1487" spans="2:14" ht="28.8">
      <c r="B1487" s="525"/>
    </row>
    <row r="1504" spans="27:27" ht="25.8">
      <c r="AA1504" s="524" t="s">
        <v>1143</v>
      </c>
    </row>
    <row r="1524" spans="17:17" ht="25.8">
      <c r="Q1524" s="524" t="s">
        <v>1143</v>
      </c>
    </row>
    <row r="1619" spans="16:16" ht="28.8">
      <c r="P1619" s="525" t="s">
        <v>1144</v>
      </c>
    </row>
    <row r="1681" spans="11:22" ht="23.4" customHeight="1">
      <c r="K1681" s="564" t="s">
        <v>1145</v>
      </c>
      <c r="L1681" s="564"/>
      <c r="M1681" s="564"/>
      <c r="N1681" s="564"/>
      <c r="O1681" s="564"/>
      <c r="P1681" s="564"/>
      <c r="Q1681" s="564"/>
      <c r="R1681" s="564"/>
      <c r="S1681" s="564"/>
      <c r="T1681" s="564"/>
      <c r="U1681" s="564"/>
      <c r="V1681" s="564"/>
    </row>
    <row r="1682" spans="11:22">
      <c r="K1682" s="564"/>
      <c r="L1682" s="564"/>
      <c r="M1682" s="564"/>
      <c r="N1682" s="564"/>
      <c r="O1682" s="564"/>
      <c r="P1682" s="564"/>
      <c r="Q1682" s="564"/>
      <c r="R1682" s="564"/>
      <c r="S1682" s="564"/>
      <c r="T1682" s="564"/>
      <c r="U1682" s="564"/>
      <c r="V1682" s="564"/>
    </row>
    <row r="1683" spans="11:22">
      <c r="K1683" s="564"/>
      <c r="L1683" s="564"/>
      <c r="M1683" s="564"/>
      <c r="N1683" s="564"/>
      <c r="O1683" s="564"/>
      <c r="P1683" s="564"/>
      <c r="Q1683" s="564"/>
      <c r="R1683" s="564"/>
      <c r="S1683" s="564"/>
      <c r="T1683" s="564"/>
      <c r="U1683" s="564"/>
      <c r="V1683" s="564"/>
    </row>
  </sheetData>
  <sheetProtection algorithmName="SHA-512" hashValue="EZW52agMi3KIEPI20zxX0nzSgTiNOv+sJzf4XfSMiby4wURsNzJ30sASzHIKHRAODQ9UASLAw7DYJKRjhonw8A==" saltValue="X66TnN1mSqOJM9xxCC017g==" spinCount="100000" sheet="1" objects="1" scenarios="1" selectLockedCells="1" selectUnlockedCells="1"/>
  <mergeCells count="13">
    <mergeCell ref="O553:Q558"/>
    <mergeCell ref="Z82:AE83"/>
    <mergeCell ref="B123:H125"/>
    <mergeCell ref="B197:N197"/>
    <mergeCell ref="B353:N353"/>
    <mergeCell ref="B508:N508"/>
    <mergeCell ref="K1681:V1683"/>
    <mergeCell ref="B569:F573"/>
    <mergeCell ref="B757:N757"/>
    <mergeCell ref="B1016:N1016"/>
    <mergeCell ref="P1066:AA1076"/>
    <mergeCell ref="B1255:N1255"/>
    <mergeCell ref="B1483:N148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AF41-E860-43A7-971E-A9A4ECAC3C1B}">
  <dimension ref="B2:S54"/>
  <sheetViews>
    <sheetView showGridLines="0" topLeftCell="C1" zoomScale="79" workbookViewId="0">
      <selection activeCell="J16" sqref="J16"/>
    </sheetView>
  </sheetViews>
  <sheetFormatPr defaultColWidth="11.44140625" defaultRowHeight="11.4"/>
  <cols>
    <col min="1" max="2" width="11.44140625" style="382"/>
    <col min="3" max="3" width="11.5546875" style="382" bestFit="1" customWidth="1"/>
    <col min="4" max="4" width="35.44140625" style="382" customWidth="1"/>
    <col min="5" max="5" width="12.109375" style="382" bestFit="1" customWidth="1"/>
    <col min="6" max="6" width="11.44140625" style="382"/>
    <col min="7" max="7" width="11.5546875" style="382" bestFit="1" customWidth="1"/>
    <col min="8" max="11" width="11.44140625" style="382"/>
    <col min="12" max="12" width="10.21875" style="382" bestFit="1" customWidth="1"/>
    <col min="13" max="16384" width="11.44140625" style="382"/>
  </cols>
  <sheetData>
    <row r="2" spans="2:16" s="380" customFormat="1" ht="17.399999999999999">
      <c r="B2" s="378" t="s">
        <v>873</v>
      </c>
      <c r="C2" s="378"/>
      <c r="D2" s="378"/>
      <c r="E2" s="379"/>
      <c r="F2" s="378"/>
      <c r="G2" s="378"/>
      <c r="H2" s="378"/>
    </row>
    <row r="3" spans="2:16" ht="14.4">
      <c r="B3" s="381" t="s">
        <v>874</v>
      </c>
      <c r="C3" s="381"/>
      <c r="D3" s="381"/>
      <c r="E3" s="481">
        <v>7260</v>
      </c>
      <c r="F3" s="381"/>
      <c r="G3" s="381"/>
      <c r="H3" s="381"/>
    </row>
    <row r="4" spans="2:16" ht="14.4">
      <c r="B4" s="381" t="s">
        <v>875</v>
      </c>
      <c r="C4" s="381"/>
      <c r="D4" s="381"/>
      <c r="E4" s="482">
        <v>2003</v>
      </c>
      <c r="F4" s="381"/>
      <c r="G4" s="381"/>
      <c r="H4" s="381"/>
    </row>
    <row r="5" spans="2:16" ht="14.4">
      <c r="B5" s="381" t="s">
        <v>876</v>
      </c>
      <c r="C5" s="381"/>
      <c r="D5" s="381"/>
      <c r="E5" s="481">
        <v>4</v>
      </c>
      <c r="F5" s="381"/>
      <c r="G5" s="381"/>
      <c r="H5" s="381"/>
      <c r="J5" s="399"/>
      <c r="K5" s="399"/>
      <c r="L5" s="399"/>
      <c r="M5" s="399"/>
      <c r="N5" s="399"/>
      <c r="O5" s="399"/>
      <c r="P5" s="399"/>
    </row>
    <row r="6" spans="2:16" ht="14.4">
      <c r="B6" s="381" t="s">
        <v>877</v>
      </c>
      <c r="C6" s="381"/>
      <c r="D6" s="381"/>
      <c r="E6" s="483">
        <v>0.27700000000000002</v>
      </c>
      <c r="F6" s="381" t="s">
        <v>878</v>
      </c>
      <c r="G6" s="381"/>
      <c r="H6" s="381"/>
      <c r="J6" s="400"/>
      <c r="K6" s="401"/>
      <c r="L6" s="402"/>
      <c r="M6" s="400"/>
      <c r="N6" s="402"/>
      <c r="O6" s="400"/>
      <c r="P6" s="400"/>
    </row>
    <row r="7" spans="2:16" ht="14.4">
      <c r="B7" s="381" t="s">
        <v>879</v>
      </c>
      <c r="C7" s="381"/>
      <c r="D7" s="381"/>
      <c r="E7" s="484">
        <v>7.1999999999999998E-3</v>
      </c>
      <c r="F7" s="381"/>
      <c r="G7" s="381"/>
      <c r="H7" s="381"/>
      <c r="J7" s="400"/>
      <c r="K7" s="401"/>
      <c r="L7" s="402"/>
      <c r="M7" s="400"/>
      <c r="N7" s="402"/>
      <c r="O7" s="403"/>
      <c r="P7" s="400"/>
    </row>
    <row r="8" spans="2:16" ht="14.4">
      <c r="B8" s="381" t="s">
        <v>880</v>
      </c>
      <c r="C8" s="381"/>
      <c r="D8" s="381"/>
      <c r="E8" s="484">
        <f>WACC!E6</f>
        <v>4.3790141762224927E-2</v>
      </c>
      <c r="F8" s="381"/>
      <c r="G8" s="381"/>
      <c r="H8" s="381"/>
      <c r="J8" s="400"/>
      <c r="K8" s="401"/>
      <c r="L8" s="402"/>
      <c r="M8" s="400"/>
      <c r="N8" s="402"/>
      <c r="O8" s="403"/>
      <c r="P8" s="400"/>
    </row>
    <row r="9" spans="2:16" ht="14.4">
      <c r="B9" s="381" t="s">
        <v>881</v>
      </c>
      <c r="C9" s="381"/>
      <c r="D9" s="381"/>
      <c r="E9" s="481">
        <v>3.7768000000000003E-2</v>
      </c>
      <c r="F9" s="381"/>
      <c r="G9" s="381"/>
      <c r="H9" s="381"/>
      <c r="J9" s="400"/>
      <c r="K9" s="401"/>
      <c r="L9" s="402"/>
      <c r="M9" s="400"/>
      <c r="N9" s="402"/>
      <c r="O9" s="403"/>
      <c r="P9" s="403"/>
    </row>
    <row r="10" spans="2:16" ht="14.4">
      <c r="B10" s="381" t="s">
        <v>882</v>
      </c>
      <c r="C10" s="381"/>
      <c r="D10" s="381"/>
      <c r="E10" s="481">
        <v>27.41</v>
      </c>
      <c r="F10" s="381"/>
      <c r="G10" s="381"/>
      <c r="H10" s="381"/>
      <c r="J10" s="400"/>
      <c r="K10" s="401"/>
      <c r="L10" s="402"/>
      <c r="M10" s="400"/>
      <c r="N10" s="402"/>
      <c r="O10" s="403"/>
      <c r="P10" s="400"/>
    </row>
    <row r="11" spans="2:16" ht="14.4">
      <c r="B11" s="381"/>
      <c r="C11" s="381"/>
      <c r="D11" s="381"/>
      <c r="E11" s="381"/>
      <c r="F11" s="381"/>
      <c r="G11" s="381"/>
      <c r="H11" s="381"/>
      <c r="J11" s="400"/>
      <c r="K11" s="401"/>
      <c r="L11" s="402"/>
      <c r="M11" s="400"/>
      <c r="N11" s="402"/>
      <c r="O11" s="403"/>
      <c r="P11" s="400"/>
    </row>
    <row r="12" spans="2:16" s="385" customFormat="1" ht="14.4">
      <c r="B12" s="383" t="s">
        <v>883</v>
      </c>
      <c r="C12" s="384"/>
      <c r="D12" s="384"/>
      <c r="E12" s="384"/>
      <c r="F12" s="384"/>
      <c r="G12" s="384"/>
      <c r="H12" s="384"/>
      <c r="J12" s="400"/>
      <c r="K12" s="401"/>
      <c r="L12" s="402"/>
      <c r="M12" s="400"/>
      <c r="N12" s="402"/>
      <c r="O12" s="403"/>
      <c r="P12" s="403"/>
    </row>
    <row r="13" spans="2:16" s="377" customFormat="1" ht="14.4">
      <c r="B13" s="378" t="s">
        <v>884</v>
      </c>
      <c r="C13" s="381"/>
      <c r="D13" s="381"/>
      <c r="E13" s="381"/>
      <c r="F13" s="381"/>
      <c r="G13" s="381"/>
      <c r="H13" s="381"/>
      <c r="J13" s="400"/>
      <c r="K13" s="401"/>
      <c r="L13" s="402"/>
      <c r="M13" s="400"/>
      <c r="N13" s="402"/>
      <c r="O13" s="403"/>
      <c r="P13" s="403"/>
    </row>
    <row r="14" spans="2:16" s="377" customFormat="1" ht="14.4">
      <c r="B14" s="381" t="s">
        <v>885</v>
      </c>
      <c r="C14" s="381"/>
      <c r="D14" s="386">
        <f>E3</f>
        <v>7260</v>
      </c>
      <c r="E14" s="381" t="s">
        <v>886</v>
      </c>
      <c r="F14" s="381"/>
      <c r="G14" s="387">
        <f>E9</f>
        <v>3.7768000000000003E-2</v>
      </c>
      <c r="H14" s="388"/>
      <c r="J14" s="400"/>
      <c r="K14" s="401"/>
      <c r="L14" s="402"/>
      <c r="M14" s="400"/>
      <c r="N14" s="402"/>
      <c r="O14" s="403"/>
      <c r="P14" s="403"/>
    </row>
    <row r="15" spans="2:16" s="377" customFormat="1" ht="14.4">
      <c r="B15" s="381" t="s">
        <v>887</v>
      </c>
      <c r="C15" s="381"/>
      <c r="D15" s="386">
        <f>E4</f>
        <v>2003</v>
      </c>
      <c r="E15" s="381" t="s">
        <v>888</v>
      </c>
      <c r="F15" s="381"/>
      <c r="G15" s="387">
        <f>E10</f>
        <v>27.41</v>
      </c>
      <c r="H15" s="388"/>
      <c r="J15" s="400"/>
      <c r="K15" s="401"/>
      <c r="L15" s="402"/>
      <c r="M15" s="400"/>
      <c r="N15" s="402"/>
      <c r="O15" s="403"/>
      <c r="P15" s="403"/>
    </row>
    <row r="16" spans="2:16" s="377" customFormat="1" ht="14.4">
      <c r="B16" s="381" t="s">
        <v>889</v>
      </c>
      <c r="C16" s="381"/>
      <c r="D16" s="386">
        <f ca="1">(D14*G15+D27*G14)/(G15+G14)</f>
        <v>7257.4035219282196</v>
      </c>
      <c r="E16" s="381" t="s">
        <v>890</v>
      </c>
      <c r="F16" s="381"/>
      <c r="G16" s="389">
        <f>E8</f>
        <v>4.3790141762224927E-2</v>
      </c>
      <c r="H16" s="381"/>
      <c r="J16" s="400"/>
      <c r="K16" s="401"/>
      <c r="L16" s="402"/>
      <c r="M16" s="400"/>
      <c r="N16" s="402"/>
      <c r="O16" s="403"/>
      <c r="P16" s="403"/>
    </row>
    <row r="17" spans="2:19" s="377" customFormat="1" ht="14.4">
      <c r="B17" s="381" t="s">
        <v>891</v>
      </c>
      <c r="C17" s="381"/>
      <c r="D17" s="386">
        <f>D15</f>
        <v>2003</v>
      </c>
      <c r="E17" s="381" t="s">
        <v>892</v>
      </c>
      <c r="F17" s="381"/>
      <c r="G17" s="390">
        <f>E6^2</f>
        <v>7.6729000000000019E-2</v>
      </c>
      <c r="H17" s="381"/>
      <c r="J17" s="400"/>
      <c r="K17" s="401"/>
      <c r="L17" s="402"/>
      <c r="M17" s="400"/>
      <c r="N17" s="402"/>
      <c r="O17" s="403"/>
      <c r="P17" s="400"/>
    </row>
    <row r="18" spans="2:19" s="377" customFormat="1" ht="14.4">
      <c r="B18" s="381" t="s">
        <v>893</v>
      </c>
      <c r="C18" s="381"/>
      <c r="D18" s="386">
        <f>E5</f>
        <v>4</v>
      </c>
      <c r="E18" s="381" t="s">
        <v>894</v>
      </c>
      <c r="F18" s="381"/>
      <c r="G18" s="389">
        <f>E7</f>
        <v>7.1999999999999998E-3</v>
      </c>
      <c r="H18" s="381"/>
      <c r="J18" s="400"/>
      <c r="K18" s="401"/>
      <c r="L18" s="402"/>
      <c r="M18" s="400"/>
      <c r="N18" s="402"/>
      <c r="O18" s="403"/>
      <c r="P18" s="400"/>
    </row>
    <row r="19" spans="2:19" s="377" customFormat="1" ht="14.4">
      <c r="B19" s="381"/>
      <c r="C19" s="381"/>
      <c r="D19" s="378"/>
      <c r="E19" s="381" t="s">
        <v>895</v>
      </c>
      <c r="F19" s="381"/>
      <c r="G19" s="391">
        <f>G16-G18</f>
        <v>3.6590141762224929E-2</v>
      </c>
      <c r="H19" s="381"/>
      <c r="J19" s="400"/>
      <c r="K19" s="401"/>
      <c r="L19" s="402"/>
      <c r="M19" s="400"/>
      <c r="N19" s="402"/>
      <c r="O19" s="403"/>
      <c r="P19" s="400"/>
    </row>
    <row r="20" spans="2:19" s="377" customFormat="1" ht="14.4">
      <c r="B20" s="381"/>
      <c r="C20" s="381"/>
      <c r="D20" s="381"/>
      <c r="E20" s="381"/>
      <c r="F20" s="381"/>
      <c r="G20" s="381"/>
      <c r="H20" s="381"/>
      <c r="J20" s="400"/>
      <c r="K20" s="401"/>
      <c r="L20" s="402"/>
      <c r="M20" s="400"/>
      <c r="N20" s="402"/>
      <c r="O20" s="403"/>
      <c r="P20" s="400"/>
    </row>
    <row r="21" spans="2:19" s="377" customFormat="1" ht="14.4">
      <c r="B21" s="381" t="s">
        <v>896</v>
      </c>
      <c r="C21" s="392">
        <f ca="1">(LN(D16/D17)+(G19+(G17/2))*D18)/(((G17)^(0.5))*(D18^0.5))</f>
        <v>2.8649722628614218</v>
      </c>
      <c r="D21" s="381"/>
      <c r="E21" s="381"/>
      <c r="F21" s="381"/>
      <c r="G21" s="381"/>
      <c r="H21" s="381"/>
      <c r="J21" s="400"/>
      <c r="K21" s="401"/>
      <c r="L21" s="402"/>
      <c r="M21" s="400"/>
      <c r="N21" s="402"/>
      <c r="O21" s="403"/>
      <c r="P21" s="400"/>
    </row>
    <row r="22" spans="2:19" s="377" customFormat="1" ht="14.4">
      <c r="B22" s="381" t="s">
        <v>897</v>
      </c>
      <c r="C22" s="392">
        <f ca="1">NORMSDIST(C21)</f>
        <v>0.99791477114909422</v>
      </c>
      <c r="D22" s="381"/>
      <c r="E22" s="381"/>
      <c r="F22" s="381"/>
      <c r="G22" s="381"/>
      <c r="H22" s="381"/>
      <c r="J22" s="400"/>
      <c r="K22" s="401"/>
      <c r="L22" s="402"/>
      <c r="M22" s="400"/>
      <c r="N22" s="402"/>
      <c r="O22" s="403"/>
      <c r="P22" s="400"/>
    </row>
    <row r="23" spans="2:19" s="377" customFormat="1" ht="14.4">
      <c r="B23" s="381"/>
      <c r="C23" s="393"/>
      <c r="D23" s="381"/>
      <c r="E23" s="381"/>
      <c r="F23" s="381"/>
      <c r="G23" s="381"/>
      <c r="H23" s="381"/>
      <c r="J23" s="400"/>
      <c r="K23" s="401"/>
      <c r="L23" s="402"/>
      <c r="M23" s="400"/>
      <c r="N23" s="402"/>
      <c r="O23" s="403"/>
      <c r="P23" s="400"/>
    </row>
    <row r="24" spans="2:19" s="377" customFormat="1" ht="15.75" customHeight="1">
      <c r="B24" s="381" t="s">
        <v>898</v>
      </c>
      <c r="C24" s="392">
        <f ca="1">C21-((G17^0.5)*(D18^(0.5)))</f>
        <v>2.310972262861422</v>
      </c>
      <c r="D24" s="381"/>
      <c r="E24" s="381"/>
      <c r="F24" s="381"/>
      <c r="G24" s="381"/>
      <c r="H24" s="381"/>
      <c r="J24" s="400"/>
      <c r="K24" s="401"/>
      <c r="L24" s="402"/>
      <c r="M24" s="400"/>
      <c r="N24" s="402"/>
      <c r="O24" s="403"/>
      <c r="P24" s="403"/>
    </row>
    <row r="25" spans="2:19" s="377" customFormat="1" ht="14.4">
      <c r="B25" s="381" t="s">
        <v>899</v>
      </c>
      <c r="C25" s="392">
        <f ca="1">NORMSDIST(C24)</f>
        <v>0.98958280649294117</v>
      </c>
      <c r="D25" s="381"/>
      <c r="E25" s="381"/>
      <c r="F25" s="381"/>
      <c r="G25" s="381"/>
      <c r="H25" s="381"/>
      <c r="J25" s="400"/>
      <c r="K25" s="401"/>
      <c r="L25" s="402"/>
      <c r="M25" s="400"/>
      <c r="N25" s="402"/>
      <c r="O25" s="403"/>
      <c r="P25" s="403"/>
    </row>
    <row r="26" spans="2:19" ht="15" thickBot="1">
      <c r="B26" s="381"/>
      <c r="C26" s="381"/>
      <c r="D26" s="381"/>
      <c r="E26" s="381"/>
      <c r="F26" s="381"/>
      <c r="G26" s="381"/>
      <c r="H26" s="381"/>
      <c r="J26" s="400"/>
      <c r="K26" s="401"/>
      <c r="L26" s="402"/>
      <c r="M26" s="400"/>
      <c r="N26" s="402"/>
      <c r="O26" s="403"/>
      <c r="P26" s="403"/>
    </row>
    <row r="27" spans="2:19" s="377" customFormat="1" ht="15" thickBot="1">
      <c r="B27" s="381" t="s">
        <v>900</v>
      </c>
      <c r="C27" s="381"/>
      <c r="D27" s="394">
        <f ca="1">((EXP((0-G18)*D18))*D16*C22-D17*(EXP((0-G16)*D18))*C25)</f>
        <v>5373.0182235933562</v>
      </c>
      <c r="E27" s="395"/>
      <c r="F27" s="381"/>
      <c r="G27" s="381"/>
      <c r="H27" s="396"/>
    </row>
    <row r="28" spans="2:19" s="377" customFormat="1" ht="15" thickBot="1">
      <c r="B28" s="381" t="s">
        <v>901</v>
      </c>
      <c r="C28" s="381"/>
      <c r="D28" s="381"/>
      <c r="E28" s="397">
        <f ca="1">D27*E9</f>
        <v>202.9281522686739</v>
      </c>
      <c r="F28" s="381"/>
      <c r="G28" s="381"/>
      <c r="H28" s="381"/>
    </row>
    <row r="29" spans="2:19" ht="14.4">
      <c r="B29" s="381"/>
      <c r="C29" s="381"/>
      <c r="D29" s="381"/>
      <c r="E29" s="381"/>
      <c r="F29" s="381"/>
      <c r="G29" s="381"/>
      <c r="H29" s="381"/>
    </row>
    <row r="30" spans="2:19" ht="14.4">
      <c r="B30" s="381"/>
      <c r="C30" s="381"/>
      <c r="D30" s="381"/>
      <c r="E30" s="381"/>
      <c r="F30" s="381"/>
      <c r="G30" s="381"/>
      <c r="H30" s="381"/>
    </row>
    <row r="31" spans="2:19" ht="14.4">
      <c r="B31" s="381"/>
      <c r="C31" s="381"/>
      <c r="D31" s="381"/>
      <c r="E31" s="381"/>
      <c r="F31" s="381"/>
      <c r="G31" s="381"/>
      <c r="H31" s="381"/>
    </row>
    <row r="32" spans="2:19" ht="43.2">
      <c r="B32" s="381"/>
      <c r="C32" s="381"/>
      <c r="D32" s="381"/>
      <c r="E32" s="381"/>
      <c r="F32" s="381"/>
      <c r="G32" s="381"/>
      <c r="H32" s="381"/>
      <c r="J32" s="399" t="s">
        <v>902</v>
      </c>
      <c r="K32" s="399" t="s">
        <v>903</v>
      </c>
      <c r="L32" s="399" t="s">
        <v>904</v>
      </c>
      <c r="M32" s="399" t="s">
        <v>905</v>
      </c>
      <c r="N32" s="399" t="s">
        <v>906</v>
      </c>
      <c r="O32" s="399" t="s">
        <v>907</v>
      </c>
      <c r="P32" s="399" t="s">
        <v>908</v>
      </c>
      <c r="Q32" s="407" t="s">
        <v>933</v>
      </c>
      <c r="R32" s="408" t="s">
        <v>934</v>
      </c>
      <c r="S32" s="408" t="s">
        <v>935</v>
      </c>
    </row>
    <row r="33" spans="2:19" ht="14.4">
      <c r="B33" s="381"/>
      <c r="C33" s="381"/>
      <c r="D33" s="381"/>
      <c r="E33" s="381"/>
      <c r="F33" s="381"/>
      <c r="G33" s="381"/>
      <c r="H33" s="381"/>
      <c r="J33" s="400" t="s">
        <v>909</v>
      </c>
      <c r="K33" s="401">
        <v>160000</v>
      </c>
      <c r="L33" s="402">
        <v>41862</v>
      </c>
      <c r="M33" s="400" t="s">
        <v>910</v>
      </c>
      <c r="N33" s="402">
        <v>45514</v>
      </c>
      <c r="O33" s="405">
        <v>847.75</v>
      </c>
      <c r="P33" s="405">
        <v>433.63</v>
      </c>
      <c r="Q33" s="382">
        <v>4</v>
      </c>
      <c r="R33" s="409">
        <v>0.27700000000000002</v>
      </c>
      <c r="S33" s="409">
        <v>7.1999999999999998E-3</v>
      </c>
    </row>
    <row r="34" spans="2:19" ht="14.4">
      <c r="B34" s="381"/>
      <c r="C34" s="381"/>
      <c r="D34" s="381"/>
      <c r="E34" s="381"/>
      <c r="F34" s="381"/>
      <c r="G34" s="381"/>
      <c r="H34" s="381"/>
      <c r="J34" s="400" t="s">
        <v>911</v>
      </c>
      <c r="K34" s="401">
        <v>203000</v>
      </c>
      <c r="L34" s="402">
        <v>42016</v>
      </c>
      <c r="M34" s="400" t="s">
        <v>910</v>
      </c>
      <c r="N34" s="402">
        <v>45668</v>
      </c>
      <c r="O34" s="405">
        <v>1473.9</v>
      </c>
      <c r="P34" s="405">
        <v>739.39</v>
      </c>
      <c r="Q34" s="382">
        <v>4</v>
      </c>
      <c r="R34" s="409">
        <v>0.27700000000000002</v>
      </c>
      <c r="S34" s="409">
        <v>7.1999999999999998E-3</v>
      </c>
    </row>
    <row r="35" spans="2:19" ht="14.4">
      <c r="B35" s="381"/>
      <c r="C35" s="381"/>
      <c r="D35" s="381"/>
      <c r="E35" s="381"/>
      <c r="F35" s="381"/>
      <c r="G35" s="381"/>
      <c r="H35" s="381"/>
      <c r="J35" s="400" t="s">
        <v>912</v>
      </c>
      <c r="K35" s="401">
        <v>530000</v>
      </c>
      <c r="L35" s="402">
        <v>42132</v>
      </c>
      <c r="M35" s="400" t="s">
        <v>910</v>
      </c>
      <c r="N35" s="402">
        <v>45784</v>
      </c>
      <c r="O35" s="405">
        <v>1480.7</v>
      </c>
      <c r="P35" s="405">
        <v>774.2</v>
      </c>
      <c r="Q35" s="382">
        <v>4</v>
      </c>
      <c r="R35" s="409">
        <v>0.27700000000000002</v>
      </c>
      <c r="S35" s="409">
        <v>7.1999999999999998E-3</v>
      </c>
    </row>
    <row r="36" spans="2:19" ht="14.4">
      <c r="B36" s="381"/>
      <c r="C36" s="381"/>
      <c r="D36" s="381"/>
      <c r="E36" s="381"/>
      <c r="F36" s="381"/>
      <c r="G36" s="381"/>
      <c r="H36" s="381"/>
      <c r="J36" s="400" t="s">
        <v>913</v>
      </c>
      <c r="K36" s="401">
        <v>65900</v>
      </c>
      <c r="L36" s="402">
        <v>42206</v>
      </c>
      <c r="M36" s="400" t="s">
        <v>910</v>
      </c>
      <c r="N36" s="402">
        <v>45858</v>
      </c>
      <c r="O36" s="405">
        <v>2124.8000000000002</v>
      </c>
      <c r="P36" s="405">
        <v>1111.25</v>
      </c>
      <c r="Q36" s="382">
        <v>4</v>
      </c>
      <c r="R36" s="409">
        <v>0.27700000000000002</v>
      </c>
      <c r="S36" s="409">
        <v>7.1999999999999998E-3</v>
      </c>
    </row>
    <row r="37" spans="2:19" ht="14.4">
      <c r="B37" s="381"/>
      <c r="C37" s="381"/>
      <c r="D37" s="381"/>
      <c r="E37" s="381"/>
      <c r="F37" s="381"/>
      <c r="G37" s="381"/>
      <c r="H37" s="381"/>
      <c r="J37" s="400" t="s">
        <v>914</v>
      </c>
      <c r="K37" s="401">
        <v>78000</v>
      </c>
      <c r="L37" s="402">
        <v>42314</v>
      </c>
      <c r="M37" s="400" t="s">
        <v>910</v>
      </c>
      <c r="N37" s="402">
        <v>45966</v>
      </c>
      <c r="O37" s="405">
        <v>1767.8</v>
      </c>
      <c r="P37" s="405">
        <v>901.05</v>
      </c>
      <c r="Q37" s="382">
        <v>4</v>
      </c>
      <c r="R37" s="409">
        <v>0.27700000000000002</v>
      </c>
      <c r="S37" s="409">
        <v>7.1999999999999998E-3</v>
      </c>
    </row>
    <row r="38" spans="2:19" ht="14.4">
      <c r="J38" s="400" t="s">
        <v>915</v>
      </c>
      <c r="K38" s="401">
        <v>42000</v>
      </c>
      <c r="L38" s="402">
        <v>42405</v>
      </c>
      <c r="M38" s="400" t="s">
        <v>910</v>
      </c>
      <c r="N38" s="402">
        <v>46057</v>
      </c>
      <c r="O38" s="405">
        <v>1689.4</v>
      </c>
      <c r="P38" s="405">
        <v>856.59</v>
      </c>
      <c r="Q38" s="382">
        <v>4</v>
      </c>
      <c r="R38" s="409">
        <v>0.27700000000000002</v>
      </c>
      <c r="S38" s="409">
        <v>7.1999999999999998E-3</v>
      </c>
    </row>
    <row r="39" spans="2:19" ht="14.4">
      <c r="J39" s="400" t="s">
        <v>916</v>
      </c>
      <c r="K39" s="401">
        <v>24000</v>
      </c>
      <c r="L39" s="402">
        <v>42487</v>
      </c>
      <c r="M39" s="400" t="s">
        <v>910</v>
      </c>
      <c r="N39" s="402">
        <v>46138</v>
      </c>
      <c r="O39" s="405">
        <v>2014.8</v>
      </c>
      <c r="P39" s="405">
        <v>1005.58</v>
      </c>
      <c r="Q39" s="382">
        <v>4</v>
      </c>
      <c r="R39" s="409">
        <v>0.27700000000000002</v>
      </c>
      <c r="S39" s="409">
        <v>7.1999999999999998E-3</v>
      </c>
    </row>
    <row r="40" spans="2:19" ht="14.4">
      <c r="J40" s="400" t="s">
        <v>917</v>
      </c>
      <c r="K40" s="401">
        <v>21000</v>
      </c>
      <c r="L40" s="402">
        <v>42579</v>
      </c>
      <c r="M40" s="400" t="s">
        <v>910</v>
      </c>
      <c r="N40" s="402">
        <v>46230</v>
      </c>
      <c r="O40" s="405">
        <v>2034</v>
      </c>
      <c r="P40" s="405">
        <v>1043.71</v>
      </c>
      <c r="Q40" s="382">
        <v>4</v>
      </c>
      <c r="R40" s="409">
        <v>0.27700000000000002</v>
      </c>
      <c r="S40" s="409">
        <v>7.1999999999999998E-3</v>
      </c>
    </row>
    <row r="41" spans="2:19" ht="14.4">
      <c r="J41" s="400" t="s">
        <v>918</v>
      </c>
      <c r="K41" s="401">
        <v>30000</v>
      </c>
      <c r="L41" s="402">
        <v>42671</v>
      </c>
      <c r="M41" s="400" t="s">
        <v>910</v>
      </c>
      <c r="N41" s="402">
        <v>46322</v>
      </c>
      <c r="O41" s="405">
        <v>2449.1999999999998</v>
      </c>
      <c r="P41" s="405">
        <v>1175.4000000000001</v>
      </c>
      <c r="Q41" s="382">
        <v>4</v>
      </c>
      <c r="R41" s="409">
        <v>0.27700000000000002</v>
      </c>
      <c r="S41" s="409">
        <v>7.1999999999999998E-3</v>
      </c>
    </row>
    <row r="42" spans="2:19" ht="14.4">
      <c r="J42" s="400" t="s">
        <v>919</v>
      </c>
      <c r="K42" s="401">
        <v>13500</v>
      </c>
      <c r="L42" s="402">
        <v>42956</v>
      </c>
      <c r="M42" s="400" t="s">
        <v>910</v>
      </c>
      <c r="N42" s="402">
        <v>46607</v>
      </c>
      <c r="O42" s="405">
        <v>3212.1</v>
      </c>
      <c r="P42" s="405">
        <v>1497.35</v>
      </c>
      <c r="Q42" s="382">
        <v>4</v>
      </c>
      <c r="R42" s="409">
        <v>0.27700000000000002</v>
      </c>
      <c r="S42" s="409">
        <v>7.1999999999999998E-3</v>
      </c>
    </row>
    <row r="43" spans="2:19" ht="14.4">
      <c r="J43" s="400" t="s">
        <v>920</v>
      </c>
      <c r="K43" s="401">
        <v>15000</v>
      </c>
      <c r="L43" s="402">
        <v>43053</v>
      </c>
      <c r="M43" s="400" t="s">
        <v>910</v>
      </c>
      <c r="N43" s="402">
        <v>46704</v>
      </c>
      <c r="O43" s="405">
        <v>3058.5</v>
      </c>
      <c r="P43" s="405">
        <v>1452.09</v>
      </c>
      <c r="Q43" s="382">
        <v>4</v>
      </c>
      <c r="R43" s="409">
        <v>0.27700000000000002</v>
      </c>
      <c r="S43" s="409">
        <v>7.1999999999999998E-3</v>
      </c>
    </row>
    <row r="44" spans="2:19" ht="14.4">
      <c r="J44" s="400" t="s">
        <v>921</v>
      </c>
      <c r="K44" s="401">
        <v>36000</v>
      </c>
      <c r="L44" s="402">
        <v>43678</v>
      </c>
      <c r="M44" s="400" t="s">
        <v>910</v>
      </c>
      <c r="N44" s="402">
        <v>11535</v>
      </c>
      <c r="O44" s="405">
        <v>1634.9</v>
      </c>
      <c r="P44" s="405">
        <v>745.52</v>
      </c>
      <c r="Q44" s="382">
        <v>4</v>
      </c>
      <c r="R44" s="409">
        <v>0.27700000000000002</v>
      </c>
      <c r="S44" s="409">
        <v>7.1999999999999998E-3</v>
      </c>
    </row>
    <row r="45" spans="2:19" ht="14.4">
      <c r="J45" s="400" t="s">
        <v>922</v>
      </c>
      <c r="K45" s="401">
        <v>82500</v>
      </c>
      <c r="L45" s="402">
        <v>43957</v>
      </c>
      <c r="M45" s="400" t="s">
        <v>910</v>
      </c>
      <c r="N45" s="402">
        <v>11814</v>
      </c>
      <c r="O45" s="405">
        <v>1381.1</v>
      </c>
      <c r="P45" s="405">
        <v>446.24</v>
      </c>
      <c r="Q45" s="382">
        <v>4</v>
      </c>
      <c r="R45" s="409">
        <v>0.27700000000000002</v>
      </c>
      <c r="S45" s="409">
        <v>7.1999999999999998E-3</v>
      </c>
    </row>
    <row r="46" spans="2:19" ht="14.4">
      <c r="J46" s="400" t="s">
        <v>923</v>
      </c>
      <c r="K46" s="401">
        <v>427500</v>
      </c>
      <c r="L46" s="402">
        <v>43957</v>
      </c>
      <c r="M46" s="400" t="s">
        <v>62</v>
      </c>
      <c r="N46" s="402">
        <v>11083</v>
      </c>
      <c r="O46" s="405">
        <v>1381.1</v>
      </c>
      <c r="P46" s="405">
        <v>386.16</v>
      </c>
      <c r="Q46" s="382">
        <v>3</v>
      </c>
      <c r="R46" s="409">
        <v>0.27700000000000002</v>
      </c>
      <c r="S46" s="409">
        <v>7.1999999999999998E-3</v>
      </c>
    </row>
    <row r="47" spans="2:19" ht="14.4">
      <c r="J47" s="400" t="s">
        <v>924</v>
      </c>
      <c r="K47" s="401">
        <v>10000</v>
      </c>
      <c r="L47" s="402">
        <v>44237</v>
      </c>
      <c r="M47" s="400" t="s">
        <v>62</v>
      </c>
      <c r="N47" s="402">
        <v>11363</v>
      </c>
      <c r="O47" s="405">
        <v>2948</v>
      </c>
      <c r="P47" s="405">
        <v>875.95</v>
      </c>
      <c r="Q47" s="382">
        <v>3</v>
      </c>
      <c r="R47" s="409">
        <v>0.27700000000000002</v>
      </c>
      <c r="S47" s="409">
        <v>7.1999999999999998E-3</v>
      </c>
    </row>
    <row r="48" spans="2:19" ht="14.4">
      <c r="J48" s="400" t="s">
        <v>925</v>
      </c>
      <c r="K48" s="401">
        <v>328500</v>
      </c>
      <c r="L48" s="402">
        <v>44343</v>
      </c>
      <c r="M48" s="400" t="s">
        <v>62</v>
      </c>
      <c r="N48" s="402">
        <v>11469</v>
      </c>
      <c r="O48" s="405">
        <v>2634</v>
      </c>
      <c r="P48" s="405">
        <v>782.21</v>
      </c>
      <c r="Q48" s="382">
        <v>3</v>
      </c>
      <c r="R48" s="409">
        <v>0.27700000000000002</v>
      </c>
      <c r="S48" s="409">
        <v>7.1999999999999998E-3</v>
      </c>
    </row>
    <row r="49" spans="10:19" ht="14.4">
      <c r="J49" s="400" t="s">
        <v>926</v>
      </c>
      <c r="K49" s="401">
        <v>200000</v>
      </c>
      <c r="L49" s="402">
        <v>44343</v>
      </c>
      <c r="M49" s="400" t="s">
        <v>927</v>
      </c>
      <c r="N49" s="402">
        <v>11469</v>
      </c>
      <c r="O49" s="405">
        <v>2634</v>
      </c>
      <c r="P49" s="405">
        <v>829.69</v>
      </c>
      <c r="Q49" s="382">
        <v>3</v>
      </c>
      <c r="R49" s="409">
        <v>0.27700000000000002</v>
      </c>
      <c r="S49" s="409">
        <v>7.1999999999999998E-3</v>
      </c>
    </row>
    <row r="50" spans="10:19" ht="14.4">
      <c r="J50" s="400" t="s">
        <v>928</v>
      </c>
      <c r="K50" s="401">
        <v>50000</v>
      </c>
      <c r="L50" s="402">
        <v>45698</v>
      </c>
      <c r="M50" s="400" t="s">
        <v>62</v>
      </c>
      <c r="N50" s="402">
        <v>11264</v>
      </c>
      <c r="O50" s="405">
        <v>2543</v>
      </c>
      <c r="P50" s="405">
        <v>744.14</v>
      </c>
      <c r="Q50" s="382">
        <v>3</v>
      </c>
      <c r="R50" s="409">
        <v>0.27700000000000002</v>
      </c>
      <c r="S50" s="409">
        <v>7.1999999999999998E-3</v>
      </c>
    </row>
    <row r="51" spans="10:19" ht="14.4">
      <c r="J51" s="400" t="s">
        <v>929</v>
      </c>
      <c r="K51" s="401">
        <v>50000</v>
      </c>
      <c r="L51" s="402">
        <v>45698</v>
      </c>
      <c r="M51" s="400" t="s">
        <v>61</v>
      </c>
      <c r="N51" s="402">
        <v>12824</v>
      </c>
      <c r="O51" s="405">
        <v>5373</v>
      </c>
      <c r="P51" s="405">
        <v>1993.51</v>
      </c>
      <c r="Q51" s="382">
        <v>5</v>
      </c>
      <c r="R51" s="409">
        <v>0.27700000000000002</v>
      </c>
      <c r="S51" s="409">
        <v>7.1999999999999998E-3</v>
      </c>
    </row>
    <row r="52" spans="10:19" ht="14.4">
      <c r="J52" s="400" t="s">
        <v>929</v>
      </c>
      <c r="K52" s="401">
        <v>50000</v>
      </c>
      <c r="L52" s="402">
        <v>45698</v>
      </c>
      <c r="M52" s="400" t="s">
        <v>930</v>
      </c>
      <c r="N52" s="402">
        <v>13189</v>
      </c>
      <c r="O52" s="405">
        <v>5373</v>
      </c>
      <c r="P52" s="405">
        <v>2239.9499999999998</v>
      </c>
      <c r="Q52" s="382">
        <v>6</v>
      </c>
      <c r="R52" s="409">
        <v>0.27700000000000002</v>
      </c>
      <c r="S52" s="409">
        <v>7.1999999999999998E-3</v>
      </c>
    </row>
    <row r="53" spans="10:19" ht="14.4">
      <c r="J53" s="400" t="s">
        <v>929</v>
      </c>
      <c r="K53" s="401">
        <v>50000</v>
      </c>
      <c r="L53" s="402">
        <v>45698</v>
      </c>
      <c r="M53" s="400" t="s">
        <v>931</v>
      </c>
      <c r="N53" s="402">
        <v>13555</v>
      </c>
      <c r="O53" s="405">
        <v>5373</v>
      </c>
      <c r="P53" s="405">
        <v>2435.84</v>
      </c>
      <c r="Q53" s="382">
        <v>7</v>
      </c>
      <c r="R53" s="409">
        <v>0.27700000000000002</v>
      </c>
      <c r="S53" s="409">
        <v>7.1999999999999998E-3</v>
      </c>
    </row>
    <row r="54" spans="10:19" ht="12">
      <c r="K54" s="404" t="s">
        <v>932</v>
      </c>
      <c r="L54" s="406">
        <f>SUMPRODUCT(O33:O53,$K$33:$K$53)/SUM($K$33:$K$53)</f>
        <v>2002.5670558190441</v>
      </c>
      <c r="Q54" s="406">
        <f>SUMPRODUCT(Q33:Q53,$K$33:$K$53)/SUM($K$33:$K$53)</f>
        <v>3.7097571851311364</v>
      </c>
      <c r="R54" s="410">
        <f>SUMPRODUCT(R33:R53,$K$33:$K$53)/SUM($K$33:$K$53)</f>
        <v>0.27700000000000002</v>
      </c>
      <c r="S54" s="410">
        <f>SUMPRODUCT(S33:S53,$K$33:$K$53)/SUM($K$33:$K$53)</f>
        <v>7.1999999999999998E-3</v>
      </c>
    </row>
  </sheetData>
  <sheetProtection algorithmName="SHA-512" hashValue="DKa4ZPPW2kBoSysADTyD50eM9mr70jmcV+dinLl/5+9lEmTKW8zehjodxrq/IsWkDZPYs8+SA/Ae6KK6sbtV0g==" saltValue="AtmrwK0QmmgxrMP7ehxN6g==" spinCount="100000" sheet="1" objects="1" scenarios="1" selectLockedCells="1" selectUnlockedCell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CEC1-2B24-4D59-8F7D-4C9EA9876D8F}">
  <dimension ref="B3:AJ12"/>
  <sheetViews>
    <sheetView showGridLines="0" zoomScale="79" workbookViewId="0">
      <selection activeCell="AJ12" sqref="AJ12"/>
    </sheetView>
  </sheetViews>
  <sheetFormatPr defaultRowHeight="14.4"/>
  <sheetData>
    <row r="3" spans="2:36">
      <c r="B3" t="s">
        <v>237</v>
      </c>
    </row>
    <row r="5" spans="2:36">
      <c r="B5" t="s">
        <v>238</v>
      </c>
    </row>
    <row r="7" spans="2:36">
      <c r="B7" t="s">
        <v>239</v>
      </c>
    </row>
    <row r="12" spans="2:36" ht="36.6">
      <c r="AJ12" s="129"/>
    </row>
  </sheetData>
  <sheetProtection algorithmName="SHA-512" hashValue="KwNJwnpDBUJoHi9tWDM3xWM7WLWGqEtYTrDZNt5tfhnnYMvEO/cR9POEYHGk4orfFvhxi+ZIf4IRVy2+GAVq9g==" saltValue="WpFoUGEZGdF29GXHD9xgJA==" spinCount="100000" sheet="1" objects="1" scenarios="1" selectLockedCells="1" selectUnlockedCells="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BFB53-F325-48A7-9107-DE42552BBD25}">
  <sheetPr>
    <tabColor rgb="FFFF0000"/>
  </sheetPr>
  <dimension ref="A1"/>
  <sheetViews>
    <sheetView workbookViewId="0"/>
  </sheetViews>
  <sheetFormatPr defaultRowHeight="14.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FED2-F762-403B-B7A2-4C98E980B5AD}">
  <dimension ref="B2:Q77"/>
  <sheetViews>
    <sheetView showGridLines="0" topLeftCell="A3" zoomScale="33" zoomScaleNormal="70" workbookViewId="0">
      <selection activeCell="J13" sqref="J13:R74"/>
    </sheetView>
  </sheetViews>
  <sheetFormatPr defaultRowHeight="14.4"/>
  <cols>
    <col min="1" max="1" width="1.88671875" customWidth="1"/>
    <col min="2" max="2" width="52.21875" bestFit="1" customWidth="1"/>
    <col min="3" max="4" width="8.44140625" bestFit="1" customWidth="1"/>
    <col min="5" max="5" width="13.88671875" customWidth="1"/>
    <col min="6" max="6" width="14.6640625" customWidth="1"/>
    <col min="7" max="7" width="15.33203125" customWidth="1"/>
    <col min="8" max="8" width="16" customWidth="1"/>
    <col min="9" max="9" width="15.77734375" customWidth="1"/>
    <col min="10" max="14" width="18.21875" bestFit="1" customWidth="1"/>
  </cols>
  <sheetData>
    <row r="2" spans="2:17">
      <c r="B2" s="466" t="s">
        <v>154</v>
      </c>
      <c r="C2" s="466">
        <v>2019</v>
      </c>
      <c r="D2" s="466">
        <v>2020</v>
      </c>
      <c r="E2" s="466">
        <v>2021</v>
      </c>
      <c r="F2" s="466">
        <f>E2+1</f>
        <v>2022</v>
      </c>
      <c r="G2" s="466">
        <f t="shared" ref="G2:I2" si="0">F2+1</f>
        <v>2023</v>
      </c>
      <c r="H2" s="466">
        <f t="shared" si="0"/>
        <v>2024</v>
      </c>
      <c r="I2" s="466">
        <f t="shared" si="0"/>
        <v>2025</v>
      </c>
      <c r="J2" s="26"/>
      <c r="K2" s="26"/>
      <c r="L2" s="26"/>
      <c r="M2" s="26"/>
      <c r="N2" s="26"/>
    </row>
    <row r="3" spans="2:17">
      <c r="B3" s="26" t="s">
        <v>180</v>
      </c>
      <c r="C3" s="26"/>
      <c r="D3" s="26"/>
      <c r="E3" s="26"/>
      <c r="F3" s="26"/>
      <c r="G3" s="26"/>
      <c r="H3" s="26"/>
      <c r="I3" s="26"/>
    </row>
    <row r="4" spans="2:17">
      <c r="B4" s="26" t="s">
        <v>181</v>
      </c>
      <c r="C4" s="26"/>
      <c r="D4" s="26"/>
      <c r="E4" s="26"/>
      <c r="F4" s="26"/>
      <c r="G4" s="26"/>
      <c r="H4" s="26"/>
      <c r="I4" s="26"/>
    </row>
    <row r="5" spans="2:17">
      <c r="B5" s="26" t="s">
        <v>182</v>
      </c>
      <c r="C5" s="98">
        <f>SUM(C6:C11)</f>
        <v>2324.3200000000002</v>
      </c>
      <c r="D5" s="98">
        <f>SUM(D6:D11)</f>
        <v>2689.6900000000005</v>
      </c>
      <c r="E5" s="98">
        <f>SUM(E6:E11)</f>
        <v>2747.59</v>
      </c>
      <c r="F5" s="98">
        <f t="shared" ref="F5:I5" si="1">SUM(F6:F11)</f>
        <v>2929.06</v>
      </c>
      <c r="G5" s="98">
        <f t="shared" si="1"/>
        <v>3162.0600000000004</v>
      </c>
      <c r="H5" s="98">
        <f t="shared" si="1"/>
        <v>3469.4799999999996</v>
      </c>
      <c r="I5" s="98">
        <f t="shared" si="1"/>
        <v>3964.94</v>
      </c>
      <c r="J5" s="26"/>
      <c r="K5" s="171"/>
      <c r="L5" s="171"/>
      <c r="M5" s="171"/>
      <c r="N5" s="171"/>
      <c r="O5" s="171"/>
      <c r="P5" s="171"/>
    </row>
    <row r="6" spans="2:17">
      <c r="B6" t="s">
        <v>183</v>
      </c>
      <c r="C6" s="91">
        <v>1692.07</v>
      </c>
      <c r="D6" s="91">
        <v>2001.77</v>
      </c>
      <c r="E6" s="91">
        <v>1894.51</v>
      </c>
      <c r="F6" s="91">
        <v>1910.78</v>
      </c>
      <c r="G6" s="91">
        <v>1999.65</v>
      </c>
      <c r="H6" s="91">
        <v>1950.26</v>
      </c>
      <c r="I6" s="91">
        <v>2268.6999999999998</v>
      </c>
    </row>
    <row r="7" spans="2:17">
      <c r="B7" t="s">
        <v>184</v>
      </c>
      <c r="C7" s="91">
        <v>272.14</v>
      </c>
      <c r="D7" s="91">
        <v>26.75</v>
      </c>
      <c r="E7" s="91">
        <v>63.91</v>
      </c>
      <c r="F7" s="91">
        <v>133.97999999999999</v>
      </c>
      <c r="G7" s="91">
        <v>77.75</v>
      </c>
      <c r="H7" s="91">
        <v>211.65</v>
      </c>
      <c r="I7" s="91">
        <v>110.3</v>
      </c>
      <c r="J7" s="26"/>
    </row>
    <row r="8" spans="2:17">
      <c r="B8" t="s">
        <v>185</v>
      </c>
      <c r="C8" s="91">
        <v>3.51</v>
      </c>
      <c r="D8" s="91">
        <v>3.16</v>
      </c>
      <c r="E8" s="91">
        <v>0</v>
      </c>
      <c r="F8" s="91">
        <v>0</v>
      </c>
      <c r="G8" s="91">
        <v>0</v>
      </c>
      <c r="H8" s="91">
        <v>0</v>
      </c>
      <c r="I8" s="91">
        <v>0</v>
      </c>
      <c r="K8" s="106"/>
    </row>
    <row r="9" spans="2:17">
      <c r="B9" t="s">
        <v>186</v>
      </c>
      <c r="C9" s="91">
        <v>179</v>
      </c>
      <c r="D9" s="91">
        <v>184.83</v>
      </c>
      <c r="E9" s="91">
        <v>341.17</v>
      </c>
      <c r="F9" s="91">
        <v>329.84</v>
      </c>
      <c r="G9" s="91">
        <v>464.21</v>
      </c>
      <c r="H9" s="91">
        <v>692.13</v>
      </c>
      <c r="I9" s="91">
        <v>887.73</v>
      </c>
      <c r="J9" s="169"/>
      <c r="K9" s="106"/>
    </row>
    <row r="10" spans="2:17">
      <c r="B10" t="s">
        <v>187</v>
      </c>
      <c r="C10" s="91">
        <v>0</v>
      </c>
      <c r="D10" s="91">
        <v>187.76</v>
      </c>
      <c r="E10" s="91">
        <v>197.62</v>
      </c>
      <c r="F10" s="91">
        <v>183.66</v>
      </c>
      <c r="G10" s="91">
        <v>226.13</v>
      </c>
      <c r="H10" s="91">
        <v>271.99</v>
      </c>
      <c r="I10" s="91">
        <v>317.04000000000002</v>
      </c>
      <c r="J10" s="101"/>
      <c r="K10" s="106"/>
    </row>
    <row r="11" spans="2:17">
      <c r="B11" t="s">
        <v>188</v>
      </c>
      <c r="C11" s="91">
        <v>177.6</v>
      </c>
      <c r="D11" s="91">
        <v>285.42</v>
      </c>
      <c r="E11" s="91">
        <v>250.38</v>
      </c>
      <c r="F11" s="91">
        <v>370.8</v>
      </c>
      <c r="G11" s="91">
        <v>394.32</v>
      </c>
      <c r="H11" s="91">
        <v>343.45</v>
      </c>
      <c r="I11" s="91">
        <v>381.17</v>
      </c>
      <c r="J11" s="169"/>
    </row>
    <row r="12" spans="2:17">
      <c r="B12" s="26"/>
      <c r="C12" s="157"/>
      <c r="D12" s="157"/>
      <c r="E12" s="157"/>
      <c r="F12" s="157"/>
      <c r="G12" s="157"/>
      <c r="H12" s="157"/>
      <c r="I12" s="157"/>
      <c r="J12" s="35"/>
    </row>
    <row r="13" spans="2:17">
      <c r="B13" s="26" t="s">
        <v>189</v>
      </c>
      <c r="C13" s="96">
        <f>SUM(C14:C16)</f>
        <v>4480.76</v>
      </c>
      <c r="D13" s="96">
        <f t="shared" ref="D13:I13" si="2">SUM(D14:D16)</f>
        <v>3260.35</v>
      </c>
      <c r="E13" s="96">
        <f t="shared" si="2"/>
        <v>2848.92</v>
      </c>
      <c r="F13" s="96">
        <f t="shared" si="2"/>
        <v>7368.9</v>
      </c>
      <c r="G13" s="96">
        <f t="shared" si="2"/>
        <v>12120.050000000001</v>
      </c>
      <c r="H13" s="96">
        <f t="shared" si="2"/>
        <v>15202.14</v>
      </c>
      <c r="I13" s="96">
        <f t="shared" si="2"/>
        <v>16013.75</v>
      </c>
      <c r="J13" s="171"/>
      <c r="K13" s="171"/>
      <c r="L13" s="171"/>
      <c r="M13" s="171"/>
      <c r="N13" s="171"/>
      <c r="O13" s="171"/>
      <c r="P13" s="171"/>
      <c r="Q13" s="88"/>
    </row>
    <row r="14" spans="2:17">
      <c r="B14" t="s">
        <v>190</v>
      </c>
      <c r="C14" s="91">
        <v>1943.92</v>
      </c>
      <c r="D14" s="91">
        <v>1892.05</v>
      </c>
      <c r="E14" s="91">
        <v>1926.21</v>
      </c>
      <c r="F14" s="91">
        <v>1957.94</v>
      </c>
      <c r="G14" s="91">
        <v>2228.37</v>
      </c>
      <c r="H14" s="91">
        <v>2578.48</v>
      </c>
      <c r="I14" s="91">
        <v>3140.85</v>
      </c>
      <c r="J14" s="171"/>
      <c r="K14" s="171"/>
      <c r="L14" s="171"/>
      <c r="M14" s="171"/>
      <c r="N14" s="171"/>
      <c r="O14" s="171"/>
      <c r="P14" s="171"/>
      <c r="Q14" s="88"/>
    </row>
    <row r="15" spans="2:17">
      <c r="B15" t="s">
        <v>191</v>
      </c>
      <c r="C15" s="91">
        <v>2509.79</v>
      </c>
      <c r="D15" s="91">
        <v>1344.22</v>
      </c>
      <c r="E15" s="91">
        <v>899.85</v>
      </c>
      <c r="F15" s="91">
        <v>5337.95</v>
      </c>
      <c r="G15" s="91">
        <v>9872.4</v>
      </c>
      <c r="H15" s="91">
        <v>10767.56</v>
      </c>
      <c r="I15" s="91">
        <v>10802.5</v>
      </c>
      <c r="J15" s="171"/>
      <c r="K15" s="171"/>
      <c r="L15" s="171"/>
      <c r="M15" s="171"/>
      <c r="N15" s="171"/>
      <c r="O15" s="171"/>
      <c r="P15" s="171"/>
      <c r="Q15" s="88"/>
    </row>
    <row r="16" spans="2:17">
      <c r="B16" t="s">
        <v>192</v>
      </c>
      <c r="C16" s="91">
        <v>27.05</v>
      </c>
      <c r="D16" s="91">
        <v>24.08</v>
      </c>
      <c r="E16" s="91">
        <v>22.86</v>
      </c>
      <c r="F16" s="91">
        <v>73.010000000000005</v>
      </c>
      <c r="G16" s="91">
        <v>19.28</v>
      </c>
      <c r="H16" s="91">
        <v>1856.1</v>
      </c>
      <c r="I16" s="91">
        <v>2070.4</v>
      </c>
      <c r="J16" s="171"/>
      <c r="K16" s="171"/>
      <c r="L16" s="171"/>
      <c r="M16" s="171"/>
      <c r="N16" s="171"/>
      <c r="O16" s="171"/>
      <c r="P16" s="171"/>
    </row>
    <row r="17" spans="2:16">
      <c r="C17" s="107"/>
      <c r="D17" s="107"/>
      <c r="E17" s="107"/>
      <c r="F17" s="107"/>
      <c r="G17" s="107"/>
      <c r="H17" s="107"/>
      <c r="I17" s="107"/>
    </row>
    <row r="18" spans="2:16">
      <c r="B18" s="26" t="s">
        <v>193</v>
      </c>
      <c r="C18" s="91"/>
      <c r="D18" s="91"/>
      <c r="E18" s="91"/>
      <c r="F18" s="91"/>
      <c r="G18" s="91"/>
      <c r="H18" s="91"/>
      <c r="I18" s="91"/>
    </row>
    <row r="19" spans="2:16">
      <c r="B19" t="s">
        <v>194</v>
      </c>
      <c r="C19" s="91">
        <v>0</v>
      </c>
      <c r="D19" s="91">
        <v>0</v>
      </c>
      <c r="E19" s="91">
        <v>0</v>
      </c>
      <c r="F19" s="91">
        <v>0</v>
      </c>
      <c r="G19" s="91">
        <v>0</v>
      </c>
      <c r="H19" s="91">
        <v>12.8</v>
      </c>
      <c r="I19" s="91">
        <v>0</v>
      </c>
    </row>
    <row r="20" spans="2:16">
      <c r="B20" t="s">
        <v>195</v>
      </c>
      <c r="C20" s="91">
        <v>18.440000000000001</v>
      </c>
      <c r="D20" s="91">
        <v>46.52</v>
      </c>
      <c r="E20" s="91">
        <v>51.33</v>
      </c>
      <c r="F20" s="91">
        <v>83.12</v>
      </c>
      <c r="G20" s="91">
        <v>86.47</v>
      </c>
      <c r="H20" s="91">
        <v>103.41</v>
      </c>
      <c r="I20" s="91">
        <v>89.71</v>
      </c>
      <c r="J20" s="35"/>
      <c r="K20" s="35"/>
      <c r="L20" s="35"/>
      <c r="M20" s="35"/>
      <c r="N20" s="35"/>
      <c r="O20" s="35"/>
    </row>
    <row r="21" spans="2:16">
      <c r="B21" t="s">
        <v>196</v>
      </c>
      <c r="C21" s="91">
        <v>148</v>
      </c>
      <c r="D21" s="91">
        <v>78.569999999999993</v>
      </c>
      <c r="E21" s="91">
        <v>102.29</v>
      </c>
      <c r="F21" s="91">
        <v>139.41</v>
      </c>
      <c r="G21" s="91">
        <v>145.83000000000001</v>
      </c>
      <c r="H21" s="91">
        <v>188.77</v>
      </c>
      <c r="I21" s="91">
        <v>151.85</v>
      </c>
      <c r="J21" s="106"/>
      <c r="K21" s="106"/>
      <c r="L21" s="106"/>
      <c r="M21" s="106"/>
      <c r="N21" s="106"/>
      <c r="O21" s="106"/>
      <c r="P21" s="106"/>
    </row>
    <row r="22" spans="2:16">
      <c r="B22" s="92" t="s">
        <v>197</v>
      </c>
      <c r="C22" s="93">
        <f>SUM(C5,C14:C16,C19:C21)</f>
        <v>6971.5199999999995</v>
      </c>
      <c r="D22" s="93">
        <f t="shared" ref="D22:I22" si="3">SUM(D5,D14:D16,D19:D21)</f>
        <v>6075.130000000001</v>
      </c>
      <c r="E22" s="93">
        <f t="shared" si="3"/>
        <v>5750.13</v>
      </c>
      <c r="F22" s="93">
        <f t="shared" si="3"/>
        <v>10520.490000000002</v>
      </c>
      <c r="G22" s="93">
        <f t="shared" si="3"/>
        <v>15514.41</v>
      </c>
      <c r="H22" s="93">
        <f t="shared" si="3"/>
        <v>18976.599999999995</v>
      </c>
      <c r="I22" s="93">
        <f t="shared" si="3"/>
        <v>20220.25</v>
      </c>
      <c r="J22" s="108"/>
      <c r="K22" s="26"/>
      <c r="L22" s="26"/>
      <c r="M22" s="26"/>
      <c r="N22" s="26"/>
    </row>
    <row r="23" spans="2:16">
      <c r="B23" s="26"/>
      <c r="C23" s="94"/>
      <c r="D23" s="94"/>
      <c r="E23" s="94"/>
      <c r="F23" s="94"/>
      <c r="G23" s="94"/>
      <c r="H23" s="94"/>
      <c r="I23" s="94"/>
      <c r="J23" s="26"/>
      <c r="K23" s="26"/>
      <c r="L23" s="26"/>
      <c r="M23" s="26"/>
      <c r="N23" s="26"/>
    </row>
    <row r="24" spans="2:16">
      <c r="B24" s="26" t="s">
        <v>198</v>
      </c>
      <c r="C24" s="91"/>
      <c r="D24" s="91"/>
      <c r="E24" s="91"/>
      <c r="F24" s="91"/>
      <c r="G24" s="91"/>
      <c r="H24" s="91"/>
      <c r="I24" s="91"/>
      <c r="J24" s="26"/>
      <c r="K24" s="26"/>
      <c r="L24" s="26"/>
      <c r="M24" s="26"/>
      <c r="N24" s="26"/>
    </row>
    <row r="25" spans="2:16">
      <c r="B25" t="s">
        <v>199</v>
      </c>
      <c r="C25" s="91">
        <v>633.38</v>
      </c>
      <c r="D25" s="91">
        <v>572.35</v>
      </c>
      <c r="E25" s="91">
        <v>874.6</v>
      </c>
      <c r="F25" s="91">
        <v>1132.4000000000001</v>
      </c>
      <c r="G25" s="91">
        <v>1278.44</v>
      </c>
      <c r="H25" s="91">
        <v>1409.64</v>
      </c>
      <c r="I25" s="91">
        <v>1563.75</v>
      </c>
    </row>
    <row r="26" spans="2:16">
      <c r="B26" t="s">
        <v>200</v>
      </c>
      <c r="C26" s="91">
        <v>84.29</v>
      </c>
      <c r="D26" s="91">
        <v>86.76</v>
      </c>
      <c r="E26" s="91">
        <v>158.16</v>
      </c>
      <c r="F26" s="91">
        <v>302.04000000000002</v>
      </c>
      <c r="G26" s="91">
        <v>368.92</v>
      </c>
      <c r="H26" s="91">
        <v>373.78</v>
      </c>
      <c r="I26" s="91">
        <v>549.64</v>
      </c>
    </row>
    <row r="27" spans="2:16">
      <c r="B27" s="26" t="s">
        <v>496</v>
      </c>
      <c r="C27" s="96">
        <f>SUM(C28:C30)</f>
        <v>552.07000000000005</v>
      </c>
      <c r="D27" s="96">
        <f t="shared" ref="D27:I27" si="4">SUM(D28:D30)</f>
        <v>2603.6</v>
      </c>
      <c r="E27" s="96">
        <f t="shared" si="4"/>
        <v>1750.17</v>
      </c>
      <c r="F27" s="96">
        <f t="shared" si="4"/>
        <v>1167.23</v>
      </c>
      <c r="G27" s="96">
        <f t="shared" si="4"/>
        <v>934.79000000000008</v>
      </c>
      <c r="H27" s="96">
        <f t="shared" si="4"/>
        <v>1911.12</v>
      </c>
      <c r="I27" s="96">
        <f t="shared" si="4"/>
        <v>4161.63</v>
      </c>
      <c r="J27" s="171"/>
      <c r="K27" s="171"/>
      <c r="L27" s="171"/>
      <c r="M27" s="171"/>
      <c r="N27" s="171"/>
      <c r="O27" s="171"/>
      <c r="P27" s="171"/>
    </row>
    <row r="28" spans="2:16">
      <c r="B28" s="36" t="s">
        <v>201</v>
      </c>
      <c r="C28" s="91">
        <v>468.81</v>
      </c>
      <c r="D28" s="91">
        <v>2512.5</v>
      </c>
      <c r="E28" s="91">
        <v>1076.08</v>
      </c>
      <c r="F28" s="91">
        <v>424.69</v>
      </c>
      <c r="G28" s="91">
        <v>219.89</v>
      </c>
      <c r="H28" s="91">
        <v>180.92</v>
      </c>
      <c r="I28" s="91">
        <v>847.55</v>
      </c>
      <c r="J28" s="171"/>
      <c r="K28" s="171"/>
      <c r="L28" s="171"/>
      <c r="M28" s="171"/>
      <c r="N28" s="171"/>
      <c r="O28" s="171"/>
      <c r="P28" s="171"/>
    </row>
    <row r="29" spans="2:16">
      <c r="B29" s="36" t="s">
        <v>202</v>
      </c>
      <c r="C29" s="91">
        <v>1.29</v>
      </c>
      <c r="D29" s="91">
        <v>0.12</v>
      </c>
      <c r="E29" s="91">
        <v>459.16</v>
      </c>
      <c r="F29" s="91">
        <v>676.79</v>
      </c>
      <c r="G29" s="91">
        <v>588.94000000000005</v>
      </c>
      <c r="H29" s="91">
        <v>476.88</v>
      </c>
      <c r="I29" s="91">
        <v>445.96</v>
      </c>
      <c r="J29" s="168"/>
    </row>
    <row r="30" spans="2:16">
      <c r="B30" s="36" t="s">
        <v>203</v>
      </c>
      <c r="C30" s="91">
        <v>81.97</v>
      </c>
      <c r="D30" s="91">
        <v>90.98</v>
      </c>
      <c r="E30" s="91">
        <v>214.93</v>
      </c>
      <c r="F30" s="91">
        <v>65.75</v>
      </c>
      <c r="G30" s="91">
        <v>125.96</v>
      </c>
      <c r="H30" s="91">
        <v>1253.32</v>
      </c>
      <c r="I30" s="91">
        <v>2868.12</v>
      </c>
    </row>
    <row r="31" spans="2:16">
      <c r="B31" s="80" t="s">
        <v>204</v>
      </c>
      <c r="C31" s="91">
        <v>180.28</v>
      </c>
      <c r="D31" s="91">
        <v>161.29</v>
      </c>
      <c r="E31" s="91">
        <v>195.19</v>
      </c>
      <c r="F31" s="91">
        <v>295.2</v>
      </c>
      <c r="G31" s="91">
        <v>335.5</v>
      </c>
      <c r="H31" s="91">
        <v>310.48</v>
      </c>
      <c r="I31" s="91">
        <v>416.13</v>
      </c>
      <c r="J31" s="106"/>
      <c r="K31" s="106"/>
      <c r="L31" s="106"/>
      <c r="M31" s="106"/>
      <c r="N31" s="106"/>
      <c r="O31" s="106"/>
      <c r="P31" s="106"/>
    </row>
    <row r="32" spans="2:16">
      <c r="B32" t="s">
        <v>205</v>
      </c>
      <c r="C32" s="91">
        <v>726.98</v>
      </c>
      <c r="D32" s="91">
        <v>43.21</v>
      </c>
      <c r="E32" s="107">
        <v>94.12</v>
      </c>
      <c r="F32" s="107">
        <v>50.53</v>
      </c>
      <c r="G32" s="107">
        <v>88.81</v>
      </c>
      <c r="H32" s="107">
        <v>107.21</v>
      </c>
      <c r="I32" s="107">
        <v>218.96</v>
      </c>
    </row>
    <row r="33" spans="2:14">
      <c r="B33" t="s">
        <v>206</v>
      </c>
      <c r="C33" s="91">
        <v>2238.31</v>
      </c>
      <c r="D33" s="91">
        <v>2907.38</v>
      </c>
      <c r="E33" s="91">
        <v>5736.24</v>
      </c>
      <c r="F33" s="91">
        <v>2671.94</v>
      </c>
      <c r="G33" s="91">
        <v>676.77</v>
      </c>
      <c r="H33" s="91">
        <v>39.1</v>
      </c>
      <c r="I33" s="91">
        <v>44.05</v>
      </c>
    </row>
    <row r="34" spans="2:14">
      <c r="B34" s="92" t="s">
        <v>207</v>
      </c>
      <c r="C34" s="93">
        <f>SUM(C25:C27,C31,C32,C33)</f>
        <v>4415.3099999999995</v>
      </c>
      <c r="D34" s="93">
        <f t="shared" ref="D34:I34" si="5">SUM(D25:D27,D31,D32,D33)</f>
        <v>6374.59</v>
      </c>
      <c r="E34" s="93">
        <f t="shared" si="5"/>
        <v>8808.48</v>
      </c>
      <c r="F34" s="93">
        <f t="shared" si="5"/>
        <v>5619.34</v>
      </c>
      <c r="G34" s="93">
        <f t="shared" si="5"/>
        <v>3683.23</v>
      </c>
      <c r="H34" s="93">
        <f t="shared" si="5"/>
        <v>4151.33</v>
      </c>
      <c r="I34" s="93">
        <f t="shared" si="5"/>
        <v>6954.1600000000008</v>
      </c>
    </row>
    <row r="35" spans="2:14">
      <c r="B35" s="26"/>
      <c r="C35" s="94"/>
      <c r="D35" s="94"/>
      <c r="E35" s="94"/>
      <c r="F35" s="94"/>
      <c r="G35" s="94"/>
      <c r="H35" s="94"/>
      <c r="I35" s="94"/>
    </row>
    <row r="36" spans="2:14" ht="15" thickBot="1">
      <c r="B36" s="86" t="s">
        <v>11</v>
      </c>
      <c r="C36" s="99">
        <f>SUM(C22,C34)</f>
        <v>11386.829999999998</v>
      </c>
      <c r="D36" s="99">
        <f>SUM(D22,D34)</f>
        <v>12449.720000000001</v>
      </c>
      <c r="E36" s="99">
        <f>SUM(E22,E34)</f>
        <v>14558.61</v>
      </c>
      <c r="F36" s="99">
        <f t="shared" ref="F36:I36" si="6">SUM(F22,F34)</f>
        <v>16139.830000000002</v>
      </c>
      <c r="G36" s="99">
        <f t="shared" si="6"/>
        <v>19197.64</v>
      </c>
      <c r="H36" s="99">
        <f t="shared" si="6"/>
        <v>23127.929999999993</v>
      </c>
      <c r="I36" s="99">
        <f t="shared" si="6"/>
        <v>27174.41</v>
      </c>
    </row>
    <row r="37" spans="2:14">
      <c r="C37" s="91"/>
      <c r="D37" s="91"/>
      <c r="E37" s="91"/>
      <c r="F37" s="91"/>
      <c r="G37" s="91"/>
      <c r="H37" s="91"/>
      <c r="I37" s="91"/>
    </row>
    <row r="38" spans="2:14">
      <c r="B38" s="26" t="s">
        <v>208</v>
      </c>
      <c r="C38" s="96"/>
      <c r="D38" s="96"/>
      <c r="E38" s="96"/>
      <c r="F38" s="96"/>
      <c r="G38" s="96"/>
      <c r="H38" s="96"/>
      <c r="I38" s="96"/>
    </row>
    <row r="39" spans="2:14">
      <c r="B39" t="s">
        <v>209</v>
      </c>
      <c r="C39" s="96"/>
      <c r="D39" s="96"/>
      <c r="E39" s="96"/>
      <c r="F39" s="96"/>
      <c r="G39" s="96"/>
      <c r="H39" s="96"/>
      <c r="I39" s="96"/>
    </row>
    <row r="40" spans="2:14">
      <c r="B40" t="s">
        <v>210</v>
      </c>
      <c r="C40" s="97">
        <v>27.28</v>
      </c>
      <c r="D40" s="97">
        <v>27.3</v>
      </c>
      <c r="E40" s="97">
        <v>27.33</v>
      </c>
      <c r="F40" s="97">
        <v>27.34</v>
      </c>
      <c r="G40" s="97">
        <v>27.35</v>
      </c>
      <c r="H40" s="97">
        <v>27.38</v>
      </c>
      <c r="I40" s="97">
        <v>27.42</v>
      </c>
    </row>
    <row r="41" spans="2:14">
      <c r="B41" t="s">
        <v>211</v>
      </c>
      <c r="C41" s="91">
        <v>8891.44</v>
      </c>
      <c r="D41" s="91">
        <v>9953.6299999999992</v>
      </c>
      <c r="E41" s="91">
        <v>11410.75</v>
      </c>
      <c r="F41" s="91">
        <v>12580.66</v>
      </c>
      <c r="G41" s="91">
        <v>14962.93</v>
      </c>
      <c r="H41" s="91">
        <v>18018.150000000001</v>
      </c>
      <c r="I41" s="91">
        <v>21269.07</v>
      </c>
    </row>
    <row r="42" spans="2:14">
      <c r="B42" s="92" t="s">
        <v>212</v>
      </c>
      <c r="C42" s="93">
        <f>C41+C40</f>
        <v>8918.7200000000012</v>
      </c>
      <c r="D42" s="93">
        <f>D41+D40</f>
        <v>9980.9299999999985</v>
      </c>
      <c r="E42" s="93">
        <f>E41+E40</f>
        <v>11438.08</v>
      </c>
      <c r="F42" s="93">
        <f t="shared" ref="F42:I42" si="7">F41+F40</f>
        <v>12608</v>
      </c>
      <c r="G42" s="93">
        <f t="shared" si="7"/>
        <v>14990.28</v>
      </c>
      <c r="H42" s="93">
        <f t="shared" si="7"/>
        <v>18045.530000000002</v>
      </c>
      <c r="I42" s="93">
        <f t="shared" si="7"/>
        <v>21296.489999999998</v>
      </c>
    </row>
    <row r="43" spans="2:14">
      <c r="B43" s="26"/>
      <c r="C43" s="94"/>
      <c r="D43" s="94"/>
      <c r="E43" s="94"/>
      <c r="F43" s="94"/>
      <c r="G43" s="94"/>
      <c r="H43" s="94"/>
      <c r="I43" s="94"/>
    </row>
    <row r="44" spans="2:14">
      <c r="B44" s="26" t="s">
        <v>213</v>
      </c>
      <c r="C44" s="91"/>
      <c r="D44" s="91"/>
      <c r="E44" s="91"/>
      <c r="F44" s="91"/>
      <c r="G44" s="91"/>
      <c r="H44" s="91"/>
      <c r="I44" s="91"/>
    </row>
    <row r="45" spans="2:14">
      <c r="B45" s="26" t="s">
        <v>499</v>
      </c>
      <c r="C45" s="91"/>
      <c r="D45" s="91"/>
      <c r="E45" s="91"/>
      <c r="F45" s="91"/>
      <c r="G45" s="91"/>
      <c r="H45" s="91"/>
      <c r="I45" s="91"/>
    </row>
    <row r="46" spans="2:14">
      <c r="B46" s="36" t="s">
        <v>214</v>
      </c>
      <c r="C46" s="103">
        <v>0</v>
      </c>
      <c r="D46" s="103">
        <v>0</v>
      </c>
      <c r="E46" s="103">
        <v>0</v>
      </c>
      <c r="F46" s="103">
        <v>0</v>
      </c>
      <c r="G46" s="91">
        <v>62.96</v>
      </c>
      <c r="H46" s="91">
        <v>163.46</v>
      </c>
      <c r="I46" s="91">
        <v>184.36</v>
      </c>
      <c r="J46" s="106"/>
      <c r="K46" s="106"/>
      <c r="L46" s="106"/>
      <c r="M46" s="106"/>
      <c r="N46" s="106"/>
    </row>
    <row r="47" spans="2:14">
      <c r="B47" s="36" t="s">
        <v>215</v>
      </c>
      <c r="C47" s="103">
        <v>0</v>
      </c>
      <c r="D47" s="103">
        <v>77.72</v>
      </c>
      <c r="E47" s="103">
        <v>46.12</v>
      </c>
      <c r="F47" s="103">
        <v>35.32</v>
      </c>
      <c r="G47" s="91">
        <v>67.790000000000006</v>
      </c>
      <c r="H47" s="91">
        <v>107.98</v>
      </c>
      <c r="I47" s="91">
        <v>123.81</v>
      </c>
      <c r="J47" s="106"/>
      <c r="K47" s="106"/>
      <c r="L47" s="106"/>
      <c r="M47" s="106"/>
      <c r="N47" s="106"/>
    </row>
    <row r="48" spans="2:14">
      <c r="B48" s="36" t="s">
        <v>216</v>
      </c>
      <c r="C48" s="91">
        <v>9.99</v>
      </c>
      <c r="D48" s="91">
        <v>12.73</v>
      </c>
      <c r="E48" s="91">
        <v>14.62</v>
      </c>
      <c r="F48" s="91">
        <v>14.82</v>
      </c>
      <c r="G48" s="91">
        <v>15.51</v>
      </c>
      <c r="H48" s="91">
        <v>15.07</v>
      </c>
      <c r="I48" s="91">
        <v>29.24</v>
      </c>
      <c r="J48" s="106"/>
      <c r="K48" s="106"/>
      <c r="L48" s="106"/>
      <c r="M48" s="106"/>
      <c r="N48" s="106"/>
    </row>
    <row r="49" spans="2:14">
      <c r="B49" t="s">
        <v>217</v>
      </c>
      <c r="C49" s="91">
        <v>23</v>
      </c>
      <c r="D49" s="91">
        <v>21.2</v>
      </c>
      <c r="E49" s="91">
        <v>22.56</v>
      </c>
      <c r="F49" s="91">
        <v>67.959999999999994</v>
      </c>
      <c r="G49" s="91">
        <v>102.46</v>
      </c>
      <c r="H49" s="91">
        <v>175.02</v>
      </c>
      <c r="I49" s="91">
        <v>194.91</v>
      </c>
      <c r="J49" s="106"/>
      <c r="K49" s="106"/>
      <c r="L49" s="106"/>
      <c r="M49" s="106"/>
      <c r="N49" s="106"/>
    </row>
    <row r="50" spans="2:14">
      <c r="B50" t="s">
        <v>218</v>
      </c>
      <c r="C50" s="91">
        <v>273.89</v>
      </c>
      <c r="D50" s="91">
        <v>252.15</v>
      </c>
      <c r="E50" s="91">
        <v>221.5</v>
      </c>
      <c r="F50" s="91">
        <v>220.06</v>
      </c>
      <c r="G50" s="91">
        <v>291.31</v>
      </c>
      <c r="H50" s="91">
        <v>461.08</v>
      </c>
      <c r="I50" s="91">
        <v>492.95</v>
      </c>
      <c r="J50" s="106"/>
      <c r="K50" s="106"/>
      <c r="L50" s="106"/>
      <c r="M50" s="106"/>
      <c r="N50" s="106"/>
    </row>
    <row r="51" spans="2:14">
      <c r="B51" t="s">
        <v>219</v>
      </c>
      <c r="C51" s="91">
        <v>62.66</v>
      </c>
      <c r="D51" s="91">
        <v>60.02</v>
      </c>
      <c r="E51" s="91">
        <v>63.42</v>
      </c>
      <c r="F51" s="91">
        <v>63.76</v>
      </c>
      <c r="G51" s="91">
        <v>96.37</v>
      </c>
      <c r="H51" s="91">
        <v>133.28</v>
      </c>
      <c r="I51" s="91">
        <v>123.2</v>
      </c>
      <c r="J51" s="106"/>
      <c r="K51" s="106"/>
      <c r="L51" s="106"/>
      <c r="M51" s="106"/>
      <c r="N51" s="106"/>
    </row>
    <row r="52" spans="2:14">
      <c r="B52" t="s">
        <v>220</v>
      </c>
      <c r="C52" s="91">
        <v>0.61</v>
      </c>
      <c r="D52" s="91">
        <v>26.39</v>
      </c>
      <c r="E52" s="91">
        <v>123.5</v>
      </c>
      <c r="F52" s="91">
        <v>236.54</v>
      </c>
      <c r="G52" s="91">
        <v>336.38</v>
      </c>
      <c r="H52" s="91">
        <v>428.1</v>
      </c>
      <c r="I52" s="91">
        <v>463.67</v>
      </c>
      <c r="J52" s="197"/>
      <c r="K52" s="197"/>
      <c r="L52" s="197"/>
      <c r="M52" s="197"/>
      <c r="N52" s="197"/>
    </row>
    <row r="53" spans="2:14">
      <c r="B53" s="92" t="s">
        <v>221</v>
      </c>
      <c r="C53" s="93">
        <f>SUM(C46:C52)</f>
        <v>370.15</v>
      </c>
      <c r="D53" s="93">
        <f>SUM(D46:D52)</f>
        <v>450.21</v>
      </c>
      <c r="E53" s="93">
        <f>SUM(E46:E52)</f>
        <v>491.72</v>
      </c>
      <c r="F53" s="93">
        <f t="shared" ref="F53:I53" si="8">SUM(F46:F52)</f>
        <v>638.45999999999992</v>
      </c>
      <c r="G53" s="93">
        <f t="shared" si="8"/>
        <v>972.78</v>
      </c>
      <c r="H53" s="93">
        <f t="shared" si="8"/>
        <v>1483.9899999999998</v>
      </c>
      <c r="I53" s="93">
        <f t="shared" si="8"/>
        <v>1612.14</v>
      </c>
      <c r="J53" s="106"/>
      <c r="K53" s="106"/>
      <c r="L53" s="106"/>
      <c r="M53" s="106"/>
      <c r="N53" s="106"/>
    </row>
    <row r="54" spans="2:14">
      <c r="B54" s="26"/>
      <c r="C54" s="91"/>
      <c r="D54" s="91"/>
      <c r="E54" s="91"/>
      <c r="F54" s="91"/>
      <c r="G54" s="91"/>
      <c r="H54" s="91"/>
      <c r="I54" s="91"/>
      <c r="J54" s="106"/>
      <c r="K54" s="106"/>
      <c r="L54" s="106"/>
      <c r="M54" s="106"/>
      <c r="N54" s="106"/>
    </row>
    <row r="55" spans="2:14">
      <c r="B55" s="26" t="s">
        <v>222</v>
      </c>
      <c r="C55" s="91"/>
      <c r="D55" s="91"/>
      <c r="E55" s="91"/>
      <c r="F55" s="91"/>
      <c r="G55" s="91"/>
      <c r="H55" s="91"/>
      <c r="I55" s="91"/>
    </row>
    <row r="56" spans="2:14">
      <c r="B56" t="s">
        <v>223</v>
      </c>
      <c r="C56" s="91">
        <f>19.28+1214.77</f>
        <v>1234.05</v>
      </c>
      <c r="D56" s="91">
        <f>18.42+989.4</f>
        <v>1007.8199999999999</v>
      </c>
      <c r="E56" s="91">
        <v>1513.23</v>
      </c>
      <c r="F56" s="91">
        <v>1788.09</v>
      </c>
      <c r="G56" s="91">
        <v>1810.44</v>
      </c>
      <c r="H56" s="91">
        <v>2090.1299999999997</v>
      </c>
      <c r="I56" s="91">
        <v>2529.75</v>
      </c>
    </row>
    <row r="57" spans="2:14">
      <c r="B57" s="26" t="s">
        <v>501</v>
      </c>
      <c r="C57" s="104"/>
      <c r="D57" s="104"/>
      <c r="E57" s="96"/>
      <c r="F57" s="96"/>
      <c r="G57" s="96"/>
      <c r="H57" s="96"/>
      <c r="I57" s="96"/>
    </row>
    <row r="58" spans="2:14">
      <c r="B58" s="36" t="s">
        <v>214</v>
      </c>
      <c r="C58" s="91">
        <v>186.76</v>
      </c>
      <c r="D58" s="91">
        <v>144.43</v>
      </c>
      <c r="E58" s="91">
        <v>157.41</v>
      </c>
      <c r="F58" s="91">
        <v>58.84</v>
      </c>
      <c r="G58" s="91">
        <v>132.74</v>
      </c>
      <c r="H58" s="91">
        <v>112.12</v>
      </c>
      <c r="I58" s="91">
        <v>82.11</v>
      </c>
      <c r="J58" s="106"/>
      <c r="K58" s="106"/>
      <c r="L58" s="106"/>
      <c r="M58" s="106"/>
      <c r="N58" s="106"/>
    </row>
    <row r="59" spans="2:14">
      <c r="B59" s="36" t="s">
        <v>215</v>
      </c>
      <c r="C59" s="91">
        <v>0</v>
      </c>
      <c r="D59" s="91">
        <v>26.85</v>
      </c>
      <c r="E59" s="91">
        <v>15.72</v>
      </c>
      <c r="F59" s="91">
        <v>13.55</v>
      </c>
      <c r="G59" s="91">
        <v>24.92</v>
      </c>
      <c r="H59" s="91">
        <v>35.880000000000003</v>
      </c>
      <c r="I59" s="91">
        <v>67.849999999999994</v>
      </c>
      <c r="J59" s="106"/>
      <c r="K59" s="106"/>
      <c r="L59" s="106"/>
      <c r="M59" s="106"/>
      <c r="N59" s="106"/>
    </row>
    <row r="60" spans="2:14">
      <c r="B60" s="36" t="s">
        <v>216</v>
      </c>
      <c r="C60" s="91">
        <v>163.16999999999999</v>
      </c>
      <c r="D60" s="91">
        <v>173.93</v>
      </c>
      <c r="E60" s="91">
        <v>204.9</v>
      </c>
      <c r="F60" s="91">
        <v>250</v>
      </c>
      <c r="G60" s="91">
        <v>221.98</v>
      </c>
      <c r="H60" s="91">
        <v>306.10000000000002</v>
      </c>
      <c r="I60" s="91">
        <v>354.85</v>
      </c>
      <c r="J60" s="106"/>
      <c r="K60" s="106"/>
      <c r="L60" s="106"/>
      <c r="M60" s="106"/>
      <c r="N60" s="106"/>
    </row>
    <row r="61" spans="2:14">
      <c r="B61" s="80" t="s">
        <v>217</v>
      </c>
      <c r="C61" s="91">
        <v>57.65</v>
      </c>
      <c r="D61" s="91">
        <v>73.67</v>
      </c>
      <c r="E61" s="91">
        <v>90.19</v>
      </c>
      <c r="F61" s="91">
        <v>121.82</v>
      </c>
      <c r="G61" s="91">
        <v>155.47999999999999</v>
      </c>
      <c r="H61" s="91">
        <v>99.55</v>
      </c>
      <c r="I61" s="91">
        <v>122.8</v>
      </c>
      <c r="J61" s="106"/>
      <c r="K61" s="106"/>
      <c r="L61" s="106"/>
      <c r="M61" s="106"/>
      <c r="N61" s="106"/>
    </row>
    <row r="62" spans="2:14">
      <c r="B62" s="80" t="s">
        <v>219</v>
      </c>
      <c r="C62" s="91">
        <v>11.58</v>
      </c>
      <c r="D62" s="91">
        <v>13.52</v>
      </c>
      <c r="E62" s="91">
        <v>15.61</v>
      </c>
      <c r="F62" s="91">
        <v>19.38</v>
      </c>
      <c r="G62" s="91">
        <v>32.450000000000003</v>
      </c>
      <c r="H62" s="91">
        <v>25.69</v>
      </c>
      <c r="I62" s="91">
        <v>40.479999999999997</v>
      </c>
      <c r="J62" s="106"/>
      <c r="K62" s="106"/>
      <c r="L62" s="106"/>
      <c r="M62" s="106"/>
      <c r="N62" s="106"/>
    </row>
    <row r="63" spans="2:14">
      <c r="B63" s="80" t="s">
        <v>225</v>
      </c>
      <c r="C63" s="91">
        <v>77.650000000000006</v>
      </c>
      <c r="D63" s="91">
        <v>350.16</v>
      </c>
      <c r="E63" s="91">
        <v>227.67</v>
      </c>
      <c r="F63" s="91">
        <v>170.14</v>
      </c>
      <c r="G63" s="91">
        <v>180.1</v>
      </c>
      <c r="H63" s="91">
        <v>262.58</v>
      </c>
      <c r="I63" s="91">
        <v>270.68</v>
      </c>
      <c r="J63" s="106"/>
      <c r="K63" s="106"/>
      <c r="L63" s="106"/>
      <c r="M63" s="106"/>
      <c r="N63" s="106"/>
    </row>
    <row r="64" spans="2:14">
      <c r="B64" s="80" t="s">
        <v>224</v>
      </c>
      <c r="C64" s="91">
        <v>225.62</v>
      </c>
      <c r="D64" s="91">
        <v>138.08000000000001</v>
      </c>
      <c r="E64" s="91">
        <v>273.05</v>
      </c>
      <c r="F64" s="91">
        <v>300.93</v>
      </c>
      <c r="G64" s="91">
        <v>453.64</v>
      </c>
      <c r="H64" s="91">
        <v>454.34</v>
      </c>
      <c r="I64" s="91">
        <v>558.58000000000004</v>
      </c>
      <c r="J64" s="197"/>
      <c r="K64" s="197"/>
      <c r="L64" s="197"/>
      <c r="M64" s="197"/>
      <c r="N64" s="197"/>
    </row>
    <row r="65" spans="2:14">
      <c r="B65" s="80" t="s">
        <v>226</v>
      </c>
      <c r="C65" s="91">
        <v>141.47999999999999</v>
      </c>
      <c r="D65" s="91">
        <v>90.12</v>
      </c>
      <c r="E65" s="91">
        <v>131.03</v>
      </c>
      <c r="F65" s="91">
        <v>170.62</v>
      </c>
      <c r="G65" s="91">
        <v>222.83</v>
      </c>
      <c r="H65" s="91">
        <v>212.02</v>
      </c>
      <c r="I65" s="91">
        <v>238.68</v>
      </c>
      <c r="J65" s="106"/>
      <c r="K65" s="106"/>
      <c r="L65" s="106"/>
      <c r="M65" s="106"/>
      <c r="N65" s="106"/>
    </row>
    <row r="66" spans="2:14">
      <c r="B66" s="92" t="s">
        <v>227</v>
      </c>
      <c r="C66" s="93">
        <f>SUM(C56,C58:C65)</f>
        <v>2097.96</v>
      </c>
      <c r="D66" s="93">
        <f t="shared" ref="D66:I66" si="9">SUM(D56,D58:D65)</f>
        <v>2018.58</v>
      </c>
      <c r="E66" s="93">
        <f t="shared" si="9"/>
        <v>2628.8100000000004</v>
      </c>
      <c r="F66" s="93">
        <f t="shared" si="9"/>
        <v>2893.3699999999994</v>
      </c>
      <c r="G66" s="93">
        <f t="shared" si="9"/>
        <v>3234.5799999999995</v>
      </c>
      <c r="H66" s="93">
        <f t="shared" si="9"/>
        <v>3598.41</v>
      </c>
      <c r="I66" s="93">
        <f t="shared" si="9"/>
        <v>4265.78</v>
      </c>
      <c r="J66" s="106"/>
      <c r="K66" s="106"/>
      <c r="L66" s="106"/>
      <c r="M66" s="106"/>
      <c r="N66" s="106"/>
    </row>
    <row r="67" spans="2:14">
      <c r="B67" s="26"/>
      <c r="C67" s="94"/>
      <c r="D67" s="94"/>
      <c r="E67" s="94"/>
      <c r="F67" s="94"/>
      <c r="G67" s="94"/>
      <c r="H67" s="94"/>
      <c r="I67" s="94"/>
    </row>
    <row r="68" spans="2:14">
      <c r="B68" s="26" t="s">
        <v>228</v>
      </c>
      <c r="C68" s="94">
        <f>C66+C53</f>
        <v>2468.11</v>
      </c>
      <c r="D68" s="94">
        <f>D66+D53</f>
        <v>2468.79</v>
      </c>
      <c r="E68" s="94">
        <f>E66+E53</f>
        <v>3120.5300000000007</v>
      </c>
      <c r="F68" s="94">
        <f t="shared" ref="F68:I68" si="10">F66+F53</f>
        <v>3531.8299999999995</v>
      </c>
      <c r="G68" s="94">
        <f t="shared" si="10"/>
        <v>4207.3599999999997</v>
      </c>
      <c r="H68" s="94">
        <f t="shared" si="10"/>
        <v>5082.3999999999996</v>
      </c>
      <c r="I68" s="94">
        <f t="shared" si="10"/>
        <v>5877.92</v>
      </c>
    </row>
    <row r="69" spans="2:14" ht="15" thickBot="1">
      <c r="B69" s="86" t="s">
        <v>229</v>
      </c>
      <c r="C69" s="99">
        <f>C42+C68</f>
        <v>11386.830000000002</v>
      </c>
      <c r="D69" s="99">
        <f>D42+D68</f>
        <v>12449.719999999998</v>
      </c>
      <c r="E69" s="99">
        <f>E42+E68</f>
        <v>14558.61</v>
      </c>
      <c r="F69" s="99">
        <f t="shared" ref="F69:I69" si="11">F42+F68</f>
        <v>16139.83</v>
      </c>
      <c r="G69" s="99">
        <f t="shared" si="11"/>
        <v>19197.64</v>
      </c>
      <c r="H69" s="99">
        <f t="shared" si="11"/>
        <v>23127.93</v>
      </c>
      <c r="I69" s="99">
        <f t="shared" si="11"/>
        <v>27174.409999999996</v>
      </c>
    </row>
    <row r="71" spans="2:14">
      <c r="B71" s="26" t="s">
        <v>71</v>
      </c>
      <c r="C71" s="100">
        <f>C36-C69</f>
        <v>0</v>
      </c>
      <c r="D71" s="100">
        <f>D36-D69</f>
        <v>0</v>
      </c>
      <c r="E71" s="100">
        <f>E36-E69</f>
        <v>0</v>
      </c>
      <c r="F71" s="100">
        <f t="shared" ref="F71:I71" si="12">F36-F69</f>
        <v>0</v>
      </c>
      <c r="G71" s="100">
        <f t="shared" si="12"/>
        <v>0</v>
      </c>
      <c r="H71" s="100">
        <f t="shared" si="12"/>
        <v>0</v>
      </c>
      <c r="I71" s="100">
        <f t="shared" si="12"/>
        <v>0</v>
      </c>
    </row>
    <row r="73" spans="2:14">
      <c r="B73" s="26" t="s">
        <v>557</v>
      </c>
    </row>
    <row r="76" spans="2:14">
      <c r="J76" s="26"/>
      <c r="K76" s="26"/>
      <c r="L76" s="26"/>
      <c r="M76" s="26"/>
      <c r="N76" s="26"/>
    </row>
    <row r="77" spans="2:14">
      <c r="J77" s="26"/>
      <c r="K77" s="26"/>
      <c r="L77" s="26"/>
      <c r="M77" s="26"/>
      <c r="N77" s="26"/>
    </row>
  </sheetData>
  <sheetProtection algorithmName="SHA-512" hashValue="GzVIJkbp1C8cNmZowuWP6OEwavbzjqzlZEtZlyAzeG/eE0nZDV1YemS7wlCruae1xBmqRgVDfhFtuUZQM5AQQA==" saltValue="YiEQP6t/g09PYfT46YAEqA==" spinCount="100000" sheet="1" objects="1" scenarios="1" selectLockedCells="1" selectUnlockedCells="1"/>
  <pageMargins left="0.7" right="0.7" top="0.75" bottom="0.75" header="0.3" footer="0.3"/>
  <ignoredErrors>
    <ignoredError sqref="C27:I27"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31E5-F9B9-4F09-B28F-3509A629E0CD}">
  <dimension ref="B2:P53"/>
  <sheetViews>
    <sheetView showGridLines="0" zoomScale="52" zoomScaleNormal="60" workbookViewId="0">
      <selection activeCell="L50" sqref="L50"/>
    </sheetView>
  </sheetViews>
  <sheetFormatPr defaultRowHeight="14.4"/>
  <cols>
    <col min="1" max="1" width="1.88671875" customWidth="1"/>
    <col min="2" max="2" width="63.88671875" bestFit="1" customWidth="1"/>
    <col min="3" max="4" width="8.44140625" bestFit="1" customWidth="1"/>
    <col min="5" max="5" width="11.6640625" customWidth="1"/>
    <col min="6" max="6" width="12.21875" customWidth="1"/>
    <col min="7" max="7" width="13" customWidth="1"/>
    <col min="8" max="8" width="9.6640625" customWidth="1"/>
    <col min="9" max="9" width="11.44140625" customWidth="1"/>
    <col min="10" max="14" width="29.77734375" bestFit="1" customWidth="1"/>
  </cols>
  <sheetData>
    <row r="2" spans="2:14">
      <c r="B2" s="466" t="s">
        <v>154</v>
      </c>
      <c r="C2" s="466">
        <v>2019</v>
      </c>
      <c r="D2" s="466">
        <v>2020</v>
      </c>
      <c r="E2" s="466">
        <v>2021</v>
      </c>
      <c r="F2" s="466">
        <f>E2+1</f>
        <v>2022</v>
      </c>
      <c r="G2" s="466">
        <f t="shared" ref="G2:I2" si="0">F2+1</f>
        <v>2023</v>
      </c>
      <c r="H2" s="466">
        <f t="shared" si="0"/>
        <v>2024</v>
      </c>
      <c r="I2" s="466">
        <f t="shared" si="0"/>
        <v>2025</v>
      </c>
      <c r="J2" s="26"/>
      <c r="K2" s="26"/>
      <c r="L2" s="26"/>
      <c r="M2" s="26"/>
      <c r="N2" s="26"/>
    </row>
    <row r="3" spans="2:14">
      <c r="B3" t="s">
        <v>155</v>
      </c>
    </row>
    <row r="4" spans="2:14">
      <c r="B4" t="s">
        <v>156</v>
      </c>
      <c r="C4" s="91">
        <v>9717.44</v>
      </c>
      <c r="D4" s="91">
        <v>9073.5499999999993</v>
      </c>
      <c r="E4" s="91">
        <v>8661.56</v>
      </c>
      <c r="F4" s="91">
        <v>10127.07</v>
      </c>
      <c r="G4" s="91">
        <v>14175.9</v>
      </c>
      <c r="H4" s="91">
        <v>16234.02</v>
      </c>
      <c r="I4" s="91">
        <v>18538.21</v>
      </c>
    </row>
    <row r="5" spans="2:14">
      <c r="B5" t="s">
        <v>157</v>
      </c>
      <c r="C5" s="91">
        <v>79.62</v>
      </c>
      <c r="D5" s="91">
        <v>80.03</v>
      </c>
      <c r="E5" s="91">
        <v>58.79</v>
      </c>
      <c r="F5" s="91">
        <v>170.76</v>
      </c>
      <c r="G5" s="91">
        <v>266.27999999999997</v>
      </c>
      <c r="H5" s="91">
        <v>301.76</v>
      </c>
      <c r="I5" s="91">
        <v>332.14</v>
      </c>
      <c r="K5" s="91"/>
      <c r="L5" s="91">
        <v>-1</v>
      </c>
    </row>
    <row r="6" spans="2:14">
      <c r="B6" s="92" t="s">
        <v>158</v>
      </c>
      <c r="C6" s="93">
        <f>SUM(C4:C5)</f>
        <v>9797.0600000000013</v>
      </c>
      <c r="D6" s="93">
        <f>SUM(D4:D5)</f>
        <v>9153.58</v>
      </c>
      <c r="E6" s="93">
        <f>SUM(E4:E5)</f>
        <v>8720.35</v>
      </c>
      <c r="F6" s="93">
        <f t="shared" ref="F6:I6" si="1">SUM(F4:F5)</f>
        <v>10297.83</v>
      </c>
      <c r="G6" s="93">
        <f t="shared" si="1"/>
        <v>14442.18</v>
      </c>
      <c r="H6" s="93">
        <f t="shared" si="1"/>
        <v>16535.78</v>
      </c>
      <c r="I6" s="93">
        <f t="shared" si="1"/>
        <v>18870.349999999999</v>
      </c>
    </row>
    <row r="7" spans="2:14">
      <c r="B7" s="26"/>
      <c r="C7" s="26"/>
      <c r="D7" s="26"/>
      <c r="E7" s="94"/>
      <c r="F7" s="94"/>
      <c r="G7" s="94"/>
      <c r="H7" s="94"/>
      <c r="I7" s="94"/>
    </row>
    <row r="8" spans="2:14">
      <c r="B8" s="79" t="s">
        <v>159</v>
      </c>
      <c r="C8" s="95">
        <f>9797.06/9219.26-1</f>
        <v>6.2673142963751927E-2</v>
      </c>
      <c r="D8" s="95">
        <f>D6/C6-1</f>
        <v>-6.5680928768426572E-2</v>
      </c>
      <c r="E8" s="95">
        <f>E6/D6-1</f>
        <v>-4.732902318000165E-2</v>
      </c>
      <c r="F8" s="95">
        <f>F6/E6-1</f>
        <v>0.18089640897441028</v>
      </c>
      <c r="G8" s="95">
        <f t="shared" ref="G8:I8" si="2">G6/F6-1</f>
        <v>0.40244886544058311</v>
      </c>
      <c r="H8" s="95">
        <f t="shared" si="2"/>
        <v>0.14496426439775711</v>
      </c>
      <c r="I8" s="95">
        <f t="shared" si="2"/>
        <v>0.14118293784750402</v>
      </c>
    </row>
    <row r="9" spans="2:14">
      <c r="E9" s="91"/>
      <c r="F9" s="91"/>
      <c r="G9" s="91"/>
      <c r="H9" s="91"/>
      <c r="I9" s="91"/>
    </row>
    <row r="10" spans="2:14">
      <c r="B10" s="26" t="s">
        <v>160</v>
      </c>
      <c r="E10" s="91"/>
      <c r="F10" s="91"/>
      <c r="G10" s="91"/>
      <c r="H10" s="91"/>
      <c r="I10" s="91"/>
    </row>
    <row r="11" spans="2:14">
      <c r="B11" s="26"/>
      <c r="E11" s="91"/>
      <c r="F11" s="91"/>
      <c r="G11" s="91"/>
      <c r="H11" s="91"/>
      <c r="I11" s="91"/>
    </row>
    <row r="12" spans="2:14">
      <c r="B12" s="26" t="s">
        <v>161</v>
      </c>
      <c r="E12" s="91"/>
      <c r="F12" s="91"/>
      <c r="G12" s="91"/>
      <c r="H12" s="91"/>
      <c r="I12" s="91"/>
    </row>
    <row r="13" spans="2:14">
      <c r="B13" t="s">
        <v>162</v>
      </c>
      <c r="C13" s="91">
        <v>-5053.96</v>
      </c>
      <c r="D13" s="91">
        <v>-4661.17</v>
      </c>
      <c r="E13" s="91">
        <v>-5052.57</v>
      </c>
      <c r="F13" s="91">
        <v>-5765.24</v>
      </c>
      <c r="G13" s="91">
        <v>-7843.95</v>
      </c>
      <c r="H13" s="91">
        <v>-8723.1</v>
      </c>
      <c r="I13" s="91">
        <v>-9953.16</v>
      </c>
    </row>
    <row r="14" spans="2:14">
      <c r="B14" t="s">
        <v>163</v>
      </c>
      <c r="C14" s="91">
        <v>-213.58</v>
      </c>
      <c r="D14" s="91">
        <v>-250.68</v>
      </c>
      <c r="E14" s="91">
        <v>-265.60000000000002</v>
      </c>
      <c r="F14" s="91">
        <v>-339.03</v>
      </c>
      <c r="G14" s="91">
        <v>-431.2</v>
      </c>
      <c r="H14" s="91">
        <v>-454.58</v>
      </c>
      <c r="I14" s="91">
        <v>-507.43</v>
      </c>
    </row>
    <row r="15" spans="2:14">
      <c r="B15" t="s">
        <v>164</v>
      </c>
      <c r="C15" s="91">
        <v>210.16</v>
      </c>
      <c r="D15" s="91">
        <v>-84.09</v>
      </c>
      <c r="E15" s="91">
        <v>205.9</v>
      </c>
      <c r="F15" s="91">
        <v>148.59</v>
      </c>
      <c r="G15" s="91">
        <v>63.25</v>
      </c>
      <c r="H15" s="91">
        <v>197.03</v>
      </c>
      <c r="I15" s="91">
        <v>163.51</v>
      </c>
    </row>
    <row r="16" spans="2:14">
      <c r="B16" s="92" t="s">
        <v>165</v>
      </c>
      <c r="C16" s="93">
        <f>SUM(C13:C15)</f>
        <v>-5057.38</v>
      </c>
      <c r="D16" s="93">
        <f>SUM(D13:D15)</f>
        <v>-4995.9400000000005</v>
      </c>
      <c r="E16" s="93">
        <f>SUM(E13:E15)</f>
        <v>-5112.2700000000004</v>
      </c>
      <c r="F16" s="93">
        <f t="shared" ref="F16:I16" si="3">SUM(F13:F15)</f>
        <v>-5955.6799999999994</v>
      </c>
      <c r="G16" s="93">
        <f t="shared" si="3"/>
        <v>-8211.9</v>
      </c>
      <c r="H16" s="93">
        <f t="shared" si="3"/>
        <v>-8980.65</v>
      </c>
      <c r="I16" s="93">
        <f t="shared" si="3"/>
        <v>-10297.08</v>
      </c>
    </row>
    <row r="17" spans="2:10">
      <c r="B17" s="26"/>
      <c r="C17" s="94"/>
      <c r="D17" s="94"/>
      <c r="E17" s="94"/>
      <c r="F17" s="94"/>
      <c r="G17" s="94"/>
      <c r="H17" s="94"/>
      <c r="I17" s="94"/>
    </row>
    <row r="18" spans="2:10">
      <c r="B18" s="130" t="s">
        <v>253</v>
      </c>
      <c r="C18" s="132">
        <f>C16/C6*-1</f>
        <v>0.51621404788783565</v>
      </c>
      <c r="D18" s="132">
        <f t="shared" ref="D18:I18" si="4">D16/D6*-1</f>
        <v>0.54579082719547989</v>
      </c>
      <c r="E18" s="132">
        <f t="shared" si="4"/>
        <v>0.58624596489819791</v>
      </c>
      <c r="F18" s="132">
        <f t="shared" si="4"/>
        <v>0.57834320434499298</v>
      </c>
      <c r="G18" s="132">
        <f t="shared" si="4"/>
        <v>0.56860529366065227</v>
      </c>
      <c r="H18" s="132">
        <f t="shared" si="4"/>
        <v>0.54310410515863183</v>
      </c>
      <c r="I18" s="132">
        <f t="shared" si="4"/>
        <v>0.54567509346673493</v>
      </c>
    </row>
    <row r="19" spans="2:10">
      <c r="B19" s="130" t="s">
        <v>254</v>
      </c>
      <c r="C19" s="132">
        <f>1-C18</f>
        <v>0.48378595211216435</v>
      </c>
      <c r="D19" s="132">
        <f t="shared" ref="D19:I19" si="5">1-D18</f>
        <v>0.45420917280452011</v>
      </c>
      <c r="E19" s="132">
        <f t="shared" si="5"/>
        <v>0.41375403510180209</v>
      </c>
      <c r="F19" s="132">
        <f t="shared" si="5"/>
        <v>0.42165679565500702</v>
      </c>
      <c r="G19" s="132">
        <f t="shared" si="5"/>
        <v>0.43139470633934773</v>
      </c>
      <c r="H19" s="132">
        <f t="shared" si="5"/>
        <v>0.45689589484136817</v>
      </c>
      <c r="I19" s="132">
        <f t="shared" si="5"/>
        <v>0.45432490653326507</v>
      </c>
    </row>
    <row r="20" spans="2:10">
      <c r="B20" s="130"/>
      <c r="C20" s="131"/>
      <c r="D20" s="131"/>
      <c r="E20" s="131"/>
      <c r="F20" s="131"/>
      <c r="G20" s="131"/>
      <c r="H20" s="131"/>
      <c r="I20" s="131"/>
    </row>
    <row r="21" spans="2:10">
      <c r="B21" s="130" t="s">
        <v>278</v>
      </c>
      <c r="C21" s="132">
        <f>C13/C16</f>
        <v>0.999323760524224</v>
      </c>
      <c r="D21" s="132">
        <f t="shared" ref="D21:I21" si="6">D13/D16</f>
        <v>0.93299158917040625</v>
      </c>
      <c r="E21" s="132">
        <f t="shared" si="6"/>
        <v>0.98832221302865442</v>
      </c>
      <c r="F21" s="132">
        <f t="shared" si="6"/>
        <v>0.96802380248770925</v>
      </c>
      <c r="G21" s="132">
        <f t="shared" si="6"/>
        <v>0.95519307346655469</v>
      </c>
      <c r="H21" s="132">
        <f t="shared" si="6"/>
        <v>0.97132167493444244</v>
      </c>
      <c r="I21" s="132">
        <f t="shared" si="6"/>
        <v>0.96660024006805811</v>
      </c>
    </row>
    <row r="22" spans="2:10">
      <c r="B22" s="130" t="s">
        <v>255</v>
      </c>
      <c r="C22" s="132">
        <f>C13/C$6*-1</f>
        <v>0.51586496357070377</v>
      </c>
      <c r="D22" s="132">
        <f t="shared" ref="D22:I22" si="7">D13/D$6*-1</f>
        <v>0.5092182512197414</v>
      </c>
      <c r="E22" s="132">
        <f t="shared" si="7"/>
        <v>0.57939990940730579</v>
      </c>
      <c r="F22" s="132">
        <f t="shared" si="7"/>
        <v>0.55984998781296635</v>
      </c>
      <c r="G22" s="132">
        <f t="shared" si="7"/>
        <v>0.54312783804107134</v>
      </c>
      <c r="H22" s="132">
        <f t="shared" si="7"/>
        <v>0.52752878908645384</v>
      </c>
      <c r="I22" s="132">
        <f t="shared" si="7"/>
        <v>0.527449676344106</v>
      </c>
    </row>
    <row r="23" spans="2:10">
      <c r="B23" s="130" t="s">
        <v>256</v>
      </c>
      <c r="C23" s="132">
        <f t="shared" ref="C23:I23" si="8">C14/C$6*-1</f>
        <v>2.1800417676323302E-2</v>
      </c>
      <c r="D23" s="132">
        <f t="shared" si="8"/>
        <v>2.7386006349428314E-2</v>
      </c>
      <c r="E23" s="132">
        <f t="shared" si="8"/>
        <v>3.0457493105207935E-2</v>
      </c>
      <c r="F23" s="132">
        <f t="shared" si="8"/>
        <v>3.2922470073792245E-2</v>
      </c>
      <c r="G23" s="132">
        <f t="shared" si="8"/>
        <v>2.9856988349404312E-2</v>
      </c>
      <c r="H23" s="132">
        <f t="shared" si="8"/>
        <v>2.7490689885811253E-2</v>
      </c>
      <c r="I23" s="132">
        <f t="shared" si="8"/>
        <v>2.6890333247661016E-2</v>
      </c>
    </row>
    <row r="24" spans="2:10">
      <c r="B24" s="130" t="s">
        <v>257</v>
      </c>
      <c r="C24" s="132">
        <f t="shared" ref="C24:I24" si="9">C15/C$6*-1</f>
        <v>-2.1451333359191426E-2</v>
      </c>
      <c r="D24" s="132">
        <f t="shared" si="9"/>
        <v>9.186569626310143E-3</v>
      </c>
      <c r="E24" s="132">
        <f t="shared" si="9"/>
        <v>-2.3611437614315937E-2</v>
      </c>
      <c r="F24" s="132">
        <f t="shared" si="9"/>
        <v>-1.4429253541765595E-2</v>
      </c>
      <c r="G24" s="132">
        <f t="shared" si="9"/>
        <v>-4.3795327298233365E-3</v>
      </c>
      <c r="H24" s="132">
        <f t="shared" si="9"/>
        <v>-1.1915373813633225E-2</v>
      </c>
      <c r="I24" s="132">
        <f t="shared" si="9"/>
        <v>-8.664916125032127E-3</v>
      </c>
      <c r="J24" s="26"/>
    </row>
    <row r="25" spans="2:10">
      <c r="E25" s="91"/>
      <c r="F25" s="91"/>
      <c r="G25" s="91"/>
      <c r="H25" s="91"/>
      <c r="I25" s="91"/>
    </row>
    <row r="26" spans="2:10">
      <c r="B26" s="26" t="s">
        <v>1</v>
      </c>
      <c r="C26" s="96">
        <f t="shared" ref="C26:I26" si="10">C6+C16</f>
        <v>4739.6800000000012</v>
      </c>
      <c r="D26" s="96">
        <f t="shared" si="10"/>
        <v>4157.6399999999994</v>
      </c>
      <c r="E26" s="96">
        <f t="shared" si="10"/>
        <v>3608.08</v>
      </c>
      <c r="F26" s="96">
        <f t="shared" si="10"/>
        <v>4342.1500000000005</v>
      </c>
      <c r="G26" s="96">
        <f t="shared" si="10"/>
        <v>6230.2800000000007</v>
      </c>
      <c r="H26" s="96">
        <f t="shared" si="10"/>
        <v>7555.1299999999992</v>
      </c>
      <c r="I26" s="96">
        <f t="shared" si="10"/>
        <v>8573.2699999999986</v>
      </c>
    </row>
    <row r="27" spans="2:10">
      <c r="E27" s="91"/>
      <c r="F27" s="91"/>
      <c r="G27" s="91"/>
      <c r="H27" s="91"/>
      <c r="I27" s="91"/>
    </row>
    <row r="28" spans="2:10">
      <c r="B28" s="26" t="s">
        <v>166</v>
      </c>
      <c r="E28" s="91"/>
      <c r="F28" s="91"/>
      <c r="G28" s="91"/>
      <c r="H28" s="91"/>
      <c r="I28" s="91"/>
    </row>
    <row r="29" spans="2:10">
      <c r="B29" t="s">
        <v>167</v>
      </c>
      <c r="C29" s="91">
        <v>-702.44</v>
      </c>
      <c r="D29" s="91">
        <v>-795.78</v>
      </c>
      <c r="E29" s="91">
        <v>-843.23</v>
      </c>
      <c r="F29" s="91">
        <v>-821.02</v>
      </c>
      <c r="G29" s="91">
        <v>-1001.93</v>
      </c>
      <c r="H29" s="91">
        <v>-1235.69</v>
      </c>
      <c r="I29" s="91">
        <v>-1391.23</v>
      </c>
    </row>
    <row r="30" spans="2:10">
      <c r="B30" t="s">
        <v>168</v>
      </c>
      <c r="C30" s="91">
        <v>-1134.1300000000001</v>
      </c>
      <c r="D30" s="91">
        <v>-1181.51</v>
      </c>
      <c r="E30" s="91">
        <v>-983.6</v>
      </c>
      <c r="F30" s="91">
        <v>-1348.88</v>
      </c>
      <c r="G30" s="91">
        <v>-1784.77</v>
      </c>
      <c r="H30" s="91">
        <v>-1992.53</v>
      </c>
      <c r="I30" s="91">
        <v>-2470.0100000000002</v>
      </c>
    </row>
    <row r="31" spans="2:10">
      <c r="B31" s="92" t="s">
        <v>169</v>
      </c>
      <c r="C31" s="93">
        <f>SUM(C29:C30)</f>
        <v>-1836.5700000000002</v>
      </c>
      <c r="D31" s="93">
        <f>SUM(D29:D30)</f>
        <v>-1977.29</v>
      </c>
      <c r="E31" s="93">
        <f>SUM(E29:E30)</f>
        <v>-1826.83</v>
      </c>
      <c r="F31" s="93">
        <f t="shared" ref="F31:I31" si="11">SUM(F29:F30)</f>
        <v>-2169.9</v>
      </c>
      <c r="G31" s="93">
        <f t="shared" si="11"/>
        <v>-2786.7</v>
      </c>
      <c r="H31" s="93">
        <f t="shared" si="11"/>
        <v>-3228.2200000000003</v>
      </c>
      <c r="I31" s="93">
        <f t="shared" si="11"/>
        <v>-3861.2400000000002</v>
      </c>
    </row>
    <row r="32" spans="2:10">
      <c r="E32" s="91"/>
      <c r="F32" s="91"/>
      <c r="G32" s="91"/>
      <c r="H32" s="91"/>
      <c r="I32" s="91"/>
    </row>
    <row r="33" spans="2:16">
      <c r="B33" s="26" t="s">
        <v>101</v>
      </c>
      <c r="C33" s="96">
        <f>C26+C31</f>
        <v>2903.110000000001</v>
      </c>
      <c r="D33" s="96">
        <f>D26+D31</f>
        <v>2180.3499999999995</v>
      </c>
      <c r="E33" s="96">
        <f>E26+E31</f>
        <v>1781.25</v>
      </c>
      <c r="F33" s="96">
        <f t="shared" ref="F33:I33" si="12">F26+F31</f>
        <v>2172.2500000000005</v>
      </c>
      <c r="G33" s="96">
        <f t="shared" si="12"/>
        <v>3443.5800000000008</v>
      </c>
      <c r="H33" s="96">
        <f t="shared" si="12"/>
        <v>4326.9099999999989</v>
      </c>
      <c r="I33" s="96">
        <f t="shared" si="12"/>
        <v>4712.0299999999988</v>
      </c>
      <c r="J33" s="96"/>
    </row>
    <row r="34" spans="2:16">
      <c r="E34" s="91"/>
      <c r="F34" s="91"/>
      <c r="G34" s="91"/>
      <c r="H34" s="91"/>
      <c r="I34" s="91"/>
    </row>
    <row r="35" spans="2:16">
      <c r="B35" t="s">
        <v>170</v>
      </c>
      <c r="C35" s="91">
        <v>-300.27999999999997</v>
      </c>
      <c r="D35" s="91">
        <v>-381.54</v>
      </c>
      <c r="E35" s="91">
        <v>-450.73</v>
      </c>
      <c r="F35" s="91">
        <v>-451.93</v>
      </c>
      <c r="G35" s="91">
        <v>-526.21</v>
      </c>
      <c r="H35" s="91">
        <v>-597.6</v>
      </c>
      <c r="I35" s="91">
        <v>-729.33</v>
      </c>
    </row>
    <row r="36" spans="2:16">
      <c r="B36" s="26" t="s">
        <v>102</v>
      </c>
      <c r="C36" s="96">
        <f>C33+C35</f>
        <v>2602.8300000000008</v>
      </c>
      <c r="D36" s="96">
        <f>D33+D35</f>
        <v>1798.8099999999995</v>
      </c>
      <c r="E36" s="190">
        <f>E33+E35</f>
        <v>1330.52</v>
      </c>
      <c r="F36" s="190">
        <f t="shared" ref="F36:I36" si="13">F33+F35</f>
        <v>1720.3200000000004</v>
      </c>
      <c r="G36" s="190">
        <f t="shared" si="13"/>
        <v>2917.3700000000008</v>
      </c>
      <c r="H36" s="190">
        <f t="shared" si="13"/>
        <v>3729.309999999999</v>
      </c>
      <c r="I36" s="190">
        <f t="shared" si="13"/>
        <v>3982.6999999999989</v>
      </c>
    </row>
    <row r="37" spans="2:16">
      <c r="E37" s="91"/>
      <c r="F37" s="91"/>
      <c r="G37" s="91"/>
      <c r="H37" s="91"/>
      <c r="I37" s="91"/>
      <c r="J37" s="100"/>
      <c r="K37" s="100"/>
      <c r="L37" s="100"/>
      <c r="M37" s="100"/>
      <c r="N37" s="100"/>
      <c r="O37" s="100"/>
      <c r="P37" s="100"/>
    </row>
    <row r="38" spans="2:16">
      <c r="B38" t="s">
        <v>171</v>
      </c>
      <c r="C38" s="91">
        <v>-7.33</v>
      </c>
      <c r="D38" s="91">
        <v>-18.88</v>
      </c>
      <c r="E38" s="91">
        <v>-16.45</v>
      </c>
      <c r="F38" s="91">
        <v>-18.78</v>
      </c>
      <c r="G38" s="91">
        <v>-28.02</v>
      </c>
      <c r="H38" s="91">
        <v>-50.88</v>
      </c>
      <c r="I38" s="91">
        <v>-54.34</v>
      </c>
    </row>
    <row r="39" spans="2:16">
      <c r="B39" t="s">
        <v>172</v>
      </c>
      <c r="C39" s="91">
        <v>443.39</v>
      </c>
      <c r="D39" s="91">
        <v>543.25</v>
      </c>
      <c r="E39" s="91">
        <v>453.19</v>
      </c>
      <c r="F39" s="91">
        <v>440.82</v>
      </c>
      <c r="G39" s="91">
        <v>595.11</v>
      </c>
      <c r="H39" s="91">
        <v>1075.8699999999999</v>
      </c>
      <c r="I39" s="91">
        <v>1304.9000000000001</v>
      </c>
      <c r="J39" s="106"/>
      <c r="K39" s="106"/>
      <c r="L39" s="106"/>
      <c r="M39" s="106"/>
      <c r="N39" s="106"/>
      <c r="O39" s="106"/>
      <c r="P39" s="106"/>
    </row>
    <row r="40" spans="2:16">
      <c r="C40" s="91"/>
      <c r="D40" s="91"/>
      <c r="E40" s="91"/>
      <c r="F40" s="91"/>
      <c r="G40" s="91"/>
      <c r="H40" s="91"/>
      <c r="I40" s="91"/>
    </row>
    <row r="41" spans="2:16">
      <c r="B41" s="26" t="s">
        <v>173</v>
      </c>
      <c r="C41" s="96">
        <v>3038.89</v>
      </c>
      <c r="D41" s="96">
        <v>2323.1799999999998</v>
      </c>
      <c r="E41" s="96">
        <f>SUM(E36:E39)</f>
        <v>1767.26</v>
      </c>
      <c r="F41" s="96">
        <f t="shared" ref="F41:I41" si="14">SUM(F36:F39)</f>
        <v>2142.3600000000006</v>
      </c>
      <c r="G41" s="96">
        <f t="shared" si="14"/>
        <v>3484.4600000000009</v>
      </c>
      <c r="H41" s="96">
        <f t="shared" si="14"/>
        <v>4754.2999999999993</v>
      </c>
      <c r="I41" s="96">
        <f t="shared" si="14"/>
        <v>5233.2599999999984</v>
      </c>
    </row>
    <row r="42" spans="2:16">
      <c r="B42" t="s">
        <v>174</v>
      </c>
      <c r="C42" s="97">
        <v>258.39999999999998</v>
      </c>
      <c r="D42" s="97">
        <v>31.71</v>
      </c>
      <c r="E42" s="97">
        <v>31.13</v>
      </c>
      <c r="F42" s="97">
        <v>60.15</v>
      </c>
      <c r="G42" s="97">
        <v>315.17</v>
      </c>
      <c r="H42" s="97">
        <v>447.72</v>
      </c>
      <c r="I42" s="97">
        <v>699.81</v>
      </c>
      <c r="J42" s="106"/>
      <c r="K42" s="106"/>
      <c r="L42" s="106"/>
      <c r="M42" s="106"/>
      <c r="N42" s="106"/>
    </row>
    <row r="43" spans="2:16">
      <c r="B43" s="26"/>
      <c r="C43" s="171"/>
      <c r="D43" s="171"/>
      <c r="E43" s="171"/>
      <c r="F43" s="171"/>
      <c r="G43" s="171"/>
      <c r="H43" s="171"/>
      <c r="I43" s="171"/>
      <c r="J43" s="88"/>
      <c r="K43" s="88"/>
    </row>
    <row r="44" spans="2:16">
      <c r="B44" s="26" t="s">
        <v>175</v>
      </c>
      <c r="C44" s="96">
        <f>SUM(C41:C42)</f>
        <v>3297.29</v>
      </c>
      <c r="D44" s="96">
        <f>SUM(D41:D42)</f>
        <v>2354.89</v>
      </c>
      <c r="E44" s="96">
        <f>SUM(E41:E42)</f>
        <v>1798.39</v>
      </c>
      <c r="F44" s="96">
        <f t="shared" ref="F44:I44" si="15">SUM(F41:F42)</f>
        <v>2202.5100000000007</v>
      </c>
      <c r="G44" s="96">
        <f t="shared" si="15"/>
        <v>3799.630000000001</v>
      </c>
      <c r="H44" s="96">
        <f t="shared" si="15"/>
        <v>5202.0199999999995</v>
      </c>
      <c r="I44" s="96">
        <f t="shared" si="15"/>
        <v>5933.0699999999979</v>
      </c>
    </row>
    <row r="45" spans="2:16">
      <c r="B45" t="s">
        <v>44</v>
      </c>
      <c r="C45" s="97">
        <v>-1077.04</v>
      </c>
      <c r="D45" s="97">
        <v>-527.45000000000005</v>
      </c>
      <c r="E45" s="97">
        <v>-451.5</v>
      </c>
      <c r="F45" s="97">
        <v>-525.91</v>
      </c>
      <c r="G45" s="97">
        <v>-885.69</v>
      </c>
      <c r="H45" s="97">
        <v>-1201.01</v>
      </c>
      <c r="I45" s="97">
        <v>-1198.6300000000001</v>
      </c>
    </row>
    <row r="46" spans="2:16">
      <c r="B46" s="92" t="s">
        <v>176</v>
      </c>
      <c r="C46" s="93">
        <f>SUM(C44:C45)</f>
        <v>2220.25</v>
      </c>
      <c r="D46" s="93">
        <f>SUM(D44:D45)</f>
        <v>1827.4399999999998</v>
      </c>
      <c r="E46" s="93">
        <f>SUM(E44:E45)</f>
        <v>1346.89</v>
      </c>
      <c r="F46" s="93">
        <f t="shared" ref="F46:I46" si="16">SUM(F44:F45)</f>
        <v>1676.6000000000008</v>
      </c>
      <c r="G46" s="93">
        <f t="shared" si="16"/>
        <v>2913.940000000001</v>
      </c>
      <c r="H46" s="93">
        <f t="shared" si="16"/>
        <v>4001.0099999999993</v>
      </c>
      <c r="I46" s="93">
        <f t="shared" si="16"/>
        <v>4734.4399999999978</v>
      </c>
    </row>
    <row r="47" spans="2:16">
      <c r="C47" s="91"/>
      <c r="D47" s="91"/>
      <c r="E47" s="91"/>
      <c r="F47" s="91"/>
      <c r="G47" s="91"/>
      <c r="H47" s="91"/>
      <c r="I47" s="91"/>
    </row>
    <row r="48" spans="2:16">
      <c r="B48" t="s">
        <v>177</v>
      </c>
      <c r="C48" s="91"/>
      <c r="D48" s="91"/>
      <c r="E48" s="91"/>
      <c r="F48" s="91"/>
      <c r="G48" s="91"/>
      <c r="H48" s="91"/>
      <c r="I48" s="91"/>
    </row>
    <row r="49" spans="2:9">
      <c r="B49" t="s">
        <v>178</v>
      </c>
      <c r="C49" s="91">
        <v>80.77</v>
      </c>
      <c r="D49" s="91">
        <v>66.95</v>
      </c>
      <c r="E49" s="91">
        <v>49.3</v>
      </c>
      <c r="F49" s="91">
        <v>61.33</v>
      </c>
      <c r="G49" s="91">
        <v>106.56</v>
      </c>
      <c r="H49" s="91">
        <v>146.18</v>
      </c>
      <c r="I49" s="91">
        <v>172.76</v>
      </c>
    </row>
    <row r="50" spans="2:9">
      <c r="B50" t="s">
        <v>179</v>
      </c>
      <c r="C50" s="91">
        <v>80.680000000000007</v>
      </c>
      <c r="D50" s="91">
        <v>66.92</v>
      </c>
      <c r="E50" s="91">
        <v>49.24</v>
      </c>
      <c r="F50" s="91">
        <v>61.26</v>
      </c>
      <c r="G50" s="91">
        <v>106.38</v>
      </c>
      <c r="H50" s="91">
        <v>145.91999999999999</v>
      </c>
      <c r="I50" s="91">
        <v>172.37</v>
      </c>
    </row>
    <row r="53" spans="2:9">
      <c r="B53" s="26" t="s">
        <v>557</v>
      </c>
    </row>
  </sheetData>
  <sheetProtection algorithmName="SHA-512" hashValue="Hkti1ZJD5iDWT+0uYX9hQAjYxNuwibrPimfxUKKanwJ0E5eph1fnMxzzrzjQE7jV9zj3OEyKk/MUfOadlawgKA==" saltValue="gJOfdrsMTR+BjJIN88F+Tg==" spinCount="100000" sheet="1" objects="1" scenarios="1" selectLockedCells="1" selectUnlockedCells="1"/>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2E9E-0CCC-430A-A70E-25EFEE1D79A8}">
  <dimension ref="B3:R51"/>
  <sheetViews>
    <sheetView showGridLines="0" zoomScale="68" zoomScaleNormal="55" workbookViewId="0">
      <selection activeCell="E17" sqref="E17"/>
    </sheetView>
  </sheetViews>
  <sheetFormatPr defaultRowHeight="14.4"/>
  <cols>
    <col min="2" max="2" width="43.44140625" customWidth="1"/>
    <col min="3" max="3" width="1.21875" customWidth="1"/>
    <col min="4" max="4" width="0.6640625" customWidth="1"/>
    <col min="5" max="9" width="9.44140625" bestFit="1" customWidth="1"/>
    <col min="11" max="11" width="37.6640625" bestFit="1" customWidth="1"/>
  </cols>
  <sheetData>
    <row r="3" spans="2:18">
      <c r="B3" s="26" t="s">
        <v>493</v>
      </c>
    </row>
    <row r="5" spans="2:18" ht="17.399999999999999">
      <c r="B5" t="s">
        <v>457</v>
      </c>
      <c r="C5" s="485">
        <v>43525</v>
      </c>
      <c r="D5" s="485">
        <v>43891</v>
      </c>
      <c r="E5" s="485">
        <v>44256</v>
      </c>
      <c r="F5" s="485">
        <v>44621</v>
      </c>
      <c r="G5" s="485">
        <v>44986</v>
      </c>
      <c r="H5" s="485">
        <v>45352</v>
      </c>
      <c r="I5" s="485">
        <v>45717</v>
      </c>
    </row>
    <row r="6" spans="2:18">
      <c r="B6" t="s">
        <v>450</v>
      </c>
      <c r="C6">
        <v>3280</v>
      </c>
      <c r="D6">
        <v>2355</v>
      </c>
      <c r="E6">
        <v>1798</v>
      </c>
      <c r="F6">
        <v>2203</v>
      </c>
      <c r="G6">
        <v>3800</v>
      </c>
      <c r="H6">
        <v>5202</v>
      </c>
      <c r="I6">
        <v>5933</v>
      </c>
    </row>
    <row r="7" spans="2:18">
      <c r="B7" s="26" t="s">
        <v>458</v>
      </c>
      <c r="C7" s="26">
        <v>-339</v>
      </c>
      <c r="D7" s="26">
        <v>-118</v>
      </c>
      <c r="E7" s="26">
        <v>114</v>
      </c>
      <c r="F7" s="26">
        <v>-31</v>
      </c>
      <c r="G7" s="26">
        <v>-272</v>
      </c>
      <c r="H7" s="26">
        <v>-798</v>
      </c>
      <c r="I7" s="26">
        <v>-1084</v>
      </c>
    </row>
    <row r="8" spans="2:18">
      <c r="B8" t="s">
        <v>459</v>
      </c>
      <c r="C8">
        <v>300</v>
      </c>
      <c r="D8">
        <v>382</v>
      </c>
      <c r="E8">
        <v>451</v>
      </c>
      <c r="F8">
        <v>452</v>
      </c>
      <c r="G8">
        <v>526</v>
      </c>
      <c r="H8">
        <v>598</v>
      </c>
      <c r="I8">
        <v>729</v>
      </c>
      <c r="O8" s="140"/>
    </row>
    <row r="9" spans="2:18">
      <c r="B9" t="s">
        <v>120</v>
      </c>
      <c r="C9">
        <v>7.3</v>
      </c>
      <c r="D9">
        <v>19</v>
      </c>
      <c r="E9">
        <v>16</v>
      </c>
      <c r="F9">
        <v>19</v>
      </c>
      <c r="G9">
        <v>28</v>
      </c>
      <c r="H9">
        <v>51</v>
      </c>
      <c r="I9">
        <v>54</v>
      </c>
    </row>
    <row r="10" spans="2:18">
      <c r="B10" t="s">
        <v>460</v>
      </c>
      <c r="C10">
        <v>3.9</v>
      </c>
      <c r="D10">
        <v>2.7</v>
      </c>
      <c r="E10">
        <v>1.5</v>
      </c>
      <c r="F10">
        <v>4.2</v>
      </c>
      <c r="G10">
        <v>0.3</v>
      </c>
      <c r="H10">
        <v>1.4</v>
      </c>
      <c r="I10">
        <v>7.7</v>
      </c>
    </row>
    <row r="11" spans="2:18">
      <c r="B11" t="s">
        <v>461</v>
      </c>
      <c r="C11">
        <v>0</v>
      </c>
      <c r="D11">
        <v>0</v>
      </c>
      <c r="E11">
        <v>0</v>
      </c>
      <c r="F11">
        <v>0</v>
      </c>
      <c r="G11">
        <v>0</v>
      </c>
      <c r="H11">
        <v>0</v>
      </c>
      <c r="I11">
        <v>0</v>
      </c>
    </row>
    <row r="12" spans="2:18">
      <c r="B12" t="s">
        <v>462</v>
      </c>
      <c r="C12">
        <v>0</v>
      </c>
      <c r="D12">
        <v>0</v>
      </c>
      <c r="E12">
        <v>0</v>
      </c>
      <c r="F12">
        <v>0</v>
      </c>
      <c r="G12">
        <v>0</v>
      </c>
      <c r="H12">
        <v>0</v>
      </c>
      <c r="I12">
        <v>0</v>
      </c>
    </row>
    <row r="13" spans="2:18">
      <c r="B13" t="s">
        <v>463</v>
      </c>
      <c r="C13">
        <v>-130</v>
      </c>
      <c r="D13">
        <v>-221</v>
      </c>
      <c r="E13">
        <v>-312</v>
      </c>
      <c r="F13">
        <v>-246</v>
      </c>
      <c r="G13">
        <v>-177</v>
      </c>
      <c r="H13">
        <v>-204</v>
      </c>
      <c r="I13">
        <v>-317</v>
      </c>
    </row>
    <row r="14" spans="2:18">
      <c r="B14" t="s">
        <v>464</v>
      </c>
      <c r="C14">
        <v>-4.2</v>
      </c>
      <c r="D14">
        <v>8.3000000000000007</v>
      </c>
      <c r="E14">
        <v>42</v>
      </c>
      <c r="F14">
        <v>-17</v>
      </c>
      <c r="G14">
        <v>-18</v>
      </c>
      <c r="H14">
        <v>-22</v>
      </c>
      <c r="I14">
        <v>-33</v>
      </c>
      <c r="O14" s="140"/>
      <c r="P14" s="140"/>
      <c r="Q14" s="140"/>
      <c r="R14" s="140"/>
    </row>
    <row r="15" spans="2:18">
      <c r="B15" t="s">
        <v>465</v>
      </c>
      <c r="C15">
        <v>0</v>
      </c>
      <c r="D15">
        <v>0</v>
      </c>
      <c r="E15">
        <v>0</v>
      </c>
      <c r="F15">
        <v>0</v>
      </c>
      <c r="G15">
        <v>0</v>
      </c>
      <c r="H15">
        <v>0</v>
      </c>
      <c r="I15">
        <v>10</v>
      </c>
      <c r="K15" s="140"/>
      <c r="L15" s="140"/>
      <c r="M15" s="140"/>
      <c r="N15" s="140"/>
      <c r="O15" s="140"/>
      <c r="P15" s="140"/>
      <c r="Q15" s="140"/>
      <c r="R15" s="140"/>
    </row>
    <row r="16" spans="2:18">
      <c r="B16" s="79" t="s">
        <v>230</v>
      </c>
      <c r="C16" s="79">
        <f t="shared" ref="C16:D16" si="0">C6+C7</f>
        <v>2941</v>
      </c>
      <c r="D16" s="79">
        <f t="shared" si="0"/>
        <v>2237</v>
      </c>
      <c r="E16" s="79">
        <f>E6+E7</f>
        <v>1912</v>
      </c>
      <c r="F16" s="79">
        <f t="shared" ref="F16:H16" si="1">F6+F7</f>
        <v>2172</v>
      </c>
      <c r="G16" s="79">
        <f t="shared" si="1"/>
        <v>3528</v>
      </c>
      <c r="H16" s="79">
        <f t="shared" si="1"/>
        <v>4404</v>
      </c>
      <c r="I16" s="79">
        <f>I6+I7</f>
        <v>4849</v>
      </c>
      <c r="J16" s="140"/>
      <c r="K16" s="140"/>
      <c r="L16" s="140"/>
      <c r="M16" s="140"/>
      <c r="N16" s="140"/>
      <c r="O16" s="140"/>
      <c r="P16" s="140"/>
      <c r="Q16" s="140"/>
      <c r="R16" s="140"/>
    </row>
    <row r="17" spans="2:18">
      <c r="B17" t="s">
        <v>466</v>
      </c>
      <c r="C17">
        <v>-457</v>
      </c>
      <c r="D17">
        <v>86</v>
      </c>
      <c r="E17">
        <v>235</v>
      </c>
      <c r="F17">
        <v>-131</v>
      </c>
      <c r="G17">
        <v>66</v>
      </c>
      <c r="H17">
        <v>388</v>
      </c>
      <c r="I17">
        <v>211</v>
      </c>
    </row>
    <row r="18" spans="2:18">
      <c r="B18" s="79" t="s">
        <v>231</v>
      </c>
      <c r="C18" s="79">
        <f t="shared" ref="C18:D18" si="2">SUM(C16:C17)</f>
        <v>2484</v>
      </c>
      <c r="D18" s="79">
        <f t="shared" si="2"/>
        <v>2323</v>
      </c>
      <c r="E18" s="79">
        <f>SUM(E16:E17)</f>
        <v>2147</v>
      </c>
      <c r="F18" s="79">
        <f t="shared" ref="F18:I18" si="3">SUM(F16:F17)</f>
        <v>2041</v>
      </c>
      <c r="G18" s="79">
        <f t="shared" si="3"/>
        <v>3594</v>
      </c>
      <c r="H18" s="79">
        <f t="shared" si="3"/>
        <v>4792</v>
      </c>
      <c r="I18" s="79">
        <f t="shared" si="3"/>
        <v>5060</v>
      </c>
      <c r="N18" s="140"/>
      <c r="O18" s="140"/>
      <c r="P18" s="140"/>
      <c r="Q18" s="140"/>
      <c r="R18" s="140"/>
    </row>
    <row r="19" spans="2:18">
      <c r="B19" t="s">
        <v>490</v>
      </c>
      <c r="C19">
        <v>-908</v>
      </c>
      <c r="D19">
        <v>-628</v>
      </c>
      <c r="E19">
        <v>-457</v>
      </c>
      <c r="F19">
        <v>-514</v>
      </c>
      <c r="G19">
        <v>-770</v>
      </c>
      <c r="H19">
        <v>-1068</v>
      </c>
      <c r="I19">
        <v>-1080</v>
      </c>
    </row>
    <row r="20" spans="2:18" ht="15" thickBot="1">
      <c r="B20" s="86" t="s">
        <v>467</v>
      </c>
      <c r="C20" s="86">
        <f t="shared" ref="C20:D20" si="4">SUM(C18:C19)</f>
        <v>1576</v>
      </c>
      <c r="D20" s="86">
        <f t="shared" si="4"/>
        <v>1695</v>
      </c>
      <c r="E20" s="86">
        <f>SUM(E18:E19)</f>
        <v>1690</v>
      </c>
      <c r="F20" s="86">
        <f t="shared" ref="F20:I20" si="5">SUM(F18:F19)</f>
        <v>1527</v>
      </c>
      <c r="G20" s="86">
        <f t="shared" si="5"/>
        <v>2824</v>
      </c>
      <c r="H20" s="86">
        <f t="shared" si="5"/>
        <v>3724</v>
      </c>
      <c r="I20" s="86">
        <f t="shared" si="5"/>
        <v>3980</v>
      </c>
      <c r="N20" s="140"/>
      <c r="O20" s="140"/>
      <c r="P20" s="140"/>
      <c r="Q20" s="140"/>
      <c r="R20" s="140"/>
    </row>
    <row r="21" spans="2:18">
      <c r="B21" t="s">
        <v>489</v>
      </c>
      <c r="C21">
        <v>-5</v>
      </c>
      <c r="D21">
        <v>-17</v>
      </c>
      <c r="E21">
        <v>-16</v>
      </c>
      <c r="F21">
        <v>-19</v>
      </c>
      <c r="G21">
        <v>-18</v>
      </c>
      <c r="H21">
        <v>-35</v>
      </c>
      <c r="I21">
        <v>-37</v>
      </c>
      <c r="J21" s="140"/>
    </row>
    <row r="22" spans="2:18">
      <c r="B22" t="s">
        <v>491</v>
      </c>
      <c r="C22">
        <v>0</v>
      </c>
      <c r="D22">
        <v>0</v>
      </c>
      <c r="E22">
        <v>0</v>
      </c>
      <c r="F22">
        <v>0</v>
      </c>
      <c r="G22">
        <v>0</v>
      </c>
      <c r="H22">
        <v>0</v>
      </c>
      <c r="I22">
        <v>0</v>
      </c>
    </row>
    <row r="23" spans="2:18">
      <c r="B23" t="s">
        <v>492</v>
      </c>
      <c r="C23">
        <v>0</v>
      </c>
      <c r="D23">
        <v>0</v>
      </c>
      <c r="E23">
        <v>0</v>
      </c>
      <c r="F23">
        <v>0</v>
      </c>
      <c r="G23">
        <v>0</v>
      </c>
      <c r="H23">
        <v>0</v>
      </c>
      <c r="I23">
        <v>0</v>
      </c>
    </row>
    <row r="24" spans="2:18" ht="15" thickBot="1">
      <c r="B24" s="86" t="s">
        <v>468</v>
      </c>
      <c r="C24" s="142">
        <f t="shared" ref="C24:D24" si="6">SUM(C25:C31)</f>
        <v>-660.09999999999968</v>
      </c>
      <c r="D24" s="142">
        <f t="shared" si="6"/>
        <v>-1508.6000000000004</v>
      </c>
      <c r="E24" s="142">
        <f>SUM(E25:E31)</f>
        <v>-1625</v>
      </c>
      <c r="F24" s="142">
        <f t="shared" ref="F24:I24" si="7">SUM(F25:F31)</f>
        <v>-982.89999999999964</v>
      </c>
      <c r="G24" s="142">
        <f t="shared" si="7"/>
        <v>-2416.2000000000007</v>
      </c>
      <c r="H24" s="142">
        <f t="shared" si="7"/>
        <v>-2851.7999999999993</v>
      </c>
      <c r="I24" s="142">
        <f t="shared" si="7"/>
        <v>-2483</v>
      </c>
    </row>
    <row r="25" spans="2:18">
      <c r="B25" t="s">
        <v>469</v>
      </c>
      <c r="C25">
        <v>-792</v>
      </c>
      <c r="D25">
        <v>-546</v>
      </c>
      <c r="E25">
        <v>-532</v>
      </c>
      <c r="F25">
        <v>-641</v>
      </c>
      <c r="G25">
        <v>-682</v>
      </c>
      <c r="H25">
        <v>-819</v>
      </c>
      <c r="I25">
        <v>-1039</v>
      </c>
    </row>
    <row r="26" spans="2:18">
      <c r="B26" t="s">
        <v>470</v>
      </c>
      <c r="C26">
        <v>1.6</v>
      </c>
      <c r="D26">
        <v>1.4</v>
      </c>
      <c r="E26">
        <v>17</v>
      </c>
      <c r="F26">
        <v>2.1</v>
      </c>
      <c r="G26">
        <v>8.8000000000000007</v>
      </c>
      <c r="H26">
        <v>4.2</v>
      </c>
      <c r="I26">
        <v>11</v>
      </c>
    </row>
    <row r="27" spans="2:18">
      <c r="B27" t="s">
        <v>471</v>
      </c>
      <c r="C27">
        <v>-11655</v>
      </c>
      <c r="D27">
        <v>-13429</v>
      </c>
      <c r="E27">
        <v>-8960</v>
      </c>
      <c r="F27">
        <v>-10680</v>
      </c>
      <c r="G27">
        <v>-9856</v>
      </c>
      <c r="H27">
        <v>-9366</v>
      </c>
      <c r="I27">
        <v>-10106</v>
      </c>
      <c r="N27" s="140"/>
      <c r="O27" s="140"/>
      <c r="P27" s="140"/>
      <c r="Q27" s="140"/>
      <c r="R27" s="140"/>
    </row>
    <row r="28" spans="2:18">
      <c r="B28" t="s">
        <v>472</v>
      </c>
      <c r="C28">
        <v>11630</v>
      </c>
      <c r="D28">
        <v>12193</v>
      </c>
      <c r="E28">
        <v>8116</v>
      </c>
      <c r="F28">
        <v>10127</v>
      </c>
      <c r="G28">
        <v>7781</v>
      </c>
      <c r="H28">
        <v>7009</v>
      </c>
      <c r="I28">
        <v>8296</v>
      </c>
      <c r="L28" s="140"/>
      <c r="M28" s="140"/>
      <c r="N28" s="140"/>
      <c r="O28" s="140"/>
    </row>
    <row r="29" spans="2:18">
      <c r="B29" t="s">
        <v>473</v>
      </c>
      <c r="C29">
        <v>65</v>
      </c>
      <c r="D29">
        <v>68</v>
      </c>
      <c r="E29">
        <v>0</v>
      </c>
      <c r="F29">
        <v>27</v>
      </c>
      <c r="G29">
        <v>41</v>
      </c>
      <c r="H29">
        <v>95</v>
      </c>
      <c r="I29">
        <v>136</v>
      </c>
    </row>
    <row r="30" spans="2:18">
      <c r="B30" t="s">
        <v>474</v>
      </c>
      <c r="C30">
        <v>90</v>
      </c>
      <c r="D30">
        <v>204</v>
      </c>
      <c r="E30">
        <v>192</v>
      </c>
      <c r="F30">
        <v>398</v>
      </c>
      <c r="G30">
        <v>204</v>
      </c>
      <c r="H30">
        <v>112</v>
      </c>
      <c r="I30">
        <v>188</v>
      </c>
    </row>
    <row r="31" spans="2:18">
      <c r="B31" t="s">
        <v>475</v>
      </c>
      <c r="C31">
        <v>0.3</v>
      </c>
      <c r="D31">
        <v>0</v>
      </c>
      <c r="E31">
        <v>-458</v>
      </c>
      <c r="F31">
        <f>-218+2</f>
        <v>-216</v>
      </c>
      <c r="G31">
        <f>88-1</f>
        <v>87</v>
      </c>
      <c r="H31">
        <f>112+1</f>
        <v>113</v>
      </c>
      <c r="I31">
        <v>31</v>
      </c>
      <c r="N31" s="140"/>
      <c r="O31" s="140"/>
      <c r="P31" s="140"/>
      <c r="Q31" s="140"/>
      <c r="R31" s="140"/>
    </row>
    <row r="32" spans="2:18" ht="15" thickBot="1">
      <c r="B32" s="86" t="s">
        <v>476</v>
      </c>
      <c r="C32" s="142">
        <f t="shared" ref="C32:D32" si="8">SUM(C33:C40)</f>
        <v>-244</v>
      </c>
      <c r="D32" s="142">
        <f t="shared" si="8"/>
        <v>-701</v>
      </c>
      <c r="E32" s="142">
        <f>SUM(E33:E40)</f>
        <v>-15</v>
      </c>
      <c r="F32" s="142">
        <f t="shared" ref="F32:I32" si="9">SUM(F33:F40)</f>
        <v>-592.5</v>
      </c>
      <c r="G32" s="142">
        <f t="shared" si="9"/>
        <v>-417</v>
      </c>
      <c r="H32" s="142">
        <f t="shared" si="9"/>
        <v>-843.6</v>
      </c>
      <c r="I32" s="142">
        <f t="shared" si="9"/>
        <v>-1399</v>
      </c>
    </row>
    <row r="33" spans="2:18">
      <c r="B33" t="s">
        <v>477</v>
      </c>
      <c r="C33">
        <v>0</v>
      </c>
      <c r="D33">
        <v>0</v>
      </c>
      <c r="E33">
        <v>0</v>
      </c>
      <c r="F33">
        <v>0</v>
      </c>
      <c r="G33">
        <v>0</v>
      </c>
      <c r="H33">
        <v>0</v>
      </c>
      <c r="I33">
        <v>0</v>
      </c>
      <c r="N33" s="140"/>
      <c r="O33" s="140"/>
      <c r="P33" s="140"/>
      <c r="Q33" s="140"/>
      <c r="R33" s="140"/>
    </row>
    <row r="34" spans="2:18">
      <c r="B34" s="196" t="s">
        <v>478</v>
      </c>
      <c r="C34" s="196">
        <v>36</v>
      </c>
      <c r="D34" s="196">
        <v>29</v>
      </c>
      <c r="E34" s="196">
        <v>38</v>
      </c>
      <c r="F34" s="196">
        <v>6.5</v>
      </c>
      <c r="G34" s="196">
        <v>11</v>
      </c>
      <c r="H34" s="196">
        <v>47</v>
      </c>
      <c r="I34" s="196">
        <v>87</v>
      </c>
      <c r="L34" s="140"/>
      <c r="M34" s="140"/>
      <c r="N34" s="140"/>
      <c r="O34" s="140"/>
    </row>
    <row r="35" spans="2:18">
      <c r="B35" s="196" t="s">
        <v>479</v>
      </c>
      <c r="C35" s="196">
        <v>0</v>
      </c>
      <c r="D35" s="196">
        <v>0</v>
      </c>
      <c r="E35" s="196">
        <v>0</v>
      </c>
      <c r="F35" s="196">
        <v>0</v>
      </c>
      <c r="G35" s="196">
        <v>131</v>
      </c>
      <c r="H35" s="196">
        <v>186</v>
      </c>
      <c r="I35" s="196">
        <v>16</v>
      </c>
    </row>
    <row r="36" spans="2:18">
      <c r="B36" s="196" t="s">
        <v>480</v>
      </c>
      <c r="C36" s="196">
        <v>0</v>
      </c>
      <c r="D36" s="196">
        <v>0</v>
      </c>
      <c r="E36" s="196">
        <v>0</v>
      </c>
      <c r="F36" s="196">
        <v>0</v>
      </c>
      <c r="G36" s="196">
        <v>0</v>
      </c>
      <c r="H36" s="196">
        <v>0</v>
      </c>
      <c r="I36" s="196">
        <v>0</v>
      </c>
    </row>
    <row r="37" spans="2:18">
      <c r="B37" s="196" t="s">
        <v>481</v>
      </c>
      <c r="C37" s="196">
        <v>25</v>
      </c>
      <c r="D37" s="196">
        <v>-31</v>
      </c>
      <c r="E37" s="196">
        <v>13</v>
      </c>
      <c r="F37" s="196">
        <v>-105</v>
      </c>
      <c r="G37" s="196">
        <v>44</v>
      </c>
      <c r="H37" s="196">
        <v>6.4</v>
      </c>
      <c r="I37" s="196">
        <v>-21</v>
      </c>
    </row>
    <row r="38" spans="2:18">
      <c r="B38" s="196" t="s">
        <v>232</v>
      </c>
      <c r="C38" s="196">
        <v>-300</v>
      </c>
      <c r="D38" s="196">
        <v>-682</v>
      </c>
      <c r="E38" s="196">
        <v>0</v>
      </c>
      <c r="F38" s="196">
        <v>-465</v>
      </c>
      <c r="G38" s="196">
        <v>-574</v>
      </c>
      <c r="H38" s="196">
        <v>-1013</v>
      </c>
      <c r="I38" s="196">
        <v>-1397</v>
      </c>
    </row>
    <row r="39" spans="2:18">
      <c r="B39" s="196" t="s">
        <v>482</v>
      </c>
      <c r="C39" s="196">
        <v>-5</v>
      </c>
      <c r="D39" s="196">
        <v>-17</v>
      </c>
      <c r="E39" s="196">
        <v>-16</v>
      </c>
      <c r="F39" s="196">
        <v>-19</v>
      </c>
      <c r="G39" s="196">
        <v>-18</v>
      </c>
      <c r="H39" s="196">
        <v>-35</v>
      </c>
      <c r="I39" s="196">
        <v>-37</v>
      </c>
      <c r="N39" s="140"/>
      <c r="O39" s="140"/>
      <c r="P39" s="140"/>
      <c r="Q39" s="140"/>
      <c r="R39" s="140"/>
    </row>
    <row r="40" spans="2:18">
      <c r="B40" t="s">
        <v>483</v>
      </c>
      <c r="C40">
        <v>0</v>
      </c>
      <c r="D40">
        <v>0</v>
      </c>
      <c r="E40">
        <v>-50</v>
      </c>
      <c r="F40">
        <v>-10</v>
      </c>
      <c r="G40">
        <v>-11</v>
      </c>
      <c r="H40">
        <v>-35</v>
      </c>
      <c r="I40">
        <v>-47</v>
      </c>
    </row>
    <row r="41" spans="2:18" ht="15" thickBot="1">
      <c r="B41" s="86" t="s">
        <v>484</v>
      </c>
      <c r="C41" s="86">
        <v>623</v>
      </c>
      <c r="D41" s="86">
        <v>-673</v>
      </c>
      <c r="E41" s="142">
        <f>E32+E24+E20</f>
        <v>50</v>
      </c>
      <c r="F41" s="142">
        <f t="shared" ref="F41:I41" si="10">F32+F24+F20</f>
        <v>-48.399999999999636</v>
      </c>
      <c r="G41" s="142">
        <f t="shared" si="10"/>
        <v>-9.2000000000007276</v>
      </c>
      <c r="H41" s="142">
        <f t="shared" si="10"/>
        <v>28.600000000000819</v>
      </c>
      <c r="I41" s="142">
        <f t="shared" si="10"/>
        <v>98</v>
      </c>
      <c r="O41" s="140"/>
      <c r="P41" s="140"/>
      <c r="Q41" s="140"/>
      <c r="R41" s="140"/>
    </row>
    <row r="42" spans="2:18">
      <c r="B42" t="s">
        <v>485</v>
      </c>
      <c r="C42">
        <v>92</v>
      </c>
      <c r="D42">
        <v>716</v>
      </c>
      <c r="E42">
        <v>43</v>
      </c>
      <c r="F42">
        <f>E45</f>
        <v>93</v>
      </c>
      <c r="G42" s="140">
        <f t="shared" ref="G42:I42" si="11">F45</f>
        <v>44.600000000000364</v>
      </c>
      <c r="H42" s="140">
        <f t="shared" si="11"/>
        <v>55.399999999999636</v>
      </c>
      <c r="I42" s="140">
        <f t="shared" si="11"/>
        <v>102.00000000000045</v>
      </c>
    </row>
    <row r="43" spans="2:18">
      <c r="B43" t="s">
        <v>486</v>
      </c>
      <c r="C43">
        <v>0</v>
      </c>
      <c r="D43">
        <v>0</v>
      </c>
      <c r="E43">
        <v>0</v>
      </c>
      <c r="F43">
        <v>0</v>
      </c>
      <c r="G43">
        <v>0</v>
      </c>
      <c r="H43">
        <v>0</v>
      </c>
      <c r="I43">
        <v>0</v>
      </c>
    </row>
    <row r="44" spans="2:18">
      <c r="B44" t="s">
        <v>487</v>
      </c>
      <c r="C44">
        <v>0</v>
      </c>
      <c r="D44">
        <v>0</v>
      </c>
      <c r="E44">
        <v>0</v>
      </c>
      <c r="F44">
        <v>0</v>
      </c>
      <c r="G44">
        <v>20</v>
      </c>
      <c r="H44">
        <v>18</v>
      </c>
      <c r="I44">
        <v>23</v>
      </c>
    </row>
    <row r="45" spans="2:18" ht="15" thickBot="1">
      <c r="B45" s="86" t="s">
        <v>488</v>
      </c>
      <c r="C45" s="86">
        <v>716</v>
      </c>
      <c r="D45" s="86">
        <v>43</v>
      </c>
      <c r="E45" s="142">
        <f>E41+E42+E44</f>
        <v>93</v>
      </c>
      <c r="F45" s="142">
        <f t="shared" ref="F45:I45" si="12">F41+F42+F44</f>
        <v>44.600000000000364</v>
      </c>
      <c r="G45" s="142">
        <f t="shared" si="12"/>
        <v>55.399999999999636</v>
      </c>
      <c r="H45" s="142">
        <f t="shared" si="12"/>
        <v>102.00000000000045</v>
      </c>
      <c r="I45" s="142">
        <f t="shared" si="12"/>
        <v>223.00000000000045</v>
      </c>
    </row>
    <row r="47" spans="2:18">
      <c r="E47" s="140"/>
      <c r="F47" s="140"/>
      <c r="G47" s="140"/>
      <c r="H47" s="140"/>
      <c r="I47" s="140"/>
    </row>
    <row r="49" spans="5:9">
      <c r="E49" s="140"/>
      <c r="F49" s="140"/>
      <c r="G49" s="140"/>
      <c r="H49" s="140"/>
      <c r="I49" s="140"/>
    </row>
    <row r="51" spans="5:9">
      <c r="E51" s="140"/>
      <c r="F51" s="140"/>
      <c r="G51" s="140"/>
      <c r="H51" s="140"/>
      <c r="I51" s="140"/>
    </row>
  </sheetData>
  <sheetProtection algorithmName="SHA-512" hashValue="T2BDEdPl4dWmo3oJF2+xF6BgepU5/dtuSAkjc6rE+gY56KZNcGGnQz9Gbg3xFJWcVpNT8xUFP80S17div310rA==" saltValue="95e/4AiK99jUnyKnosSBhg==" spinCount="100000" sheet="1" objects="1" scenarios="1" selectLockedCells="1" selectUnlockedCells="1"/>
  <pageMargins left="0.7" right="0.7" top="0.75" bottom="0.75" header="0.3" footer="0.3"/>
  <ignoredErrors>
    <ignoredError sqref="E24:I24 C24:D24"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24</vt:i4>
      </vt:variant>
    </vt:vector>
  </HeadingPairs>
  <TitlesOfParts>
    <vt:vector size="24" baseType="lpstr">
      <vt:lpstr>Input Sheet</vt:lpstr>
      <vt:lpstr>WACC</vt:lpstr>
      <vt:lpstr>Damodaran data</vt:lpstr>
      <vt:lpstr>Controlsheet</vt:lpstr>
      <vt:lpstr>Schedules</vt:lpstr>
      <vt:lpstr>3StatementModel</vt:lpstr>
      <vt:lpstr>CommonSizeStatement</vt:lpstr>
      <vt:lpstr>RatioAnalysis</vt:lpstr>
      <vt:lpstr>DCF&gt;</vt:lpstr>
      <vt:lpstr>DCFVal</vt:lpstr>
      <vt:lpstr>Relative Pricing&gt;</vt:lpstr>
      <vt:lpstr>Comps_Description</vt:lpstr>
      <vt:lpstr>Benchmarking</vt:lpstr>
      <vt:lpstr>Relative_Val</vt:lpstr>
      <vt:lpstr>Workings&gt;</vt:lpstr>
      <vt:lpstr>Assumptions Working</vt:lpstr>
      <vt:lpstr>Report</vt:lpstr>
      <vt:lpstr>Business Profiling</vt:lpstr>
      <vt:lpstr>Options Value</vt:lpstr>
      <vt:lpstr>Growth Drivers</vt:lpstr>
      <vt:lpstr>HistoricalData&gt;</vt:lpstr>
      <vt:lpstr>ConsolidatedBS</vt:lpstr>
      <vt:lpstr>ConsolidatedP&amp;L</vt:lpstr>
      <vt:lpstr>ConsolidatedCashFlow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Gupta</dc:creator>
  <cp:lastModifiedBy>Sahil Gupta</cp:lastModifiedBy>
  <cp:lastPrinted>2025-11-18T15:25:30Z</cp:lastPrinted>
  <dcterms:created xsi:type="dcterms:W3CDTF">2025-10-05T15:14:31Z</dcterms:created>
  <dcterms:modified xsi:type="dcterms:W3CDTF">2025-12-20T13:13:02Z</dcterms:modified>
</cp:coreProperties>
</file>