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lackandveatch-my.sharepoint.com/personal/ghoshs_bv_com/Documents/Achieving a Neutral Carbon Footprint for Electrical Substations/References/"/>
    </mc:Choice>
  </mc:AlternateContent>
  <xr:revisionPtr revIDLastSave="0" documentId="14_{F7C4F8D3-543F-4286-85ED-14E3C46CD9BA}" xr6:coauthVersionLast="47" xr6:coauthVersionMax="47" xr10:uidLastSave="{00000000-0000-0000-0000-000000000000}"/>
  <workbookProtection workbookAlgorithmName="SHA-512" workbookHashValue="nxcAj9Xu93Ue4mfYcPmLMzZQuGsN3canKNfB5rYg3uAA1TbeiZ4dXdTsMvbV7nvWChcTU1fHMMw0+LPN2nePNQ==" workbookSaltValue="E6W1+xdcN/fhLY7PjdS9yQ==" workbookSpinCount="100000" lockStructure="1"/>
  <bookViews>
    <workbookView xWindow="28680" yWindow="-120" windowWidth="29040" windowHeight="15840" firstSheet="2" activeTab="8" xr2:uid="{1A85FEE8-30B0-4DFD-BB20-D2BD76A3780D}"/>
  </bookViews>
  <sheets>
    <sheet name="Introduction" sheetId="3" r:id="rId1"/>
    <sheet name="Definitions and Acronyms" sheetId="11" r:id="rId2"/>
    <sheet name="0. Assumptions" sheetId="4" r:id="rId3"/>
    <sheet name="1. Initial Cost" sheetId="1" r:id="rId4"/>
    <sheet name="2. Annual Cost" sheetId="5" r:id="rId5"/>
    <sheet name="3. Routine Inspection" sheetId="6" r:id="rId6"/>
    <sheet name="4. Periodic Inspection " sheetId="7" r:id="rId7"/>
    <sheet name="5. Replacement or Overhaul Cost" sheetId="8" r:id="rId8"/>
    <sheet name="RESULTS" sheetId="9" r:id="rId9"/>
    <sheet name="NPV Analysis" sheetId="2" state="hidden" r:id="rId10"/>
    <sheet name="Constants and Conversions" sheetId="10" state="hidden" r:id="rId11"/>
  </sheets>
  <definedNames>
    <definedName name="Discount_Rate">'0. Assumptions'!$B$8</definedName>
    <definedName name="GCB_Annual">'2. Annual Cost'!$G$35</definedName>
    <definedName name="GCB_Cost_PI">'4. Periodic Inspection '!$G$35</definedName>
    <definedName name="GCB_Cost_RI">'3. Routine Inspection'!$G$29</definedName>
    <definedName name="GCB_Life">'0. Assumptions'!$B$23</definedName>
    <definedName name="GCB_NTH_Breaker">'5. Replacement or Overhaul Cost'!$B$15</definedName>
    <definedName name="GCB_NTH_Initial">'1. Initial Cost'!$G$19</definedName>
    <definedName name="GCB_PI">'0. Assumptions'!$B$25</definedName>
    <definedName name="GCB_PI_Freq">'0. Assumptions'!$B$27</definedName>
    <definedName name="GCB_RI">'0. Assumptions'!$B$24</definedName>
    <definedName name="GCB_RI_Freq">'0. Assumptions'!$B$26</definedName>
    <definedName name="GCB_Systems">'0. Assumptions'!$B$22</definedName>
    <definedName name="GCB_TH_Breaker">'5. Replacement or Overhaul Cost'!$B$20</definedName>
    <definedName name="GCB_TH_Initial">'1. Initial Cost'!$G$26</definedName>
    <definedName name="GWP_SF6">'Constants and Conversions'!$B$3</definedName>
    <definedName name="lbs_to_MT">'Constants and Conversions'!$B$6</definedName>
    <definedName name="VCB_Annual">'2. Annual Cost'!$G$20</definedName>
    <definedName name="VCB_Breaker">'5. Replacement or Overhaul Cost'!$B$10</definedName>
    <definedName name="VCB_Cost_PI">'4. Periodic Inspection '!$G$20</definedName>
    <definedName name="VCB_Cost_RI">'3. Routine Inspection'!$G$17</definedName>
    <definedName name="VCB_Initial">'1. Initial Cost'!$G$12</definedName>
    <definedName name="VCB_Life">'0. Assumptions'!$B$14</definedName>
    <definedName name="VCB_PI">'0. Assumptions'!$B$16</definedName>
    <definedName name="VCB_PI_Freq">'0. Assumptions'!$B$18</definedName>
    <definedName name="VCB_RI">'0. Assumptions'!$B$15</definedName>
    <definedName name="VCB_RI_Freq">'0. Assumptions'!$B$17</definedName>
    <definedName name="VCB_Systems">'0. Assumptions'!$B$13</definedName>
    <definedName name="Vehicles_Per_year">'Constants and Conversions'!$B$7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5" l="1"/>
  <c r="D34" i="5"/>
  <c r="F9" i="1"/>
  <c r="F16" i="1"/>
  <c r="B6" i="10"/>
  <c r="B27" i="4" l="1"/>
  <c r="B26" i="4"/>
  <c r="K17" i="4" s="1"/>
  <c r="D25" i="7"/>
  <c r="D10" i="7"/>
  <c r="D22" i="6"/>
  <c r="D10" i="6"/>
  <c r="B28" i="9"/>
  <c r="B43" i="2"/>
  <c r="B44" i="2"/>
  <c r="B45" i="2"/>
  <c r="B17" i="4"/>
  <c r="J11" i="4" s="1" a="1"/>
  <c r="J11" i="4" s="1"/>
  <c r="B18" i="4"/>
  <c r="D9" i="6"/>
  <c r="D11" i="6"/>
  <c r="G11" i="6" s="1"/>
  <c r="D25" i="1"/>
  <c r="G25" i="1" s="1"/>
  <c r="D18" i="1"/>
  <c r="G18" i="1" s="1"/>
  <c r="D11" i="1"/>
  <c r="G11" i="1" s="1"/>
  <c r="J49" i="4" l="1" a="1"/>
  <c r="J49" i="4" s="1"/>
  <c r="K60" i="4"/>
  <c r="J39" i="4" a="1"/>
  <c r="J39" i="4" s="1"/>
  <c r="K53" i="4"/>
  <c r="J32" i="4" a="1"/>
  <c r="J32" i="4" s="1"/>
  <c r="J26" i="4" a="1"/>
  <c r="J26" i="4" s="1"/>
  <c r="J13" i="4" a="1"/>
  <c r="J13" i="4" s="1"/>
  <c r="J7" i="4" a="1"/>
  <c r="J7" i="4" s="1"/>
  <c r="K59" i="4"/>
  <c r="J37" i="4" a="1"/>
  <c r="J37" i="4" s="1"/>
  <c r="K63" i="4"/>
  <c r="K57" i="4"/>
  <c r="J53" i="4" a="1"/>
  <c r="J53" i="4" s="1"/>
  <c r="J47" i="4" a="1"/>
  <c r="J47" i="4" s="1"/>
  <c r="K42" i="4"/>
  <c r="K36" i="4"/>
  <c r="K30" i="4"/>
  <c r="K25" i="4"/>
  <c r="J19" i="4" a="1"/>
  <c r="J19" i="4" s="1"/>
  <c r="K12" i="4"/>
  <c r="K6" i="4"/>
  <c r="K43" i="4"/>
  <c r="J20" i="4" a="1"/>
  <c r="J20" i="4" s="1"/>
  <c r="J60" i="4" a="1"/>
  <c r="J60" i="4" s="1"/>
  <c r="K4" i="4"/>
  <c r="J43" i="4" a="1"/>
  <c r="J43" i="4" s="1"/>
  <c r="J57" i="4" a="1"/>
  <c r="J57" i="4" s="1"/>
  <c r="K52" i="4"/>
  <c r="K46" i="4"/>
  <c r="K40" i="4"/>
  <c r="J36" i="4" a="1"/>
  <c r="J36" i="4" s="1"/>
  <c r="J30" i="4" a="1"/>
  <c r="J30" i="4" s="1"/>
  <c r="K23" i="4"/>
  <c r="J17" i="4" a="1"/>
  <c r="J17" i="4" s="1"/>
  <c r="J12" i="4" a="1"/>
  <c r="J12" i="4" s="1"/>
  <c r="J63" i="4" a="1"/>
  <c r="J63" i="4" s="1"/>
  <c r="K56" i="4"/>
  <c r="J51" i="4" a="1"/>
  <c r="J51" i="4" s="1"/>
  <c r="J40" i="4" a="1"/>
  <c r="J40" i="4" s="1"/>
  <c r="K35" i="4"/>
  <c r="K29" i="4"/>
  <c r="J23" i="4" a="1"/>
  <c r="J23" i="4" s="1"/>
  <c r="K16" i="4"/>
  <c r="K10" i="4"/>
  <c r="J6" i="4" a="1"/>
  <c r="J6" i="4" s="1"/>
  <c r="K49" i="4"/>
  <c r="J27" i="4" a="1"/>
  <c r="J27" i="4" s="1"/>
  <c r="J54" i="4" a="1"/>
  <c r="J54" i="4" s="1"/>
  <c r="J4" i="4" a="1"/>
  <c r="J4" i="4" s="1"/>
  <c r="K62" i="4"/>
  <c r="J56" i="4" a="1"/>
  <c r="J56" i="4" s="1"/>
  <c r="K50" i="4"/>
  <c r="J46" i="4" a="1"/>
  <c r="J46" i="4" s="1"/>
  <c r="K39" i="4"/>
  <c r="J34" i="4" a="1"/>
  <c r="J34" i="4" s="1"/>
  <c r="J29" i="4" a="1"/>
  <c r="J29" i="4" s="1"/>
  <c r="K22" i="4"/>
  <c r="J16" i="4" a="1"/>
  <c r="J16" i="4" s="1"/>
  <c r="J10" i="4" a="1"/>
  <c r="J10" i="4" s="1"/>
  <c r="K5" i="4"/>
  <c r="J61" i="4" a="1"/>
  <c r="J61" i="4" s="1"/>
  <c r="K55" i="4"/>
  <c r="J50" i="4" a="1"/>
  <c r="J50" i="4" s="1"/>
  <c r="J44" i="4" a="1"/>
  <c r="J44" i="4" s="1"/>
  <c r="K33" i="4"/>
  <c r="K20" i="4"/>
  <c r="K15" i="4"/>
  <c r="K9" i="4"/>
  <c r="J33" i="4" a="1"/>
  <c r="J33" i="4" s="1"/>
  <c r="J14" i="4" a="1"/>
  <c r="J14" i="4" s="1"/>
  <c r="J9" i="4" a="1"/>
  <c r="J9" i="4" s="1"/>
  <c r="K37" i="4"/>
  <c r="K32" i="4"/>
  <c r="K26" i="4"/>
  <c r="K19" i="4"/>
  <c r="K13" i="4"/>
  <c r="K8" i="4"/>
  <c r="J59" i="4" a="1"/>
  <c r="J59" i="4" s="1"/>
  <c r="J52" i="4" a="1"/>
  <c r="J52" i="4" s="1"/>
  <c r="K48" i="4"/>
  <c r="K45" i="4"/>
  <c r="J42" i="4" a="1"/>
  <c r="J42" i="4" s="1"/>
  <c r="K38" i="4"/>
  <c r="K31" i="4"/>
  <c r="K28" i="4"/>
  <c r="J25" i="4" a="1"/>
  <c r="J25" i="4" s="1"/>
  <c r="J22" i="4" a="1"/>
  <c r="J22" i="4" s="1"/>
  <c r="K18" i="4"/>
  <c r="J15" i="4" a="1"/>
  <c r="J15" i="4" s="1"/>
  <c r="K11" i="4"/>
  <c r="J8" i="4" a="1"/>
  <c r="J8" i="4" s="1"/>
  <c r="J5" i="4" a="1"/>
  <c r="J5" i="4" s="1"/>
  <c r="J62" i="4" a="1"/>
  <c r="J62" i="4" s="1"/>
  <c r="K58" i="4"/>
  <c r="J55" i="4" a="1"/>
  <c r="J55" i="4" s="1"/>
  <c r="K51" i="4"/>
  <c r="J48" i="4" a="1"/>
  <c r="J48" i="4" s="1"/>
  <c r="J45" i="4" a="1"/>
  <c r="J45" i="4" s="1"/>
  <c r="K41" i="4"/>
  <c r="J35" i="4" a="1"/>
  <c r="J35" i="4" s="1"/>
  <c r="J28" i="4" a="1"/>
  <c r="J28" i="4" s="1"/>
  <c r="K24" i="4"/>
  <c r="K21" i="4"/>
  <c r="J18" i="4" a="1"/>
  <c r="J18" i="4" s="1"/>
  <c r="K14" i="4"/>
  <c r="K7" i="4"/>
  <c r="K61" i="4"/>
  <c r="J58" i="4" a="1"/>
  <c r="J58" i="4" s="1"/>
  <c r="K54" i="4"/>
  <c r="K47" i="4"/>
  <c r="K44" i="4"/>
  <c r="J41" i="4" a="1"/>
  <c r="J41" i="4" s="1"/>
  <c r="J38" i="4" a="1"/>
  <c r="J38" i="4" s="1"/>
  <c r="K34" i="4"/>
  <c r="J31" i="4" a="1"/>
  <c r="J31" i="4" s="1"/>
  <c r="K27" i="4"/>
  <c r="J24" i="4" a="1"/>
  <c r="J24" i="4" s="1"/>
  <c r="J21" i="4" a="1"/>
  <c r="J21" i="4" s="1"/>
  <c r="B20" i="8"/>
  <c r="B15" i="8"/>
  <c r="B10" i="8"/>
  <c r="D34" i="7"/>
  <c r="G34" i="7" s="1"/>
  <c r="D19" i="7"/>
  <c r="G19" i="7" s="1"/>
  <c r="D28" i="6"/>
  <c r="G28" i="6" s="1"/>
  <c r="G16" i="6"/>
  <c r="D16" i="6"/>
  <c r="D24" i="1"/>
  <c r="G24" i="1" s="1"/>
  <c r="D23" i="1"/>
  <c r="G23" i="1" s="1"/>
  <c r="D17" i="1"/>
  <c r="G17" i="1" s="1"/>
  <c r="D16" i="1"/>
  <c r="G16" i="1" s="1"/>
  <c r="D9" i="1"/>
  <c r="G9" i="1" s="1"/>
  <c r="D10" i="1"/>
  <c r="G10" i="1" s="1"/>
  <c r="D31" i="5"/>
  <c r="G31" i="5" s="1"/>
  <c r="D16" i="5"/>
  <c r="G16" i="5" s="1"/>
  <c r="B13" i="4"/>
  <c r="E43" i="2" l="1"/>
  <c r="E44" i="2"/>
  <c r="E45" i="2"/>
  <c r="G26" i="1"/>
  <c r="G19" i="1"/>
  <c r="G12" i="1"/>
  <c r="B22" i="4" l="1"/>
  <c r="B10" i="9"/>
  <c r="C10" i="9" s="1"/>
  <c r="D10" i="9" s="1"/>
  <c r="A5" i="9" l="1"/>
  <c r="B27" i="9"/>
  <c r="B11" i="9"/>
  <c r="C11" i="9" s="1"/>
  <c r="A3" i="9" s="1"/>
  <c r="D30" i="5"/>
  <c r="G30" i="5" s="1"/>
  <c r="G18" i="5"/>
  <c r="D11" i="9" l="1"/>
  <c r="A4" i="9" s="1"/>
  <c r="D33" i="7"/>
  <c r="G33" i="7" s="1"/>
  <c r="D18" i="7"/>
  <c r="G18" i="7" s="1"/>
  <c r="D32" i="7"/>
  <c r="G32" i="7" s="1"/>
  <c r="D17" i="7"/>
  <c r="G17" i="7" s="1"/>
  <c r="D31" i="7"/>
  <c r="G31" i="7" s="1"/>
  <c r="D16" i="7"/>
  <c r="G16" i="7" s="1"/>
  <c r="D30" i="7"/>
  <c r="G30" i="7" s="1"/>
  <c r="D15" i="7"/>
  <c r="G15" i="7" s="1"/>
  <c r="D29" i="7"/>
  <c r="G29" i="7" s="1"/>
  <c r="D14" i="7"/>
  <c r="G14" i="7" s="1"/>
  <c r="D28" i="7"/>
  <c r="G28" i="7" s="1"/>
  <c r="D13" i="7"/>
  <c r="G13" i="7" s="1"/>
  <c r="D27" i="7"/>
  <c r="G27" i="7" s="1"/>
  <c r="D12" i="7"/>
  <c r="G12" i="7" s="1"/>
  <c r="D26" i="7"/>
  <c r="G26" i="7" s="1"/>
  <c r="D11" i="7"/>
  <c r="G11" i="7" s="1"/>
  <c r="G25" i="7"/>
  <c r="G10" i="7"/>
  <c r="D24" i="7"/>
  <c r="G24" i="7" s="1"/>
  <c r="D9" i="7"/>
  <c r="G9" i="7" s="1"/>
  <c r="D27" i="6"/>
  <c r="G27" i="6" s="1"/>
  <c r="D15" i="6"/>
  <c r="G15" i="6" s="1"/>
  <c r="D26" i="6"/>
  <c r="G26" i="6" s="1"/>
  <c r="D14" i="6"/>
  <c r="G14" i="6" s="1"/>
  <c r="D25" i="6"/>
  <c r="G25" i="6" s="1"/>
  <c r="D13" i="6"/>
  <c r="G13" i="6" s="1"/>
  <c r="D24" i="6"/>
  <c r="G24" i="6" s="1"/>
  <c r="D12" i="6"/>
  <c r="G12" i="6" s="1"/>
  <c r="D23" i="6"/>
  <c r="G23" i="6" s="1"/>
  <c r="G22" i="6"/>
  <c r="G10" i="6"/>
  <c r="D21" i="6"/>
  <c r="G21" i="6" s="1"/>
  <c r="G9" i="6"/>
  <c r="G34" i="5"/>
  <c r="G19" i="5"/>
  <c r="G33" i="5"/>
  <c r="D15" i="5"/>
  <c r="G15" i="5" s="1"/>
  <c r="D29" i="5"/>
  <c r="G29" i="5" s="1"/>
  <c r="D14" i="5"/>
  <c r="G14" i="5" s="1"/>
  <c r="D28" i="5"/>
  <c r="G28" i="5" s="1"/>
  <c r="D13" i="5"/>
  <c r="G13" i="5" s="1"/>
  <c r="D27" i="5"/>
  <c r="G27" i="5" s="1"/>
  <c r="D12" i="5"/>
  <c r="G12" i="5" s="1"/>
  <c r="D26" i="5"/>
  <c r="G26" i="5" s="1"/>
  <c r="D11" i="5"/>
  <c r="G11" i="5" s="1"/>
  <c r="D25" i="5"/>
  <c r="G25" i="5" s="1"/>
  <c r="D10" i="5"/>
  <c r="G10" i="5" s="1"/>
  <c r="D24" i="5"/>
  <c r="G24" i="5" s="1"/>
  <c r="D9" i="5"/>
  <c r="G9" i="5" s="1"/>
  <c r="L4" i="4"/>
  <c r="G29" i="6" l="1"/>
  <c r="G35" i="7"/>
  <c r="G20" i="7"/>
  <c r="G20" i="5"/>
  <c r="G17" i="6"/>
  <c r="G35" i="5"/>
  <c r="M4" i="4"/>
  <c r="C3" i="2"/>
  <c r="Q3" i="2"/>
  <c r="J3" i="2"/>
  <c r="B31" i="2"/>
  <c r="P52" i="2"/>
  <c r="U52" i="2" s="1"/>
  <c r="P51" i="2"/>
  <c r="U51" i="2" s="1"/>
  <c r="P50" i="2"/>
  <c r="U50" i="2" s="1"/>
  <c r="P49" i="2"/>
  <c r="U49" i="2" s="1"/>
  <c r="P48" i="2"/>
  <c r="U48" i="2" s="1"/>
  <c r="P47" i="2"/>
  <c r="U47" i="2" s="1"/>
  <c r="P46" i="2"/>
  <c r="U46" i="2" s="1"/>
  <c r="P45" i="2"/>
  <c r="U45" i="2" s="1"/>
  <c r="P44" i="2"/>
  <c r="U44" i="2" s="1"/>
  <c r="P43" i="2"/>
  <c r="U43" i="2" s="1"/>
  <c r="P42" i="2"/>
  <c r="U42" i="2" s="1"/>
  <c r="P41" i="2"/>
  <c r="U41" i="2" s="1"/>
  <c r="P40" i="2"/>
  <c r="U40" i="2" s="1"/>
  <c r="P39" i="2"/>
  <c r="U39" i="2" s="1"/>
  <c r="P38" i="2"/>
  <c r="U38" i="2" s="1"/>
  <c r="P37" i="2"/>
  <c r="U37" i="2" s="1"/>
  <c r="P36" i="2"/>
  <c r="U36" i="2" s="1"/>
  <c r="P35" i="2"/>
  <c r="U35" i="2" s="1"/>
  <c r="P34" i="2"/>
  <c r="U34" i="2" s="1"/>
  <c r="P33" i="2"/>
  <c r="U33" i="2" s="1"/>
  <c r="P32" i="2"/>
  <c r="U32" i="2" s="1"/>
  <c r="P31" i="2"/>
  <c r="U31" i="2" s="1"/>
  <c r="P30" i="2"/>
  <c r="U30" i="2" s="1"/>
  <c r="P29" i="2"/>
  <c r="U29" i="2" s="1"/>
  <c r="P28" i="2"/>
  <c r="U28" i="2" s="1"/>
  <c r="P27" i="2"/>
  <c r="U27" i="2" s="1"/>
  <c r="P26" i="2"/>
  <c r="U26" i="2" s="1"/>
  <c r="P25" i="2"/>
  <c r="U25" i="2" s="1"/>
  <c r="P24" i="2"/>
  <c r="U24" i="2" s="1"/>
  <c r="P23" i="2"/>
  <c r="U23" i="2" s="1"/>
  <c r="P22" i="2"/>
  <c r="U22" i="2" s="1"/>
  <c r="P21" i="2"/>
  <c r="U21" i="2" s="1"/>
  <c r="P20" i="2"/>
  <c r="U20" i="2" s="1"/>
  <c r="P19" i="2"/>
  <c r="U19" i="2" s="1"/>
  <c r="P18" i="2"/>
  <c r="U18" i="2" s="1"/>
  <c r="P17" i="2"/>
  <c r="U17" i="2" s="1"/>
  <c r="P16" i="2"/>
  <c r="U16" i="2" s="1"/>
  <c r="P15" i="2"/>
  <c r="U15" i="2" s="1"/>
  <c r="P14" i="2"/>
  <c r="U14" i="2" s="1"/>
  <c r="P13" i="2"/>
  <c r="U13" i="2" s="1"/>
  <c r="P12" i="2"/>
  <c r="U12" i="2" s="1"/>
  <c r="P11" i="2"/>
  <c r="U11" i="2" s="1"/>
  <c r="P10" i="2"/>
  <c r="U10" i="2" s="1"/>
  <c r="P9" i="2"/>
  <c r="U9" i="2" s="1"/>
  <c r="P8" i="2"/>
  <c r="U8" i="2" s="1"/>
  <c r="P7" i="2"/>
  <c r="U7" i="2" s="1"/>
  <c r="P6" i="2"/>
  <c r="U6" i="2" s="1"/>
  <c r="P5" i="2"/>
  <c r="U5" i="2" s="1"/>
  <c r="P4" i="2"/>
  <c r="U4" i="2" s="1"/>
  <c r="P3" i="2"/>
  <c r="U3" i="2" s="1"/>
  <c r="I52" i="2"/>
  <c r="I51" i="2"/>
  <c r="I50" i="2"/>
  <c r="I49" i="2"/>
  <c r="I48" i="2"/>
  <c r="I47" i="2"/>
  <c r="I46" i="2"/>
  <c r="I45" i="2"/>
  <c r="I44" i="2"/>
  <c r="I43" i="2"/>
  <c r="I42" i="2"/>
  <c r="N42" i="2" s="1"/>
  <c r="I41" i="2"/>
  <c r="I40" i="2"/>
  <c r="I39" i="2"/>
  <c r="I38" i="2"/>
  <c r="I37" i="2"/>
  <c r="I36" i="2"/>
  <c r="I35" i="2"/>
  <c r="I34" i="2"/>
  <c r="N34" i="2" s="1"/>
  <c r="I33" i="2"/>
  <c r="I32" i="2"/>
  <c r="I31" i="2"/>
  <c r="I30" i="2"/>
  <c r="I29" i="2"/>
  <c r="I28" i="2"/>
  <c r="I27" i="2"/>
  <c r="I26" i="2"/>
  <c r="N26" i="2" s="1"/>
  <c r="I25" i="2"/>
  <c r="I24" i="2"/>
  <c r="I23" i="2"/>
  <c r="I22" i="2"/>
  <c r="I21" i="2"/>
  <c r="I20" i="2"/>
  <c r="I19" i="2"/>
  <c r="I18" i="2"/>
  <c r="N18" i="2" s="1"/>
  <c r="I17" i="2"/>
  <c r="I16" i="2"/>
  <c r="I15" i="2"/>
  <c r="I14" i="2"/>
  <c r="I13" i="2"/>
  <c r="I12" i="2"/>
  <c r="I11" i="2"/>
  <c r="I10" i="2"/>
  <c r="N10" i="2" s="1"/>
  <c r="I9" i="2"/>
  <c r="I8" i="2"/>
  <c r="I7" i="2"/>
  <c r="I6" i="2"/>
  <c r="I5" i="2"/>
  <c r="I4" i="2"/>
  <c r="I3" i="2"/>
  <c r="B52" i="2"/>
  <c r="E52" i="2" s="1"/>
  <c r="B51" i="2"/>
  <c r="E51" i="2" s="1"/>
  <c r="B50" i="2"/>
  <c r="E50" i="2" s="1"/>
  <c r="B49" i="2"/>
  <c r="E49" i="2" s="1"/>
  <c r="B48" i="2"/>
  <c r="E48" i="2" s="1"/>
  <c r="B47" i="2"/>
  <c r="E47" i="2" s="1"/>
  <c r="B46" i="2"/>
  <c r="E46" i="2" s="1"/>
  <c r="B42" i="2"/>
  <c r="B41" i="2"/>
  <c r="B40" i="2"/>
  <c r="B39" i="2"/>
  <c r="B38" i="2"/>
  <c r="B37" i="2"/>
  <c r="B36" i="2"/>
  <c r="B35" i="2"/>
  <c r="B34" i="2"/>
  <c r="D34" i="2" s="1"/>
  <c r="B33" i="2"/>
  <c r="B32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D42" i="2" l="1"/>
  <c r="D10" i="2"/>
  <c r="D18" i="2"/>
  <c r="D43" i="2"/>
  <c r="B16" i="9"/>
  <c r="B17" i="9" s="1"/>
  <c r="D26" i="2"/>
  <c r="E8" i="2"/>
  <c r="D8" i="2"/>
  <c r="E16" i="2"/>
  <c r="D16" i="2"/>
  <c r="D24" i="2"/>
  <c r="E24" i="2"/>
  <c r="E33" i="2"/>
  <c r="D33" i="2"/>
  <c r="E41" i="2"/>
  <c r="D41" i="2"/>
  <c r="E15" i="2"/>
  <c r="D15" i="2"/>
  <c r="E17" i="2"/>
  <c r="D17" i="2"/>
  <c r="E25" i="2"/>
  <c r="D25" i="2"/>
  <c r="D35" i="2"/>
  <c r="E35" i="2"/>
  <c r="E32" i="2"/>
  <c r="D32" i="2"/>
  <c r="E23" i="2"/>
  <c r="D23" i="2"/>
  <c r="E9" i="2"/>
  <c r="D9" i="2"/>
  <c r="E4" i="2"/>
  <c r="D4" i="2"/>
  <c r="D12" i="2"/>
  <c r="E12" i="2"/>
  <c r="E20" i="2"/>
  <c r="D20" i="2"/>
  <c r="D28" i="2"/>
  <c r="E28" i="2"/>
  <c r="D37" i="2"/>
  <c r="E37" i="2"/>
  <c r="D11" i="2"/>
  <c r="E11" i="2"/>
  <c r="D27" i="2"/>
  <c r="E27" i="2"/>
  <c r="D21" i="2"/>
  <c r="E21" i="2"/>
  <c r="D29" i="2"/>
  <c r="E29" i="2"/>
  <c r="D38" i="2"/>
  <c r="E38" i="2"/>
  <c r="E31" i="2"/>
  <c r="D31" i="2"/>
  <c r="E7" i="2"/>
  <c r="D7" i="2"/>
  <c r="D3" i="2"/>
  <c r="E3" i="2"/>
  <c r="D19" i="2"/>
  <c r="E19" i="2"/>
  <c r="E36" i="2"/>
  <c r="D36" i="2"/>
  <c r="E5" i="2"/>
  <c r="D5" i="2"/>
  <c r="E13" i="2"/>
  <c r="D13" i="2"/>
  <c r="E6" i="2"/>
  <c r="D6" i="2"/>
  <c r="E14" i="2"/>
  <c r="D14" i="2"/>
  <c r="E22" i="2"/>
  <c r="D22" i="2"/>
  <c r="D30" i="2"/>
  <c r="E30" i="2"/>
  <c r="D39" i="2"/>
  <c r="E39" i="2"/>
  <c r="E40" i="2"/>
  <c r="D40" i="2"/>
  <c r="L3" i="2"/>
  <c r="S3" i="2"/>
  <c r="N35" i="2"/>
  <c r="L35" i="2"/>
  <c r="S35" i="2"/>
  <c r="N7" i="2"/>
  <c r="L7" i="2"/>
  <c r="S7" i="2"/>
  <c r="N23" i="2"/>
  <c r="L23" i="2"/>
  <c r="S23" i="2"/>
  <c r="N39" i="2"/>
  <c r="L39" i="2"/>
  <c r="S39" i="2"/>
  <c r="N50" i="2"/>
  <c r="S50" i="2"/>
  <c r="L50" i="2"/>
  <c r="N43" i="2"/>
  <c r="L43" i="2"/>
  <c r="S43" i="2"/>
  <c r="N20" i="2"/>
  <c r="L20" i="2"/>
  <c r="S20" i="2"/>
  <c r="N44" i="2"/>
  <c r="L44" i="2"/>
  <c r="S44" i="2"/>
  <c r="N5" i="2"/>
  <c r="S5" i="2"/>
  <c r="L5" i="2"/>
  <c r="N13" i="2"/>
  <c r="S13" i="2"/>
  <c r="L13" i="2"/>
  <c r="N21" i="2"/>
  <c r="L21" i="2"/>
  <c r="S21" i="2"/>
  <c r="N29" i="2"/>
  <c r="L29" i="2"/>
  <c r="S29" i="2"/>
  <c r="N37" i="2"/>
  <c r="L37" i="2"/>
  <c r="S37" i="2"/>
  <c r="N45" i="2"/>
  <c r="L45" i="2"/>
  <c r="S45" i="2"/>
  <c r="N11" i="2"/>
  <c r="L11" i="2"/>
  <c r="S11" i="2"/>
  <c r="N27" i="2"/>
  <c r="L27" i="2"/>
  <c r="S27" i="2"/>
  <c r="N4" i="2"/>
  <c r="S4" i="2"/>
  <c r="L4" i="2"/>
  <c r="N12" i="2"/>
  <c r="L12" i="2"/>
  <c r="S12" i="2"/>
  <c r="N28" i="2"/>
  <c r="S28" i="2"/>
  <c r="L28" i="2"/>
  <c r="N36" i="2"/>
  <c r="L36" i="2"/>
  <c r="S36" i="2"/>
  <c r="N52" i="2"/>
  <c r="L52" i="2"/>
  <c r="S52" i="2"/>
  <c r="N6" i="2"/>
  <c r="S6" i="2"/>
  <c r="L6" i="2"/>
  <c r="N14" i="2"/>
  <c r="S14" i="2"/>
  <c r="L14" i="2"/>
  <c r="N22" i="2"/>
  <c r="S22" i="2"/>
  <c r="L22" i="2"/>
  <c r="N30" i="2"/>
  <c r="L30" i="2"/>
  <c r="S30" i="2"/>
  <c r="N38" i="2"/>
  <c r="S38" i="2"/>
  <c r="L38" i="2"/>
  <c r="N46" i="2"/>
  <c r="L46" i="2"/>
  <c r="S46" i="2"/>
  <c r="N19" i="2"/>
  <c r="L19" i="2"/>
  <c r="S19" i="2"/>
  <c r="N51" i="2"/>
  <c r="S51" i="2"/>
  <c r="L51" i="2"/>
  <c r="N15" i="2"/>
  <c r="S15" i="2"/>
  <c r="L15" i="2"/>
  <c r="N31" i="2"/>
  <c r="S31" i="2"/>
  <c r="L31" i="2"/>
  <c r="N47" i="2"/>
  <c r="S47" i="2"/>
  <c r="L47" i="2"/>
  <c r="N16" i="2"/>
  <c r="L16" i="2"/>
  <c r="S16" i="2"/>
  <c r="N32" i="2"/>
  <c r="S32" i="2"/>
  <c r="L32" i="2"/>
  <c r="N40" i="2"/>
  <c r="S40" i="2"/>
  <c r="L40" i="2"/>
  <c r="N48" i="2"/>
  <c r="L48" i="2"/>
  <c r="S48" i="2"/>
  <c r="N8" i="2"/>
  <c r="L8" i="2"/>
  <c r="S8" i="2"/>
  <c r="N24" i="2"/>
  <c r="L24" i="2"/>
  <c r="S24" i="2"/>
  <c r="L9" i="2"/>
  <c r="S9" i="2"/>
  <c r="N17" i="2"/>
  <c r="L17" i="2"/>
  <c r="S17" i="2"/>
  <c r="N25" i="2"/>
  <c r="L25" i="2"/>
  <c r="S25" i="2"/>
  <c r="N33" i="2"/>
  <c r="S33" i="2"/>
  <c r="L33" i="2"/>
  <c r="N41" i="2"/>
  <c r="S41" i="2"/>
  <c r="L41" i="2"/>
  <c r="N49" i="2"/>
  <c r="S49" i="2"/>
  <c r="L49" i="2"/>
  <c r="L10" i="2"/>
  <c r="L26" i="2"/>
  <c r="L34" i="2"/>
  <c r="S10" i="2"/>
  <c r="S18" i="2"/>
  <c r="S26" i="2"/>
  <c r="S34" i="2"/>
  <c r="S42" i="2"/>
  <c r="L18" i="2"/>
  <c r="L42" i="2"/>
  <c r="C16" i="9"/>
  <c r="C17" i="9" s="1"/>
  <c r="D16" i="9"/>
  <c r="D17" i="9" s="1"/>
  <c r="E10" i="2"/>
  <c r="E18" i="2"/>
  <c r="E26" i="2"/>
  <c r="E34" i="2"/>
  <c r="E42" i="2"/>
  <c r="K9" i="2"/>
  <c r="N9" i="2"/>
  <c r="K3" i="2"/>
  <c r="N3" i="2"/>
  <c r="Y43" i="2"/>
  <c r="Y51" i="2"/>
  <c r="Y35" i="2"/>
  <c r="Y11" i="2"/>
  <c r="Y19" i="2"/>
  <c r="Y27" i="2"/>
  <c r="Y6" i="2"/>
  <c r="Y14" i="2"/>
  <c r="Y22" i="2"/>
  <c r="Y30" i="2"/>
  <c r="Y10" i="2"/>
  <c r="Y18" i="2"/>
  <c r="Y26" i="2"/>
  <c r="Y52" i="2"/>
  <c r="Y3" i="2"/>
  <c r="Y39" i="2"/>
  <c r="Y47" i="2"/>
  <c r="Y7" i="2"/>
  <c r="Y15" i="2"/>
  <c r="Y23" i="2"/>
  <c r="Y38" i="2"/>
  <c r="Y46" i="2"/>
  <c r="Y32" i="2"/>
  <c r="Y40" i="2"/>
  <c r="Y48" i="2"/>
  <c r="Y8" i="2"/>
  <c r="Y16" i="2"/>
  <c r="Y24" i="2"/>
  <c r="Y36" i="2"/>
  <c r="Y44" i="2"/>
  <c r="Y33" i="2"/>
  <c r="Y41" i="2"/>
  <c r="Y49" i="2"/>
  <c r="Y31" i="2"/>
  <c r="Y9" i="2"/>
  <c r="Y17" i="2"/>
  <c r="Y25" i="2"/>
  <c r="Y34" i="2"/>
  <c r="Y42" i="2"/>
  <c r="Y50" i="2"/>
  <c r="Y4" i="2"/>
  <c r="Y12" i="2"/>
  <c r="Y20" i="2"/>
  <c r="Y28" i="2"/>
  <c r="Y37" i="2"/>
  <c r="Y45" i="2"/>
  <c r="Y5" i="2"/>
  <c r="Y13" i="2"/>
  <c r="Y21" i="2"/>
  <c r="Y29" i="2"/>
  <c r="R38" i="2"/>
  <c r="R46" i="2"/>
  <c r="R40" i="2"/>
  <c r="R48" i="2"/>
  <c r="R36" i="2"/>
  <c r="R44" i="2"/>
  <c r="K45" i="2"/>
  <c r="D46" i="2"/>
  <c r="G16" i="2"/>
  <c r="G24" i="2"/>
  <c r="G33" i="2"/>
  <c r="G41" i="2"/>
  <c r="D49" i="2"/>
  <c r="G18" i="2"/>
  <c r="G51" i="2"/>
  <c r="G19" i="2"/>
  <c r="G27" i="2"/>
  <c r="G44" i="2"/>
  <c r="G52" i="2"/>
  <c r="D47" i="2"/>
  <c r="L13" i="4"/>
  <c r="L21" i="4"/>
  <c r="L29" i="4"/>
  <c r="L37" i="4"/>
  <c r="L45" i="4"/>
  <c r="L53" i="4"/>
  <c r="L61" i="4"/>
  <c r="L6" i="4"/>
  <c r="L22" i="4"/>
  <c r="L38" i="4"/>
  <c r="L62" i="4"/>
  <c r="L7" i="4"/>
  <c r="L15" i="4"/>
  <c r="L23" i="4"/>
  <c r="L31" i="4"/>
  <c r="L39" i="4"/>
  <c r="L47" i="4"/>
  <c r="L55" i="4"/>
  <c r="L63" i="4"/>
  <c r="L8" i="4"/>
  <c r="L16" i="4"/>
  <c r="L24" i="4"/>
  <c r="L32" i="4"/>
  <c r="L40" i="4"/>
  <c r="L48" i="4"/>
  <c r="L56" i="4"/>
  <c r="L5" i="4"/>
  <c r="L9" i="4"/>
  <c r="L17" i="4"/>
  <c r="L25" i="4"/>
  <c r="L33" i="4"/>
  <c r="L41" i="4"/>
  <c r="L49" i="4"/>
  <c r="L57" i="4"/>
  <c r="L30" i="4"/>
  <c r="L54" i="4"/>
  <c r="L10" i="4"/>
  <c r="L18" i="4"/>
  <c r="L26" i="4"/>
  <c r="L34" i="4"/>
  <c r="L42" i="4"/>
  <c r="L50" i="4"/>
  <c r="L58" i="4"/>
  <c r="L11" i="4"/>
  <c r="L19" i="4"/>
  <c r="L27" i="4"/>
  <c r="L35" i="4"/>
  <c r="L43" i="4"/>
  <c r="L51" i="4"/>
  <c r="L59" i="4"/>
  <c r="L12" i="4"/>
  <c r="L20" i="4"/>
  <c r="L28" i="4"/>
  <c r="L36" i="4"/>
  <c r="L44" i="4"/>
  <c r="L52" i="4"/>
  <c r="L60" i="4"/>
  <c r="L14" i="4"/>
  <c r="L46" i="4"/>
  <c r="M6" i="4"/>
  <c r="M8" i="4"/>
  <c r="M16" i="4"/>
  <c r="M24" i="4"/>
  <c r="M32" i="4"/>
  <c r="M40" i="4"/>
  <c r="M48" i="4"/>
  <c r="M56" i="4"/>
  <c r="M5" i="4"/>
  <c r="M17" i="4"/>
  <c r="M33" i="4"/>
  <c r="M41" i="4"/>
  <c r="M49" i="4"/>
  <c r="M9" i="4"/>
  <c r="M10" i="4"/>
  <c r="M18" i="4"/>
  <c r="M26" i="4"/>
  <c r="M34" i="4"/>
  <c r="M42" i="4"/>
  <c r="M50" i="4"/>
  <c r="M58" i="4"/>
  <c r="M11" i="4"/>
  <c r="M19" i="4"/>
  <c r="M27" i="4"/>
  <c r="M35" i="4"/>
  <c r="M43" i="4"/>
  <c r="M51" i="4"/>
  <c r="M59" i="4"/>
  <c r="M12" i="4"/>
  <c r="M28" i="4"/>
  <c r="M36" i="4"/>
  <c r="M44" i="4"/>
  <c r="M52" i="4"/>
  <c r="M60" i="4"/>
  <c r="M57" i="4"/>
  <c r="M20" i="4"/>
  <c r="M13" i="4"/>
  <c r="M21" i="4"/>
  <c r="M29" i="4"/>
  <c r="M37" i="4"/>
  <c r="M45" i="4"/>
  <c r="M53" i="4"/>
  <c r="M61" i="4"/>
  <c r="M14" i="4"/>
  <c r="M22" i="4"/>
  <c r="M30" i="4"/>
  <c r="M38" i="4"/>
  <c r="M46" i="4"/>
  <c r="M54" i="4"/>
  <c r="M62" i="4"/>
  <c r="M7" i="4"/>
  <c r="M15" i="4"/>
  <c r="M23" i="4"/>
  <c r="M31" i="4"/>
  <c r="M39" i="4"/>
  <c r="M47" i="4"/>
  <c r="M55" i="4"/>
  <c r="M63" i="4"/>
  <c r="M25" i="4"/>
  <c r="R35" i="2"/>
  <c r="R37" i="2"/>
  <c r="R39" i="2"/>
  <c r="R41" i="2"/>
  <c r="R43" i="2"/>
  <c r="R45" i="2"/>
  <c r="R47" i="2"/>
  <c r="R49" i="2"/>
  <c r="R51" i="2"/>
  <c r="R42" i="2"/>
  <c r="R50" i="2"/>
  <c r="R52" i="2"/>
  <c r="K46" i="2"/>
  <c r="K44" i="2"/>
  <c r="K50" i="2"/>
  <c r="K52" i="2"/>
  <c r="K36" i="2"/>
  <c r="K38" i="2"/>
  <c r="K42" i="2"/>
  <c r="K37" i="2"/>
  <c r="K39" i="2"/>
  <c r="K47" i="2"/>
  <c r="K40" i="2"/>
  <c r="K48" i="2"/>
  <c r="K41" i="2"/>
  <c r="K49" i="2"/>
  <c r="K35" i="2"/>
  <c r="K43" i="2"/>
  <c r="K51" i="2"/>
  <c r="G42" i="2"/>
  <c r="G3" i="2"/>
  <c r="G11" i="2"/>
  <c r="G37" i="2"/>
  <c r="G45" i="2"/>
  <c r="G5" i="2"/>
  <c r="G13" i="2"/>
  <c r="G29" i="2"/>
  <c r="G6" i="2"/>
  <c r="G14" i="2"/>
  <c r="G22" i="2"/>
  <c r="G30" i="2"/>
  <c r="G38" i="2"/>
  <c r="G46" i="2"/>
  <c r="G21" i="2"/>
  <c r="G7" i="2"/>
  <c r="G15" i="2"/>
  <c r="G23" i="2"/>
  <c r="G31" i="2"/>
  <c r="G39" i="2"/>
  <c r="G47" i="2"/>
  <c r="G8" i="2"/>
  <c r="G32" i="2"/>
  <c r="G40" i="2"/>
  <c r="G48" i="2"/>
  <c r="G9" i="2"/>
  <c r="G17" i="2"/>
  <c r="G25" i="2"/>
  <c r="G49" i="2"/>
  <c r="G10" i="2"/>
  <c r="G26" i="2"/>
  <c r="G34" i="2"/>
  <c r="G50" i="2"/>
  <c r="G35" i="2"/>
  <c r="G43" i="2"/>
  <c r="G4" i="2"/>
  <c r="G12" i="2"/>
  <c r="G20" i="2"/>
  <c r="G28" i="2"/>
  <c r="G36" i="2"/>
  <c r="D48" i="2"/>
  <c r="D50" i="2"/>
  <c r="D51" i="2"/>
  <c r="D44" i="2"/>
  <c r="D52" i="2"/>
  <c r="D45" i="2"/>
  <c r="T3" i="2" l="1"/>
  <c r="F24" i="2"/>
  <c r="T25" i="2"/>
  <c r="F41" i="2"/>
  <c r="M3" i="2"/>
  <c r="T40" i="2"/>
  <c r="T52" i="2"/>
  <c r="F6" i="2"/>
  <c r="F40" i="2"/>
  <c r="F42" i="2"/>
  <c r="F27" i="2"/>
  <c r="F50" i="2"/>
  <c r="F34" i="2"/>
  <c r="T28" i="2"/>
  <c r="T11" i="2"/>
  <c r="T17" i="2"/>
  <c r="T39" i="2"/>
  <c r="T13" i="2"/>
  <c r="M6" i="2"/>
  <c r="M12" i="2"/>
  <c r="M47" i="2"/>
  <c r="O47" i="2" s="1"/>
  <c r="T38" i="2"/>
  <c r="F48" i="2"/>
  <c r="H48" i="2" s="1"/>
  <c r="M22" i="2"/>
  <c r="M38" i="2"/>
  <c r="M16" i="2"/>
  <c r="M27" i="2"/>
  <c r="M50" i="2"/>
  <c r="M10" i="2"/>
  <c r="M17" i="2"/>
  <c r="M39" i="2"/>
  <c r="M7" i="2"/>
  <c r="T49" i="2"/>
  <c r="F46" i="2"/>
  <c r="H46" i="2" s="1"/>
  <c r="F45" i="2"/>
  <c r="H45" i="2" s="1"/>
  <c r="F25" i="2"/>
  <c r="F19" i="2"/>
  <c r="F17" i="2"/>
  <c r="F49" i="2"/>
  <c r="H49" i="2" s="1"/>
  <c r="T12" i="2"/>
  <c r="T50" i="2"/>
  <c r="T9" i="2"/>
  <c r="T31" i="2"/>
  <c r="T5" i="2"/>
  <c r="M5" i="2"/>
  <c r="M4" i="2"/>
  <c r="M37" i="2"/>
  <c r="F18" i="2"/>
  <c r="M44" i="2"/>
  <c r="F32" i="2"/>
  <c r="F38" i="2"/>
  <c r="F37" i="2"/>
  <c r="F9" i="2"/>
  <c r="F11" i="2"/>
  <c r="F31" i="2"/>
  <c r="F8" i="2"/>
  <c r="T4" i="2"/>
  <c r="T42" i="2"/>
  <c r="T30" i="2"/>
  <c r="T23" i="2"/>
  <c r="M34" i="2"/>
  <c r="M15" i="2"/>
  <c r="F36" i="2"/>
  <c r="T47" i="2"/>
  <c r="M48" i="2"/>
  <c r="M36" i="2"/>
  <c r="M51" i="2"/>
  <c r="M19" i="2"/>
  <c r="M42" i="2"/>
  <c r="M24" i="2"/>
  <c r="M9" i="2"/>
  <c r="M31" i="2"/>
  <c r="T44" i="2"/>
  <c r="T41" i="2"/>
  <c r="T37" i="2"/>
  <c r="F47" i="2"/>
  <c r="H47" i="2" s="1"/>
  <c r="F29" i="2"/>
  <c r="F28" i="2"/>
  <c r="F16" i="2"/>
  <c r="F3" i="2"/>
  <c r="F33" i="2"/>
  <c r="F23" i="2"/>
  <c r="T51" i="2"/>
  <c r="T34" i="2"/>
  <c r="T22" i="2"/>
  <c r="T15" i="2"/>
  <c r="M29" i="2"/>
  <c r="M33" i="2"/>
  <c r="M35" i="2"/>
  <c r="F14" i="2"/>
  <c r="T19" i="2"/>
  <c r="F39" i="2"/>
  <c r="F21" i="2"/>
  <c r="F20" i="2"/>
  <c r="F7" i="2"/>
  <c r="F51" i="2"/>
  <c r="F15" i="2"/>
  <c r="T43" i="2"/>
  <c r="T18" i="2"/>
  <c r="T6" i="2"/>
  <c r="T7" i="2"/>
  <c r="M21" i="2"/>
  <c r="M25" i="2"/>
  <c r="M18" i="2"/>
  <c r="F10" i="2"/>
  <c r="T21" i="2"/>
  <c r="M45" i="2"/>
  <c r="M28" i="2"/>
  <c r="M43" i="2"/>
  <c r="M11" i="2"/>
  <c r="M49" i="2"/>
  <c r="M40" i="2"/>
  <c r="M23" i="2"/>
  <c r="T36" i="2"/>
  <c r="T48" i="2"/>
  <c r="T46" i="2"/>
  <c r="F30" i="2"/>
  <c r="F13" i="2"/>
  <c r="F12" i="2"/>
  <c r="F52" i="2"/>
  <c r="F35" i="2"/>
  <c r="F43" i="2"/>
  <c r="T35" i="2"/>
  <c r="T10" i="2"/>
  <c r="T24" i="2"/>
  <c r="T45" i="2"/>
  <c r="M13" i="2"/>
  <c r="M46" i="2"/>
  <c r="M41" i="2"/>
  <c r="F22" i="2"/>
  <c r="F5" i="2"/>
  <c r="F4" i="2"/>
  <c r="F44" i="2"/>
  <c r="F26" i="2"/>
  <c r="T27" i="2"/>
  <c r="T33" i="2"/>
  <c r="T16" i="2"/>
  <c r="T29" i="2"/>
  <c r="M30" i="2"/>
  <c r="M52" i="2"/>
  <c r="M14" i="2"/>
  <c r="J53" i="2"/>
  <c r="J54" i="2" s="1"/>
  <c r="C53" i="2"/>
  <c r="C54" i="2" s="1"/>
  <c r="Q53" i="2"/>
  <c r="Q54" i="2" s="1"/>
  <c r="M8" i="2" l="1"/>
  <c r="T8" i="2"/>
  <c r="T26" i="2"/>
  <c r="M26" i="2"/>
  <c r="T14" i="2"/>
  <c r="M20" i="2"/>
  <c r="T20" i="2"/>
  <c r="T32" i="2"/>
  <c r="M32" i="2"/>
  <c r="K13" i="2"/>
  <c r="K33" i="2"/>
  <c r="R17" i="2"/>
  <c r="R33" i="2"/>
  <c r="K12" i="2"/>
  <c r="K31" i="2"/>
  <c r="K27" i="2"/>
  <c r="R15" i="2"/>
  <c r="K30" i="2"/>
  <c r="K19" i="2"/>
  <c r="K5" i="2"/>
  <c r="R3" i="2"/>
  <c r="R19" i="2"/>
  <c r="K34" i="2"/>
  <c r="K14" i="2"/>
  <c r="K20" i="2"/>
  <c r="R4" i="2"/>
  <c r="R6" i="2"/>
  <c r="K25" i="2"/>
  <c r="R5" i="2"/>
  <c r="R21" i="2"/>
  <c r="R10" i="2"/>
  <c r="K18" i="2"/>
  <c r="K17" i="2"/>
  <c r="R25" i="2"/>
  <c r="R20" i="2"/>
  <c r="R14" i="2"/>
  <c r="R8" i="2"/>
  <c r="R7" i="2"/>
  <c r="R23" i="2"/>
  <c r="R18" i="2"/>
  <c r="K8" i="2"/>
  <c r="R9" i="2"/>
  <c r="K16" i="2"/>
  <c r="K26" i="2"/>
  <c r="R22" i="2"/>
  <c r="R16" i="2"/>
  <c r="K29" i="2"/>
  <c r="R26" i="2"/>
  <c r="K23" i="2"/>
  <c r="R30" i="2"/>
  <c r="R24" i="2"/>
  <c r="R11" i="2"/>
  <c r="R27" i="2"/>
  <c r="R34" i="2"/>
  <c r="K6" i="2"/>
  <c r="K7" i="2"/>
  <c r="K24" i="2"/>
  <c r="R31" i="2"/>
  <c r="R12" i="2"/>
  <c r="K21" i="2"/>
  <c r="R32" i="2"/>
  <c r="R13" i="2"/>
  <c r="R29" i="2"/>
  <c r="K22" i="2"/>
  <c r="K28" i="2"/>
  <c r="K10" i="2"/>
  <c r="K15" i="2"/>
  <c r="K32" i="2"/>
  <c r="K11" i="2"/>
  <c r="R28" i="2"/>
  <c r="K4" i="2"/>
  <c r="H52" i="2"/>
  <c r="O39" i="2"/>
  <c r="O38" i="2"/>
  <c r="H50" i="2"/>
  <c r="N53" i="2"/>
  <c r="N54" i="2" s="1"/>
  <c r="O51" i="2"/>
  <c r="V48" i="2"/>
  <c r="O43" i="2"/>
  <c r="O44" i="2"/>
  <c r="O40" i="2"/>
  <c r="V42" i="2"/>
  <c r="V50" i="2"/>
  <c r="O37" i="2"/>
  <c r="V49" i="2"/>
  <c r="O50" i="2"/>
  <c r="O36" i="2"/>
  <c r="V46" i="2"/>
  <c r="V39" i="2"/>
  <c r="O49" i="2"/>
  <c r="V43" i="2"/>
  <c r="V44" i="2"/>
  <c r="O41" i="2"/>
  <c r="V38" i="2"/>
  <c r="V52" i="2"/>
  <c r="H43" i="2"/>
  <c r="V40" i="2"/>
  <c r="O42" i="2"/>
  <c r="V35" i="2"/>
  <c r="O45" i="2"/>
  <c r="V45" i="2"/>
  <c r="O35" i="2"/>
  <c r="U53" i="2"/>
  <c r="U54" i="2" s="1"/>
  <c r="H51" i="2"/>
  <c r="H44" i="2"/>
  <c r="V36" i="2"/>
  <c r="O46" i="2"/>
  <c r="V41" i="2"/>
  <c r="V47" i="2"/>
  <c r="O48" i="2"/>
  <c r="V37" i="2"/>
  <c r="V51" i="2"/>
  <c r="O52" i="2"/>
  <c r="O28" i="2" l="1"/>
  <c r="H38" i="2"/>
  <c r="O24" i="2"/>
  <c r="O29" i="2"/>
  <c r="O19" i="2"/>
  <c r="H42" i="2"/>
  <c r="H41" i="2"/>
  <c r="V29" i="2"/>
  <c r="O26" i="2"/>
  <c r="O20" i="2"/>
  <c r="V12" i="2"/>
  <c r="O32" i="2"/>
  <c r="O13" i="2"/>
  <c r="V23" i="2"/>
  <c r="O34" i="2"/>
  <c r="O8" i="2"/>
  <c r="O10" i="2"/>
  <c r="V25" i="2"/>
  <c r="V20" i="2"/>
  <c r="V21" i="2"/>
  <c r="O5" i="2"/>
  <c r="V14" i="2"/>
  <c r="O16" i="2"/>
  <c r="O3" i="2"/>
  <c r="AA3" i="2" s="1"/>
  <c r="V4" i="2"/>
  <c r="O4" i="2"/>
  <c r="V19" i="2"/>
  <c r="V34" i="2"/>
  <c r="O30" i="2"/>
  <c r="O31" i="2"/>
  <c r="V7" i="2"/>
  <c r="V32" i="2"/>
  <c r="V16" i="2"/>
  <c r="V13" i="2"/>
  <c r="V30" i="2"/>
  <c r="V28" i="2"/>
  <c r="V22" i="2"/>
  <c r="L53" i="2"/>
  <c r="L54" i="2" s="1"/>
  <c r="V6" i="2"/>
  <c r="O12" i="2"/>
  <c r="V17" i="2"/>
  <c r="V15" i="2"/>
  <c r="O6" i="2"/>
  <c r="O33" i="2"/>
  <c r="O14" i="2"/>
  <c r="V33" i="2"/>
  <c r="V27" i="2"/>
  <c r="O18" i="2"/>
  <c r="O17" i="2"/>
  <c r="O7" i="2"/>
  <c r="O22" i="2"/>
  <c r="V24" i="2"/>
  <c r="V26" i="2"/>
  <c r="V18" i="2"/>
  <c r="V10" i="2"/>
  <c r="V8" i="2"/>
  <c r="O9" i="2"/>
  <c r="R53" i="2"/>
  <c r="R54" i="2" s="1"/>
  <c r="O23" i="2"/>
  <c r="K53" i="2"/>
  <c r="K54" i="2" s="1"/>
  <c r="H40" i="2"/>
  <c r="H39" i="2"/>
  <c r="O25" i="2"/>
  <c r="O11" i="2"/>
  <c r="V31" i="2"/>
  <c r="V9" i="2"/>
  <c r="M53" i="2"/>
  <c r="M54" i="2" s="1"/>
  <c r="V5" i="2"/>
  <c r="O15" i="2"/>
  <c r="O27" i="2"/>
  <c r="V11" i="2"/>
  <c r="O21" i="2"/>
  <c r="T53" i="2"/>
  <c r="T54" i="2" s="1"/>
  <c r="S53" i="2"/>
  <c r="S54" i="2" s="1"/>
  <c r="H37" i="2"/>
  <c r="H33" i="2"/>
  <c r="H35" i="2"/>
  <c r="H34" i="2"/>
  <c r="H36" i="2"/>
  <c r="V3" i="2"/>
  <c r="AB3" i="2" s="1"/>
  <c r="F53" i="2"/>
  <c r="F54" i="2" s="1"/>
  <c r="D53" i="2"/>
  <c r="D54" i="2" s="1"/>
  <c r="H24" i="2"/>
  <c r="H11" i="2"/>
  <c r="H25" i="2"/>
  <c r="H30" i="2"/>
  <c r="H13" i="2"/>
  <c r="H20" i="2"/>
  <c r="H32" i="2"/>
  <c r="H19" i="2"/>
  <c r="H16" i="2"/>
  <c r="H17" i="2"/>
  <c r="H26" i="2"/>
  <c r="H15" i="2"/>
  <c r="H14" i="2"/>
  <c r="H9" i="2"/>
  <c r="H6" i="2"/>
  <c r="H5" i="2"/>
  <c r="H12" i="2"/>
  <c r="H31" i="2"/>
  <c r="H8" i="2"/>
  <c r="H18" i="2"/>
  <c r="H29" i="2"/>
  <c r="H28" i="2"/>
  <c r="H7" i="2"/>
  <c r="H22" i="2"/>
  <c r="H4" i="2"/>
  <c r="H23" i="2"/>
  <c r="H21" i="2"/>
  <c r="H27" i="2"/>
  <c r="H10" i="2"/>
  <c r="E53" i="2"/>
  <c r="E54" i="2" s="1"/>
  <c r="AB4" i="2" l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A4" i="2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O53" i="2"/>
  <c r="C18" i="9" s="1"/>
  <c r="V53" i="2"/>
  <c r="D18" i="9" s="1"/>
  <c r="G53" i="2"/>
  <c r="G54" i="2" s="1"/>
  <c r="H3" i="2"/>
  <c r="Z3" i="2" s="1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V54" i="2" l="1"/>
  <c r="D19" i="9" s="1"/>
  <c r="O54" i="2"/>
  <c r="C19" i="9" s="1"/>
  <c r="H53" i="2"/>
  <c r="B18" i="9" s="1"/>
  <c r="H54" i="2" l="1"/>
  <c r="B19" i="9" s="1"/>
  <c r="B21" i="9" s="1"/>
  <c r="A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Carr, Emily</author>
    <author>Vaingankar, Neha</author>
  </authors>
  <commentList>
    <comment ref="B3" authorId="0" shapeId="0" xr:uid="{E861902E-06F0-476F-B27B-7168349FB719}">
      <text>
        <r>
          <rPr>
            <b/>
            <sz val="9"/>
            <color indexed="81"/>
            <rFont val="Tahoma"/>
            <family val="2"/>
          </rPr>
          <t>Carr, Emily:</t>
        </r>
        <r>
          <rPr>
            <sz val="9"/>
            <color indexed="81"/>
            <rFont val="Tahoma"/>
            <family val="2"/>
          </rPr>
          <t xml:space="preserve">
IPCC 5th Assessement Report</t>
        </r>
      </text>
    </comment>
    <comment ref="B7" authorId="1" shapeId="0" xr:uid="{AEDEB4B0-DCB8-4609-A6AA-B69FEDBC9937}">
      <text>
        <r>
          <rPr>
            <b/>
            <sz val="9"/>
            <color indexed="81"/>
            <rFont val="Tahoma"/>
            <family val="2"/>
          </rPr>
          <t>Vaingankar, Neha:</t>
        </r>
        <r>
          <rPr>
            <sz val="9"/>
            <color indexed="81"/>
            <rFont val="Tahoma"/>
            <family val="2"/>
          </rPr>
          <t xml:space="preserve">
https://www.epa.gov/energy/greenhouse-gases-equivalencies-calculator-calculations-and-references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<sst xmlns="http://schemas.openxmlformats.org/spreadsheetml/2006/main" count="503" uniqueCount="274">
  <si>
    <r>
      <t>SF</t>
    </r>
    <r>
      <rPr>
        <b/>
        <vertAlign val="subscript"/>
        <sz val="22"/>
        <color theme="3"/>
        <rFont val="Calibri"/>
        <family val="2"/>
        <scheme val="minor"/>
      </rPr>
      <t>6</t>
    </r>
    <r>
      <rPr>
        <b/>
        <sz val="22"/>
        <color theme="3"/>
        <rFont val="Calibri"/>
        <family val="2"/>
        <scheme val="minor"/>
      </rPr>
      <t xml:space="preserve"> Alternatives Benefits Calculator</t>
    </r>
  </si>
  <si>
    <r>
      <t>Vacuum Circuit Breaker (VCB) vs. SF</t>
    </r>
    <r>
      <rPr>
        <b/>
        <vertAlign val="subscript"/>
        <sz val="12"/>
        <color theme="3"/>
        <rFont val="Arial"/>
        <family val="2"/>
      </rPr>
      <t>6</t>
    </r>
    <r>
      <rPr>
        <b/>
        <sz val="12"/>
        <color theme="3"/>
        <rFont val="Arial"/>
        <family val="2"/>
      </rPr>
      <t xml:space="preserve"> Gas Circuit Breaker (GCB)</t>
    </r>
  </si>
  <si>
    <r>
      <t>The U.S. Environmental Protection Agency developed the SF</t>
    </r>
    <r>
      <rPr>
        <vertAlign val="subscript"/>
        <sz val="11"/>
        <rFont val="Arial"/>
        <family val="2"/>
      </rPr>
      <t>6</t>
    </r>
    <r>
      <rPr>
        <sz val="11"/>
        <rFont val="Arial"/>
        <family val="2"/>
      </rPr>
      <t xml:space="preserve"> Alternatives Benefits Calculator to help evaluate the total lifetime cost of different </t>
    </r>
  </si>
  <si>
    <t xml:space="preserve">circuit breaker technologies. Specifically, users can compare the estimated costs of 72.5 kV and up SF₆-free vacuum breaker to an SF₆ gas insulated circuit 
</t>
  </si>
  <si>
    <t xml:space="preserve">breaker of similar voltage and amp ratings. Users will need to gather O&amp;M and capital cost information for each breaker. Once all cost information </t>
  </si>
  <si>
    <t xml:space="preserve">has been gathered, users should start on "0. Assumptions" tab and fill out steps 0-5 of the calculator with the appropriate values to calculate the total </t>
  </si>
  <si>
    <t>cost of one representative breaker over its lifetime. Sub-steps can be skipped or modified to accommodate the practices of the user.</t>
  </si>
  <si>
    <t xml:space="preserve">The results show the discounted and undiscounted total and average annual costs for all breakers evaluated. The discounted cost provides a dollar value over the </t>
  </si>
  <si>
    <t>lifetime of breakers that incorporates the decreasing value of money over time as opposed to the undiscounted rate which holds the value of money constant across the lifetime.</t>
  </si>
  <si>
    <t xml:space="preserve">The tool includes the following user screens. To navigate to each screen, click on the arrows below. </t>
  </si>
  <si>
    <t>Legend:</t>
  </si>
  <si>
    <t>White boxes indicate input fields that require information from the user.</t>
  </si>
  <si>
    <t xml:space="preserve">Gray boxes indicate calculated cells that are not editable. </t>
  </si>
  <si>
    <t xml:space="preserve">Hatchmarked boxes indicate locked cells that are not editable. </t>
  </si>
  <si>
    <t>Acknowledgements:</t>
  </si>
  <si>
    <t xml:space="preserve">This tool was based off a model developed by Hitachi T&amp;D Solutions, Inc. Components of the tool created by Hitachi and/or derived from Hitachi’s model </t>
  </si>
  <si>
    <t xml:space="preserve">are used with Hitachi’s permission. EPA adapted this tool to add calculations of greenhouse gas emission reductions.  </t>
  </si>
  <si>
    <t>EPA thanks Hitachi T&amp;D Solutions, Inc. for their support in the initial development of this tool, as well as Seattle City Light, Southern Company, Electric Utility Industry</t>
  </si>
  <si>
    <t>Sustainable Supply Chain Alliance, MEPPI, GE Grid Solutions, and Siemens for reviewing the draft and providing feedback.</t>
  </si>
  <si>
    <t xml:space="preserve">Disclaimer: 
</t>
  </si>
  <si>
    <t xml:space="preserve">This calculator uses publicly available information in combination with information obtained through direct contact with electric utilities and other
</t>
  </si>
  <si>
    <t>stakeholders. EPA does not:</t>
  </si>
  <si>
    <t>(a) make any warranty or representation, expressed or implied, with respect to the accuracy, completeness, or usefulness of the information contained</t>
  </si>
  <si>
    <t>in this tool, or that the use of any apparatus, method, or process disclosed in this tool may not infringe upon privately owned rights;</t>
  </si>
  <si>
    <t>(b) assume any liability with respect to the use of, or damages resulting from the use of, any information, apparatus, method, or process disclosed in</t>
  </si>
  <si>
    <t>this tool; or</t>
  </si>
  <si>
    <t>(c) imply endorsement of any technology supplier, product, or process mentioned in this tool.</t>
  </si>
  <si>
    <t xml:space="preserve">This calculator was developed for U.S. EPA by ICF to estimate the cost comparison and greenhouse gas savings between vacuum circuit </t>
  </si>
  <si>
    <r>
      <t>breakers and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gas insulated breakers. Actual costs and greenhouse gas savings may vary based on maintenance and other factors.</t>
    </r>
  </si>
  <si>
    <t>For questions or comment, please contact the Partnership at sf6partnership@epa.gov.</t>
  </si>
  <si>
    <t>Definitions and Acronyms</t>
  </si>
  <si>
    <t>Useful terminology presented throughout the tool</t>
  </si>
  <si>
    <t>Definitions</t>
  </si>
  <si>
    <t>0. Assumptions</t>
  </si>
  <si>
    <r>
      <rPr>
        <b/>
        <sz val="11"/>
        <color rgb="FF000000"/>
        <rFont val="Calibri"/>
        <family val="2"/>
        <scheme val="minor"/>
      </rPr>
      <t xml:space="preserve">Discount Rate </t>
    </r>
    <r>
      <rPr>
        <sz val="11"/>
        <color rgb="FF000000"/>
        <rFont val="Calibri"/>
        <family val="2"/>
        <scheme val="minor"/>
      </rPr>
      <t>- the interest rate used to find the present value of a product or service. Discounting renders benefits and costs that occur in different time periods comparable by</t>
    </r>
  </si>
  <si>
    <t xml:space="preserve">expressing their values in present terms. This allows the user to understand the actual cost that will be incurred for the breaker over its lifetime of service. </t>
  </si>
  <si>
    <t>A lower discount rate values costs in the future more, while a higher discount rate values costs in the future less.</t>
  </si>
  <si>
    <r>
      <rPr>
        <b/>
        <sz val="11"/>
        <color theme="1"/>
        <rFont val="Calibri"/>
        <family val="2"/>
        <scheme val="minor"/>
      </rPr>
      <t>Lifetime</t>
    </r>
    <r>
      <rPr>
        <sz val="11"/>
        <color theme="1"/>
        <rFont val="Calibri"/>
        <family val="2"/>
        <scheme val="minor"/>
      </rPr>
      <t xml:space="preserve"> - the time span from when a product is purchased to when it is decommissioned.</t>
    </r>
  </si>
  <si>
    <r>
      <rPr>
        <b/>
        <sz val="11"/>
        <color theme="1"/>
        <rFont val="Calibri"/>
        <family val="2"/>
        <scheme val="minor"/>
      </rPr>
      <t>Routine Inspections</t>
    </r>
    <r>
      <rPr>
        <sz val="11"/>
        <color theme="1"/>
        <rFont val="Calibri"/>
        <family val="2"/>
        <scheme val="minor"/>
      </rPr>
      <t xml:space="preserve"> - inspection of breakers done approximately every 6 to 15 years. The tool is set up to allow for the user to select any value. </t>
    </r>
  </si>
  <si>
    <r>
      <rPr>
        <b/>
        <sz val="11"/>
        <color theme="1"/>
        <rFont val="Calibri"/>
        <family val="2"/>
        <scheme val="minor"/>
      </rPr>
      <t>Periodic Inspections</t>
    </r>
    <r>
      <rPr>
        <sz val="11"/>
        <color theme="1"/>
        <rFont val="Calibri"/>
        <family val="2"/>
        <scheme val="minor"/>
      </rPr>
      <t xml:space="preserve"> - inspection of breakers done approximately every 18 to 30 years. The tool is set up to allow for the user to select any value. </t>
    </r>
  </si>
  <si>
    <r>
      <rPr>
        <b/>
        <sz val="11"/>
        <color theme="1"/>
        <rFont val="Calibri"/>
        <family val="2"/>
        <scheme val="minor"/>
      </rPr>
      <t>Emissions Rate</t>
    </r>
    <r>
      <rPr>
        <sz val="11"/>
        <color theme="1"/>
        <rFont val="Calibri"/>
        <family val="2"/>
        <scheme val="minor"/>
      </rPr>
      <t xml:space="preserve"> - the rate at which fugitive SF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gas escapes from the circuit breaker and during handling.</t>
    </r>
  </si>
  <si>
    <r>
      <rPr>
        <b/>
        <sz val="11"/>
        <color theme="1"/>
        <rFont val="Calibri"/>
        <family val="2"/>
        <scheme val="minor"/>
      </rPr>
      <t xml:space="preserve">SF₆ Nameplate Capacity per Breaker </t>
    </r>
    <r>
      <rPr>
        <sz val="11"/>
        <color theme="1"/>
        <rFont val="Calibri"/>
        <family val="2"/>
        <scheme val="minor"/>
      </rPr>
      <t>- the average charge of SF₆ breakers that are being evaluated in the tool.</t>
    </r>
  </si>
  <si>
    <t>1. Initial Cost per breaker</t>
  </si>
  <si>
    <r>
      <rPr>
        <b/>
        <sz val="11"/>
        <color theme="1"/>
        <rFont val="Calibri"/>
        <family val="2"/>
        <scheme val="minor"/>
      </rPr>
      <t>Tank Heater</t>
    </r>
    <r>
      <rPr>
        <sz val="11"/>
        <color theme="1"/>
        <rFont val="Calibri"/>
        <family val="2"/>
        <scheme val="minor"/>
      </rPr>
      <t xml:space="preserve"> - heater used to keep breakers operational in extremely cold conditions.</t>
    </r>
  </si>
  <si>
    <r>
      <rPr>
        <b/>
        <sz val="11"/>
        <color theme="1"/>
        <rFont val="Calibri"/>
        <family val="2"/>
        <scheme val="minor"/>
      </rPr>
      <t>Capital Cost</t>
    </r>
    <r>
      <rPr>
        <sz val="11"/>
        <color theme="1"/>
        <rFont val="Calibri"/>
        <family val="2"/>
        <scheme val="minor"/>
      </rPr>
      <t xml:space="preserve"> - a onetime cost associated with the purchase of the breaker. </t>
    </r>
  </si>
  <si>
    <r>
      <rPr>
        <b/>
        <sz val="11"/>
        <color theme="1"/>
        <rFont val="Calibri"/>
        <family val="2"/>
        <scheme val="minor"/>
      </rPr>
      <t>Installation Fee</t>
    </r>
    <r>
      <rPr>
        <sz val="11"/>
        <color theme="1"/>
        <rFont val="Calibri"/>
        <family val="2"/>
        <scheme val="minor"/>
      </rPr>
      <t xml:space="preserve"> - costs associated with installing the new breaker into system. This should include any substation construction costs (labor and materials).</t>
    </r>
  </si>
  <si>
    <r>
      <t xml:space="preserve">Other 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Include any other costs not covered by aforementioned steps. </t>
    </r>
  </si>
  <si>
    <t>2. Annual Cost per breaker</t>
  </si>
  <si>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 xml:space="preserve"> - hours of work performed by personnel or subcontractors on operations in breaker installation or maintenance</t>
    </r>
  </si>
  <si>
    <r>
      <rPr>
        <b/>
        <sz val="11"/>
        <color theme="1"/>
        <rFont val="Calibri"/>
        <family val="2"/>
        <scheme val="minor"/>
      </rPr>
      <t>Annual Cost</t>
    </r>
    <r>
      <rPr>
        <sz val="11"/>
        <color theme="1"/>
        <rFont val="Calibri"/>
        <family val="2"/>
        <scheme val="minor"/>
      </rPr>
      <t xml:space="preserve"> - costs associated with maintaining a breaker, averaged over each year. Equipment costs should be annualized. </t>
    </r>
  </si>
  <si>
    <r>
      <rPr>
        <b/>
        <sz val="11"/>
        <color theme="1"/>
        <rFont val="Calibri"/>
        <family val="2"/>
        <scheme val="minor"/>
      </rPr>
      <t>Emissions Data Report</t>
    </r>
    <r>
      <rPr>
        <sz val="11"/>
        <color theme="1"/>
        <rFont val="Calibri"/>
        <family val="2"/>
        <scheme val="minor"/>
      </rPr>
      <t xml:space="preserve"> - collecting, compiling and preparing SF₆ emissions report. Includes any EPA, local, internal, or voluntary reports.</t>
    </r>
  </si>
  <si>
    <r>
      <rPr>
        <b/>
        <sz val="11"/>
        <color theme="1"/>
        <rFont val="Calibri"/>
        <family val="2"/>
        <scheme val="minor"/>
      </rPr>
      <t>Emissions Leak Check</t>
    </r>
    <r>
      <rPr>
        <sz val="11"/>
        <color theme="1"/>
        <rFont val="Calibri"/>
        <family val="2"/>
        <scheme val="minor"/>
      </rPr>
      <t xml:space="preserve"> - routine labor needed to check for leaks.</t>
    </r>
  </si>
  <si>
    <r>
      <rPr>
        <b/>
        <sz val="11"/>
        <color theme="1"/>
        <rFont val="Calibri"/>
        <family val="2"/>
        <scheme val="minor"/>
      </rPr>
      <t>Gas/SF₆ Purity Check</t>
    </r>
    <r>
      <rPr>
        <sz val="11"/>
        <color theme="1"/>
        <rFont val="Calibri"/>
        <family val="2"/>
        <scheme val="minor"/>
      </rPr>
      <t xml:space="preserve"> - test needed to ensure the purity of the gas is high enough to maintain the dielectric properties.</t>
    </r>
  </si>
  <si>
    <r>
      <rPr>
        <b/>
        <sz val="11"/>
        <color theme="1"/>
        <rFont val="Calibri"/>
        <family val="2"/>
        <scheme val="minor"/>
      </rPr>
      <t>Gas Storage/Handling</t>
    </r>
    <r>
      <rPr>
        <sz val="11"/>
        <color theme="1"/>
        <rFont val="Calibri"/>
        <family val="2"/>
        <scheme val="minor"/>
      </rPr>
      <t xml:space="preserve"> - cost of storing and handling dry air or SF₆ in a year.</t>
    </r>
  </si>
  <si>
    <r>
      <rPr>
        <b/>
        <sz val="11"/>
        <color theme="1"/>
        <rFont val="Calibri"/>
        <family val="2"/>
        <scheme val="minor"/>
      </rPr>
      <t>Gas/SF₆ Training</t>
    </r>
    <r>
      <rPr>
        <sz val="11"/>
        <color theme="1"/>
        <rFont val="Calibri"/>
        <family val="2"/>
        <scheme val="minor"/>
      </rPr>
      <t xml:space="preserve"> - cost of training workers to properly handle dry gas or SF₆ without incident.</t>
    </r>
  </si>
  <si>
    <r>
      <rPr>
        <b/>
        <sz val="11"/>
        <color theme="1"/>
        <rFont val="Calibri"/>
        <family val="2"/>
        <scheme val="minor"/>
      </rPr>
      <t>Site Hazardous Material Handling</t>
    </r>
    <r>
      <rPr>
        <sz val="11"/>
        <color theme="1"/>
        <rFont val="Calibri"/>
        <family val="2"/>
        <scheme val="minor"/>
      </rPr>
      <t xml:space="preserve"> - cost of handling dry gas or SF₆ on site. </t>
    </r>
  </si>
  <si>
    <r>
      <rPr>
        <b/>
        <sz val="11"/>
        <color theme="1"/>
        <rFont val="Calibri"/>
        <family val="2"/>
        <scheme val="minor"/>
      </rPr>
      <t>Gas/SF₆ Leak Repair</t>
    </r>
    <r>
      <rPr>
        <sz val="11"/>
        <color theme="1"/>
        <rFont val="Calibri"/>
        <family val="2"/>
        <scheme val="minor"/>
      </rPr>
      <t xml:space="preserve"> - average cost of leak repairs needed at circuit breakers annually.</t>
    </r>
  </si>
  <si>
    <r>
      <rPr>
        <b/>
        <sz val="11"/>
        <color theme="1"/>
        <rFont val="Calibri"/>
        <family val="2"/>
        <scheme val="minor"/>
      </rPr>
      <t>Electricity Cost: Space Heaters</t>
    </r>
    <r>
      <rPr>
        <sz val="11"/>
        <color theme="1"/>
        <rFont val="Calibri"/>
        <family val="2"/>
        <scheme val="minor"/>
      </rPr>
      <t xml:space="preserve"> - cost to run space heaters for SF₆ insulated breakers.</t>
    </r>
  </si>
  <si>
    <r>
      <rPr>
        <b/>
        <sz val="11"/>
        <color theme="1"/>
        <rFont val="Calibri"/>
        <family val="2"/>
        <scheme val="minor"/>
      </rPr>
      <t>Electricity Cost: Tank Heaters</t>
    </r>
    <r>
      <rPr>
        <sz val="11"/>
        <color theme="1"/>
        <rFont val="Calibri"/>
        <family val="2"/>
        <scheme val="minor"/>
      </rPr>
      <t xml:space="preserve"> - cost to run tank heaters for SF₆ insulated breakers.</t>
    </r>
  </si>
  <si>
    <r>
      <rPr>
        <b/>
        <sz val="11"/>
        <color theme="1"/>
        <rFont val="Calibri"/>
        <family val="2"/>
        <scheme val="minor"/>
      </rPr>
      <t>Dry Air Container</t>
    </r>
    <r>
      <rPr>
        <sz val="11"/>
        <color theme="1"/>
        <rFont val="Calibri"/>
        <family val="2"/>
        <scheme val="minor"/>
      </rPr>
      <t xml:space="preserve"> - cost of secure container holding dry air on site.</t>
    </r>
  </si>
  <si>
    <r>
      <rPr>
        <b/>
        <sz val="11"/>
        <color theme="1"/>
        <rFont val="Calibri"/>
        <family val="2"/>
        <scheme val="minor"/>
      </rPr>
      <t>Purity Meter</t>
    </r>
    <r>
      <rPr>
        <sz val="11"/>
        <color theme="1"/>
        <rFont val="Calibri"/>
        <family val="2"/>
        <scheme val="minor"/>
      </rPr>
      <t xml:space="preserve"> - cost of buying/replacing instruments to ensure gas or SF₆ purity level.</t>
    </r>
  </si>
  <si>
    <r>
      <rPr>
        <b/>
        <sz val="11"/>
        <color theme="1"/>
        <rFont val="Calibri"/>
        <family val="2"/>
        <scheme val="minor"/>
      </rPr>
      <t>SF₆ Gas Cylinders</t>
    </r>
    <r>
      <rPr>
        <sz val="11"/>
        <color theme="1"/>
        <rFont val="Calibri"/>
        <family val="2"/>
        <scheme val="minor"/>
      </rPr>
      <t xml:space="preserve"> - total cost of all SF₆ gas purchased annually for the breakers being evaluated.</t>
    </r>
  </si>
  <si>
    <r>
      <rPr>
        <b/>
        <sz val="11"/>
        <color theme="1"/>
        <rFont val="Calibri"/>
        <family val="2"/>
        <scheme val="minor"/>
      </rPr>
      <t>PPE &amp; other cleaning materials</t>
    </r>
    <r>
      <rPr>
        <sz val="11"/>
        <color theme="1"/>
        <rFont val="Calibri"/>
        <family val="2"/>
        <scheme val="minor"/>
      </rPr>
      <t xml:space="preserve"> - personal protective equipment such as respiratory device, rubber gloves, footwear, goggles), vacuum cleaner equipment (HEPA filters), wipes, waste</t>
    </r>
  </si>
  <si>
    <t>bags, hazardous waste drum for removal/handling of solid SF₆ byproducts.</t>
  </si>
  <si>
    <r>
      <t xml:space="preserve">SF₆ Repair Equip </t>
    </r>
    <r>
      <rPr>
        <sz val="11"/>
        <color theme="1"/>
        <rFont val="Calibri"/>
        <family val="2"/>
        <scheme val="minor"/>
      </rPr>
      <t>- materials required to repair SF₆ equipment such as desiccant, gaskets, clamps, valves, couplings.</t>
    </r>
  </si>
  <si>
    <t>3. Routine Inspection/ 4. Periodic Inspection per breaker</t>
  </si>
  <si>
    <r>
      <rPr>
        <b/>
        <sz val="11"/>
        <color theme="1"/>
        <rFont val="Calibri"/>
        <family val="2"/>
        <scheme val="minor"/>
      </rPr>
      <t>Routine Inspection</t>
    </r>
    <r>
      <rPr>
        <sz val="11"/>
        <color theme="1"/>
        <rFont val="Calibri"/>
        <family val="2"/>
        <scheme val="minor"/>
      </rPr>
      <t xml:space="preserve"> - inspection that occurs on average every 6 to 15 years.</t>
    </r>
  </si>
  <si>
    <r>
      <rPr>
        <b/>
        <sz val="11"/>
        <color theme="1"/>
        <rFont val="Calibri"/>
        <family val="2"/>
        <scheme val="minor"/>
      </rPr>
      <t>Periodic Inspection</t>
    </r>
    <r>
      <rPr>
        <sz val="11"/>
        <color theme="1"/>
        <rFont val="Calibri"/>
        <family val="2"/>
        <scheme val="minor"/>
      </rPr>
      <t xml:space="preserve"> - inspection that occurs on average every 18 to 30 years. </t>
    </r>
  </si>
  <si>
    <r>
      <rPr>
        <b/>
        <sz val="11"/>
        <color theme="1"/>
        <rFont val="Calibri"/>
        <family val="2"/>
        <scheme val="minor"/>
      </rPr>
      <t>Special note on Materials</t>
    </r>
    <r>
      <rPr>
        <sz val="11"/>
        <color theme="1"/>
        <rFont val="Calibri"/>
        <family val="2"/>
        <scheme val="minor"/>
      </rPr>
      <t xml:space="preserve"> - if equipment or material is used for both periodic and routine inspection, users should input the costs of the equipment or material once, using either the </t>
    </r>
  </si>
  <si>
    <t xml:space="preserve">periodic or routine inspection step in the calculator, to avoid double counting of those costs. </t>
  </si>
  <si>
    <r>
      <rPr>
        <b/>
        <sz val="11"/>
        <color theme="1"/>
        <rFont val="Calibri"/>
        <family val="2"/>
        <scheme val="minor"/>
      </rPr>
      <t>Timing Test</t>
    </r>
    <r>
      <rPr>
        <sz val="11"/>
        <color theme="1"/>
        <rFont val="Calibri"/>
        <family val="2"/>
        <scheme val="minor"/>
      </rPr>
      <t xml:space="preserve"> - test done to compare the circuit breaker's current contact performance with the ideal performance numbers provided by the manufacturer.</t>
    </r>
  </si>
  <si>
    <r>
      <rPr>
        <b/>
        <sz val="11"/>
        <color theme="1"/>
        <rFont val="Calibri"/>
        <family val="2"/>
        <scheme val="minor"/>
      </rPr>
      <t>Taking out breaker for servicing</t>
    </r>
    <r>
      <rPr>
        <sz val="11"/>
        <color theme="1"/>
        <rFont val="Calibri"/>
        <family val="2"/>
        <scheme val="minor"/>
      </rPr>
      <t xml:space="preserve"> - costs associated with the planning, reconfiguration, and safety measures in taking a breaker off-line for servicing.</t>
    </r>
  </si>
  <si>
    <r>
      <rPr>
        <b/>
        <sz val="11"/>
        <color theme="1"/>
        <rFont val="Calibri"/>
        <family val="2"/>
        <scheme val="minor"/>
      </rPr>
      <t>Ductor Test</t>
    </r>
    <r>
      <rPr>
        <sz val="11"/>
        <color theme="1"/>
        <rFont val="Calibri"/>
        <family val="2"/>
        <scheme val="minor"/>
      </rPr>
      <t xml:space="preserve"> - test measuring the resistance of electrical connections, usually at least 100A</t>
    </r>
  </si>
  <si>
    <r>
      <rPr>
        <b/>
        <sz val="11"/>
        <color theme="1"/>
        <rFont val="Calibri"/>
        <family val="2"/>
        <scheme val="minor"/>
      </rPr>
      <t>Insulation Test</t>
    </r>
    <r>
      <rPr>
        <sz val="11"/>
        <color theme="1"/>
        <rFont val="Calibri"/>
        <family val="2"/>
        <scheme val="minor"/>
      </rPr>
      <t xml:space="preserve"> - test that measurers the electrical insulation to ensure products can withstand high voltage; can include high voltage insulation test, control withstand test, and </t>
    </r>
  </si>
  <si>
    <t xml:space="preserve">vacuum bottle integrity test. </t>
  </si>
  <si>
    <r>
      <rPr>
        <b/>
        <sz val="11"/>
        <color theme="1"/>
        <rFont val="Calibri"/>
        <family val="2"/>
        <scheme val="minor"/>
      </rPr>
      <t>Visual Inspection</t>
    </r>
    <r>
      <rPr>
        <sz val="11"/>
        <color theme="1"/>
        <rFont val="Calibri"/>
        <family val="2"/>
        <scheme val="minor"/>
      </rPr>
      <t xml:space="preserve"> - monthly spot check to ensure products are operating up to standard, also known as a Patrolling check.</t>
    </r>
  </si>
  <si>
    <r>
      <rPr>
        <b/>
        <sz val="11"/>
        <color theme="1"/>
        <rFont val="Calibri"/>
        <family val="2"/>
        <scheme val="minor"/>
      </rPr>
      <t>Hi Pot Test</t>
    </r>
    <r>
      <rPr>
        <sz val="11"/>
        <color theme="1"/>
        <rFont val="Calibri"/>
        <family val="2"/>
        <scheme val="minor"/>
      </rPr>
      <t xml:space="preserve"> - high potential (voltage) test to measures the electrical insulation to ensure products can withstand high voltage. Cost associated with Hi Pot Test should include any</t>
    </r>
  </si>
  <si>
    <t>additional costs related to safety.</t>
  </si>
  <si>
    <r>
      <rPr>
        <b/>
        <sz val="11"/>
        <color theme="1"/>
        <rFont val="Calibri"/>
        <family val="2"/>
        <scheme val="minor"/>
      </rPr>
      <t>Gas /SF₆ Analysis</t>
    </r>
    <r>
      <rPr>
        <sz val="11"/>
        <color theme="1"/>
        <rFont val="Calibri"/>
        <family val="2"/>
        <scheme val="minor"/>
      </rPr>
      <t xml:space="preserve"> - test analyzing the quantity and purity of the gas or SF₆ in the circuit breaker.</t>
    </r>
  </si>
  <si>
    <r>
      <rPr>
        <b/>
        <sz val="11"/>
        <color theme="1"/>
        <rFont val="Calibri"/>
        <family val="2"/>
        <scheme val="minor"/>
      </rPr>
      <t>Timing Analyzer</t>
    </r>
    <r>
      <rPr>
        <sz val="11"/>
        <color theme="1"/>
        <rFont val="Calibri"/>
        <family val="2"/>
        <scheme val="minor"/>
      </rPr>
      <t xml:space="preserve"> - device needed to conduct a timing test accurately.</t>
    </r>
  </si>
  <si>
    <r>
      <rPr>
        <b/>
        <sz val="11"/>
        <color theme="1"/>
        <rFont val="Calibri"/>
        <family val="2"/>
        <scheme val="minor"/>
      </rPr>
      <t>Ductor</t>
    </r>
    <r>
      <rPr>
        <sz val="11"/>
        <color theme="1"/>
        <rFont val="Calibri"/>
        <family val="2"/>
        <scheme val="minor"/>
      </rPr>
      <t xml:space="preserve"> - equipment needed to measure low resistance levels, down to the micro-ohm.</t>
    </r>
  </si>
  <si>
    <r>
      <rPr>
        <b/>
        <sz val="11"/>
        <color theme="1"/>
        <rFont val="Calibri"/>
        <family val="2"/>
        <scheme val="minor"/>
      </rPr>
      <t xml:space="preserve">Gas Removal </t>
    </r>
    <r>
      <rPr>
        <sz val="11"/>
        <color theme="1"/>
        <rFont val="Calibri"/>
        <family val="2"/>
        <scheme val="minor"/>
      </rPr>
      <t>- removing of gas from breaker during inspection</t>
    </r>
  </si>
  <si>
    <r>
      <rPr>
        <b/>
        <sz val="11"/>
        <color theme="1"/>
        <rFont val="Calibri"/>
        <family val="2"/>
        <scheme val="minor"/>
      </rPr>
      <t xml:space="preserve">Contact Inspection </t>
    </r>
    <r>
      <rPr>
        <sz val="11"/>
        <color theme="1"/>
        <rFont val="Calibri"/>
        <family val="2"/>
        <scheme val="minor"/>
      </rPr>
      <t>- checking of electrical connections and resistance of breaker</t>
    </r>
  </si>
  <si>
    <r>
      <rPr>
        <b/>
        <sz val="11"/>
        <color theme="1"/>
        <rFont val="Calibri"/>
        <family val="2"/>
        <scheme val="minor"/>
      </rPr>
      <t xml:space="preserve">Vacuum interrupter tester </t>
    </r>
    <r>
      <rPr>
        <sz val="11"/>
        <color theme="1"/>
        <rFont val="Calibri"/>
        <family val="2"/>
        <scheme val="minor"/>
      </rPr>
      <t>- testing kit, such as VIDAR, that checks the integrity of the vacuum interrupter.</t>
    </r>
  </si>
  <si>
    <r>
      <rPr>
        <b/>
        <sz val="11"/>
        <color theme="1"/>
        <rFont val="Calibri"/>
        <family val="2"/>
        <scheme val="minor"/>
      </rPr>
      <t>Standard meters</t>
    </r>
    <r>
      <rPr>
        <sz val="11"/>
        <color theme="1"/>
        <rFont val="Calibri"/>
        <family val="2"/>
        <scheme val="minor"/>
      </rPr>
      <t xml:space="preserve"> - meters measuring voltage </t>
    </r>
  </si>
  <si>
    <r>
      <rPr>
        <b/>
        <sz val="11"/>
        <color theme="1"/>
        <rFont val="Calibri"/>
        <family val="2"/>
        <scheme val="minor"/>
      </rPr>
      <t>Vacuum/gas cart</t>
    </r>
    <r>
      <rPr>
        <sz val="11"/>
        <color theme="1"/>
        <rFont val="Calibri"/>
        <family val="2"/>
        <scheme val="minor"/>
      </rPr>
      <t xml:space="preserve"> - cart used to evacuate gas from breakers</t>
    </r>
  </si>
  <si>
    <r>
      <rPr>
        <b/>
        <sz val="11"/>
        <color theme="1"/>
        <rFont val="Calibri"/>
        <family val="2"/>
        <scheme val="minor"/>
      </rPr>
      <t>SF₆ gas meter</t>
    </r>
    <r>
      <rPr>
        <sz val="11"/>
        <color theme="1"/>
        <rFont val="Calibri"/>
        <family val="2"/>
        <scheme val="minor"/>
      </rPr>
      <t xml:space="preserve"> - measures quantity of SF₆ gas from and to the breaker</t>
    </r>
  </si>
  <si>
    <t>5. Replacement or Overhaul Cost per breaker</t>
  </si>
  <si>
    <r>
      <t xml:space="preserve">Gas Recovery Cost and Reuse Offset - </t>
    </r>
    <r>
      <rPr>
        <sz val="11"/>
        <color theme="1"/>
        <rFont val="Calibri"/>
        <family val="2"/>
        <scheme val="minor"/>
      </rPr>
      <t xml:space="preserve">the net cost of gas recovery , i.e., the cost associated with sending gas off-site (for recycling/reclaiming/destruction) adjusted to account for </t>
    </r>
  </si>
  <si>
    <t>any credit received for selling reclaimed gas back into the supply chain</t>
  </si>
  <si>
    <r>
      <rPr>
        <b/>
        <sz val="11"/>
        <color theme="1"/>
        <rFont val="Calibri"/>
        <family val="2"/>
        <scheme val="minor"/>
      </rPr>
      <t>Decommissioning Cost</t>
    </r>
    <r>
      <rPr>
        <sz val="11"/>
        <color theme="1"/>
        <rFont val="Calibri"/>
        <family val="2"/>
        <scheme val="minor"/>
      </rPr>
      <t xml:space="preserve"> - cost to dismantle and properly dispose of breaker and its parts. </t>
    </r>
  </si>
  <si>
    <t>RESULTS</t>
  </si>
  <si>
    <r>
      <t xml:space="preserve">Catastrophic Failure and Major Loss Events - </t>
    </r>
    <r>
      <rPr>
        <sz val="11"/>
        <color theme="1"/>
        <rFont val="Calibri"/>
        <family val="2"/>
        <scheme val="minor"/>
      </rPr>
      <t>unforeseen and unpredictable events that would lead to fugitive emissions of SF₆ gas into the atmosphere.</t>
    </r>
  </si>
  <si>
    <r>
      <t xml:space="preserve">Undiscounted Total Cost </t>
    </r>
    <r>
      <rPr>
        <sz val="11"/>
        <color theme="1"/>
        <rFont val="Calibri"/>
        <family val="2"/>
        <scheme val="minor"/>
      </rPr>
      <t>- entire cost of the system over all the breakers' lifetime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 accounting for the time value of money</t>
    </r>
    <r>
      <rPr>
        <b/>
        <sz val="11"/>
        <color theme="1"/>
        <rFont val="Calibri"/>
        <family val="2"/>
        <scheme val="minor"/>
      </rPr>
      <t>.</t>
    </r>
  </si>
  <si>
    <r>
      <t xml:space="preserve">Average Annual Undiscounted Cost - </t>
    </r>
    <r>
      <rPr>
        <sz val="11"/>
        <color theme="1"/>
        <rFont val="Calibri"/>
        <family val="2"/>
        <scheme val="minor"/>
      </rPr>
      <t>yearly cost of the system based on the breakers' lifetime not accounting for the time value of money</t>
    </r>
    <r>
      <rPr>
        <b/>
        <sz val="11"/>
        <color theme="1"/>
        <rFont val="Calibri"/>
        <family val="2"/>
        <scheme val="minor"/>
      </rPr>
      <t>.</t>
    </r>
  </si>
  <si>
    <r>
      <t xml:space="preserve">Discounted Total Cost </t>
    </r>
    <r>
      <rPr>
        <sz val="11"/>
        <color theme="1"/>
        <rFont val="Calibri"/>
        <family val="2"/>
        <scheme val="minor"/>
      </rPr>
      <t>- entire cost of the system over all the breakers' lifetime accounting for the time value of money</t>
    </r>
    <r>
      <rPr>
        <b/>
        <sz val="11"/>
        <color theme="1"/>
        <rFont val="Calibri"/>
        <family val="2"/>
        <scheme val="minor"/>
      </rPr>
      <t>.</t>
    </r>
  </si>
  <si>
    <r>
      <t xml:space="preserve">Average Annual Discounted Cost </t>
    </r>
    <r>
      <rPr>
        <sz val="11"/>
        <color theme="1"/>
        <rFont val="Calibri"/>
        <family val="2"/>
        <scheme val="minor"/>
      </rPr>
      <t>- yearly cost of the system based on the breaker's lifetime accounting for the time value of money</t>
    </r>
    <r>
      <rPr>
        <b/>
        <sz val="11"/>
        <color theme="1"/>
        <rFont val="Calibri"/>
        <family val="2"/>
        <scheme val="minor"/>
      </rPr>
      <t>.</t>
    </r>
  </si>
  <si>
    <t>Acronyms</t>
  </si>
  <si>
    <t>GCB</t>
  </si>
  <si>
    <t>Gas Circuit Breaker</t>
  </si>
  <si>
    <t>Hi Pot</t>
  </si>
  <si>
    <t>High Potential</t>
  </si>
  <si>
    <t>kV</t>
  </si>
  <si>
    <t>Kilovolt</t>
  </si>
  <si>
    <t>kWh</t>
  </si>
  <si>
    <t>kilowatt-hour</t>
  </si>
  <si>
    <t>MTCO₂e</t>
  </si>
  <si>
    <t>Metric Tons of CO₂ Equivalent</t>
  </si>
  <si>
    <t>PPE</t>
  </si>
  <si>
    <t>Personal Protective Equipment</t>
  </si>
  <si>
    <t>SF₆</t>
  </si>
  <si>
    <t>Sulfur Hexafluoride</t>
  </si>
  <si>
    <t>VCB</t>
  </si>
  <si>
    <t xml:space="preserve">Vacuum Circuit Breaker </t>
  </si>
  <si>
    <r>
      <t>Assumptions:</t>
    </r>
    <r>
      <rPr>
        <b/>
        <sz val="12"/>
        <color rgb="FF000000"/>
        <rFont val="Arial"/>
        <family val="2"/>
      </rPr>
      <t xml:space="preserve"> </t>
    </r>
  </si>
  <si>
    <t>(hide these columns)</t>
  </si>
  <si>
    <t>On this page, you are setting up the scenario that you want to evaluate.</t>
  </si>
  <si>
    <t>For additional information on definitions and acronyms used, please refer to "Definitions and Acronyms" tab</t>
  </si>
  <si>
    <t>#</t>
  </si>
  <si>
    <t xml:space="preserve">freq RI - VCB </t>
  </si>
  <si>
    <t xml:space="preserve">freq RI - GCB </t>
  </si>
  <si>
    <t xml:space="preserve">freq PI - VCB </t>
  </si>
  <si>
    <t xml:space="preserve">freq PI - GCB </t>
  </si>
  <si>
    <t>discount rate</t>
  </si>
  <si>
    <t>Calculated Cell</t>
  </si>
  <si>
    <t>Input Cell</t>
  </si>
  <si>
    <t>General</t>
  </si>
  <si>
    <t>Assumption</t>
  </si>
  <si>
    <t>Value</t>
  </si>
  <si>
    <t>Discount Rate</t>
  </si>
  <si>
    <t>Number of breakers to evaluate</t>
  </si>
  <si>
    <t>Number of VCB in system</t>
  </si>
  <si>
    <t>Lifetime of VCB</t>
  </si>
  <si>
    <t>Average number of routine inspections per lifetime</t>
  </si>
  <si>
    <t>Average number of periodic inspections per lifetime</t>
  </si>
  <si>
    <t>Interval in which routine inspections take place (years)</t>
  </si>
  <si>
    <t>Interval in which periodic inspections take place (years)</t>
  </si>
  <si>
    <t>Number of GCB in system</t>
  </si>
  <si>
    <t>Lifetime of GCB</t>
  </si>
  <si>
    <t>Environmental Benefits</t>
  </si>
  <si>
    <t>SF₆ Emission rate of utility (pounds emissions of SF₆ per nameplate capacity)</t>
  </si>
  <si>
    <t>SF₆ nameplate capacity per breaker (pounds)</t>
  </si>
  <si>
    <t xml:space="preserve">Total Ownership Cost Analysis Vacuum Circuit Breaker (VCB) vs. SF₆ Gas Circuit Breaker (GCB) </t>
  </si>
  <si>
    <t>Not Applicable</t>
  </si>
  <si>
    <t>1. Initial Cost:</t>
  </si>
  <si>
    <r>
      <rPr>
        <b/>
        <sz val="10"/>
        <color rgb="FFFFFFFF"/>
        <rFont val="Arial"/>
        <family val="2"/>
      </rPr>
      <t>VCB</t>
    </r>
  </si>
  <si>
    <t>Labor</t>
  </si>
  <si>
    <t>Materials</t>
  </si>
  <si>
    <t>Item Description</t>
  </si>
  <si>
    <t>Labor Hours</t>
  </si>
  <si>
    <t>$/hr.</t>
  </si>
  <si>
    <t>Cost of Labor Hours</t>
  </si>
  <si>
    <t>Equipment Needed</t>
  </si>
  <si>
    <t>Cost of Equipment</t>
  </si>
  <si>
    <t>Category Cost</t>
  </si>
  <si>
    <t>Capital Costs</t>
  </si>
  <si>
    <t>Breaker</t>
  </si>
  <si>
    <t>Installation Fee</t>
  </si>
  <si>
    <t>Servicing Materials</t>
  </si>
  <si>
    <t>Other</t>
  </si>
  <si>
    <t>Total Initial Cost</t>
  </si>
  <si>
    <t>SF₆ GCB</t>
  </si>
  <si>
    <r>
      <rPr>
        <sz val="10"/>
        <color rgb="FFFFFFFF"/>
        <rFont val="Arial"/>
        <family val="2"/>
      </rPr>
      <t>Category Cost</t>
    </r>
  </si>
  <si>
    <t>SF₆ GCB with Tank Heater</t>
  </si>
  <si>
    <r>
      <rPr>
        <b/>
        <u/>
        <sz val="10"/>
        <rFont val="Arial"/>
        <family val="2"/>
      </rPr>
      <t>2. Annual Cost</t>
    </r>
    <r>
      <rPr>
        <b/>
        <sz val="10"/>
        <rFont val="Arial"/>
        <family val="2"/>
      </rPr>
      <t>:</t>
    </r>
  </si>
  <si>
    <t>Labor Hours per Year</t>
  </si>
  <si>
    <t>Cost of Labor Hours/Year</t>
  </si>
  <si>
    <t>Cost of Equipment per year</t>
  </si>
  <si>
    <t>Emission Data Report</t>
  </si>
  <si>
    <t>Emissions Leak Check</t>
  </si>
  <si>
    <t>Gas Purity Check</t>
  </si>
  <si>
    <t>Gas Storage/Handling</t>
  </si>
  <si>
    <t>Dry Air Container</t>
  </si>
  <si>
    <t>Gas Training</t>
  </si>
  <si>
    <t>Site Hazardous Material Handling</t>
  </si>
  <si>
    <t>Gas Leak Repair</t>
  </si>
  <si>
    <t>Cabinet/Tank Heater Operations-Hrs.</t>
  </si>
  <si>
    <r>
      <rPr>
        <sz val="10"/>
        <color rgb="FFFFFFFF"/>
        <rFont val="Arial"/>
        <family val="2"/>
      </rPr>
      <t>Hours</t>
    </r>
  </si>
  <si>
    <r>
      <rPr>
        <sz val="10"/>
        <color rgb="FFFFFFFF"/>
        <rFont val="Arial"/>
        <family val="2"/>
      </rPr>
      <t>kW required</t>
    </r>
  </si>
  <si>
    <r>
      <rPr>
        <sz val="10"/>
        <color rgb="FFFFFFFF"/>
        <rFont val="Arial"/>
        <family val="2"/>
      </rPr>
      <t>$/kWh</t>
    </r>
  </si>
  <si>
    <r>
      <rPr>
        <sz val="10"/>
        <color rgb="FFFFFFFF"/>
        <rFont val="Arial"/>
        <family val="2"/>
      </rPr>
      <t>Total Annual Category Cost per VCB</t>
    </r>
  </si>
  <si>
    <t>Electricity Cost - Space Heaters</t>
  </si>
  <si>
    <t>Electricity Cost - Tank Heaters</t>
  </si>
  <si>
    <t>Total Annual Cost</t>
  </si>
  <si>
    <t>SF₆ Emission Data Report</t>
  </si>
  <si>
    <t>SF₆ Emission Data Collection/Leak Check</t>
  </si>
  <si>
    <t xml:space="preserve">Leak Detection Equipment </t>
  </si>
  <si>
    <t>SF₆ Purity Check</t>
  </si>
  <si>
    <t>Purity Meter</t>
  </si>
  <si>
    <t>SF₆ Gas Storage/Handling</t>
  </si>
  <si>
    <t>SF₆ Gas Cylinders</t>
  </si>
  <si>
    <t>SF₆ Training</t>
  </si>
  <si>
    <t>PPE &amp; other cleaning materials</t>
  </si>
  <si>
    <t>SF₆ Leak Repair</t>
  </si>
  <si>
    <t>SF₆ Repair Equip</t>
  </si>
  <si>
    <r>
      <rPr>
        <sz val="10"/>
        <color rgb="FFFFFFFF"/>
        <rFont val="Arial"/>
        <family val="2"/>
      </rPr>
      <t>Total Annual Category Cost per GCB</t>
    </r>
  </si>
  <si>
    <t xml:space="preserve">3. Routine Inspection: </t>
  </si>
  <si>
    <t>Labor hour</t>
  </si>
  <si>
    <t>Cost of Labor</t>
  </si>
  <si>
    <t>Total Cost</t>
  </si>
  <si>
    <t>Timing Test</t>
  </si>
  <si>
    <t>Timing Analyzer</t>
  </si>
  <si>
    <t>Taking out breaker for servicing</t>
  </si>
  <si>
    <t>Ductor Test</t>
  </si>
  <si>
    <t>Ductor</t>
  </si>
  <si>
    <t>Insulation Test</t>
  </si>
  <si>
    <t>Vacuum interrupter tester</t>
  </si>
  <si>
    <t>Visual Inspection</t>
  </si>
  <si>
    <t>Standard meters</t>
  </si>
  <si>
    <t>Hi Pot Test</t>
  </si>
  <si>
    <t>Gas Analysis</t>
  </si>
  <si>
    <t>Total Routine Inspection</t>
  </si>
  <si>
    <t>Total Cost per GCB</t>
  </si>
  <si>
    <t>SF₆ Analysis</t>
  </si>
  <si>
    <t>SF₆ gas meter</t>
  </si>
  <si>
    <t xml:space="preserve">4. Periodic Inspection: </t>
  </si>
  <si>
    <t>Gas Removal</t>
  </si>
  <si>
    <t>Vacuum cart</t>
  </si>
  <si>
    <t>Contact Inspection</t>
  </si>
  <si>
    <t>18 year maintenance parts</t>
  </si>
  <si>
    <t>Parts</t>
  </si>
  <si>
    <t>Total Periodic Inspection</t>
  </si>
  <si>
    <t>Gas cart</t>
  </si>
  <si>
    <r>
      <rPr>
        <b/>
        <u/>
        <sz val="10"/>
        <rFont val="Arial"/>
        <family val="2"/>
      </rPr>
      <t>5. Breaker Replacement/Overhaul Cost:</t>
    </r>
  </si>
  <si>
    <r>
      <rPr>
        <b/>
        <sz val="10"/>
        <color rgb="FFFFFFFF"/>
        <rFont val="Arial"/>
        <family val="2"/>
      </rPr>
      <t>Items Description</t>
    </r>
  </si>
  <si>
    <t>Gas Recovery Cost and Reuse Offset</t>
  </si>
  <si>
    <t>Decommissioning Cost</t>
  </si>
  <si>
    <t>Total Breaker Replacement/Overhaul Cost</t>
  </si>
  <si>
    <t>SF₆ GCB no Tank Heater</t>
  </si>
  <si>
    <t>Results</t>
  </si>
  <si>
    <t>Greenhouse Gas Savings</t>
  </si>
  <si>
    <r>
      <t>Estimated SF</t>
    </r>
    <r>
      <rPr>
        <b/>
        <vertAlign val="subscript"/>
        <sz val="10"/>
        <color theme="3"/>
        <rFont val="Arial"/>
        <family val="2"/>
      </rPr>
      <t>6</t>
    </r>
    <r>
      <rPr>
        <b/>
        <sz val="10"/>
        <color theme="3"/>
        <rFont val="Arial"/>
        <family val="2"/>
      </rPr>
      <t xml:space="preserve"> savings over breaker lifetime </t>
    </r>
  </si>
  <si>
    <t>Emissions Savings</t>
  </si>
  <si>
    <r>
      <t>Pounds of SF</t>
    </r>
    <r>
      <rPr>
        <b/>
        <vertAlign val="subscript"/>
        <sz val="11"/>
        <color theme="0"/>
        <rFont val="Arial"/>
        <family val="2"/>
      </rPr>
      <t>6</t>
    </r>
  </si>
  <si>
    <r>
      <t>MTCO</t>
    </r>
    <r>
      <rPr>
        <b/>
        <vertAlign val="subscript"/>
        <sz val="11"/>
        <color theme="0"/>
        <rFont val="Arial"/>
        <family val="2"/>
      </rPr>
      <t>2</t>
    </r>
    <r>
      <rPr>
        <b/>
        <sz val="11"/>
        <color theme="0"/>
        <rFont val="Arial"/>
        <family val="2"/>
      </rPr>
      <t>e*</t>
    </r>
  </si>
  <si>
    <t>Equivalency of Passenger Vehicles Driven per Year</t>
  </si>
  <si>
    <t>Per breaker</t>
  </si>
  <si>
    <t>Total breakers evaluated</t>
  </si>
  <si>
    <t xml:space="preserve">Total Ownership Cost Comparison </t>
  </si>
  <si>
    <t>Estimated cost comparison over breaker lifetime</t>
  </si>
  <si>
    <t>Cost Savings</t>
  </si>
  <si>
    <r>
      <t>SF</t>
    </r>
    <r>
      <rPr>
        <b/>
        <vertAlign val="subscript"/>
        <sz val="11"/>
        <color theme="0"/>
        <rFont val="Arial"/>
        <family val="2"/>
      </rPr>
      <t>6</t>
    </r>
    <r>
      <rPr>
        <b/>
        <sz val="11"/>
        <color theme="0"/>
        <rFont val="Arial"/>
        <family val="2"/>
      </rPr>
      <t xml:space="preserve"> GCB no Tank Heater</t>
    </r>
  </si>
  <si>
    <r>
      <t>SF</t>
    </r>
    <r>
      <rPr>
        <b/>
        <vertAlign val="subscript"/>
        <sz val="11"/>
        <color theme="0"/>
        <rFont val="Arial"/>
        <family val="2"/>
      </rPr>
      <t>6</t>
    </r>
    <r>
      <rPr>
        <b/>
        <sz val="11"/>
        <color theme="0"/>
        <rFont val="Arial"/>
        <family val="2"/>
      </rPr>
      <t xml:space="preserve"> GCB with Tank Heater</t>
    </r>
  </si>
  <si>
    <t>Undiscounted Total Cost</t>
  </si>
  <si>
    <t>Average Annual Undiscounted Cost</t>
  </si>
  <si>
    <t>Discounted Total Cost</t>
  </si>
  <si>
    <t>Average Annual Discounted Cost</t>
  </si>
  <si>
    <t>Most cost effective option:</t>
  </si>
  <si>
    <t>Based on average annual discounted cost</t>
  </si>
  <si>
    <r>
      <t>Cost Savings from Avoided SF</t>
    </r>
    <r>
      <rPr>
        <b/>
        <vertAlign val="subscript"/>
        <sz val="16"/>
        <color theme="3"/>
        <rFont val="Arial"/>
        <family val="2"/>
      </rPr>
      <t>6</t>
    </r>
    <r>
      <rPr>
        <b/>
        <sz val="16"/>
        <color theme="3"/>
        <rFont val="Arial"/>
        <family val="2"/>
      </rPr>
      <t xml:space="preserve"> Gas Purchases</t>
    </r>
  </si>
  <si>
    <r>
      <t>Estimated costs saved from avoided SF</t>
    </r>
    <r>
      <rPr>
        <b/>
        <vertAlign val="subscript"/>
        <sz val="10"/>
        <color theme="3"/>
        <rFont val="Arial"/>
        <family val="2"/>
      </rPr>
      <t>6</t>
    </r>
    <r>
      <rPr>
        <b/>
        <sz val="10"/>
        <color theme="3"/>
        <rFont val="Arial"/>
        <family val="2"/>
      </rPr>
      <t xml:space="preserve"> gas purchases</t>
    </r>
  </si>
  <si>
    <t>Summary Charts</t>
  </si>
  <si>
    <t xml:space="preserve">Available online at </t>
  </si>
  <si>
    <t>https://www.epa.gov/energy/greenhouse-gases-equivalencies-calculator-calculations-and-references</t>
  </si>
  <si>
    <t>SF6 GCB no Tank Heater</t>
  </si>
  <si>
    <t>SF6 GCB with Tank Heater</t>
  </si>
  <si>
    <t>(hide)</t>
  </si>
  <si>
    <t>Year</t>
  </si>
  <si>
    <t>Initial Costs</t>
  </si>
  <si>
    <t>Annual Costs</t>
  </si>
  <si>
    <t>Routine Inspection</t>
  </si>
  <si>
    <t>Periodic Inspections</t>
  </si>
  <si>
    <t>Breaker Replacement/ Overhaul Costs</t>
  </si>
  <si>
    <t xml:space="preserve">Total </t>
  </si>
  <si>
    <t>SF6 GCB with no Tank Heater</t>
  </si>
  <si>
    <t>Annual Cost</t>
  </si>
  <si>
    <t>Conversion Factors</t>
  </si>
  <si>
    <t>SF6 Global Warming Potential</t>
  </si>
  <si>
    <t>Short Tons to Metric Tons</t>
  </si>
  <si>
    <t>Short Tons to Pounds</t>
  </si>
  <si>
    <t>lbs to MT</t>
  </si>
  <si>
    <t>Passenger Vehicles Per year</t>
  </si>
  <si>
    <t>GWP of SF₆: 23,500. Source: IPCC's Fifth Assessment Report, 2014 (AR5)</t>
  </si>
  <si>
    <t>* Source: Greenhouse Gases Equivalencies Calculator - Calculations and References, Last Updated October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</si>
</sst>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;@"/>
    <numFmt numFmtId="166" formatCode="[$-409]mmmm\ d\,\ yyyy;@"/>
    <numFmt numFmtId="167" formatCode="_(&quot;$&quot;* #,##0.000_);_(&quot;$&quot;* \(#,##0.000\);_(&quot;$&quot;* &quot;-&quot;??_);_(@_)"/>
    <numFmt numFmtId="168" formatCode="&quot;$&quot;#,##0"/>
    <numFmt numFmtId="169" formatCode="_(* #,##0_);_(* \(#,##0\);_(* &quot;-&quot;??_);_(@_)"/>
    <numFmt numFmtId="170" formatCode="_(* #,##0.0_);_(* \(#,##0.0\);_(* &quot;-&quot;??_);_(@_)"/>
    <numFmt numFmtId="171" formatCode="0.0"/>
    <numFmt numFmtId="172" formatCode="_(&quot;$&quot;* #,##0_);_(&quot;$&quot;* \(#,##0\);_(&quot;$&quot;* &quot;-&quot;??_);_(@_)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2" tint="-9.9978637043366805E-2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b/>
      <u/>
      <sz val="10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b/>
      <vertAlign val="subscript"/>
      <sz val="11"/>
      <color theme="0"/>
      <name val="Arial"/>
      <family val="2"/>
    </font>
    <font>
      <b/>
      <sz val="22"/>
      <color theme="3"/>
      <name val="Arial"/>
      <family val="2"/>
    </font>
    <font>
      <b/>
      <sz val="12"/>
      <color theme="3"/>
      <name val="Arial"/>
      <family val="2"/>
    </font>
    <font>
      <b/>
      <vertAlign val="subscript"/>
      <sz val="12"/>
      <color theme="3"/>
      <name val="Arial"/>
      <family val="2"/>
    </font>
    <font>
      <sz val="11"/>
      <name val="Arial"/>
      <family val="2"/>
    </font>
    <font>
      <b/>
      <vertAlign val="subscript"/>
      <sz val="10"/>
      <color theme="3"/>
      <name val="Arial"/>
      <family val="2"/>
    </font>
    <font>
      <sz val="10"/>
      <color rgb="FFFF0000"/>
      <name val="Arial"/>
      <family val="2"/>
    </font>
    <font>
      <b/>
      <sz val="16"/>
      <color theme="3"/>
      <name val="Arial"/>
      <family val="2"/>
    </font>
    <font>
      <sz val="10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9"/>
      <color rgb="FF000000"/>
      <name val="Arial"/>
      <family val="2"/>
    </font>
    <font>
      <u/>
      <sz val="11"/>
      <color theme="10"/>
      <name val="Arial"/>
      <family val="2"/>
    </font>
    <font>
      <b/>
      <vertAlign val="subscript"/>
      <sz val="22"/>
      <color theme="3"/>
      <name val="Calibri"/>
      <family val="2"/>
      <scheme val="minor"/>
    </font>
    <font>
      <vertAlign val="subscript"/>
      <sz val="11"/>
      <name val="Arial"/>
      <family val="2"/>
    </font>
    <font>
      <b/>
      <vertAlign val="subscript"/>
      <sz val="16"/>
      <color theme="3"/>
      <name val="Arial"/>
      <family val="2"/>
    </font>
    <font>
      <u/>
      <sz val="10"/>
      <color theme="10"/>
      <name val="Arial"/>
      <family val="2"/>
    </font>
    <font>
      <vertAlign val="subscript"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</patternFill>
    </fill>
    <fill>
      <patternFill patternType="solid">
        <fgColor rgb="FF1F497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DBEE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0625">
        <bgColor theme="0" tint="-0.14999847407452621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6" fillId="0" borderId="0" applyNumberFormat="0" applyFill="0" applyAlignment="0" applyProtection="0"/>
  </cellStyleXfs>
  <cellXfs count="312">
    <xf numFmtId="0" fontId="0" fillId="0" borderId="0" xfId="0"/>
    <xf numFmtId="0" fontId="3" fillId="2" borderId="30" xfId="2" applyFont="1" applyFill="1" applyBorder="1" applyAlignment="1">
      <alignment vertical="center" wrapText="1"/>
    </xf>
    <xf numFmtId="0" fontId="4" fillId="2" borderId="15" xfId="2" applyFont="1" applyFill="1" applyBorder="1" applyAlignment="1">
      <alignment vertical="center" wrapText="1"/>
    </xf>
    <xf numFmtId="0" fontId="5" fillId="2" borderId="0" xfId="2" applyFont="1" applyFill="1" applyAlignment="1">
      <alignment horizontal="left" vertical="center"/>
    </xf>
    <xf numFmtId="0" fontId="3" fillId="2" borderId="0" xfId="2" applyFont="1" applyFill="1" applyAlignment="1">
      <alignment vertical="center" wrapText="1"/>
    </xf>
    <xf numFmtId="0" fontId="5" fillId="2" borderId="32" xfId="2" applyFont="1" applyFill="1" applyBorder="1" applyAlignment="1">
      <alignment horizontal="left" vertical="center"/>
    </xf>
    <xf numFmtId="0" fontId="3" fillId="2" borderId="32" xfId="2" applyFont="1" applyFill="1" applyBorder="1" applyAlignment="1">
      <alignment vertical="center" wrapText="1"/>
    </xf>
    <xf numFmtId="0" fontId="3" fillId="2" borderId="33" xfId="2" applyFont="1" applyFill="1" applyBorder="1" applyAlignment="1">
      <alignment vertical="center" wrapText="1"/>
    </xf>
    <xf numFmtId="0" fontId="7" fillId="7" borderId="0" xfId="0" applyFont="1" applyFill="1"/>
    <xf numFmtId="0" fontId="6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vertical="center" wrapText="1"/>
    </xf>
    <xf numFmtId="0" fontId="7" fillId="2" borderId="30" xfId="2" applyFont="1" applyFill="1" applyBorder="1"/>
    <xf numFmtId="0" fontId="8" fillId="4" borderId="1" xfId="0" applyFont="1" applyFill="1" applyBorder="1" applyAlignment="1">
      <alignment horizontal="center"/>
    </xf>
    <xf numFmtId="0" fontId="7" fillId="0" borderId="1" xfId="0" applyFont="1" applyBorder="1"/>
    <xf numFmtId="0" fontId="2" fillId="2" borderId="0" xfId="2" applyFont="1" applyFill="1" applyAlignment="1">
      <alignment horizontal="left" vertical="center" wrapText="1"/>
    </xf>
    <xf numFmtId="44" fontId="5" fillId="2" borderId="0" xfId="2" applyNumberFormat="1" applyFont="1" applyFill="1" applyAlignment="1">
      <alignment horizontal="left" vertical="center"/>
    </xf>
    <xf numFmtId="0" fontId="11" fillId="2" borderId="0" xfId="0" applyFont="1" applyFill="1"/>
    <xf numFmtId="0" fontId="7" fillId="2" borderId="0" xfId="0" applyFont="1" applyFill="1"/>
    <xf numFmtId="0" fontId="14" fillId="0" borderId="1" xfId="0" applyFont="1" applyBorder="1" applyAlignment="1" applyProtection="1">
      <alignment vertical="center"/>
      <protection locked="0"/>
    </xf>
    <xf numFmtId="44" fontId="14" fillId="0" borderId="1" xfId="1" applyFont="1" applyFill="1" applyBorder="1" applyAlignment="1" applyProtection="1">
      <alignment vertical="center"/>
      <protection locked="0"/>
    </xf>
    <xf numFmtId="0" fontId="14" fillId="0" borderId="6" xfId="0" applyFont="1" applyBorder="1" applyAlignment="1" applyProtection="1">
      <alignment vertical="center"/>
      <protection locked="0"/>
    </xf>
    <xf numFmtId="44" fontId="14" fillId="2" borderId="6" xfId="1" applyFont="1" applyFill="1" applyBorder="1" applyAlignment="1" applyProtection="1">
      <alignment vertical="center"/>
      <protection locked="0"/>
    </xf>
    <xf numFmtId="44" fontId="14" fillId="0" borderId="6" xfId="1" applyFont="1" applyFill="1" applyBorder="1" applyAlignment="1" applyProtection="1">
      <alignment vertical="center"/>
      <protection locked="0"/>
    </xf>
    <xf numFmtId="0" fontId="7" fillId="0" borderId="0" xfId="0" applyFont="1"/>
    <xf numFmtId="0" fontId="8" fillId="4" borderId="13" xfId="0" applyFont="1" applyFill="1" applyBorder="1"/>
    <xf numFmtId="0" fontId="8" fillId="4" borderId="14" xfId="0" applyFont="1" applyFill="1" applyBorder="1"/>
    <xf numFmtId="0" fontId="8" fillId="4" borderId="14" xfId="0" applyFont="1" applyFill="1" applyBorder="1" applyAlignment="1">
      <alignment wrapText="1"/>
    </xf>
    <xf numFmtId="0" fontId="8" fillId="4" borderId="15" xfId="0" applyFont="1" applyFill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7" fillId="6" borderId="16" xfId="0" applyFont="1" applyFill="1" applyBorder="1"/>
    <xf numFmtId="44" fontId="7" fillId="0" borderId="1" xfId="0" applyNumberFormat="1" applyFont="1" applyBorder="1"/>
    <xf numFmtId="44" fontId="7" fillId="0" borderId="17" xfId="0" applyNumberFormat="1" applyFont="1" applyBorder="1"/>
    <xf numFmtId="44" fontId="7" fillId="0" borderId="0" xfId="0" applyNumberFormat="1" applyFont="1"/>
    <xf numFmtId="0" fontId="7" fillId="0" borderId="8" xfId="0" applyFont="1" applyBorder="1"/>
    <xf numFmtId="44" fontId="7" fillId="0" borderId="21" xfId="0" applyNumberFormat="1" applyFont="1" applyBorder="1"/>
    <xf numFmtId="0" fontId="10" fillId="5" borderId="22" xfId="0" applyFont="1" applyFill="1" applyBorder="1"/>
    <xf numFmtId="44" fontId="10" fillId="5" borderId="23" xfId="0" applyNumberFormat="1" applyFont="1" applyFill="1" applyBorder="1"/>
    <xf numFmtId="44" fontId="10" fillId="5" borderId="24" xfId="0" applyNumberFormat="1" applyFont="1" applyFill="1" applyBorder="1"/>
    <xf numFmtId="0" fontId="10" fillId="5" borderId="18" xfId="0" applyFont="1" applyFill="1" applyBorder="1"/>
    <xf numFmtId="44" fontId="10" fillId="5" borderId="19" xfId="0" applyNumberFormat="1" applyFont="1" applyFill="1" applyBorder="1"/>
    <xf numFmtId="44" fontId="10" fillId="5" borderId="20" xfId="0" applyNumberFormat="1" applyFont="1" applyFill="1" applyBorder="1"/>
    <xf numFmtId="0" fontId="7" fillId="2" borderId="0" xfId="2" applyFont="1" applyFill="1"/>
    <xf numFmtId="0" fontId="2" fillId="2" borderId="0" xfId="2" applyFont="1" applyFill="1" applyAlignment="1">
      <alignment horizontal="left" vertical="center"/>
    </xf>
    <xf numFmtId="0" fontId="4" fillId="2" borderId="30" xfId="2" applyFont="1" applyFill="1" applyBorder="1" applyAlignment="1">
      <alignment vertical="center" wrapText="1"/>
    </xf>
    <xf numFmtId="14" fontId="3" fillId="2" borderId="0" xfId="2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165" fontId="3" fillId="2" borderId="0" xfId="2" applyNumberFormat="1" applyFont="1" applyFill="1" applyAlignment="1">
      <alignment horizontal="left" vertical="center"/>
    </xf>
    <xf numFmtId="2" fontId="14" fillId="0" borderId="1" xfId="0" applyNumberFormat="1" applyFont="1" applyBorder="1" applyAlignment="1" applyProtection="1">
      <alignment vertical="center"/>
      <protection locked="0"/>
    </xf>
    <xf numFmtId="167" fontId="14" fillId="0" borderId="1" xfId="1" applyNumberFormat="1" applyFont="1" applyFill="1" applyBorder="1" applyAlignment="1" applyProtection="1">
      <alignment vertical="center"/>
      <protection locked="0"/>
    </xf>
    <xf numFmtId="168" fontId="7" fillId="0" borderId="1" xfId="0" applyNumberFormat="1" applyFont="1" applyBorder="1"/>
    <xf numFmtId="0" fontId="2" fillId="2" borderId="0" xfId="2" applyFont="1" applyFill="1" applyAlignment="1">
      <alignment vertical="center"/>
    </xf>
    <xf numFmtId="44" fontId="14" fillId="8" borderId="1" xfId="1" applyFont="1" applyFill="1" applyBorder="1" applyAlignment="1" applyProtection="1">
      <alignment vertical="center"/>
    </xf>
    <xf numFmtId="0" fontId="4" fillId="2" borderId="0" xfId="2" applyFont="1" applyFill="1" applyAlignment="1">
      <alignment vertical="center" wrapText="1"/>
    </xf>
    <xf numFmtId="0" fontId="25" fillId="2" borderId="0" xfId="2" applyFont="1" applyFill="1" applyAlignment="1">
      <alignment vertical="center"/>
    </xf>
    <xf numFmtId="0" fontId="7" fillId="2" borderId="0" xfId="0" applyFont="1" applyFill="1" applyAlignment="1">
      <alignment horizontal="left" wrapText="1"/>
    </xf>
    <xf numFmtId="44" fontId="14" fillId="8" borderId="7" xfId="1" applyFont="1" applyFill="1" applyBorder="1" applyAlignment="1" applyProtection="1">
      <alignment vertical="center"/>
    </xf>
    <xf numFmtId="44" fontId="14" fillId="8" borderId="8" xfId="1" applyFont="1" applyFill="1" applyBorder="1" applyAlignment="1" applyProtection="1">
      <alignment vertical="center"/>
    </xf>
    <xf numFmtId="0" fontId="4" fillId="2" borderId="0" xfId="2" applyFont="1" applyFill="1" applyAlignment="1">
      <alignment vertical="center"/>
    </xf>
    <xf numFmtId="168" fontId="10" fillId="9" borderId="1" xfId="0" applyNumberFormat="1" applyFont="1" applyFill="1" applyBorder="1"/>
    <xf numFmtId="0" fontId="10" fillId="0" borderId="1" xfId="0" applyFont="1" applyBorder="1"/>
    <xf numFmtId="169" fontId="7" fillId="0" borderId="1" xfId="3" applyNumberFormat="1" applyFont="1" applyFill="1" applyBorder="1"/>
    <xf numFmtId="0" fontId="10" fillId="9" borderId="1" xfId="0" applyFont="1" applyFill="1" applyBorder="1"/>
    <xf numFmtId="169" fontId="10" fillId="9" borderId="1" xfId="3" applyNumberFormat="1" applyFont="1" applyFill="1" applyBorder="1"/>
    <xf numFmtId="0" fontId="9" fillId="2" borderId="1" xfId="0" applyFont="1" applyFill="1" applyBorder="1"/>
    <xf numFmtId="0" fontId="31" fillId="2" borderId="0" xfId="2" applyFont="1" applyFill="1" applyAlignment="1">
      <alignment horizontal="left" vertical="center"/>
    </xf>
    <xf numFmtId="0" fontId="31" fillId="2" borderId="32" xfId="2" applyFont="1" applyFill="1" applyBorder="1" applyAlignment="1">
      <alignment horizontal="left" vertical="center"/>
    </xf>
    <xf numFmtId="169" fontId="14" fillId="0" borderId="1" xfId="3" applyNumberFormat="1" applyFont="1" applyBorder="1" applyAlignment="1" applyProtection="1">
      <alignment vertical="center"/>
      <protection locked="0"/>
    </xf>
    <xf numFmtId="168" fontId="7" fillId="2" borderId="0" xfId="2" applyNumberFormat="1" applyFont="1" applyFill="1" applyAlignment="1">
      <alignment vertical="center" wrapText="1"/>
    </xf>
    <xf numFmtId="0" fontId="36" fillId="0" borderId="0" xfId="0" applyFont="1"/>
    <xf numFmtId="0" fontId="39" fillId="0" borderId="0" xfId="4"/>
    <xf numFmtId="0" fontId="40" fillId="0" borderId="0" xfId="0" applyFont="1"/>
    <xf numFmtId="170" fontId="7" fillId="0" borderId="1" xfId="3" applyNumberFormat="1" applyFont="1" applyFill="1" applyBorder="1"/>
    <xf numFmtId="171" fontId="7" fillId="0" borderId="1" xfId="0" applyNumberFormat="1" applyFont="1" applyBorder="1"/>
    <xf numFmtId="0" fontId="14" fillId="2" borderId="1" xfId="0" applyFont="1" applyFill="1" applyBorder="1" applyAlignment="1" applyProtection="1">
      <alignment vertical="top"/>
      <protection locked="0"/>
    </xf>
    <xf numFmtId="0" fontId="13" fillId="7" borderId="13" xfId="0" applyFont="1" applyFill="1" applyBorder="1" applyAlignment="1">
      <alignment horizontal="left" vertical="top"/>
    </xf>
    <xf numFmtId="0" fontId="14" fillId="7" borderId="14" xfId="0" applyFont="1" applyFill="1" applyBorder="1" applyAlignment="1">
      <alignment vertical="top"/>
    </xf>
    <xf numFmtId="0" fontId="7" fillId="7" borderId="15" xfId="0" applyFont="1" applyFill="1" applyBorder="1"/>
    <xf numFmtId="0" fontId="34" fillId="7" borderId="29" xfId="0" applyFont="1" applyFill="1" applyBorder="1" applyAlignment="1">
      <alignment horizontal="left" vertical="top"/>
    </xf>
    <xf numFmtId="0" fontId="14" fillId="7" borderId="0" xfId="0" applyFont="1" applyFill="1" applyAlignment="1">
      <alignment vertical="top"/>
    </xf>
    <xf numFmtId="0" fontId="7" fillId="7" borderId="30" xfId="0" applyFont="1" applyFill="1" applyBorder="1"/>
    <xf numFmtId="0" fontId="4" fillId="8" borderId="1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9" fontId="7" fillId="2" borderId="0" xfId="0" applyNumberFormat="1" applyFont="1" applyFill="1"/>
    <xf numFmtId="0" fontId="4" fillId="7" borderId="29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15" fillId="7" borderId="29" xfId="0" applyFont="1" applyFill="1" applyBorder="1" applyAlignment="1">
      <alignment horizontal="left" vertical="top"/>
    </xf>
    <xf numFmtId="0" fontId="16" fillId="3" borderId="16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8" borderId="16" xfId="0" applyFont="1" applyFill="1" applyBorder="1" applyAlignment="1">
      <alignment vertical="center"/>
    </xf>
    <xf numFmtId="0" fontId="14" fillId="8" borderId="1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right" vertical="center"/>
    </xf>
    <xf numFmtId="0" fontId="3" fillId="7" borderId="29" xfId="0" applyFont="1" applyFill="1" applyBorder="1" applyAlignment="1">
      <alignment vertical="center"/>
    </xf>
    <xf numFmtId="0" fontId="7" fillId="7" borderId="29" xfId="0" applyFont="1" applyFill="1" applyBorder="1"/>
    <xf numFmtId="0" fontId="7" fillId="7" borderId="31" xfId="0" applyFont="1" applyFill="1" applyBorder="1"/>
    <xf numFmtId="0" fontId="7" fillId="7" borderId="32" xfId="0" applyFont="1" applyFill="1" applyBorder="1"/>
    <xf numFmtId="0" fontId="7" fillId="7" borderId="33" xfId="0" applyFont="1" applyFill="1" applyBorder="1"/>
    <xf numFmtId="9" fontId="14" fillId="2" borderId="1" xfId="0" applyNumberFormat="1" applyFont="1" applyFill="1" applyBorder="1" applyAlignment="1" applyProtection="1">
      <alignment vertical="top"/>
      <protection locked="0"/>
    </xf>
    <xf numFmtId="0" fontId="9" fillId="7" borderId="13" xfId="0" applyFont="1" applyFill="1" applyBorder="1" applyAlignment="1">
      <alignment vertical="top"/>
    </xf>
    <xf numFmtId="0" fontId="17" fillId="7" borderId="15" xfId="0" applyFont="1" applyFill="1" applyBorder="1" applyAlignment="1">
      <alignment vertical="top"/>
    </xf>
    <xf numFmtId="0" fontId="29" fillId="2" borderId="0" xfId="0" applyFont="1" applyFill="1" applyAlignment="1">
      <alignment vertical="top"/>
    </xf>
    <xf numFmtId="0" fontId="29" fillId="2" borderId="0" xfId="0" applyFont="1" applyFill="1" applyAlignment="1">
      <alignment horizontal="left" vertical="top"/>
    </xf>
    <xf numFmtId="0" fontId="14" fillId="7" borderId="29" xfId="0" applyFont="1" applyFill="1" applyBorder="1" applyAlignment="1">
      <alignment horizontal="left" vertical="top"/>
    </xf>
    <xf numFmtId="0" fontId="14" fillId="7" borderId="0" xfId="0" applyFont="1" applyFill="1" applyAlignment="1">
      <alignment horizontal="left" vertical="top"/>
    </xf>
    <xf numFmtId="0" fontId="14" fillId="7" borderId="30" xfId="0" applyFont="1" applyFill="1" applyBorder="1" applyAlignment="1">
      <alignment vertical="top"/>
    </xf>
    <xf numFmtId="0" fontId="15" fillId="7" borderId="29" xfId="0" applyFont="1" applyFill="1" applyBorder="1" applyAlignment="1">
      <alignment vertical="top"/>
    </xf>
    <xf numFmtId="0" fontId="0" fillId="7" borderId="0" xfId="0" applyFill="1"/>
    <xf numFmtId="0" fontId="14" fillId="7" borderId="30" xfId="0" applyFont="1" applyFill="1" applyBorder="1" applyAlignment="1">
      <alignment horizontal="left" vertical="top"/>
    </xf>
    <xf numFmtId="0" fontId="29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top"/>
    </xf>
    <xf numFmtId="0" fontId="7" fillId="7" borderId="30" xfId="0" applyFont="1" applyFill="1" applyBorder="1" applyAlignment="1">
      <alignment horizontal="left" vertical="top"/>
    </xf>
    <xf numFmtId="0" fontId="7" fillId="7" borderId="31" xfId="0" applyFont="1" applyFill="1" applyBorder="1" applyAlignment="1">
      <alignment horizontal="left" vertical="top"/>
    </xf>
    <xf numFmtId="0" fontId="7" fillId="7" borderId="32" xfId="0" applyFont="1" applyFill="1" applyBorder="1" applyAlignment="1">
      <alignment horizontal="left" vertical="top"/>
    </xf>
    <xf numFmtId="0" fontId="7" fillId="7" borderId="3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17" fillId="7" borderId="14" xfId="0" applyFont="1" applyFill="1" applyBorder="1" applyAlignment="1">
      <alignment vertical="top"/>
    </xf>
    <xf numFmtId="0" fontId="14" fillId="7" borderId="15" xfId="0" applyFont="1" applyFill="1" applyBorder="1" applyAlignment="1">
      <alignment vertical="top"/>
    </xf>
    <xf numFmtId="0" fontId="14" fillId="2" borderId="0" xfId="0" applyFont="1" applyFill="1" applyAlignment="1">
      <alignment vertical="top"/>
    </xf>
    <xf numFmtId="0" fontId="14" fillId="2" borderId="0" xfId="0" applyFont="1" applyFill="1" applyAlignment="1">
      <alignment horizontal="left" vertical="top"/>
    </xf>
    <xf numFmtId="0" fontId="14" fillId="7" borderId="29" xfId="0" applyFont="1" applyFill="1" applyBorder="1" applyAlignment="1">
      <alignment vertical="top"/>
    </xf>
    <xf numFmtId="0" fontId="4" fillId="3" borderId="36" xfId="0" applyFont="1" applyFill="1" applyBorder="1" applyAlignment="1">
      <alignment vertical="center"/>
    </xf>
    <xf numFmtId="0" fontId="4" fillId="3" borderId="35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left" vertical="center"/>
    </xf>
    <xf numFmtId="44" fontId="14" fillId="8" borderId="1" xfId="0" applyNumberFormat="1" applyFont="1" applyFill="1" applyBorder="1" applyAlignment="1">
      <alignment vertical="center"/>
    </xf>
    <xf numFmtId="0" fontId="18" fillId="4" borderId="38" xfId="0" applyFont="1" applyFill="1" applyBorder="1" applyAlignment="1">
      <alignment vertical="center"/>
    </xf>
    <xf numFmtId="0" fontId="16" fillId="3" borderId="39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1" fillId="4" borderId="37" xfId="0" applyFont="1" applyFill="1" applyBorder="1" applyAlignment="1">
      <alignment vertical="center"/>
    </xf>
    <xf numFmtId="0" fontId="18" fillId="4" borderId="1" xfId="0" applyFont="1" applyFill="1" applyBorder="1" applyAlignment="1">
      <alignment horizontal="left" vertical="center"/>
    </xf>
    <xf numFmtId="44" fontId="7" fillId="7" borderId="30" xfId="0" applyNumberFormat="1" applyFont="1" applyFill="1" applyBorder="1"/>
    <xf numFmtId="0" fontId="18" fillId="4" borderId="16" xfId="0" applyFont="1" applyFill="1" applyBorder="1" applyAlignment="1">
      <alignment vertical="center"/>
    </xf>
    <xf numFmtId="0" fontId="21" fillId="4" borderId="16" xfId="0" applyFont="1" applyFill="1" applyBorder="1" applyAlignment="1">
      <alignment vertical="center"/>
    </xf>
    <xf numFmtId="0" fontId="19" fillId="7" borderId="29" xfId="0" applyFont="1" applyFill="1" applyBorder="1" applyAlignment="1">
      <alignment vertical="center"/>
    </xf>
    <xf numFmtId="0" fontId="4" fillId="7" borderId="0" xfId="0" applyFont="1" applyFill="1" applyAlignment="1">
      <alignment vertical="center"/>
    </xf>
    <xf numFmtId="0" fontId="4" fillId="7" borderId="3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34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vertical="center"/>
    </xf>
    <xf numFmtId="44" fontId="14" fillId="8" borderId="7" xfId="0" applyNumberFormat="1" applyFont="1" applyFill="1" applyBorder="1" applyAlignment="1">
      <alignment vertical="center"/>
    </xf>
    <xf numFmtId="0" fontId="18" fillId="4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vertical="center"/>
    </xf>
    <xf numFmtId="44" fontId="14" fillId="8" borderId="8" xfId="0" applyNumberFormat="1" applyFont="1" applyFill="1" applyBorder="1" applyAlignment="1">
      <alignment vertical="center"/>
    </xf>
    <xf numFmtId="0" fontId="18" fillId="4" borderId="4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top"/>
    </xf>
    <xf numFmtId="0" fontId="4" fillId="7" borderId="29" xfId="0" applyFont="1" applyFill="1" applyBorder="1" applyAlignment="1">
      <alignment vertical="center"/>
    </xf>
    <xf numFmtId="0" fontId="4" fillId="3" borderId="37" xfId="0" applyFont="1" applyFill="1" applyBorder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21" fillId="4" borderId="29" xfId="0" applyFont="1" applyFill="1" applyBorder="1" applyAlignment="1">
      <alignment vertical="center"/>
    </xf>
    <xf numFmtId="0" fontId="41" fillId="0" borderId="0" xfId="0" applyFont="1"/>
    <xf numFmtId="0" fontId="41" fillId="7" borderId="0" xfId="0" applyFont="1" applyFill="1"/>
    <xf numFmtId="0" fontId="16" fillId="3" borderId="36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3" fontId="14" fillId="0" borderId="3" xfId="0" applyNumberFormat="1" applyFont="1" applyBorder="1" applyAlignment="1" applyProtection="1">
      <alignment vertical="center"/>
      <protection locked="0"/>
    </xf>
    <xf numFmtId="0" fontId="14" fillId="0" borderId="8" xfId="0" applyFont="1" applyBorder="1" applyAlignment="1" applyProtection="1">
      <alignment vertical="center"/>
      <protection locked="0"/>
    </xf>
    <xf numFmtId="44" fontId="14" fillId="0" borderId="8" xfId="1" applyFont="1" applyFill="1" applyBorder="1" applyAlignment="1" applyProtection="1">
      <alignment vertical="center"/>
      <protection locked="0"/>
    </xf>
    <xf numFmtId="0" fontId="14" fillId="7" borderId="0" xfId="0" applyFont="1" applyFill="1" applyAlignment="1">
      <alignment vertical="center"/>
    </xf>
    <xf numFmtId="0" fontId="14" fillId="7" borderId="42" xfId="0" applyFont="1" applyFill="1" applyBorder="1" applyAlignment="1">
      <alignment vertical="center"/>
    </xf>
    <xf numFmtId="0" fontId="14" fillId="7" borderId="43" xfId="0" applyFont="1" applyFill="1" applyBorder="1" applyAlignment="1">
      <alignment vertical="center"/>
    </xf>
    <xf numFmtId="0" fontId="14" fillId="7" borderId="44" xfId="0" applyFont="1" applyFill="1" applyBorder="1" applyAlignment="1">
      <alignment vertical="center"/>
    </xf>
    <xf numFmtId="0" fontId="14" fillId="7" borderId="45" xfId="0" applyFont="1" applyFill="1" applyBorder="1" applyAlignment="1">
      <alignment vertical="center"/>
    </xf>
    <xf numFmtId="0" fontId="14" fillId="7" borderId="40" xfId="0" applyFont="1" applyFill="1" applyBorder="1" applyAlignment="1">
      <alignment vertical="center"/>
    </xf>
    <xf numFmtId="0" fontId="14" fillId="7" borderId="46" xfId="0" applyFont="1" applyFill="1" applyBorder="1" applyAlignment="1">
      <alignment vertical="center"/>
    </xf>
    <xf numFmtId="0" fontId="21" fillId="4" borderId="34" xfId="0" applyFont="1" applyFill="1" applyBorder="1" applyAlignment="1">
      <alignment vertical="center"/>
    </xf>
    <xf numFmtId="0" fontId="21" fillId="4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center"/>
    </xf>
    <xf numFmtId="0" fontId="21" fillId="4" borderId="47" xfId="0" applyFont="1" applyFill="1" applyBorder="1" applyAlignment="1">
      <alignment vertical="center"/>
    </xf>
    <xf numFmtId="0" fontId="27" fillId="2" borderId="0" xfId="2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21" fillId="4" borderId="48" xfId="0" applyFont="1" applyFill="1" applyBorder="1" applyAlignment="1">
      <alignment vertical="center"/>
    </xf>
    <xf numFmtId="0" fontId="18" fillId="4" borderId="29" xfId="0" applyFont="1" applyFill="1" applyBorder="1" applyAlignment="1">
      <alignment vertical="center"/>
    </xf>
    <xf numFmtId="0" fontId="27" fillId="2" borderId="0" xfId="2" applyFont="1" applyFill="1" applyAlignment="1">
      <alignment vertical="center"/>
    </xf>
    <xf numFmtId="0" fontId="24" fillId="2" borderId="14" xfId="2" applyFont="1" applyFill="1" applyBorder="1"/>
    <xf numFmtId="0" fontId="7" fillId="2" borderId="14" xfId="2" applyFont="1" applyFill="1" applyBorder="1"/>
    <xf numFmtId="0" fontId="3" fillId="2" borderId="15" xfId="2" applyFont="1" applyFill="1" applyBorder="1" applyAlignment="1">
      <alignment vertical="center"/>
    </xf>
    <xf numFmtId="0" fontId="25" fillId="2" borderId="29" xfId="2" applyFont="1" applyFill="1" applyBorder="1" applyAlignment="1">
      <alignment vertical="center"/>
    </xf>
    <xf numFmtId="14" fontId="3" fillId="2" borderId="30" xfId="2" applyNumberFormat="1" applyFont="1" applyFill="1" applyBorder="1" applyAlignment="1">
      <alignment horizontal="left" vertical="center"/>
    </xf>
    <xf numFmtId="0" fontId="41" fillId="0" borderId="29" xfId="0" applyFont="1" applyBorder="1"/>
    <xf numFmtId="0" fontId="2" fillId="2" borderId="29" xfId="2" applyFont="1" applyFill="1" applyBorder="1" applyAlignment="1">
      <alignment horizontal="left" vertical="center"/>
    </xf>
    <xf numFmtId="166" fontId="3" fillId="2" borderId="30" xfId="2" applyNumberFormat="1" applyFont="1" applyFill="1" applyBorder="1" applyAlignment="1">
      <alignment horizontal="left" vertical="center"/>
    </xf>
    <xf numFmtId="0" fontId="27" fillId="2" borderId="29" xfId="2" applyFont="1" applyFill="1" applyBorder="1" applyAlignment="1">
      <alignment vertical="center"/>
    </xf>
    <xf numFmtId="0" fontId="27" fillId="2" borderId="30" xfId="2" applyFont="1" applyFill="1" applyBorder="1" applyAlignment="1">
      <alignment vertical="center"/>
    </xf>
    <xf numFmtId="0" fontId="27" fillId="2" borderId="29" xfId="2" applyFont="1" applyFill="1" applyBorder="1" applyAlignment="1">
      <alignment horizontal="left" vertical="center"/>
    </xf>
    <xf numFmtId="0" fontId="27" fillId="2" borderId="30" xfId="2" applyFont="1" applyFill="1" applyBorder="1" applyAlignment="1">
      <alignment horizontal="left" vertical="center" wrapText="1"/>
    </xf>
    <xf numFmtId="0" fontId="27" fillId="2" borderId="29" xfId="2" applyFont="1" applyFill="1" applyBorder="1" applyAlignment="1">
      <alignment horizontal="left" vertical="center" wrapText="1"/>
    </xf>
    <xf numFmtId="0" fontId="7" fillId="2" borderId="30" xfId="0" applyFont="1" applyFill="1" applyBorder="1"/>
    <xf numFmtId="0" fontId="7" fillId="2" borderId="29" xfId="0" applyFont="1" applyFill="1" applyBorder="1"/>
    <xf numFmtId="0" fontId="12" fillId="2" borderId="29" xfId="0" applyFont="1" applyFill="1" applyBorder="1"/>
    <xf numFmtId="0" fontId="7" fillId="2" borderId="29" xfId="0" applyFont="1" applyFill="1" applyBorder="1" applyAlignment="1">
      <alignment horizontal="left"/>
    </xf>
    <xf numFmtId="0" fontId="7" fillId="2" borderId="30" xfId="0" applyFont="1" applyFill="1" applyBorder="1" applyAlignment="1">
      <alignment horizontal="left"/>
    </xf>
    <xf numFmtId="0" fontId="7" fillId="2" borderId="29" xfId="0" applyFont="1" applyFill="1" applyBorder="1" applyAlignment="1">
      <alignment horizontal="left" wrapText="1"/>
    </xf>
    <xf numFmtId="0" fontId="7" fillId="2" borderId="30" xfId="0" applyFont="1" applyFill="1" applyBorder="1" applyAlignment="1">
      <alignment horizontal="left" wrapText="1"/>
    </xf>
    <xf numFmtId="0" fontId="7" fillId="2" borderId="31" xfId="0" applyFont="1" applyFill="1" applyBorder="1"/>
    <xf numFmtId="0" fontId="7" fillId="2" borderId="32" xfId="0" applyFont="1" applyFill="1" applyBorder="1"/>
    <xf numFmtId="0" fontId="7" fillId="2" borderId="33" xfId="0" applyFont="1" applyFill="1" applyBorder="1"/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  <xf numFmtId="0" fontId="0" fillId="2" borderId="30" xfId="0" applyFill="1" applyBorder="1"/>
    <xf numFmtId="0" fontId="45" fillId="2" borderId="29" xfId="0" applyFont="1" applyFill="1" applyBorder="1"/>
    <xf numFmtId="0" fontId="43" fillId="2" borderId="29" xfId="0" applyFont="1" applyFill="1" applyBorder="1"/>
    <xf numFmtId="0" fontId="44" fillId="11" borderId="13" xfId="0" applyFont="1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29" xfId="0" applyFill="1" applyBorder="1"/>
    <xf numFmtId="0" fontId="0" fillId="11" borderId="0" xfId="0" applyFill="1"/>
    <xf numFmtId="0" fontId="0" fillId="11" borderId="30" xfId="0" applyFill="1" applyBorder="1"/>
    <xf numFmtId="0" fontId="0" fillId="11" borderId="29" xfId="0" applyFill="1" applyBorder="1" applyAlignment="1">
      <alignment horizontal="left"/>
    </xf>
    <xf numFmtId="0" fontId="0" fillId="11" borderId="0" xfId="0" applyFill="1" applyAlignment="1">
      <alignment horizontal="left" wrapText="1"/>
    </xf>
    <xf numFmtId="0" fontId="0" fillId="11" borderId="30" xfId="0" applyFill="1" applyBorder="1" applyAlignment="1">
      <alignment horizontal="left" wrapText="1"/>
    </xf>
    <xf numFmtId="0" fontId="0" fillId="11" borderId="31" xfId="0" applyFill="1" applyBorder="1"/>
    <xf numFmtId="0" fontId="0" fillId="11" borderId="32" xfId="0" applyFill="1" applyBorder="1"/>
    <xf numFmtId="0" fontId="0" fillId="11" borderId="33" xfId="0" applyFill="1" applyBorder="1"/>
    <xf numFmtId="0" fontId="0" fillId="2" borderId="29" xfId="0" applyFill="1" applyBorder="1"/>
    <xf numFmtId="0" fontId="42" fillId="11" borderId="31" xfId="0" applyFont="1" applyFill="1" applyBorder="1"/>
    <xf numFmtId="0" fontId="42" fillId="11" borderId="29" xfId="0" applyFont="1" applyFill="1" applyBorder="1"/>
    <xf numFmtId="0" fontId="14" fillId="0" borderId="1" xfId="0" applyFont="1" applyBorder="1" applyAlignment="1">
      <alignment vertical="center"/>
    </xf>
    <xf numFmtId="0" fontId="0" fillId="2" borderId="33" xfId="0" applyFill="1" applyBorder="1"/>
    <xf numFmtId="0" fontId="3" fillId="10" borderId="16" xfId="0" applyFont="1" applyFill="1" applyBorder="1" applyAlignment="1">
      <alignment vertical="center"/>
    </xf>
    <xf numFmtId="0" fontId="0" fillId="2" borderId="31" xfId="0" applyFill="1" applyBorder="1"/>
    <xf numFmtId="0" fontId="0" fillId="2" borderId="32" xfId="0" applyFill="1" applyBorder="1"/>
    <xf numFmtId="0" fontId="0" fillId="0" borderId="30" xfId="0" applyBorder="1" applyAlignment="1">
      <alignment vertical="center" wrapText="1"/>
    </xf>
    <xf numFmtId="0" fontId="10" fillId="2" borderId="29" xfId="0" applyFont="1" applyFill="1" applyBorder="1"/>
    <xf numFmtId="0" fontId="10" fillId="2" borderId="0" xfId="0" applyFont="1" applyFill="1"/>
    <xf numFmtId="0" fontId="47" fillId="2" borderId="0" xfId="5" applyFont="1" applyFill="1" applyAlignment="1"/>
    <xf numFmtId="0" fontId="4" fillId="3" borderId="1" xfId="0" applyFont="1" applyFill="1" applyBorder="1" applyAlignment="1">
      <alignment horizontal="centerContinuous" vertical="center"/>
    </xf>
    <xf numFmtId="0" fontId="4" fillId="3" borderId="41" xfId="0" applyFont="1" applyFill="1" applyBorder="1" applyAlignment="1">
      <alignment horizontal="centerContinuous" vertical="center"/>
    </xf>
    <xf numFmtId="0" fontId="4" fillId="3" borderId="9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21" fillId="3" borderId="40" xfId="0" applyFont="1" applyFill="1" applyBorder="1" applyAlignment="1">
      <alignment horizontal="centerContinuous" vertical="center"/>
    </xf>
    <xf numFmtId="0" fontId="21" fillId="3" borderId="41" xfId="0" applyFont="1" applyFill="1" applyBorder="1" applyAlignment="1">
      <alignment horizontal="centerContinuous" vertical="center"/>
    </xf>
    <xf numFmtId="0" fontId="21" fillId="3" borderId="9" xfId="0" applyFont="1" applyFill="1" applyBorder="1" applyAlignment="1">
      <alignment horizontal="centerContinuous" vertical="center"/>
    </xf>
    <xf numFmtId="0" fontId="21" fillId="3" borderId="3" xfId="0" applyFont="1" applyFill="1" applyBorder="1" applyAlignment="1">
      <alignment horizontal="centerContinuous" vertical="center"/>
    </xf>
    <xf numFmtId="0" fontId="21" fillId="3" borderId="2" xfId="0" applyFont="1" applyFill="1" applyBorder="1" applyAlignment="1">
      <alignment horizontal="centerContinuous" vertical="center"/>
    </xf>
    <xf numFmtId="0" fontId="21" fillId="3" borderId="2" xfId="0" applyFont="1" applyFill="1" applyBorder="1" applyAlignment="1">
      <alignment horizontal="centerContinuous"/>
    </xf>
    <xf numFmtId="0" fontId="21" fillId="3" borderId="9" xfId="0" applyFont="1" applyFill="1" applyBorder="1" applyAlignment="1">
      <alignment horizontal="centerContinuous"/>
    </xf>
    <xf numFmtId="0" fontId="21" fillId="3" borderId="3" xfId="0" applyFont="1" applyFill="1" applyBorder="1" applyAlignment="1">
      <alignment horizontal="centerContinuous"/>
    </xf>
    <xf numFmtId="44" fontId="14" fillId="0" borderId="1" xfId="1" applyFont="1" applyFill="1" applyBorder="1" applyAlignment="1" applyProtection="1">
      <alignment horizontal="centerContinuous"/>
      <protection locked="0"/>
    </xf>
    <xf numFmtId="44" fontId="14" fillId="8" borderId="1" xfId="1" applyFont="1" applyFill="1" applyBorder="1" applyAlignment="1" applyProtection="1">
      <alignment horizontal="centerContinuous"/>
    </xf>
    <xf numFmtId="0" fontId="18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Continuous" vertical="center"/>
    </xf>
    <xf numFmtId="0" fontId="30" fillId="2" borderId="0" xfId="2" applyFont="1" applyFill="1"/>
    <xf numFmtId="0" fontId="24" fillId="2" borderId="0" xfId="2" applyFont="1" applyFill="1"/>
    <xf numFmtId="0" fontId="4" fillId="2" borderId="30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0" xfId="2" applyFont="1" applyFill="1" applyAlignment="1">
      <alignment vertical="center" wrapText="1"/>
    </xf>
    <xf numFmtId="0" fontId="4" fillId="2" borderId="0" xfId="2" applyFont="1" applyFill="1" applyAlignment="1">
      <alignment horizontal="center"/>
    </xf>
    <xf numFmtId="0" fontId="4" fillId="2" borderId="0" xfId="2" applyFont="1" applyFill="1"/>
    <xf numFmtId="0" fontId="0" fillId="2" borderId="0" xfId="0" applyFill="1" applyAlignment="1">
      <alignment vertical="center" wrapText="1"/>
    </xf>
    <xf numFmtId="0" fontId="48" fillId="11" borderId="29" xfId="0" applyFont="1" applyFill="1" applyBorder="1"/>
    <xf numFmtId="0" fontId="50" fillId="7" borderId="29" xfId="0" applyFont="1" applyFill="1" applyBorder="1" applyAlignment="1">
      <alignment horizontal="left" vertical="top"/>
    </xf>
    <xf numFmtId="0" fontId="10" fillId="8" borderId="7" xfId="0" applyFont="1" applyFill="1" applyBorder="1" applyAlignment="1">
      <alignment horizontal="left"/>
    </xf>
    <xf numFmtId="0" fontId="7" fillId="8" borderId="41" xfId="0" applyFont="1" applyFill="1" applyBorder="1"/>
    <xf numFmtId="0" fontId="7" fillId="8" borderId="46" xfId="0" applyFont="1" applyFill="1" applyBorder="1"/>
    <xf numFmtId="0" fontId="0" fillId="11" borderId="0" xfId="0" applyFill="1" applyAlignment="1">
      <alignment horizontal="left"/>
    </xf>
    <xf numFmtId="0" fontId="0" fillId="11" borderId="30" xfId="0" applyFill="1" applyBorder="1" applyAlignment="1">
      <alignment horizontal="left"/>
    </xf>
    <xf numFmtId="0" fontId="16" fillId="3" borderId="40" xfId="0" applyFont="1" applyFill="1" applyBorder="1" applyAlignment="1">
      <alignment horizontal="centerContinuous" vertical="center"/>
    </xf>
    <xf numFmtId="0" fontId="16" fillId="3" borderId="34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/>
    </xf>
    <xf numFmtId="0" fontId="7" fillId="2" borderId="9" xfId="0" applyFont="1" applyFill="1" applyBorder="1"/>
    <xf numFmtId="0" fontId="7" fillId="2" borderId="3" xfId="0" applyFont="1" applyFill="1" applyBorder="1"/>
    <xf numFmtId="44" fontId="7" fillId="0" borderId="0" xfId="1" applyFont="1"/>
    <xf numFmtId="8" fontId="7" fillId="0" borderId="0" xfId="1" applyNumberFormat="1" applyFont="1"/>
    <xf numFmtId="0" fontId="51" fillId="0" borderId="1" xfId="4" applyFont="1" applyFill="1" applyBorder="1"/>
    <xf numFmtId="0" fontId="14" fillId="8" borderId="9" xfId="0" applyFont="1" applyFill="1" applyBorder="1" applyAlignment="1">
      <alignment vertical="center"/>
    </xf>
    <xf numFmtId="0" fontId="21" fillId="3" borderId="7" xfId="0" applyFont="1" applyFill="1" applyBorder="1" applyAlignment="1">
      <alignment horizontal="centerContinuous" vertical="center"/>
    </xf>
    <xf numFmtId="0" fontId="14" fillId="8" borderId="2" xfId="0" applyFont="1" applyFill="1" applyBorder="1" applyAlignment="1">
      <alignment vertical="center"/>
    </xf>
    <xf numFmtId="44" fontId="14" fillId="8" borderId="3" xfId="0" applyNumberFormat="1" applyFont="1" applyFill="1" applyBorder="1" applyAlignment="1">
      <alignment vertical="center"/>
    </xf>
    <xf numFmtId="0" fontId="3" fillId="2" borderId="8" xfId="0" applyFont="1" applyFill="1" applyBorder="1" applyAlignment="1" applyProtection="1">
      <alignment vertical="center"/>
      <protection locked="0"/>
    </xf>
    <xf numFmtId="0" fontId="7" fillId="8" borderId="2" xfId="0" applyFont="1" applyFill="1" applyBorder="1"/>
    <xf numFmtId="167" fontId="14" fillId="0" borderId="1" xfId="1" applyNumberFormat="1" applyFont="1" applyBorder="1" applyAlignment="1" applyProtection="1">
      <alignment vertical="center"/>
      <protection locked="0"/>
    </xf>
    <xf numFmtId="172" fontId="7" fillId="0" borderId="1" xfId="1" applyNumberFormat="1" applyFont="1" applyFill="1" applyBorder="1"/>
    <xf numFmtId="172" fontId="10" fillId="9" borderId="1" xfId="1" applyNumberFormat="1" applyFont="1" applyFill="1" applyBorder="1"/>
    <xf numFmtId="0" fontId="55" fillId="2" borderId="0" xfId="4" applyFont="1" applyFill="1" applyAlignment="1">
      <alignment horizontal="left" vertical="center"/>
    </xf>
    <xf numFmtId="0" fontId="9" fillId="12" borderId="2" xfId="0" applyFont="1" applyFill="1" applyBorder="1" applyAlignment="1">
      <alignment vertical="center"/>
    </xf>
    <xf numFmtId="0" fontId="4" fillId="12" borderId="9" xfId="0" applyFont="1" applyFill="1" applyBorder="1" applyAlignment="1">
      <alignment vertical="center"/>
    </xf>
    <xf numFmtId="0" fontId="4" fillId="12" borderId="3" xfId="0" applyFont="1" applyFill="1" applyBorder="1" applyAlignment="1">
      <alignment vertical="center"/>
    </xf>
    <xf numFmtId="3" fontId="14" fillId="0" borderId="1" xfId="0" applyNumberFormat="1" applyFont="1" applyBorder="1" applyAlignment="1" applyProtection="1">
      <alignment vertical="center"/>
      <protection locked="0"/>
    </xf>
    <xf numFmtId="3" fontId="14" fillId="0" borderId="8" xfId="0" applyNumberFormat="1" applyFont="1" applyBorder="1" applyAlignment="1" applyProtection="1">
      <alignment vertical="center"/>
      <protection locked="0"/>
    </xf>
    <xf numFmtId="2" fontId="14" fillId="0" borderId="8" xfId="0" applyNumberFormat="1" applyFont="1" applyBorder="1" applyAlignment="1" applyProtection="1">
      <alignment vertical="center"/>
      <protection locked="0"/>
    </xf>
    <xf numFmtId="167" fontId="14" fillId="0" borderId="8" xfId="1" applyNumberFormat="1" applyFont="1" applyBorder="1" applyAlignment="1" applyProtection="1">
      <alignment vertical="center"/>
      <protection locked="0"/>
    </xf>
    <xf numFmtId="44" fontId="14" fillId="0" borderId="6" xfId="1" applyFont="1" applyBorder="1" applyAlignment="1" applyProtection="1">
      <alignment vertical="center"/>
      <protection locked="0"/>
    </xf>
    <xf numFmtId="44" fontId="14" fillId="2" borderId="49" xfId="1" applyFont="1" applyFill="1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164" fontId="14" fillId="0" borderId="1" xfId="0" applyNumberFormat="1" applyFont="1" applyBorder="1" applyAlignment="1" applyProtection="1">
      <alignment horizontal="center"/>
      <protection locked="0"/>
    </xf>
    <xf numFmtId="164" fontId="14" fillId="0" borderId="25" xfId="0" applyNumberFormat="1" applyFont="1" applyBorder="1" applyAlignment="1" applyProtection="1">
      <alignment horizontal="center"/>
      <protection locked="0"/>
    </xf>
    <xf numFmtId="164" fontId="14" fillId="0" borderId="26" xfId="0" applyNumberFormat="1" applyFont="1" applyBorder="1" applyAlignment="1" applyProtection="1">
      <alignment horizontal="center"/>
      <protection locked="0"/>
    </xf>
    <xf numFmtId="164" fontId="14" fillId="8" borderId="1" xfId="1" applyNumberFormat="1" applyFont="1" applyFill="1" applyBorder="1" applyAlignment="1" applyProtection="1">
      <alignment horizontal="center" vertical="center"/>
    </xf>
    <xf numFmtId="164" fontId="14" fillId="0" borderId="2" xfId="0" applyNumberFormat="1" applyFont="1" applyBorder="1" applyAlignment="1" applyProtection="1">
      <alignment horizontal="center"/>
      <protection locked="0"/>
    </xf>
    <xf numFmtId="164" fontId="14" fillId="0" borderId="3" xfId="0" applyNumberFormat="1" applyFont="1" applyBorder="1" applyAlignment="1" applyProtection="1">
      <alignment horizontal="center"/>
      <protection locked="0"/>
    </xf>
    <xf numFmtId="164" fontId="14" fillId="0" borderId="27" xfId="0" applyNumberFormat="1" applyFont="1" applyBorder="1" applyAlignment="1" applyProtection="1">
      <alignment horizontal="center"/>
      <protection locked="0"/>
    </xf>
    <xf numFmtId="164" fontId="14" fillId="0" borderId="28" xfId="0" applyNumberFormat="1" applyFont="1" applyBorder="1" applyAlignment="1" applyProtection="1">
      <alignment horizontal="center"/>
      <protection locked="0"/>
    </xf>
    <xf numFmtId="0" fontId="31" fillId="2" borderId="0" xfId="2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22" fillId="4" borderId="10" xfId="0" applyFont="1" applyFill="1" applyBorder="1" applyAlignment="1">
      <alignment horizontal="center"/>
    </xf>
    <xf numFmtId="0" fontId="22" fillId="4" borderId="11" xfId="0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5" fillId="0" borderId="9" xfId="0" applyFont="1" applyBorder="1"/>
  </cellXfs>
  <cellStyles count="6">
    <cellStyle name="Comma" xfId="3" builtinId="3"/>
    <cellStyle name="Currency" xfId="1" builtinId="4"/>
    <cellStyle name="Heading 1" xfId="5" builtinId="16" customBuiltin="1"/>
    <cellStyle name="Hyperlink" xfId="4" builtinId="8"/>
    <cellStyle name="Normal" xfId="0" builtinId="0"/>
    <cellStyle name="Normal 3" xfId="2" xr:uid="{F9E23A2B-BDBB-45CB-BE19-B54CA8A411C5}"/>
  </cellStyles>
  <dxfs count="0"/>
  <tableStyles count="0" defaultTableStyle="TableStyleMedium2" defaultPivotStyle="PivotStyleLight16"/>
  <colors>
    <mruColors>
      <color rgb="FFDCE6F1"/>
      <color rgb="FFE2EFDA"/>
      <color rgb="FF000000"/>
      <color rgb="FF9DBEE7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Estimated Lifetime Cost of Breaker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'NPV Analysis'!$Z$2</c:f>
              <c:strCache>
                <c:ptCount val="1"/>
                <c:pt idx="0">
                  <c:v>VCB</c:v>
                </c:pt>
              </c:strCache>
            </c:strRef>
          </c:tx>
          <c:spPr>
            <a:ln w="28575" cap="rnd">
              <a:solidFill>
                <a:srgbClr val="1F497D"/>
              </a:solidFill>
              <a:round/>
            </a:ln>
            <a:effectLst/>
          </c:spPr>
          <c:marker>
            <c:symbol val="none"/>
          </c:marker>
          <c:cat>
            <c:strRef>
              <c:f>'NPV Analysis'!$Y$3:$Y$52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'NPV Analysis'!$Z$3:$Z$52</c:f>
              <c:numCache>
                <c:formatCode>_("$"* #,##0.00_);_("$"* \(#,##0.00\);_("$"* "-"??_);_(@_)</c:formatCode>
                <c:ptCount val="50"/>
                <c:pt idx="0">
                  <c:v>3383000</c:v>
                </c:pt>
                <c:pt idx="1">
                  <c:v>3393679.6116504855</c:v>
                </c:pt>
                <c:pt idx="2">
                  <c:v>3404048.166650957</c:v>
                </c:pt>
                <c:pt idx="3">
                  <c:v>3414114.7249038415</c:v>
                </c:pt>
                <c:pt idx="4">
                  <c:v>3423888.082430914</c:v>
                </c:pt>
                <c:pt idx="5">
                  <c:v>3433376.77905914</c:v>
                </c:pt>
                <c:pt idx="6">
                  <c:v>3442589.10588266</c:v>
                </c:pt>
                <c:pt idx="7">
                  <c:v>3451533.1125074369</c:v>
                </c:pt>
                <c:pt idx="8">
                  <c:v>3460216.6140848901</c:v>
                </c:pt>
                <c:pt idx="9">
                  <c:v>3472479.2818023884</c:v>
                </c:pt>
                <c:pt idx="10">
                  <c:v>3480664.3148662522</c:v>
                </c:pt>
                <c:pt idx="11">
                  <c:v>3488610.9489088384</c:v>
                </c:pt>
                <c:pt idx="12">
                  <c:v>3496326.1275909613</c:v>
                </c:pt>
                <c:pt idx="13">
                  <c:v>3520840.3758307155</c:v>
                </c:pt>
                <c:pt idx="14">
                  <c:v>3528112.6716947202</c:v>
                </c:pt>
                <c:pt idx="15">
                  <c:v>3535173.1531160842</c:v>
                </c:pt>
                <c:pt idx="16">
                  <c:v>3542027.9894475052</c:v>
                </c:pt>
                <c:pt idx="17">
                  <c:v>3548683.1703517977</c:v>
                </c:pt>
                <c:pt idx="18">
                  <c:v>3555144.5110355769</c:v>
                </c:pt>
                <c:pt idx="19">
                  <c:v>3564269.0874645677</c:v>
                </c:pt>
                <c:pt idx="20">
                  <c:v>3570359.5207606172</c:v>
                </c:pt>
                <c:pt idx="21">
                  <c:v>3576272.5627956167</c:v>
                </c:pt>
                <c:pt idx="22">
                  <c:v>3582013.3803053251</c:v>
                </c:pt>
                <c:pt idx="23">
                  <c:v>3587586.9895380517</c:v>
                </c:pt>
                <c:pt idx="24">
                  <c:v>3592998.2606377862</c:v>
                </c:pt>
                <c:pt idx="25">
                  <c:v>3598251.9218996647</c:v>
                </c:pt>
                <c:pt idx="26">
                  <c:v>3603352.5639014882</c:v>
                </c:pt>
                <c:pt idx="27">
                  <c:v>3619559.3699090476</c:v>
                </c:pt>
                <c:pt idx="28">
                  <c:v>3624367.2141939225</c:v>
                </c:pt>
                <c:pt idx="29">
                  <c:v>3631156.7559907446</c:v>
                </c:pt>
                <c:pt idx="30">
                  <c:v>3635688.6103454195</c:v>
                </c:pt>
                <c:pt idx="31">
                  <c:v>3640088.4689421915</c:v>
                </c:pt>
                <c:pt idx="32">
                  <c:v>3644360.1763176979</c:v>
                </c:pt>
                <c:pt idx="33">
                  <c:v>3648507.4650317822</c:v>
                </c:pt>
                <c:pt idx="34">
                  <c:v>3652533.9589289511</c:v>
                </c:pt>
                <c:pt idx="35">
                  <c:v>3656443.1763048433</c:v>
                </c:pt>
                <c:pt idx="36">
                  <c:v>3660238.5329804667</c:v>
                </c:pt>
                <c:pt idx="37">
                  <c:v>3663923.3452868974</c:v>
                </c:pt>
                <c:pt idx="38">
                  <c:v>3667500.8329630438</c:v>
                </c:pt>
                <c:pt idx="39">
                  <c:v>3685183.0315388772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B-4BAA-BF21-197BEC5F85F2}"/>
            </c:ext>
          </c:extLst>
        </c:ser>
        <c:ser>
          <c:idx val="1"/>
          <c:order val="1"/>
          <c:tx>
            <c:strRef>
              <c:f>'NPV Analysis'!$AA$2</c:f>
              <c:strCache>
                <c:ptCount val="1"/>
                <c:pt idx="0">
                  <c:v>SF6 GCB with no Tank Heater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'NPV Analysis'!$Y$3:$Y$52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'NPV Analysis'!$AA$3:$AA$52</c:f>
              <c:numCache>
                <c:formatCode>_("$"* #,##0.00_);_("$"* \(#,##0.00\);_("$"* "-"??_);_(@_)</c:formatCode>
                <c:ptCount val="50"/>
                <c:pt idx="0">
                  <c:v>1710029.9920000001</c:v>
                </c:pt>
                <c:pt idx="1">
                  <c:v>1789670.760932039</c:v>
                </c:pt>
                <c:pt idx="2">
                  <c:v>1866991.8958175136</c:v>
                </c:pt>
                <c:pt idx="3">
                  <c:v>1942060.9588131199</c:v>
                </c:pt>
                <c:pt idx="4">
                  <c:v>2054925.4614019536</c:v>
                </c:pt>
                <c:pt idx="5">
                  <c:v>2125685.2530841161</c:v>
                </c:pt>
                <c:pt idx="6">
                  <c:v>2194384.0799600021</c:v>
                </c:pt>
                <c:pt idx="7">
                  <c:v>2261081.9701307653</c:v>
                </c:pt>
                <c:pt idx="8">
                  <c:v>2325837.2033062638</c:v>
                </c:pt>
                <c:pt idx="9">
                  <c:v>2427027.1983462591</c:v>
                </c:pt>
                <c:pt idx="10">
                  <c:v>2488065.2162324861</c:v>
                </c:pt>
                <c:pt idx="11">
                  <c:v>2547325.4277725122</c:v>
                </c:pt>
                <c:pt idx="12">
                  <c:v>2604859.6137337028</c:v>
                </c:pt>
                <c:pt idx="13">
                  <c:v>2660718.0467057326</c:v>
                </c:pt>
                <c:pt idx="14">
                  <c:v>2744699.8362899292</c:v>
                </c:pt>
                <c:pt idx="15">
                  <c:v>2797351.7666999865</c:v>
                </c:pt>
                <c:pt idx="16">
                  <c:v>2848470.1457388769</c:v>
                </c:pt>
                <c:pt idx="17">
                  <c:v>2898099.6399513921</c:v>
                </c:pt>
                <c:pt idx="18">
                  <c:v>2946283.6149149989</c:v>
                </c:pt>
                <c:pt idx="19">
                  <c:v>3021578.474472689</c:v>
                </c:pt>
                <c:pt idx="20">
                  <c:v>3066996.4921591878</c:v>
                </c:pt>
                <c:pt idx="21">
                  <c:v>3111091.6549616139</c:v>
                </c:pt>
                <c:pt idx="22">
                  <c:v>3153902.4926338722</c:v>
                </c:pt>
                <c:pt idx="23">
                  <c:v>3195466.4127040259</c:v>
                </c:pt>
                <c:pt idx="24">
                  <c:v>3257956.751295764</c:v>
                </c:pt>
                <c:pt idx="25">
                  <c:v>3297134.7323214533</c:v>
                </c:pt>
                <c:pt idx="26">
                  <c:v>3335171.6071036761</c:v>
                </c:pt>
                <c:pt idx="27">
                  <c:v>3372100.6117466106</c:v>
                </c:pt>
                <c:pt idx="28">
                  <c:v>3407954.0143125667</c:v>
                </c:pt>
                <c:pt idx="29">
                  <c:v>3463980.4611324477</c:v>
                </c:pt>
                <c:pt idx="30">
                  <c:v>3497775.7317196433</c:v>
                </c:pt>
                <c:pt idx="31">
                  <c:v>3530586.6740373094</c:v>
                </c:pt>
                <c:pt idx="32">
                  <c:v>3562441.9578408683</c:v>
                </c:pt>
                <c:pt idx="33">
                  <c:v>3593369.4178443234</c:v>
                </c:pt>
                <c:pt idx="34">
                  <c:v>3639868.0985302716</c:v>
                </c:pt>
                <c:pt idx="35">
                  <c:v>3669020.1958094263</c:v>
                </c:pt>
                <c:pt idx="36">
                  <c:v>3697323.2028765669</c:v>
                </c:pt>
                <c:pt idx="37">
                  <c:v>3724801.8505145675</c:v>
                </c:pt>
                <c:pt idx="38">
                  <c:v>3751480.1491922378</c:v>
                </c:pt>
                <c:pt idx="39">
                  <c:v>3805799.2291840771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EB-4BAA-BF21-197BEC5F85F2}"/>
            </c:ext>
          </c:extLst>
        </c:ser>
        <c:ser>
          <c:idx val="2"/>
          <c:order val="2"/>
          <c:tx>
            <c:strRef>
              <c:f>'NPV Analysis'!$AB$2</c:f>
              <c:strCache>
                <c:ptCount val="1"/>
                <c:pt idx="0">
                  <c:v>SF6 GCB with Tank Heater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'NPV Analysis'!$Y$3:$Y$52</c:f>
              <c:strCach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strCache>
            </c:strRef>
          </c:cat>
          <c:val>
            <c:numRef>
              <c:f>'NPV Analysis'!$AB$3:$AB$52</c:f>
              <c:numCache>
                <c:formatCode>_("$"* #,##0.00_);_("$"* \(#,##0.00\);_("$"* "-"??_);_(@_)</c:formatCode>
                <c:ptCount val="50"/>
                <c:pt idx="0">
                  <c:v>1710029.9920000001</c:v>
                </c:pt>
                <c:pt idx="1">
                  <c:v>1789670.760932039</c:v>
                </c:pt>
                <c:pt idx="2">
                  <c:v>1866991.8958175136</c:v>
                </c:pt>
                <c:pt idx="3">
                  <c:v>1942060.9588131199</c:v>
                </c:pt>
                <c:pt idx="4">
                  <c:v>2054925.4614019536</c:v>
                </c:pt>
                <c:pt idx="5">
                  <c:v>2125685.2530841161</c:v>
                </c:pt>
                <c:pt idx="6">
                  <c:v>2194384.0799600021</c:v>
                </c:pt>
                <c:pt idx="7">
                  <c:v>2261081.9701307653</c:v>
                </c:pt>
                <c:pt idx="8">
                  <c:v>2325837.2033062638</c:v>
                </c:pt>
                <c:pt idx="9">
                  <c:v>2427027.1983462591</c:v>
                </c:pt>
                <c:pt idx="10">
                  <c:v>2488065.2162324861</c:v>
                </c:pt>
                <c:pt idx="11">
                  <c:v>2547325.4277725122</c:v>
                </c:pt>
                <c:pt idx="12">
                  <c:v>2604859.6137337028</c:v>
                </c:pt>
                <c:pt idx="13">
                  <c:v>2660718.0467057326</c:v>
                </c:pt>
                <c:pt idx="14">
                  <c:v>2744699.8362899292</c:v>
                </c:pt>
                <c:pt idx="15">
                  <c:v>2797351.7666999865</c:v>
                </c:pt>
                <c:pt idx="16">
                  <c:v>2848470.1457388769</c:v>
                </c:pt>
                <c:pt idx="17">
                  <c:v>2898099.6399513921</c:v>
                </c:pt>
                <c:pt idx="18">
                  <c:v>2946283.6149149989</c:v>
                </c:pt>
                <c:pt idx="19">
                  <c:v>3021578.474472689</c:v>
                </c:pt>
                <c:pt idx="20">
                  <c:v>3066996.4921591878</c:v>
                </c:pt>
                <c:pt idx="21">
                  <c:v>3111091.6549616139</c:v>
                </c:pt>
                <c:pt idx="22">
                  <c:v>3153902.4926338722</c:v>
                </c:pt>
                <c:pt idx="23">
                  <c:v>3195466.4127040259</c:v>
                </c:pt>
                <c:pt idx="24">
                  <c:v>3257956.751295764</c:v>
                </c:pt>
                <c:pt idx="25">
                  <c:v>3297134.7323214533</c:v>
                </c:pt>
                <c:pt idx="26">
                  <c:v>3335171.6071036761</c:v>
                </c:pt>
                <c:pt idx="27">
                  <c:v>3372100.6117466106</c:v>
                </c:pt>
                <c:pt idx="28">
                  <c:v>3407954.0143125667</c:v>
                </c:pt>
                <c:pt idx="29">
                  <c:v>3463980.4611324477</c:v>
                </c:pt>
                <c:pt idx="30">
                  <c:v>3497775.7317196433</c:v>
                </c:pt>
                <c:pt idx="31">
                  <c:v>3530586.6740373094</c:v>
                </c:pt>
                <c:pt idx="32">
                  <c:v>3562441.9578408683</c:v>
                </c:pt>
                <c:pt idx="33">
                  <c:v>3593369.4178443234</c:v>
                </c:pt>
                <c:pt idx="34">
                  <c:v>3639868.0985302716</c:v>
                </c:pt>
                <c:pt idx="35">
                  <c:v>3669020.1958094263</c:v>
                </c:pt>
                <c:pt idx="36">
                  <c:v>3697323.2028765669</c:v>
                </c:pt>
                <c:pt idx="37">
                  <c:v>3724801.8505145675</c:v>
                </c:pt>
                <c:pt idx="38">
                  <c:v>3751480.1491922378</c:v>
                </c:pt>
                <c:pt idx="39">
                  <c:v>3818429.3710239576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EB-4BAA-BF21-197BEC5F8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650287"/>
        <c:axId val="243183279"/>
      </c:lineChart>
      <c:catAx>
        <c:axId val="37165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43183279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43183279"/>
        <c:scaling>
          <c:orientation val="minMax"/>
        </c:scaling>
        <c:delete val="0"/>
        <c:axPos val="l"/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71650287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Estimated Annualized Cost of Breaker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RESULTS!$B$15</c:f>
              <c:strCache>
                <c:ptCount val="1"/>
                <c:pt idx="0">
                  <c:v>VCB</c:v>
                </c:pt>
              </c:strCache>
            </c:strRef>
          </c:tx>
          <c:spPr>
            <a:solidFill>
              <a:srgbClr val="1F497D"/>
            </a:solidFill>
            <a:ln>
              <a:solidFill>
                <a:srgbClr val="1F497D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RESULTS!$A$16:$A$19</c15:sqref>
                  </c15:fullRef>
                </c:ext>
              </c:extLst>
              <c:f>(RESULTS!$A$17,RESULTS!$A$19)</c:f>
              <c:strCache>
                <c:ptCount val="2"/>
                <c:pt idx="0">
                  <c:v>Average Annual Undiscounted Cost</c:v>
                </c:pt>
                <c:pt idx="1">
                  <c:v>Average Annual Discounted Cost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RESULTS!$B$16:$B$19</c15:sqref>
                  </c15:fullRef>
                </c:ext>
              </c:extLst>
              <c:f>(RESULTS!$B$17,RESULTS!$B$19)</c:f>
              <c:numCache>
                <c:formatCode>"$"#,##0</c:formatCode>
                <c:ptCount val="2"/>
                <c:pt idx="0">
                  <c:v>98675</c:v>
                </c:pt>
                <c:pt idx="1">
                  <c:v>92129.575788471935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9-41E3-8E13-F76D8EB5DB6E}"/>
            </c:ext>
          </c:extLst>
        </c:ser>
        <c:ser>
          <c:idx val="1"/>
          <c:order val="1"/>
          <c:tx>
            <c:strRef>
              <c:f>RESULTS!$C$15</c:f>
              <c:strCache>
                <c:ptCount val="1"/>
                <c:pt idx="0">
                  <c:v>SF6 GCB no Tank Heater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RESULTS!$A$16:$A$19</c15:sqref>
                  </c15:fullRef>
                </c:ext>
              </c:extLst>
              <c:f>(RESULTS!$A$17,RESULTS!$A$19)</c:f>
              <c:strCache>
                <c:ptCount val="2"/>
                <c:pt idx="0">
                  <c:v>Average Annual Undiscounted Cost</c:v>
                </c:pt>
                <c:pt idx="1">
                  <c:v>Average Annual Discounted Cost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RESULTS!$C$16:$C$19</c15:sqref>
                  </c15:fullRef>
                </c:ext>
              </c:extLst>
              <c:f>(RESULTS!$C$17,RESULTS!$C$19)</c:f>
              <c:numCache>
                <c:formatCode>"$"#,##0</c:formatCode>
                <c:ptCount val="2"/>
                <c:pt idx="0">
                  <c:v>133229.992</c:v>
                </c:pt>
                <c:pt idx="1">
                  <c:v>95144.980729601928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9-41E3-8E13-F76D8EB5DB6E}"/>
            </c:ext>
          </c:extLst>
        </c:ser>
        <c:ser>
          <c:idx val="2"/>
          <c:order val="2"/>
          <c:tx>
            <c:strRef>
              <c:f>RESULTS!$D$15</c:f>
              <c:strCache>
                <c:ptCount val="1"/>
                <c:pt idx="0">
                  <c:v>SF6 GCB with Tank Heater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RESULTS!$A$16:$A$19</c15:sqref>
                  </c15:fullRef>
                </c:ext>
              </c:extLst>
              <c:f>(RESULTS!$A$17,RESULTS!$A$19)</c:f>
              <c:strCache>
                <c:ptCount val="2"/>
                <c:pt idx="0">
                  <c:v>Average Annual Undiscounted Cost</c:v>
                </c:pt>
                <c:pt idx="1">
                  <c:v>Average Annual Discounted Cost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RESULTS!$D$16:$D$19</c15:sqref>
                  </c15:fullRef>
                </c:ext>
              </c:extLst>
              <c:f>(RESULTS!$D$17,RESULTS!$D$19)</c:f>
              <c:numCache>
                <c:formatCode>"$"#,##0</c:formatCode>
                <c:ptCount val="2"/>
                <c:pt idx="0">
                  <c:v>134229.992</c:v>
                </c:pt>
                <c:pt idx="1">
                  <c:v>95460.734275598938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9-41E3-8E13-F76D8EB5DB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857184"/>
        <c:axId val="245467279"/>
      </c:barChart>
      <c:catAx>
        <c:axId val="98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45467279"/>
        <c:crosses val="autoZero"/>
        <c:auto val="1"/>
        <c:lblAlgn val="ctr"/>
        <c:lblOffset val="100"/>
        <c:noMultiLvlLbl val="0"/>
      </c:catAx>
      <c:valAx>
        <c:axId val="245467279"/>
        <c:scaling>
          <c:orientation val="minMax"/>
        </c:scaling>
        <c:delete val="0"/>
        <c:axPos val="l"/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85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5358326740327897"/>
          <c:y val="0.89127479641925966"/>
          <c:w val="0.55201216100847261"/>
          <c:h val="8.3242509246189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RESULTS!A1"/><Relationship Id="rId3" Type="http://schemas.openxmlformats.org/officeDocument/2006/relationships/hyperlink" Target="#'2. Annual Cost'!A1"/><Relationship Id="rId7" Type="http://schemas.openxmlformats.org/officeDocument/2006/relationships/hyperlink" Target="#'5.&#160;Replacement or Overhaul Cost'!A1"/><Relationship Id="rId2" Type="http://schemas.openxmlformats.org/officeDocument/2006/relationships/hyperlink" Target="#'Definitions and Acronyms'!A1"/><Relationship Id="rId1" Type="http://schemas.openxmlformats.org/officeDocument/2006/relationships/image" Target="../media/image1.jpeg"/><Relationship Id="rId6" Type="http://schemas.openxmlformats.org/officeDocument/2006/relationships/hyperlink" Target="#'4. Periodic Inspection '!A1"/><Relationship Id="rId5" Type="http://schemas.openxmlformats.org/officeDocument/2006/relationships/hyperlink" Target="#'3. Routine Inspection'!A1"/><Relationship Id="rId4" Type="http://schemas.openxmlformats.org/officeDocument/2006/relationships/hyperlink" Target="#'1. Initial Cost'!A1"/><Relationship Id="rId9" Type="http://schemas.openxmlformats.org/officeDocument/2006/relationships/hyperlink" Target="#'0. Assumption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1548398</xdr:colOff>
      <xdr:row>0</xdr:row>
      <xdr:rowOff>42386</xdr:rowOff>
    </xdr:from>
    <xdr:to>
      <xdr:col>5</xdr:col>
      <xdr:colOff>1446371</xdr:colOff>
      <xdr:row>6</xdr:row>
      <xdr:rowOff>26230</xdr:rowOff>
    </xdr:to>
    <xdr:pic>
      <xdr:nvPicPr>
        <xdr:cNvPr id="7" name="Picture 6" descr="SF6 Emission Reduction Partnership for Electric Power Systems logo, with a white transmission system and blue background.">
          <a:extLst>
            <a:ext uri="{FF2B5EF4-FFF2-40B4-BE49-F238E27FC236}">
              <a16:creationId xmlns:a16="http://schemas.microsoft.com/office/drawing/2014/main" id="{57EB2214-BD71-4F08-9E15-A9856E774FAC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3492" y="42386"/>
          <a:ext cx="1791067" cy="1252574"/>
        </a:xfrm>
        <a:prstGeom prst="rect">
          <a:avLst/>
        </a:prstGeom>
      </xdr:spPr>
    </xdr:pic>
    <xdr:clientData/>
  </xdr:twoCellAnchor>
  <xdr:twoCellAnchor>
    <xdr:from>
      <xdr:col>0</xdr:col>
      <xdr:colOff>46144</xdr:colOff>
      <xdr:row>17</xdr:row>
      <xdr:rowOff>76909</xdr:rowOff>
    </xdr:from>
    <xdr:to>
      <xdr:col>1</xdr:col>
      <xdr:colOff>609601</xdr:colOff>
      <xdr:row>19</xdr:row>
      <xdr:rowOff>159451</xdr:rowOff>
    </xdr:to>
    <xdr:sp macro="" textlink="">
      <xdr:nvSpPr>
        <xdr:cNvPr id="10" name="Chevro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DA124AF-EED5-4E0D-8B1C-504636F4FECE}"/>
            </a:ext>
          </a:extLst>
        </xdr:cNvPr>
        <xdr:cNvSpPr/>
      </xdr:nvSpPr>
      <xdr:spPr bwMode="auto">
        <a:xfrm>
          <a:off x="46144" y="2721497"/>
          <a:ext cx="1459928" cy="418719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Definitions/Acronyms</a:t>
          </a:r>
        </a:p>
      </xdr:txBody>
    </xdr:sp>
    <xdr:clientData/>
  </xdr:twoCellAnchor>
  <xdr:twoCellAnchor>
    <xdr:from>
      <xdr:col>2</xdr:col>
      <xdr:colOff>130180</xdr:colOff>
      <xdr:row>17</xdr:row>
      <xdr:rowOff>76547</xdr:rowOff>
    </xdr:from>
    <xdr:to>
      <xdr:col>3</xdr:col>
      <xdr:colOff>11619</xdr:colOff>
      <xdr:row>19</xdr:row>
      <xdr:rowOff>164804</xdr:rowOff>
    </xdr:to>
    <xdr:sp macro="" textlink="">
      <xdr:nvSpPr>
        <xdr:cNvPr id="12" name="Chevro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6F76C1C-2688-47D3-B68D-7E91432D9372}"/>
            </a:ext>
          </a:extLst>
        </xdr:cNvPr>
        <xdr:cNvSpPr/>
      </xdr:nvSpPr>
      <xdr:spPr bwMode="auto">
        <a:xfrm>
          <a:off x="3626415" y="2721135"/>
          <a:ext cx="1315792" cy="424434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Annual </a:t>
          </a:r>
          <a:b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Cost</a:t>
          </a:r>
        </a:p>
      </xdr:txBody>
    </xdr:sp>
    <xdr:clientData/>
  </xdr:twoCellAnchor>
  <xdr:twoCellAnchor>
    <xdr:from>
      <xdr:col>1</xdr:col>
      <xdr:colOff>1580079</xdr:colOff>
      <xdr:row>17</xdr:row>
      <xdr:rowOff>65841</xdr:rowOff>
    </xdr:from>
    <xdr:to>
      <xdr:col>2</xdr:col>
      <xdr:colOff>289896</xdr:colOff>
      <xdr:row>19</xdr:row>
      <xdr:rowOff>152193</xdr:rowOff>
    </xdr:to>
    <xdr:sp macro="" textlink="">
      <xdr:nvSpPr>
        <xdr:cNvPr id="13" name="Chevron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A27448-C29F-4AA0-9F91-3E4E8351200B}"/>
            </a:ext>
          </a:extLst>
        </xdr:cNvPr>
        <xdr:cNvSpPr/>
      </xdr:nvSpPr>
      <xdr:spPr bwMode="auto">
        <a:xfrm>
          <a:off x="2476550" y="2710429"/>
          <a:ext cx="1309581" cy="422529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</a:t>
          </a:r>
          <a: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br>
            <a:rPr lang="en-US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Cost</a:t>
          </a:r>
        </a:p>
      </xdr:txBody>
    </xdr:sp>
    <xdr:clientData/>
  </xdr:twoCellAnchor>
  <xdr:twoCellAnchor>
    <xdr:from>
      <xdr:col>2</xdr:col>
      <xdr:colOff>1310573</xdr:colOff>
      <xdr:row>17</xdr:row>
      <xdr:rowOff>87581</xdr:rowOff>
    </xdr:from>
    <xdr:to>
      <xdr:col>3</xdr:col>
      <xdr:colOff>1364970</xdr:colOff>
      <xdr:row>20</xdr:row>
      <xdr:rowOff>0</xdr:rowOff>
    </xdr:to>
    <xdr:sp macro="" textlink="">
      <xdr:nvSpPr>
        <xdr:cNvPr id="14" name="Chevron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405B169-FE39-4376-83EC-9DA13569B279}"/>
            </a:ext>
          </a:extLst>
        </xdr:cNvPr>
        <xdr:cNvSpPr/>
      </xdr:nvSpPr>
      <xdr:spPr bwMode="auto">
        <a:xfrm>
          <a:off x="4866573" y="2821816"/>
          <a:ext cx="1518632" cy="461862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Routine Inspection</a:t>
          </a:r>
        </a:p>
      </xdr:txBody>
    </xdr:sp>
    <xdr:clientData/>
  </xdr:twoCellAnchor>
  <xdr:twoCellAnchor>
    <xdr:from>
      <xdr:col>3</xdr:col>
      <xdr:colOff>1188557</xdr:colOff>
      <xdr:row>17</xdr:row>
      <xdr:rowOff>89520</xdr:rowOff>
    </xdr:from>
    <xdr:to>
      <xdr:col>4</xdr:col>
      <xdr:colOff>1126787</xdr:colOff>
      <xdr:row>20</xdr:row>
      <xdr:rowOff>0</xdr:rowOff>
    </xdr:to>
    <xdr:sp macro="" textlink="">
      <xdr:nvSpPr>
        <xdr:cNvPr id="15" name="Chevron 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6D891C-8AEB-4204-9942-248DDF7EF90A}"/>
            </a:ext>
          </a:extLst>
        </xdr:cNvPr>
        <xdr:cNvSpPr/>
      </xdr:nvSpPr>
      <xdr:spPr bwMode="auto">
        <a:xfrm>
          <a:off x="6119145" y="2734108"/>
          <a:ext cx="1495848" cy="428244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Periodic Inspection</a:t>
          </a:r>
        </a:p>
      </xdr:txBody>
    </xdr:sp>
    <xdr:clientData/>
  </xdr:twoCellAnchor>
  <xdr:twoCellAnchor>
    <xdr:from>
      <xdr:col>4</xdr:col>
      <xdr:colOff>970881</xdr:colOff>
      <xdr:row>17</xdr:row>
      <xdr:rowOff>82081</xdr:rowOff>
    </xdr:from>
    <xdr:to>
      <xdr:col>5</xdr:col>
      <xdr:colOff>746676</xdr:colOff>
      <xdr:row>20</xdr:row>
      <xdr:rowOff>0</xdr:rowOff>
    </xdr:to>
    <xdr:sp macro="" textlink="">
      <xdr:nvSpPr>
        <xdr:cNvPr id="16" name="Chevron 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7985258-C1FE-406B-BD74-413745676EF2}"/>
            </a:ext>
          </a:extLst>
        </xdr:cNvPr>
        <xdr:cNvSpPr/>
      </xdr:nvSpPr>
      <xdr:spPr bwMode="auto">
        <a:xfrm>
          <a:off x="7459087" y="2726669"/>
          <a:ext cx="1669589" cy="426339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Replacement Cost</a:t>
          </a:r>
        </a:p>
      </xdr:txBody>
    </xdr:sp>
    <xdr:clientData/>
  </xdr:twoCellAnchor>
  <xdr:twoCellAnchor>
    <xdr:from>
      <xdr:col>5</xdr:col>
      <xdr:colOff>586963</xdr:colOff>
      <xdr:row>17</xdr:row>
      <xdr:rowOff>76728</xdr:rowOff>
    </xdr:from>
    <xdr:to>
      <xdr:col>5</xdr:col>
      <xdr:colOff>1768711</xdr:colOff>
      <xdr:row>19</xdr:row>
      <xdr:rowOff>159270</xdr:rowOff>
    </xdr:to>
    <xdr:sp macro="" textlink="">
      <xdr:nvSpPr>
        <xdr:cNvPr id="18" name="Chevron 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DDE8846-E530-4C9A-A94E-BD2689B0C095}"/>
            </a:ext>
          </a:extLst>
        </xdr:cNvPr>
        <xdr:cNvSpPr/>
      </xdr:nvSpPr>
      <xdr:spPr bwMode="auto">
        <a:xfrm>
          <a:off x="8968963" y="2721316"/>
          <a:ext cx="1181748" cy="418719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RESULTS</a:t>
          </a:r>
        </a:p>
      </xdr:txBody>
    </xdr:sp>
    <xdr:clientData/>
  </xdr:twoCellAnchor>
  <xdr:twoCellAnchor>
    <xdr:from>
      <xdr:col>1</xdr:col>
      <xdr:colOff>453695</xdr:colOff>
      <xdr:row>17</xdr:row>
      <xdr:rowOff>69470</xdr:rowOff>
    </xdr:from>
    <xdr:to>
      <xdr:col>1</xdr:col>
      <xdr:colOff>1732175</xdr:colOff>
      <xdr:row>19</xdr:row>
      <xdr:rowOff>159632</xdr:rowOff>
    </xdr:to>
    <xdr:sp macro="" textlink="">
      <xdr:nvSpPr>
        <xdr:cNvPr id="17" name="Chevron 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855F3F8-A971-42E8-92FD-7D0B821FB9E9}"/>
            </a:ext>
          </a:extLst>
        </xdr:cNvPr>
        <xdr:cNvSpPr/>
      </xdr:nvSpPr>
      <xdr:spPr bwMode="auto">
        <a:xfrm>
          <a:off x="1350166" y="2714058"/>
          <a:ext cx="1278480" cy="426339"/>
        </a:xfrm>
        <a:prstGeom prst="chevron">
          <a:avLst/>
        </a:prstGeom>
        <a:solidFill>
          <a:srgbClr val="9DBEE7"/>
        </a:solidFill>
        <a:ln w="38100" cap="flat" cmpd="sng" algn="ctr">
          <a:noFill/>
          <a:prstDash val="solid"/>
          <a:round/>
          <a:headEnd type="none" w="med" len="med"/>
          <a:tailEnd type="none" w="med" len="med"/>
        </a:ln>
        <a:effectLst/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9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Assumptions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30</xdr:row>
      <xdr:rowOff>91861</xdr:rowOff>
    </xdr:from>
    <xdr:to>
      <xdr:col>4</xdr:col>
      <xdr:colOff>133351</xdr:colOff>
      <xdr:row>46</xdr:row>
      <xdr:rowOff>152400</xdr:rowOff>
    </xdr:to>
    <xdr:graphicFrame macro="">
      <xdr:nvGraphicFramePr>
        <xdr:cNvPr id="5" name="Chart 1" descr="This graph shows the cost over the breaker over its lifetime. The line graph shows years on the x-axis and the cost on the y-axis. ">
          <a:extLst>
            <a:ext uri="{FF2B5EF4-FFF2-40B4-BE49-F238E27FC236}">
              <a16:creationId xmlns:a16="http://schemas.microsoft.com/office/drawing/2014/main" id="{1B1A2179-DE5F-4443-94B2-069A9EE70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126364</xdr:rowOff>
    </xdr:from>
    <xdr:to>
      <xdr:col>4</xdr:col>
      <xdr:colOff>116416</xdr:colOff>
      <xdr:row>65</xdr:row>
      <xdr:rowOff>63500</xdr:rowOff>
    </xdr:to>
    <xdr:graphicFrame macro="">
      <xdr:nvGraphicFramePr>
        <xdr:cNvPr id="3" name="Chart 2" descr="This clustered bar chart shows the undiscounted and discounted annualized cost of each type of breaker. The y-axis shows cost while the x axis shows the average annual undiscounted cost and average annual discounted cost for VCBs, SF6 breakers without tank heaters and SF6 breakers with tank heaters. ">
          <a:extLst>
            <a:ext uri="{FF2B5EF4-FFF2-40B4-BE49-F238E27FC236}">
              <a16:creationId xmlns:a16="http://schemas.microsoft.com/office/drawing/2014/main" id="{089586F6-8E5A-4009-83D5-E94599739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epa.gov/energy/greenhouse-gases-equivalencies-calculator-calculations-and-referenc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C430-FEFD-4DE4-B9B6-65E60D4B9CFC}">
  <sheetPr codeName="Sheet1"/>
  <dimension ref="A1:F47"/>
  <sheetViews>
    <sheetView workbookViewId="0"/>
  </sheetViews>
  <sheetFormatPr defaultColWidth="8.7265625" defaultRowHeight="14" x14ac:dyDescent="0.3"/>
  <cols>
    <col min="1" max="1" width="20" style="8" customWidth="1"/>
    <col min="2" max="2" width="37.7265625" style="8" bestFit="1" customWidth="1"/>
    <col min="3" max="3" width="20.7265625" style="8" bestFit="1" customWidth="1"/>
    <col min="4" max="4" width="22.7265625" style="8" customWidth="1"/>
    <col min="5" max="5" width="27.7265625" style="8" bestFit="1" customWidth="1"/>
    <col min="6" max="6" width="30.453125" style="8" customWidth="1"/>
    <col min="7" max="16384" width="8.7265625" style="8"/>
  </cols>
  <sheetData>
    <row r="1" spans="1:6" ht="32.5" x14ac:dyDescent="0.85">
      <c r="A1" s="234" t="s">
        <v>0</v>
      </c>
      <c r="B1" s="179"/>
      <c r="C1" s="179"/>
      <c r="D1" s="179"/>
      <c r="E1" s="180"/>
      <c r="F1" s="181"/>
    </row>
    <row r="2" spans="1:6" ht="17.5" x14ac:dyDescent="0.3">
      <c r="A2" s="182" t="s">
        <v>1</v>
      </c>
      <c r="B2" s="54"/>
      <c r="C2" s="54"/>
      <c r="D2" s="54"/>
      <c r="E2" s="42"/>
      <c r="F2" s="183"/>
    </row>
    <row r="3" spans="1:6" ht="14.5" x14ac:dyDescent="0.35">
      <c r="A3" s="184"/>
      <c r="B3" s="17"/>
      <c r="C3" s="45"/>
      <c r="D3" s="43"/>
      <c r="E3" s="42"/>
      <c r="F3" s="183"/>
    </row>
    <row r="4" spans="1:6" x14ac:dyDescent="0.3">
      <c r="A4" s="185"/>
      <c r="B4" s="17"/>
      <c r="C4" s="45"/>
      <c r="D4" s="43"/>
      <c r="E4" s="42"/>
      <c r="F4" s="183"/>
    </row>
    <row r="5" spans="1:6" x14ac:dyDescent="0.3">
      <c r="A5" s="185"/>
      <c r="B5" s="17"/>
      <c r="C5" s="45"/>
      <c r="D5" s="43"/>
      <c r="E5" s="42"/>
      <c r="F5" s="183"/>
    </row>
    <row r="6" spans="1:6" ht="12" customHeight="1" x14ac:dyDescent="0.3">
      <c r="A6" s="185"/>
      <c r="B6" s="17"/>
      <c r="C6" s="46"/>
      <c r="D6" s="43"/>
      <c r="E6" s="42"/>
      <c r="F6" s="183"/>
    </row>
    <row r="7" spans="1:6" x14ac:dyDescent="0.3">
      <c r="A7" s="185"/>
      <c r="B7" s="17"/>
      <c r="C7" s="47"/>
      <c r="D7" s="43"/>
      <c r="E7" s="42"/>
      <c r="F7" s="186"/>
    </row>
    <row r="8" spans="1:6" ht="13.9" customHeight="1" x14ac:dyDescent="0.3">
      <c r="A8" s="187" t="s">
        <v>2</v>
      </c>
      <c r="B8" s="178"/>
      <c r="C8" s="178"/>
      <c r="D8" s="178"/>
      <c r="E8" s="178"/>
      <c r="F8" s="188"/>
    </row>
    <row r="9" spans="1:6" x14ac:dyDescent="0.3">
      <c r="A9" s="189" t="s">
        <v>3</v>
      </c>
      <c r="B9" s="174"/>
      <c r="C9" s="174"/>
      <c r="D9" s="174"/>
      <c r="E9" s="174"/>
      <c r="F9" s="190"/>
    </row>
    <row r="10" spans="1:6" x14ac:dyDescent="0.3">
      <c r="A10" s="189" t="s">
        <v>4</v>
      </c>
      <c r="B10" s="174"/>
      <c r="C10" s="174"/>
      <c r="D10" s="174"/>
      <c r="E10" s="174"/>
      <c r="F10" s="190"/>
    </row>
    <row r="11" spans="1:6" x14ac:dyDescent="0.3">
      <c r="A11" s="189" t="s">
        <v>5</v>
      </c>
      <c r="B11" s="174"/>
      <c r="C11" s="174"/>
      <c r="D11" s="174"/>
      <c r="E11" s="174"/>
      <c r="F11" s="190"/>
    </row>
    <row r="12" spans="1:6" x14ac:dyDescent="0.3">
      <c r="A12" s="189" t="s">
        <v>6</v>
      </c>
      <c r="B12" s="174"/>
      <c r="C12" s="174"/>
      <c r="D12" s="174"/>
      <c r="E12" s="174"/>
      <c r="F12" s="190"/>
    </row>
    <row r="13" spans="1:6" x14ac:dyDescent="0.3">
      <c r="A13" s="191"/>
      <c r="B13" s="174"/>
      <c r="C13" s="174"/>
      <c r="D13" s="174"/>
      <c r="E13" s="174"/>
      <c r="F13" s="190"/>
    </row>
    <row r="14" spans="1:6" x14ac:dyDescent="0.3">
      <c r="A14" s="189" t="s">
        <v>7</v>
      </c>
      <c r="B14" s="174"/>
      <c r="C14" s="174"/>
      <c r="D14" s="174"/>
      <c r="E14" s="174"/>
      <c r="F14" s="190"/>
    </row>
    <row r="15" spans="1:6" x14ac:dyDescent="0.3">
      <c r="A15" s="189" t="s">
        <v>8</v>
      </c>
      <c r="B15" s="174"/>
      <c r="C15" s="174"/>
      <c r="D15" s="174"/>
      <c r="E15" s="174"/>
      <c r="F15" s="190"/>
    </row>
    <row r="16" spans="1:6" x14ac:dyDescent="0.3">
      <c r="A16" s="189"/>
      <c r="B16" s="174"/>
      <c r="C16" s="174"/>
      <c r="D16" s="174"/>
      <c r="E16" s="174"/>
      <c r="F16" s="190"/>
    </row>
    <row r="17" spans="1:6" x14ac:dyDescent="0.3">
      <c r="A17" s="189" t="s">
        <v>9</v>
      </c>
      <c r="B17" s="17"/>
      <c r="C17" s="17"/>
      <c r="D17" s="17"/>
      <c r="E17" s="17"/>
      <c r="F17" s="192"/>
    </row>
    <row r="18" spans="1:6" x14ac:dyDescent="0.3">
      <c r="A18" s="193"/>
      <c r="B18" s="17"/>
      <c r="C18" s="17"/>
      <c r="D18" s="17"/>
      <c r="E18" s="17"/>
      <c r="F18" s="192"/>
    </row>
    <row r="19" spans="1:6" x14ac:dyDescent="0.3">
      <c r="A19" s="194"/>
      <c r="B19" s="17"/>
      <c r="C19" s="17"/>
      <c r="D19" s="17"/>
      <c r="E19" s="17"/>
      <c r="F19" s="192"/>
    </row>
    <row r="20" spans="1:6" x14ac:dyDescent="0.3">
      <c r="A20" s="193"/>
      <c r="B20" s="17"/>
      <c r="C20" s="17"/>
      <c r="D20" s="17"/>
      <c r="E20" s="17"/>
      <c r="F20" s="192"/>
    </row>
    <row r="21" spans="1:6" x14ac:dyDescent="0.3">
      <c r="A21" s="17"/>
      <c r="B21" s="17"/>
      <c r="C21" s="17"/>
      <c r="D21" s="17"/>
      <c r="E21" s="17"/>
      <c r="F21" s="192"/>
    </row>
    <row r="22" spans="1:6" x14ac:dyDescent="0.3">
      <c r="A22" s="233" t="s">
        <v>10</v>
      </c>
      <c r="B22" s="17"/>
      <c r="C22" s="17"/>
      <c r="D22" s="17"/>
      <c r="E22" s="17"/>
      <c r="F22" s="192"/>
    </row>
    <row r="23" spans="1:6" x14ac:dyDescent="0.3">
      <c r="A23" s="270" t="s">
        <v>11</v>
      </c>
      <c r="B23" s="271"/>
      <c r="C23" s="272"/>
      <c r="D23" s="17"/>
      <c r="E23" s="17"/>
      <c r="F23" s="192"/>
    </row>
    <row r="24" spans="1:6" x14ac:dyDescent="0.3">
      <c r="A24" s="261" t="s">
        <v>12</v>
      </c>
      <c r="B24" s="262"/>
      <c r="C24" s="263"/>
      <c r="D24" s="17"/>
      <c r="E24" s="17"/>
      <c r="F24" s="192"/>
    </row>
    <row r="25" spans="1:6" x14ac:dyDescent="0.3">
      <c r="A25" s="286" t="s">
        <v>13</v>
      </c>
      <c r="B25" s="287"/>
      <c r="C25" s="288"/>
      <c r="D25" s="17"/>
      <c r="E25" s="17"/>
      <c r="F25" s="192"/>
    </row>
    <row r="26" spans="1:6" x14ac:dyDescent="0.3">
      <c r="A26" s="193"/>
      <c r="B26" s="17"/>
      <c r="C26" s="17"/>
      <c r="D26" s="17"/>
      <c r="E26" s="17"/>
      <c r="F26" s="192"/>
    </row>
    <row r="27" spans="1:6" x14ac:dyDescent="0.3">
      <c r="A27" s="232" t="s">
        <v>14</v>
      </c>
      <c r="B27" s="17"/>
      <c r="C27" s="17"/>
      <c r="D27" s="17"/>
      <c r="E27" s="17"/>
      <c r="F27" s="192"/>
    </row>
    <row r="28" spans="1:6" x14ac:dyDescent="0.3">
      <c r="A28" s="193" t="s">
        <v>15</v>
      </c>
      <c r="B28" s="17"/>
      <c r="C28" s="17"/>
      <c r="D28" s="17"/>
      <c r="E28" s="17"/>
      <c r="F28" s="192"/>
    </row>
    <row r="29" spans="1:6" x14ac:dyDescent="0.3">
      <c r="A29" s="193" t="s">
        <v>16</v>
      </c>
      <c r="B29" s="17"/>
      <c r="C29" s="17"/>
      <c r="D29" s="17"/>
      <c r="E29" s="17"/>
      <c r="F29" s="192"/>
    </row>
    <row r="30" spans="1:6" x14ac:dyDescent="0.3">
      <c r="A30" s="193"/>
      <c r="B30" s="17"/>
      <c r="C30" s="17"/>
      <c r="D30" s="17"/>
      <c r="E30" s="17"/>
      <c r="F30" s="192"/>
    </row>
    <row r="31" spans="1:6" x14ac:dyDescent="0.3">
      <c r="A31" s="193" t="s">
        <v>17</v>
      </c>
      <c r="B31" s="17"/>
      <c r="C31" s="17"/>
      <c r="D31" s="17"/>
      <c r="E31" s="17"/>
      <c r="F31" s="192"/>
    </row>
    <row r="32" spans="1:6" x14ac:dyDescent="0.3">
      <c r="A32" s="193" t="s">
        <v>18</v>
      </c>
      <c r="B32" s="17"/>
      <c r="C32" s="17"/>
      <c r="D32" s="17"/>
      <c r="E32" s="17"/>
      <c r="F32" s="192"/>
    </row>
    <row r="33" spans="1:6" x14ac:dyDescent="0.3">
      <c r="A33" s="193"/>
      <c r="B33" s="17"/>
      <c r="C33" s="17"/>
      <c r="D33" s="17"/>
      <c r="E33" s="17"/>
      <c r="F33" s="192"/>
    </row>
    <row r="34" spans="1:6" x14ac:dyDescent="0.3">
      <c r="A34" s="232" t="s">
        <v>19</v>
      </c>
      <c r="B34" s="17"/>
      <c r="C34" s="17"/>
      <c r="D34" s="17"/>
      <c r="E34" s="17"/>
      <c r="F34" s="192"/>
    </row>
    <row r="35" spans="1:6" x14ac:dyDescent="0.3">
      <c r="A35" s="195" t="s">
        <v>20</v>
      </c>
      <c r="B35" s="175"/>
      <c r="C35" s="175"/>
      <c r="D35" s="175"/>
      <c r="E35" s="175"/>
      <c r="F35" s="196"/>
    </row>
    <row r="36" spans="1:6" x14ac:dyDescent="0.3">
      <c r="A36" s="195" t="s">
        <v>21</v>
      </c>
      <c r="B36" s="175"/>
      <c r="C36" s="175"/>
      <c r="D36" s="175"/>
      <c r="E36" s="175"/>
      <c r="F36" s="196"/>
    </row>
    <row r="37" spans="1:6" x14ac:dyDescent="0.3">
      <c r="A37" s="195" t="s">
        <v>22</v>
      </c>
      <c r="B37" s="175"/>
      <c r="C37" s="175"/>
      <c r="D37" s="175"/>
      <c r="E37" s="175"/>
      <c r="F37" s="196"/>
    </row>
    <row r="38" spans="1:6" x14ac:dyDescent="0.3">
      <c r="A38" s="195" t="s">
        <v>23</v>
      </c>
      <c r="B38" s="175"/>
      <c r="C38" s="175"/>
      <c r="D38" s="175"/>
      <c r="E38" s="175"/>
      <c r="F38" s="196"/>
    </row>
    <row r="39" spans="1:6" x14ac:dyDescent="0.3">
      <c r="A39" s="195" t="s">
        <v>24</v>
      </c>
      <c r="B39" s="175"/>
      <c r="C39" s="175"/>
      <c r="D39" s="175"/>
      <c r="E39" s="175"/>
      <c r="F39" s="196"/>
    </row>
    <row r="40" spans="1:6" x14ac:dyDescent="0.3">
      <c r="A40" s="195" t="s">
        <v>25</v>
      </c>
      <c r="B40" s="175"/>
      <c r="C40" s="175"/>
      <c r="D40" s="175"/>
      <c r="E40" s="175"/>
      <c r="F40" s="196"/>
    </row>
    <row r="41" spans="1:6" x14ac:dyDescent="0.3">
      <c r="A41" s="195" t="s">
        <v>26</v>
      </c>
      <c r="B41" s="175"/>
      <c r="C41" s="175"/>
      <c r="D41" s="175"/>
      <c r="E41" s="175"/>
      <c r="F41" s="196"/>
    </row>
    <row r="42" spans="1:6" x14ac:dyDescent="0.3">
      <c r="A42" s="197"/>
      <c r="B42" s="55"/>
      <c r="C42" s="55"/>
      <c r="D42" s="55"/>
      <c r="E42" s="55"/>
      <c r="F42" s="198"/>
    </row>
    <row r="43" spans="1:6" x14ac:dyDescent="0.3">
      <c r="A43" s="193" t="s">
        <v>27</v>
      </c>
      <c r="B43" s="17"/>
      <c r="C43" s="17"/>
      <c r="D43" s="17"/>
      <c r="E43" s="17"/>
      <c r="F43" s="192"/>
    </row>
    <row r="44" spans="1:6" ht="16" x14ac:dyDescent="0.4">
      <c r="A44" s="193" t="s">
        <v>28</v>
      </c>
      <c r="B44" s="17"/>
      <c r="C44" s="17"/>
      <c r="D44" s="17"/>
      <c r="E44" s="17"/>
      <c r="F44" s="192"/>
    </row>
    <row r="45" spans="1:6" x14ac:dyDescent="0.3">
      <c r="A45" s="193"/>
      <c r="B45" s="17"/>
      <c r="C45" s="17"/>
      <c r="D45" s="17"/>
      <c r="E45" s="17"/>
      <c r="F45" s="192"/>
    </row>
    <row r="46" spans="1:6" x14ac:dyDescent="0.3">
      <c r="A46" s="193" t="s">
        <v>29</v>
      </c>
      <c r="B46" s="17"/>
      <c r="C46" s="17"/>
      <c r="D46" s="17"/>
      <c r="E46" s="17"/>
      <c r="F46" s="192"/>
    </row>
    <row r="47" spans="1:6" ht="14.5" thickBot="1" x14ac:dyDescent="0.35">
      <c r="A47" s="199"/>
      <c r="B47" s="200"/>
      <c r="C47" s="200"/>
      <c r="D47" s="200"/>
      <c r="E47" s="200"/>
      <c r="F47" s="20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F342-773F-4AAE-A05E-DFFB33B7249D}">
  <sheetPr codeName="Sheet2"/>
  <dimension ref="A1:C87"/>
  <sheetViews>
    <sheetView workbookViewId="0"/>
  </sheetViews>
  <sheetFormatPr defaultColWidth="8.7265625" defaultRowHeight="14.5" x14ac:dyDescent="0.35"/>
  <cols>
    <col min="1" max="1" width="16.26953125" style="108" customWidth="1"/>
    <col min="2" max="2" width="121.26953125" style="108" customWidth="1"/>
    <col min="3" max="3" width="16.54296875" style="108" customWidth="1"/>
    <col min="4" max="16384" width="8.7265625" style="108"/>
  </cols>
  <sheetData>
    <row r="1" spans="1:3" ht="28.5" x14ac:dyDescent="0.65">
      <c r="A1" s="234" t="s">
        <v>30</v>
      </c>
      <c r="B1" s="205"/>
      <c r="C1" s="206"/>
    </row>
    <row r="2" spans="1:3" ht="15.5" x14ac:dyDescent="0.35">
      <c r="A2" s="182" t="s">
        <v>31</v>
      </c>
      <c r="B2" s="207"/>
      <c r="C2" s="208"/>
    </row>
    <row r="3" spans="1:3" ht="15.5" x14ac:dyDescent="0.35">
      <c r="A3" s="182"/>
      <c r="B3" s="207"/>
      <c r="C3" s="208"/>
    </row>
    <row r="4" spans="1:3" ht="20" x14ac:dyDescent="0.4">
      <c r="A4" s="209" t="s">
        <v>32</v>
      </c>
      <c r="B4" s="207"/>
      <c r="C4" s="208"/>
    </row>
    <row r="5" spans="1:3" ht="18.5" thickBot="1" x14ac:dyDescent="0.45">
      <c r="A5" s="210"/>
      <c r="B5" s="207"/>
      <c r="C5" s="208"/>
    </row>
    <row r="6" spans="1:3" ht="18.5" x14ac:dyDescent="0.45">
      <c r="A6" s="211" t="s">
        <v>33</v>
      </c>
      <c r="B6" s="212"/>
      <c r="C6" s="213"/>
    </row>
    <row r="7" spans="1:3" ht="14.65" customHeight="1" x14ac:dyDescent="0.35">
      <c r="A7" s="259" t="s">
        <v>34</v>
      </c>
      <c r="B7" s="215"/>
      <c r="C7" s="216"/>
    </row>
    <row r="8" spans="1:3" x14ac:dyDescent="0.35">
      <c r="A8" s="217" t="s">
        <v>35</v>
      </c>
      <c r="B8" s="218"/>
      <c r="C8" s="219"/>
    </row>
    <row r="9" spans="1:3" x14ac:dyDescent="0.35">
      <c r="A9" s="217" t="s">
        <v>36</v>
      </c>
      <c r="B9" s="218"/>
      <c r="C9" s="219"/>
    </row>
    <row r="10" spans="1:3" x14ac:dyDescent="0.35">
      <c r="A10" s="214" t="s">
        <v>37</v>
      </c>
      <c r="B10" s="215"/>
      <c r="C10" s="216"/>
    </row>
    <row r="11" spans="1:3" x14ac:dyDescent="0.35">
      <c r="A11" s="214" t="s">
        <v>38</v>
      </c>
      <c r="B11" s="215"/>
      <c r="C11" s="216"/>
    </row>
    <row r="12" spans="1:3" x14ac:dyDescent="0.35">
      <c r="A12" s="214" t="s">
        <v>39</v>
      </c>
      <c r="B12" s="215"/>
      <c r="C12" s="216"/>
    </row>
    <row r="13" spans="1:3" ht="16.5" x14ac:dyDescent="0.45">
      <c r="A13" s="214" t="s">
        <v>40</v>
      </c>
      <c r="B13" s="215"/>
      <c r="C13" s="216"/>
    </row>
    <row r="14" spans="1:3" ht="15" thickBot="1" x14ac:dyDescent="0.4">
      <c r="A14" s="220" t="s">
        <v>41</v>
      </c>
      <c r="B14" s="221"/>
      <c r="C14" s="222"/>
    </row>
    <row r="15" spans="1:3" ht="15" thickBot="1" x14ac:dyDescent="0.4">
      <c r="A15" s="223"/>
      <c r="B15" s="207"/>
      <c r="C15" s="208"/>
    </row>
    <row r="16" spans="1:3" ht="18.5" x14ac:dyDescent="0.45">
      <c r="A16" s="211" t="s">
        <v>42</v>
      </c>
      <c r="B16" s="212"/>
      <c r="C16" s="213"/>
    </row>
    <row r="17" spans="1:3" x14ac:dyDescent="0.35">
      <c r="A17" s="214" t="s">
        <v>43</v>
      </c>
      <c r="B17" s="215"/>
      <c r="C17" s="216"/>
    </row>
    <row r="18" spans="1:3" x14ac:dyDescent="0.35">
      <c r="A18" s="214" t="s">
        <v>44</v>
      </c>
      <c r="B18" s="215"/>
      <c r="C18" s="216"/>
    </row>
    <row r="19" spans="1:3" x14ac:dyDescent="0.35">
      <c r="A19" s="214" t="s">
        <v>45</v>
      </c>
      <c r="B19" s="215"/>
      <c r="C19" s="216"/>
    </row>
    <row r="20" spans="1:3" ht="15" thickBot="1" x14ac:dyDescent="0.4">
      <c r="A20" s="224" t="s">
        <v>46</v>
      </c>
      <c r="B20" s="221"/>
      <c r="C20" s="222"/>
    </row>
    <row r="21" spans="1:3" ht="15" thickBot="1" x14ac:dyDescent="0.4">
      <c r="A21" s="223"/>
      <c r="B21" s="207"/>
      <c r="C21" s="208"/>
    </row>
    <row r="22" spans="1:3" ht="18.5" x14ac:dyDescent="0.45">
      <c r="A22" s="211" t="s">
        <v>47</v>
      </c>
      <c r="B22" s="212"/>
      <c r="C22" s="213"/>
    </row>
    <row r="23" spans="1:3" x14ac:dyDescent="0.35">
      <c r="A23" s="214" t="s">
        <v>48</v>
      </c>
      <c r="B23" s="215"/>
      <c r="C23" s="216"/>
    </row>
    <row r="24" spans="1:3" x14ac:dyDescent="0.35">
      <c r="A24" s="214" t="s">
        <v>49</v>
      </c>
      <c r="B24" s="215"/>
      <c r="C24" s="216"/>
    </row>
    <row r="25" spans="1:3" x14ac:dyDescent="0.35">
      <c r="A25" s="214" t="s">
        <v>50</v>
      </c>
      <c r="B25" s="215"/>
      <c r="C25" s="216"/>
    </row>
    <row r="26" spans="1:3" x14ac:dyDescent="0.35">
      <c r="A26" s="214" t="s">
        <v>51</v>
      </c>
      <c r="B26" s="215"/>
      <c r="C26" s="216"/>
    </row>
    <row r="27" spans="1:3" x14ac:dyDescent="0.35">
      <c r="A27" s="214" t="s">
        <v>52</v>
      </c>
      <c r="B27" s="215"/>
      <c r="C27" s="216"/>
    </row>
    <row r="28" spans="1:3" x14ac:dyDescent="0.35">
      <c r="A28" s="214" t="s">
        <v>53</v>
      </c>
      <c r="B28" s="215"/>
      <c r="C28" s="216"/>
    </row>
    <row r="29" spans="1:3" x14ac:dyDescent="0.35">
      <c r="A29" s="214" t="s">
        <v>54</v>
      </c>
      <c r="B29" s="215"/>
      <c r="C29" s="216"/>
    </row>
    <row r="30" spans="1:3" x14ac:dyDescent="0.35">
      <c r="A30" s="214" t="s">
        <v>55</v>
      </c>
      <c r="B30" s="215"/>
      <c r="C30" s="216"/>
    </row>
    <row r="31" spans="1:3" x14ac:dyDescent="0.35">
      <c r="A31" s="214" t="s">
        <v>56</v>
      </c>
      <c r="B31" s="215"/>
      <c r="C31" s="216"/>
    </row>
    <row r="32" spans="1:3" x14ac:dyDescent="0.35">
      <c r="A32" s="214" t="s">
        <v>57</v>
      </c>
      <c r="B32" s="215"/>
      <c r="C32" s="216"/>
    </row>
    <row r="33" spans="1:3" x14ac:dyDescent="0.35">
      <c r="A33" s="214" t="s">
        <v>58</v>
      </c>
      <c r="B33" s="215"/>
      <c r="C33" s="216"/>
    </row>
    <row r="34" spans="1:3" x14ac:dyDescent="0.35">
      <c r="A34" s="214" t="s">
        <v>59</v>
      </c>
      <c r="B34" s="215"/>
      <c r="C34" s="216"/>
    </row>
    <row r="35" spans="1:3" x14ac:dyDescent="0.35">
      <c r="A35" s="214" t="s">
        <v>60</v>
      </c>
      <c r="B35" s="215"/>
      <c r="C35" s="216"/>
    </row>
    <row r="36" spans="1:3" x14ac:dyDescent="0.35">
      <c r="A36" s="214" t="s">
        <v>61</v>
      </c>
      <c r="B36" s="215"/>
      <c r="C36" s="216"/>
    </row>
    <row r="37" spans="1:3" ht="14.65" customHeight="1" x14ac:dyDescent="0.35">
      <c r="A37" s="214" t="s">
        <v>62</v>
      </c>
      <c r="B37" s="215"/>
      <c r="C37" s="216"/>
    </row>
    <row r="38" spans="1:3" x14ac:dyDescent="0.35">
      <c r="A38" s="217" t="s">
        <v>63</v>
      </c>
      <c r="B38" s="218"/>
      <c r="C38" s="219"/>
    </row>
    <row r="39" spans="1:3" ht="15" thickBot="1" x14ac:dyDescent="0.4">
      <c r="A39" s="224" t="s">
        <v>64</v>
      </c>
      <c r="B39" s="221"/>
      <c r="C39" s="222"/>
    </row>
    <row r="40" spans="1:3" ht="15" thickBot="1" x14ac:dyDescent="0.4">
      <c r="A40" s="223"/>
      <c r="B40" s="207"/>
      <c r="C40" s="208"/>
    </row>
    <row r="41" spans="1:3" ht="18.5" x14ac:dyDescent="0.45">
      <c r="A41" s="211" t="s">
        <v>65</v>
      </c>
      <c r="B41" s="212"/>
      <c r="C41" s="213"/>
    </row>
    <row r="42" spans="1:3" x14ac:dyDescent="0.35">
      <c r="A42" s="214" t="s">
        <v>66</v>
      </c>
      <c r="B42" s="215"/>
      <c r="C42" s="216"/>
    </row>
    <row r="43" spans="1:3" x14ac:dyDescent="0.35">
      <c r="A43" s="214" t="s">
        <v>67</v>
      </c>
      <c r="B43" s="215"/>
      <c r="C43" s="216"/>
    </row>
    <row r="44" spans="1:3" x14ac:dyDescent="0.35">
      <c r="A44" s="214" t="s">
        <v>68</v>
      </c>
      <c r="B44" s="215"/>
      <c r="C44" s="216"/>
    </row>
    <row r="45" spans="1:3" x14ac:dyDescent="0.35">
      <c r="A45" s="214" t="s">
        <v>69</v>
      </c>
      <c r="B45" s="215"/>
      <c r="C45" s="216"/>
    </row>
    <row r="46" spans="1:3" x14ac:dyDescent="0.35">
      <c r="A46" s="214" t="s">
        <v>70</v>
      </c>
      <c r="B46" s="215"/>
      <c r="C46" s="216"/>
    </row>
    <row r="47" spans="1:3" x14ac:dyDescent="0.35">
      <c r="A47" s="214" t="s">
        <v>71</v>
      </c>
      <c r="B47" s="215"/>
      <c r="C47" s="216"/>
    </row>
    <row r="48" spans="1:3" x14ac:dyDescent="0.35">
      <c r="A48" s="214" t="s">
        <v>72</v>
      </c>
      <c r="B48" s="215"/>
      <c r="C48" s="216"/>
    </row>
    <row r="49" spans="1:3" x14ac:dyDescent="0.35">
      <c r="A49" s="214" t="s">
        <v>73</v>
      </c>
      <c r="B49" s="215"/>
      <c r="C49" s="216"/>
    </row>
    <row r="50" spans="1:3" x14ac:dyDescent="0.35">
      <c r="A50" s="217" t="s">
        <v>74</v>
      </c>
      <c r="B50" s="264"/>
      <c r="C50" s="265"/>
    </row>
    <row r="51" spans="1:3" x14ac:dyDescent="0.35">
      <c r="A51" s="214" t="s">
        <v>75</v>
      </c>
      <c r="B51" s="215"/>
      <c r="C51" s="216"/>
    </row>
    <row r="52" spans="1:3" ht="14.65" customHeight="1" x14ac:dyDescent="0.35">
      <c r="A52" s="214" t="s">
        <v>76</v>
      </c>
      <c r="B52" s="215"/>
      <c r="C52" s="216"/>
    </row>
    <row r="53" spans="1:3" x14ac:dyDescent="0.35">
      <c r="A53" s="217" t="s">
        <v>77</v>
      </c>
      <c r="B53" s="218"/>
      <c r="C53" s="219"/>
    </row>
    <row r="54" spans="1:3" x14ac:dyDescent="0.35">
      <c r="A54" s="214" t="s">
        <v>78</v>
      </c>
      <c r="B54" s="215"/>
      <c r="C54" s="216"/>
    </row>
    <row r="55" spans="1:3" x14ac:dyDescent="0.35">
      <c r="A55" s="214" t="s">
        <v>79</v>
      </c>
      <c r="B55" s="215"/>
      <c r="C55" s="216"/>
    </row>
    <row r="56" spans="1:3" x14ac:dyDescent="0.35">
      <c r="A56" s="214" t="s">
        <v>80</v>
      </c>
      <c r="B56" s="215"/>
      <c r="C56" s="216"/>
    </row>
    <row r="57" spans="1:3" x14ac:dyDescent="0.35">
      <c r="A57" s="214" t="s">
        <v>81</v>
      </c>
      <c r="B57" s="215"/>
      <c r="C57" s="216"/>
    </row>
    <row r="58" spans="1:3" x14ac:dyDescent="0.35">
      <c r="A58" s="214" t="s">
        <v>82</v>
      </c>
      <c r="B58" s="215"/>
      <c r="C58" s="216"/>
    </row>
    <row r="59" spans="1:3" x14ac:dyDescent="0.35">
      <c r="A59" s="214" t="s">
        <v>83</v>
      </c>
      <c r="B59" s="215"/>
      <c r="C59" s="216"/>
    </row>
    <row r="60" spans="1:3" x14ac:dyDescent="0.35">
      <c r="A60" s="214" t="s">
        <v>84</v>
      </c>
      <c r="B60" s="215"/>
      <c r="C60" s="216"/>
    </row>
    <row r="61" spans="1:3" x14ac:dyDescent="0.35">
      <c r="A61" s="214" t="s">
        <v>85</v>
      </c>
      <c r="B61" s="215"/>
      <c r="C61" s="216"/>
    </row>
    <row r="62" spans="1:3" ht="15" thickBot="1" x14ac:dyDescent="0.4">
      <c r="A62" s="220" t="s">
        <v>86</v>
      </c>
      <c r="B62" s="221"/>
      <c r="C62" s="222"/>
    </row>
    <row r="63" spans="1:3" ht="15" thickBot="1" x14ac:dyDescent="0.4">
      <c r="A63" s="223"/>
      <c r="B63" s="207"/>
      <c r="C63" s="208"/>
    </row>
    <row r="64" spans="1:3" ht="18.5" x14ac:dyDescent="0.45">
      <c r="A64" s="211" t="s">
        <v>87</v>
      </c>
      <c r="B64" s="212"/>
      <c r="C64" s="213"/>
    </row>
    <row r="65" spans="1:3" x14ac:dyDescent="0.35">
      <c r="A65" s="225" t="s">
        <v>88</v>
      </c>
      <c r="B65" s="215"/>
      <c r="C65" s="216"/>
    </row>
    <row r="66" spans="1:3" x14ac:dyDescent="0.35">
      <c r="A66" s="214" t="s">
        <v>89</v>
      </c>
      <c r="B66" s="215"/>
      <c r="C66" s="216"/>
    </row>
    <row r="67" spans="1:3" ht="15" thickBot="1" x14ac:dyDescent="0.4">
      <c r="A67" s="220" t="s">
        <v>90</v>
      </c>
      <c r="B67" s="221"/>
      <c r="C67" s="222"/>
    </row>
    <row r="68" spans="1:3" ht="15" thickBot="1" x14ac:dyDescent="0.4">
      <c r="A68" s="223"/>
      <c r="B68" s="207"/>
      <c r="C68" s="208"/>
    </row>
    <row r="69" spans="1:3" ht="18.5" x14ac:dyDescent="0.45">
      <c r="A69" s="211" t="s">
        <v>91</v>
      </c>
      <c r="B69" s="212"/>
      <c r="C69" s="213"/>
    </row>
    <row r="70" spans="1:3" x14ac:dyDescent="0.35">
      <c r="A70" s="225" t="s">
        <v>92</v>
      </c>
      <c r="B70" s="215"/>
      <c r="C70" s="216"/>
    </row>
    <row r="71" spans="1:3" x14ac:dyDescent="0.35">
      <c r="A71" s="225" t="s">
        <v>93</v>
      </c>
      <c r="B71" s="215"/>
      <c r="C71" s="216"/>
    </row>
    <row r="72" spans="1:3" x14ac:dyDescent="0.35">
      <c r="A72" s="225" t="s">
        <v>94</v>
      </c>
      <c r="B72" s="215"/>
      <c r="C72" s="216"/>
    </row>
    <row r="73" spans="1:3" x14ac:dyDescent="0.35">
      <c r="A73" s="225" t="s">
        <v>95</v>
      </c>
      <c r="B73" s="215"/>
      <c r="C73" s="216"/>
    </row>
    <row r="74" spans="1:3" ht="15" thickBot="1" x14ac:dyDescent="0.4">
      <c r="A74" s="224" t="s">
        <v>96</v>
      </c>
      <c r="B74" s="221"/>
      <c r="C74" s="222"/>
    </row>
    <row r="75" spans="1:3" x14ac:dyDescent="0.35">
      <c r="A75" s="223"/>
      <c r="B75" s="207"/>
      <c r="C75" s="208"/>
    </row>
    <row r="76" spans="1:3" ht="18" x14ac:dyDescent="0.4">
      <c r="A76" s="210" t="s">
        <v>97</v>
      </c>
      <c r="B76" s="207"/>
      <c r="C76" s="208"/>
    </row>
    <row r="77" spans="1:3" x14ac:dyDescent="0.35">
      <c r="A77" s="223"/>
      <c r="B77" s="207"/>
      <c r="C77" s="208"/>
    </row>
    <row r="78" spans="1:3" x14ac:dyDescent="0.35">
      <c r="A78" s="228" t="s">
        <v>98</v>
      </c>
      <c r="B78" s="226" t="s">
        <v>99</v>
      </c>
      <c r="C78" s="208"/>
    </row>
    <row r="79" spans="1:3" x14ac:dyDescent="0.35">
      <c r="A79" s="228" t="s">
        <v>100</v>
      </c>
      <c r="B79" s="226" t="s">
        <v>101</v>
      </c>
      <c r="C79" s="208"/>
    </row>
    <row r="80" spans="1:3" x14ac:dyDescent="0.35">
      <c r="A80" s="228" t="s">
        <v>102</v>
      </c>
      <c r="B80" s="226" t="s">
        <v>103</v>
      </c>
      <c r="C80" s="208"/>
    </row>
    <row r="81" spans="1:3" x14ac:dyDescent="0.35">
      <c r="A81" s="228" t="s">
        <v>104</v>
      </c>
      <c r="B81" s="226" t="s">
        <v>105</v>
      </c>
      <c r="C81" s="208"/>
    </row>
    <row r="82" spans="1:3" x14ac:dyDescent="0.35">
      <c r="A82" s="228" t="s">
        <v>106</v>
      </c>
      <c r="B82" s="226" t="s">
        <v>107</v>
      </c>
      <c r="C82" s="208"/>
    </row>
    <row r="83" spans="1:3" x14ac:dyDescent="0.35">
      <c r="A83" s="228" t="s">
        <v>108</v>
      </c>
      <c r="B83" s="226" t="s">
        <v>109</v>
      </c>
      <c r="C83" s="208"/>
    </row>
    <row r="84" spans="1:3" x14ac:dyDescent="0.35">
      <c r="A84" s="228" t="s">
        <v>110</v>
      </c>
      <c r="B84" s="226" t="s">
        <v>111</v>
      </c>
      <c r="C84" s="208"/>
    </row>
    <row r="85" spans="1:3" x14ac:dyDescent="0.35">
      <c r="A85" s="228" t="s">
        <v>112</v>
      </c>
      <c r="B85" s="226" t="s">
        <v>113</v>
      </c>
      <c r="C85" s="208"/>
    </row>
    <row r="86" spans="1:3" x14ac:dyDescent="0.35">
      <c r="A86" s="223"/>
      <c r="B86" s="207"/>
      <c r="C86" s="208"/>
    </row>
    <row r="87" spans="1:3" ht="15" thickBot="1" x14ac:dyDescent="0.4">
      <c r="A87" s="229"/>
      <c r="B87" s="230"/>
      <c r="C87" s="227"/>
    </row>
  </sheetData>
  <sheetProtection sheet="1" objects="1" scenarios="1"/>
  <sortState xmlns:xlrd2="http://schemas.microsoft.com/office/spreadsheetml/2017/richdata2" ref="A80:B85">
    <sortCondition ref="A80:A85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9BC7-EC31-4FE0-9C90-C4B1C952A792}">
  <sheetPr codeName="Sheet3"/>
  <dimension ref="A1:N63"/>
  <sheetViews>
    <sheetView workbookViewId="0">
      <selection activeCell="C19" sqref="C19"/>
    </sheetView>
  </sheetViews>
  <sheetFormatPr defaultColWidth="8.7265625" defaultRowHeight="14" x14ac:dyDescent="0.3"/>
  <cols>
    <col min="1" max="1" width="63.453125" style="17" customWidth="1"/>
    <col min="2" max="2" width="10.453125" style="17" bestFit="1" customWidth="1"/>
    <col min="3" max="3" width="32.26953125" style="17" customWidth="1"/>
    <col min="4" max="4" width="10" style="17" customWidth="1"/>
    <col min="5" max="8" width="8.7265625" style="17"/>
    <col min="9" max="11" width="8.7265625" style="17" hidden="1" customWidth="1"/>
    <col min="12" max="13" width="11.54296875" style="17" hidden="1" customWidth="1"/>
    <col min="14" max="14" width="8.7265625" style="17" hidden="1" customWidth="1"/>
    <col min="15" max="16384" width="8.7265625" style="17"/>
  </cols>
  <sheetData>
    <row r="1" spans="1:14" ht="15.5" x14ac:dyDescent="0.3">
      <c r="A1" s="75" t="s">
        <v>114</v>
      </c>
      <c r="B1" s="76"/>
      <c r="C1" s="77"/>
      <c r="I1" s="17" t="s">
        <v>115</v>
      </c>
    </row>
    <row r="2" spans="1:14" x14ac:dyDescent="0.3">
      <c r="A2" s="78" t="s">
        <v>116</v>
      </c>
      <c r="B2" s="79"/>
      <c r="C2" s="80"/>
    </row>
    <row r="3" spans="1:14" ht="11.65" customHeight="1" x14ac:dyDescent="0.3">
      <c r="A3" s="260" t="s">
        <v>117</v>
      </c>
      <c r="B3" s="79"/>
      <c r="C3" s="80"/>
      <c r="I3" s="17" t="s">
        <v>118</v>
      </c>
      <c r="J3" s="17" t="s">
        <v>119</v>
      </c>
      <c r="K3" s="17" t="s">
        <v>120</v>
      </c>
      <c r="L3" s="17" t="s">
        <v>121</v>
      </c>
      <c r="M3" s="17" t="s">
        <v>122</v>
      </c>
      <c r="N3" s="17" t="s">
        <v>123</v>
      </c>
    </row>
    <row r="4" spans="1:14" ht="13.5" customHeight="1" x14ac:dyDescent="0.3">
      <c r="A4" s="81" t="s">
        <v>124</v>
      </c>
      <c r="B4" s="82" t="s">
        <v>125</v>
      </c>
      <c r="C4" s="80"/>
      <c r="I4" s="17">
        <v>1</v>
      </c>
      <c r="J4" s="17" cm="1">
        <f t="array" ref="J4">VCB_RI_Freq*$I4</f>
        <v>10</v>
      </c>
      <c r="K4" s="17">
        <f t="shared" ref="K4:K35" si="0">GCB_RI_Freq*$I4</f>
        <v>10</v>
      </c>
      <c r="L4" s="17">
        <f t="shared" ref="L4:L35" si="1">VCB_PI_Freq*$I4</f>
        <v>14</v>
      </c>
      <c r="M4" s="17">
        <f t="shared" ref="M4:M35" si="2">GCB_PI_Freq*$I4</f>
        <v>5</v>
      </c>
      <c r="N4" s="83">
        <v>0.03</v>
      </c>
    </row>
    <row r="5" spans="1:14" ht="13.15" customHeight="1" x14ac:dyDescent="0.3">
      <c r="A5" s="84"/>
      <c r="B5" s="85"/>
      <c r="C5" s="80"/>
      <c r="I5" s="17">
        <v>2</v>
      </c>
      <c r="J5" s="17" cm="1">
        <f t="array" ref="J5">VCB_RI_Freq*$I5</f>
        <v>20</v>
      </c>
      <c r="K5" s="17">
        <f t="shared" si="0"/>
        <v>20</v>
      </c>
      <c r="L5" s="17">
        <f t="shared" si="1"/>
        <v>28</v>
      </c>
      <c r="M5" s="17">
        <f t="shared" si="2"/>
        <v>10</v>
      </c>
      <c r="N5" s="83">
        <v>0.05</v>
      </c>
    </row>
    <row r="6" spans="1:14" x14ac:dyDescent="0.3">
      <c r="A6" s="86" t="s">
        <v>126</v>
      </c>
      <c r="B6" s="79"/>
      <c r="C6" s="80"/>
      <c r="I6" s="17">
        <v>3</v>
      </c>
      <c r="J6" s="17" cm="1">
        <f t="array" ref="J6">VCB_RI_Freq*$I6</f>
        <v>30</v>
      </c>
      <c r="K6" s="17">
        <f t="shared" si="0"/>
        <v>30</v>
      </c>
      <c r="L6" s="17">
        <f t="shared" si="1"/>
        <v>42</v>
      </c>
      <c r="M6" s="17">
        <f t="shared" si="2"/>
        <v>15</v>
      </c>
      <c r="N6" s="83">
        <v>7.0000000000000007E-2</v>
      </c>
    </row>
    <row r="7" spans="1:14" x14ac:dyDescent="0.3">
      <c r="A7" s="87" t="s">
        <v>127</v>
      </c>
      <c r="B7" s="88" t="s">
        <v>128</v>
      </c>
      <c r="C7" s="80"/>
      <c r="I7" s="17">
        <v>4</v>
      </c>
      <c r="J7" s="17" cm="1">
        <f t="array" ref="J7">VCB_RI_Freq*$I7</f>
        <v>40</v>
      </c>
      <c r="K7" s="17">
        <f t="shared" si="0"/>
        <v>40</v>
      </c>
      <c r="L7" s="17">
        <f t="shared" si="1"/>
        <v>56</v>
      </c>
      <c r="M7" s="17">
        <f t="shared" si="2"/>
        <v>20</v>
      </c>
    </row>
    <row r="8" spans="1:14" ht="14.65" customHeight="1" x14ac:dyDescent="0.3">
      <c r="A8" s="89" t="s">
        <v>129</v>
      </c>
      <c r="B8" s="99">
        <v>0.03</v>
      </c>
      <c r="C8" s="80"/>
      <c r="I8" s="17">
        <v>5</v>
      </c>
      <c r="J8" s="17" cm="1">
        <f t="array" ref="J8">VCB_RI_Freq*$I8</f>
        <v>50</v>
      </c>
      <c r="K8" s="17">
        <f t="shared" si="0"/>
        <v>50</v>
      </c>
      <c r="L8" s="17">
        <f t="shared" si="1"/>
        <v>70</v>
      </c>
      <c r="M8" s="17">
        <f t="shared" si="2"/>
        <v>25</v>
      </c>
    </row>
    <row r="9" spans="1:14" ht="14.65" customHeight="1" x14ac:dyDescent="0.3">
      <c r="A9" s="89" t="s">
        <v>130</v>
      </c>
      <c r="B9" s="18">
        <v>4</v>
      </c>
      <c r="C9" s="80"/>
      <c r="I9" s="17">
        <v>6</v>
      </c>
      <c r="J9" s="17" cm="1">
        <f t="array" ref="J9">VCB_RI_Freq*$I9</f>
        <v>60</v>
      </c>
      <c r="K9" s="17">
        <f t="shared" si="0"/>
        <v>60</v>
      </c>
      <c r="L9" s="17">
        <f t="shared" si="1"/>
        <v>84</v>
      </c>
      <c r="M9" s="17">
        <f t="shared" si="2"/>
        <v>30</v>
      </c>
    </row>
    <row r="10" spans="1:14" x14ac:dyDescent="0.3">
      <c r="A10" s="95"/>
      <c r="B10" s="8"/>
      <c r="C10" s="80"/>
      <c r="I10" s="17">
        <v>7</v>
      </c>
      <c r="J10" s="17" cm="1">
        <f t="array" ref="J10">VCB_RI_Freq*$I10</f>
        <v>70</v>
      </c>
      <c r="K10" s="17">
        <f t="shared" si="0"/>
        <v>70</v>
      </c>
      <c r="L10" s="17">
        <f t="shared" si="1"/>
        <v>98</v>
      </c>
      <c r="M10" s="17">
        <f t="shared" si="2"/>
        <v>35</v>
      </c>
    </row>
    <row r="11" spans="1:14" x14ac:dyDescent="0.3">
      <c r="A11" s="86" t="s">
        <v>112</v>
      </c>
      <c r="B11" s="8"/>
      <c r="C11" s="80"/>
      <c r="I11" s="17">
        <v>8</v>
      </c>
      <c r="J11" s="17" cm="1">
        <f t="array" ref="J11">VCB_RI_Freq*$I11</f>
        <v>80</v>
      </c>
      <c r="K11" s="17">
        <f t="shared" si="0"/>
        <v>80</v>
      </c>
      <c r="L11" s="17">
        <f t="shared" si="1"/>
        <v>112</v>
      </c>
      <c r="M11" s="17">
        <f t="shared" si="2"/>
        <v>40</v>
      </c>
    </row>
    <row r="12" spans="1:14" x14ac:dyDescent="0.3">
      <c r="A12" s="87" t="s">
        <v>127</v>
      </c>
      <c r="B12" s="88" t="s">
        <v>128</v>
      </c>
      <c r="C12" s="80"/>
      <c r="I12" s="17">
        <v>9</v>
      </c>
      <c r="J12" s="17" cm="1">
        <f t="array" ref="J12">VCB_RI_Freq*$I12</f>
        <v>90</v>
      </c>
      <c r="K12" s="17">
        <f t="shared" si="0"/>
        <v>90</v>
      </c>
      <c r="L12" s="17">
        <f t="shared" si="1"/>
        <v>126</v>
      </c>
      <c r="M12" s="17">
        <f t="shared" si="2"/>
        <v>45</v>
      </c>
    </row>
    <row r="13" spans="1:14" x14ac:dyDescent="0.3">
      <c r="A13" s="90" t="s">
        <v>131</v>
      </c>
      <c r="B13" s="91">
        <f>B9</f>
        <v>4</v>
      </c>
      <c r="C13" s="80"/>
      <c r="I13" s="17">
        <v>10</v>
      </c>
      <c r="J13" s="17" cm="1">
        <f t="array" ref="J13">VCB_RI_Freq*$I13</f>
        <v>100</v>
      </c>
      <c r="K13" s="17">
        <f t="shared" si="0"/>
        <v>100</v>
      </c>
      <c r="L13" s="17">
        <f t="shared" si="1"/>
        <v>140</v>
      </c>
      <c r="M13" s="17">
        <f t="shared" si="2"/>
        <v>50</v>
      </c>
    </row>
    <row r="14" spans="1:14" x14ac:dyDescent="0.3">
      <c r="A14" s="89" t="s">
        <v>132</v>
      </c>
      <c r="B14" s="74">
        <v>40</v>
      </c>
      <c r="C14" s="80"/>
      <c r="I14" s="17">
        <v>11</v>
      </c>
      <c r="J14" s="17" cm="1">
        <f t="array" ref="J14">VCB_RI_Freq*$I14</f>
        <v>110</v>
      </c>
      <c r="K14" s="17">
        <f t="shared" si="0"/>
        <v>110</v>
      </c>
      <c r="L14" s="17">
        <f t="shared" si="1"/>
        <v>154</v>
      </c>
      <c r="M14" s="17">
        <f t="shared" si="2"/>
        <v>55</v>
      </c>
    </row>
    <row r="15" spans="1:14" x14ac:dyDescent="0.3">
      <c r="A15" s="89" t="s">
        <v>133</v>
      </c>
      <c r="B15" s="74">
        <v>4</v>
      </c>
      <c r="C15" s="80"/>
      <c r="I15" s="17">
        <v>12</v>
      </c>
      <c r="J15" s="17" cm="1">
        <f t="array" ref="J15">VCB_RI_Freq*$I15</f>
        <v>120</v>
      </c>
      <c r="K15" s="17">
        <f t="shared" si="0"/>
        <v>120</v>
      </c>
      <c r="L15" s="17">
        <f t="shared" si="1"/>
        <v>168</v>
      </c>
      <c r="M15" s="17">
        <f t="shared" si="2"/>
        <v>60</v>
      </c>
    </row>
    <row r="16" spans="1:14" ht="13.5" customHeight="1" x14ac:dyDescent="0.3">
      <c r="A16" s="89" t="s">
        <v>134</v>
      </c>
      <c r="B16" s="74">
        <v>3</v>
      </c>
      <c r="C16" s="80"/>
      <c r="I16" s="17">
        <v>13</v>
      </c>
      <c r="J16" s="17" cm="1">
        <f t="array" ref="J16">VCB_RI_Freq*$I16</f>
        <v>130</v>
      </c>
      <c r="K16" s="17">
        <f t="shared" si="0"/>
        <v>130</v>
      </c>
      <c r="L16" s="17">
        <f t="shared" si="1"/>
        <v>182</v>
      </c>
      <c r="M16" s="17">
        <f t="shared" si="2"/>
        <v>65</v>
      </c>
    </row>
    <row r="17" spans="1:13" ht="13.5" customHeight="1" x14ac:dyDescent="0.3">
      <c r="A17" s="92" t="s">
        <v>135</v>
      </c>
      <c r="B17" s="93">
        <f>IFERROR(ROUNDUP(VCB_Life/VCB_RI,0),"")</f>
        <v>10</v>
      </c>
      <c r="C17" s="269"/>
      <c r="I17" s="17">
        <v>14</v>
      </c>
      <c r="J17" s="17" cm="1">
        <f t="array" ref="J17">VCB_RI_Freq*$I17</f>
        <v>140</v>
      </c>
      <c r="K17" s="17">
        <f t="shared" si="0"/>
        <v>140</v>
      </c>
      <c r="L17" s="17">
        <f t="shared" si="1"/>
        <v>196</v>
      </c>
      <c r="M17" s="17">
        <f t="shared" si="2"/>
        <v>70</v>
      </c>
    </row>
    <row r="18" spans="1:13" x14ac:dyDescent="0.3">
      <c r="A18" s="92" t="s">
        <v>136</v>
      </c>
      <c r="B18" s="93">
        <f>IFERROR(ROUNDUP(VCB_Life/VCB_PI,0),"")</f>
        <v>14</v>
      </c>
      <c r="C18" s="80"/>
      <c r="I18" s="17">
        <v>15</v>
      </c>
      <c r="J18" s="17" cm="1">
        <f t="array" ref="J18">VCB_RI_Freq*$I18</f>
        <v>150</v>
      </c>
      <c r="K18" s="17">
        <f t="shared" si="0"/>
        <v>150</v>
      </c>
      <c r="L18" s="17">
        <f t="shared" si="1"/>
        <v>210</v>
      </c>
      <c r="M18" s="17">
        <f t="shared" si="2"/>
        <v>75</v>
      </c>
    </row>
    <row r="19" spans="1:13" x14ac:dyDescent="0.3">
      <c r="A19" s="94"/>
      <c r="B19" s="79"/>
      <c r="C19" s="80"/>
      <c r="I19" s="17">
        <v>16</v>
      </c>
      <c r="J19" s="17" cm="1">
        <f t="array" ref="J19">VCB_RI_Freq*$I19</f>
        <v>160</v>
      </c>
      <c r="K19" s="17">
        <f t="shared" si="0"/>
        <v>160</v>
      </c>
      <c r="L19" s="17">
        <f t="shared" si="1"/>
        <v>224</v>
      </c>
      <c r="M19" s="17">
        <f t="shared" si="2"/>
        <v>80</v>
      </c>
    </row>
    <row r="20" spans="1:13" x14ac:dyDescent="0.3">
      <c r="A20" s="86" t="s">
        <v>98</v>
      </c>
      <c r="B20" s="8"/>
      <c r="C20" s="80"/>
      <c r="I20" s="17">
        <v>17</v>
      </c>
      <c r="J20" s="17" cm="1">
        <f t="array" ref="J20">VCB_RI_Freq*$I20</f>
        <v>170</v>
      </c>
      <c r="K20" s="17">
        <f t="shared" si="0"/>
        <v>170</v>
      </c>
      <c r="L20" s="17">
        <f t="shared" si="1"/>
        <v>238</v>
      </c>
      <c r="M20" s="17">
        <f t="shared" si="2"/>
        <v>85</v>
      </c>
    </row>
    <row r="21" spans="1:13" x14ac:dyDescent="0.3">
      <c r="A21" s="87" t="s">
        <v>127</v>
      </c>
      <c r="B21" s="88" t="s">
        <v>128</v>
      </c>
      <c r="C21" s="80"/>
      <c r="I21" s="17">
        <v>18</v>
      </c>
      <c r="J21" s="17" cm="1">
        <f t="array" ref="J21">VCB_RI_Freq*$I21</f>
        <v>180</v>
      </c>
      <c r="K21" s="17">
        <f t="shared" si="0"/>
        <v>180</v>
      </c>
      <c r="L21" s="17">
        <f t="shared" si="1"/>
        <v>252</v>
      </c>
      <c r="M21" s="17">
        <f t="shared" si="2"/>
        <v>90</v>
      </c>
    </row>
    <row r="22" spans="1:13" x14ac:dyDescent="0.3">
      <c r="A22" s="90" t="s">
        <v>137</v>
      </c>
      <c r="B22" s="91">
        <f>VCB_Systems</f>
        <v>4</v>
      </c>
      <c r="C22" s="80"/>
      <c r="I22" s="17">
        <v>19</v>
      </c>
      <c r="J22" s="17" cm="1">
        <f t="array" ref="J22">VCB_RI_Freq*$I22</f>
        <v>190</v>
      </c>
      <c r="K22" s="17">
        <f t="shared" si="0"/>
        <v>190</v>
      </c>
      <c r="L22" s="17">
        <f t="shared" si="1"/>
        <v>266</v>
      </c>
      <c r="M22" s="17">
        <f t="shared" si="2"/>
        <v>95</v>
      </c>
    </row>
    <row r="23" spans="1:13" x14ac:dyDescent="0.3">
      <c r="A23" s="89" t="s">
        <v>138</v>
      </c>
      <c r="B23" s="74">
        <v>40</v>
      </c>
      <c r="C23" s="80"/>
      <c r="I23" s="17">
        <v>20</v>
      </c>
      <c r="J23" s="17" cm="1">
        <f t="array" ref="J23">VCB_RI_Freq*$I23</f>
        <v>200</v>
      </c>
      <c r="K23" s="17">
        <f t="shared" si="0"/>
        <v>200</v>
      </c>
      <c r="L23" s="17">
        <f t="shared" si="1"/>
        <v>280</v>
      </c>
      <c r="M23" s="17">
        <f t="shared" si="2"/>
        <v>100</v>
      </c>
    </row>
    <row r="24" spans="1:13" x14ac:dyDescent="0.3">
      <c r="A24" s="89" t="s">
        <v>133</v>
      </c>
      <c r="B24" s="74">
        <v>4</v>
      </c>
      <c r="C24" s="80"/>
      <c r="I24" s="17">
        <v>21</v>
      </c>
      <c r="J24" s="17" cm="1">
        <f t="array" ref="J24">VCB_RI_Freq*$I24</f>
        <v>210</v>
      </c>
      <c r="K24" s="17">
        <f t="shared" si="0"/>
        <v>210</v>
      </c>
      <c r="L24" s="17">
        <f t="shared" si="1"/>
        <v>294</v>
      </c>
      <c r="M24" s="17">
        <f t="shared" si="2"/>
        <v>105</v>
      </c>
    </row>
    <row r="25" spans="1:13" x14ac:dyDescent="0.3">
      <c r="A25" s="89" t="s">
        <v>134</v>
      </c>
      <c r="B25" s="74">
        <v>8</v>
      </c>
      <c r="C25" s="80"/>
      <c r="I25" s="17">
        <v>22</v>
      </c>
      <c r="J25" s="17" cm="1">
        <f t="array" ref="J25">VCB_RI_Freq*$I25</f>
        <v>220</v>
      </c>
      <c r="K25" s="17">
        <f t="shared" si="0"/>
        <v>220</v>
      </c>
      <c r="L25" s="17">
        <f t="shared" si="1"/>
        <v>308</v>
      </c>
      <c r="M25" s="17">
        <f t="shared" si="2"/>
        <v>110</v>
      </c>
    </row>
    <row r="26" spans="1:13" x14ac:dyDescent="0.3">
      <c r="A26" s="92" t="s">
        <v>135</v>
      </c>
      <c r="B26" s="93">
        <f>IFERROR(ROUNDUP(GCB_Life/GCB_RI,0),"")</f>
        <v>10</v>
      </c>
      <c r="C26" s="80"/>
      <c r="I26" s="17">
        <v>23</v>
      </c>
      <c r="J26" s="17" cm="1">
        <f t="array" ref="J26">VCB_RI_Freq*$I26</f>
        <v>230</v>
      </c>
      <c r="K26" s="17">
        <f t="shared" si="0"/>
        <v>230</v>
      </c>
      <c r="L26" s="17">
        <f t="shared" si="1"/>
        <v>322</v>
      </c>
      <c r="M26" s="17">
        <f t="shared" si="2"/>
        <v>115</v>
      </c>
    </row>
    <row r="27" spans="1:13" x14ac:dyDescent="0.3">
      <c r="A27" s="92" t="s">
        <v>136</v>
      </c>
      <c r="B27" s="93">
        <f>IFERROR(ROUNDUP(GCB_Life/GCB_PI,0),"")</f>
        <v>5</v>
      </c>
      <c r="C27" s="80"/>
      <c r="I27" s="17">
        <v>24</v>
      </c>
      <c r="J27" s="17" cm="1">
        <f t="array" ref="J27">VCB_RI_Freq*$I27</f>
        <v>240</v>
      </c>
      <c r="K27" s="17">
        <f t="shared" si="0"/>
        <v>240</v>
      </c>
      <c r="L27" s="17">
        <f t="shared" si="1"/>
        <v>336</v>
      </c>
      <c r="M27" s="17">
        <f t="shared" si="2"/>
        <v>120</v>
      </c>
    </row>
    <row r="28" spans="1:13" x14ac:dyDescent="0.3">
      <c r="A28" s="95"/>
      <c r="B28" s="8"/>
      <c r="C28" s="80"/>
      <c r="I28" s="17">
        <v>25</v>
      </c>
      <c r="J28" s="17" cm="1">
        <f t="array" ref="J28">VCB_RI_Freq*$I28</f>
        <v>250</v>
      </c>
      <c r="K28" s="17">
        <f t="shared" si="0"/>
        <v>250</v>
      </c>
      <c r="L28" s="17">
        <f t="shared" si="1"/>
        <v>350</v>
      </c>
      <c r="M28" s="17">
        <f t="shared" si="2"/>
        <v>125</v>
      </c>
    </row>
    <row r="29" spans="1:13" x14ac:dyDescent="0.3">
      <c r="A29" s="86" t="s">
        <v>139</v>
      </c>
      <c r="B29" s="8"/>
      <c r="C29" s="80"/>
      <c r="I29" s="17">
        <v>26</v>
      </c>
      <c r="J29" s="17" cm="1">
        <f t="array" ref="J29">VCB_RI_Freq*$I29</f>
        <v>260</v>
      </c>
      <c r="K29" s="17">
        <f t="shared" si="0"/>
        <v>260</v>
      </c>
      <c r="L29" s="17">
        <f t="shared" si="1"/>
        <v>364</v>
      </c>
      <c r="M29" s="17">
        <f t="shared" si="2"/>
        <v>130</v>
      </c>
    </row>
    <row r="30" spans="1:13" x14ac:dyDescent="0.3">
      <c r="A30" s="87" t="s">
        <v>127</v>
      </c>
      <c r="B30" s="88" t="s">
        <v>128</v>
      </c>
      <c r="C30" s="80"/>
      <c r="I30" s="17">
        <v>27</v>
      </c>
      <c r="J30" s="17" cm="1">
        <f t="array" ref="J30">VCB_RI_Freq*$I30</f>
        <v>270</v>
      </c>
      <c r="K30" s="17">
        <f t="shared" si="0"/>
        <v>270</v>
      </c>
      <c r="L30" s="17">
        <f t="shared" si="1"/>
        <v>378</v>
      </c>
      <c r="M30" s="17">
        <f t="shared" si="2"/>
        <v>135</v>
      </c>
    </row>
    <row r="31" spans="1:13" x14ac:dyDescent="0.3">
      <c r="A31" s="89" t="s">
        <v>140</v>
      </c>
      <c r="B31" s="99">
        <v>5.0000000000000001E-3</v>
      </c>
      <c r="C31" s="80"/>
      <c r="I31" s="17">
        <v>28</v>
      </c>
      <c r="J31" s="17" cm="1">
        <f t="array" ref="J31">VCB_RI_Freq*$I31</f>
        <v>280</v>
      </c>
      <c r="K31" s="17">
        <f t="shared" si="0"/>
        <v>280</v>
      </c>
      <c r="L31" s="17">
        <f t="shared" si="1"/>
        <v>392</v>
      </c>
      <c r="M31" s="17">
        <f t="shared" si="2"/>
        <v>140</v>
      </c>
    </row>
    <row r="32" spans="1:13" x14ac:dyDescent="0.3">
      <c r="A32" s="89" t="s">
        <v>141</v>
      </c>
      <c r="B32" s="67">
        <v>80</v>
      </c>
      <c r="C32" s="80"/>
      <c r="I32" s="17">
        <v>29</v>
      </c>
      <c r="J32" s="17" cm="1">
        <f t="array" ref="J32">VCB_RI_Freq*$I32</f>
        <v>290</v>
      </c>
      <c r="K32" s="17">
        <f t="shared" si="0"/>
        <v>290</v>
      </c>
      <c r="L32" s="17">
        <f t="shared" si="1"/>
        <v>406</v>
      </c>
      <c r="M32" s="17">
        <f t="shared" si="2"/>
        <v>145</v>
      </c>
    </row>
    <row r="33" spans="1:13" ht="14.5" thickBot="1" x14ac:dyDescent="0.35">
      <c r="A33" s="96"/>
      <c r="B33" s="97"/>
      <c r="C33" s="98"/>
      <c r="I33" s="17">
        <v>30</v>
      </c>
      <c r="J33" s="17" cm="1">
        <f t="array" ref="J33">VCB_RI_Freq*$I33</f>
        <v>300</v>
      </c>
      <c r="K33" s="17">
        <f t="shared" si="0"/>
        <v>300</v>
      </c>
      <c r="L33" s="17">
        <f t="shared" si="1"/>
        <v>420</v>
      </c>
      <c r="M33" s="17">
        <f t="shared" si="2"/>
        <v>150</v>
      </c>
    </row>
    <row r="34" spans="1:13" x14ac:dyDescent="0.3">
      <c r="I34" s="17">
        <v>31</v>
      </c>
      <c r="J34" s="17" cm="1">
        <f t="array" ref="J34">VCB_RI_Freq*$I34</f>
        <v>310</v>
      </c>
      <c r="K34" s="17">
        <f t="shared" si="0"/>
        <v>310</v>
      </c>
      <c r="L34" s="17">
        <f t="shared" si="1"/>
        <v>434</v>
      </c>
      <c r="M34" s="17">
        <f t="shared" si="2"/>
        <v>155</v>
      </c>
    </row>
    <row r="35" spans="1:13" ht="14.5" x14ac:dyDescent="0.35">
      <c r="A35" s="156"/>
      <c r="I35" s="17">
        <v>32</v>
      </c>
      <c r="J35" s="17" cm="1">
        <f t="array" ref="J35">VCB_RI_Freq*$I35</f>
        <v>320</v>
      </c>
      <c r="K35" s="17">
        <f t="shared" si="0"/>
        <v>320</v>
      </c>
      <c r="L35" s="17">
        <f t="shared" si="1"/>
        <v>448</v>
      </c>
      <c r="M35" s="17">
        <f t="shared" si="2"/>
        <v>160</v>
      </c>
    </row>
    <row r="36" spans="1:13" x14ac:dyDescent="0.3">
      <c r="I36" s="17">
        <v>33</v>
      </c>
      <c r="J36" s="17" cm="1">
        <f t="array" ref="J36">VCB_RI_Freq*$I36</f>
        <v>330</v>
      </c>
      <c r="K36" s="17">
        <f t="shared" ref="K36:K63" si="3">GCB_RI_Freq*$I36</f>
        <v>330</v>
      </c>
      <c r="L36" s="17">
        <f t="shared" ref="L36:L63" si="4">VCB_PI_Freq*$I36</f>
        <v>462</v>
      </c>
      <c r="M36" s="17">
        <f t="shared" ref="M36:M63" si="5">GCB_PI_Freq*$I36</f>
        <v>165</v>
      </c>
    </row>
    <row r="37" spans="1:13" x14ac:dyDescent="0.3">
      <c r="I37" s="17">
        <v>34</v>
      </c>
      <c r="J37" s="17" cm="1">
        <f t="array" ref="J37">VCB_RI_Freq*$I37</f>
        <v>340</v>
      </c>
      <c r="K37" s="17">
        <f t="shared" si="3"/>
        <v>340</v>
      </c>
      <c r="L37" s="17">
        <f t="shared" si="4"/>
        <v>476</v>
      </c>
      <c r="M37" s="17">
        <f t="shared" si="5"/>
        <v>170</v>
      </c>
    </row>
    <row r="38" spans="1:13" x14ac:dyDescent="0.3">
      <c r="I38" s="17">
        <v>35</v>
      </c>
      <c r="J38" s="17" cm="1">
        <f t="array" ref="J38">VCB_RI_Freq*$I38</f>
        <v>350</v>
      </c>
      <c r="K38" s="17">
        <f t="shared" si="3"/>
        <v>350</v>
      </c>
      <c r="L38" s="17">
        <f t="shared" si="4"/>
        <v>490</v>
      </c>
      <c r="M38" s="17">
        <f t="shared" si="5"/>
        <v>175</v>
      </c>
    </row>
    <row r="39" spans="1:13" x14ac:dyDescent="0.3">
      <c r="I39" s="17">
        <v>36</v>
      </c>
      <c r="J39" s="17" cm="1">
        <f t="array" ref="J39">VCB_RI_Freq*$I39</f>
        <v>360</v>
      </c>
      <c r="K39" s="17">
        <f t="shared" si="3"/>
        <v>360</v>
      </c>
      <c r="L39" s="17">
        <f t="shared" si="4"/>
        <v>504</v>
      </c>
      <c r="M39" s="17">
        <f t="shared" si="5"/>
        <v>180</v>
      </c>
    </row>
    <row r="40" spans="1:13" x14ac:dyDescent="0.3">
      <c r="I40" s="17">
        <v>37</v>
      </c>
      <c r="J40" s="17" cm="1">
        <f t="array" ref="J40">VCB_RI_Freq*$I40</f>
        <v>370</v>
      </c>
      <c r="K40" s="17">
        <f t="shared" si="3"/>
        <v>370</v>
      </c>
      <c r="L40" s="17">
        <f t="shared" si="4"/>
        <v>518</v>
      </c>
      <c r="M40" s="17">
        <f t="shared" si="5"/>
        <v>185</v>
      </c>
    </row>
    <row r="41" spans="1:13" x14ac:dyDescent="0.3">
      <c r="I41" s="17">
        <v>38</v>
      </c>
      <c r="J41" s="17" cm="1">
        <f t="array" ref="J41">VCB_RI_Freq*$I41</f>
        <v>380</v>
      </c>
      <c r="K41" s="17">
        <f t="shared" si="3"/>
        <v>380</v>
      </c>
      <c r="L41" s="17">
        <f t="shared" si="4"/>
        <v>532</v>
      </c>
      <c r="M41" s="17">
        <f t="shared" si="5"/>
        <v>190</v>
      </c>
    </row>
    <row r="42" spans="1:13" x14ac:dyDescent="0.3">
      <c r="I42" s="17">
        <v>39</v>
      </c>
      <c r="J42" s="17" cm="1">
        <f t="array" ref="J42">VCB_RI_Freq*$I42</f>
        <v>390</v>
      </c>
      <c r="K42" s="17">
        <f t="shared" si="3"/>
        <v>390</v>
      </c>
      <c r="L42" s="17">
        <f t="shared" si="4"/>
        <v>546</v>
      </c>
      <c r="M42" s="17">
        <f t="shared" si="5"/>
        <v>195</v>
      </c>
    </row>
    <row r="43" spans="1:13" x14ac:dyDescent="0.3">
      <c r="I43" s="17">
        <v>40</v>
      </c>
      <c r="J43" s="17" cm="1">
        <f t="array" ref="J43">VCB_RI_Freq*$I43</f>
        <v>400</v>
      </c>
      <c r="K43" s="17">
        <f t="shared" si="3"/>
        <v>400</v>
      </c>
      <c r="L43" s="17">
        <f t="shared" si="4"/>
        <v>560</v>
      </c>
      <c r="M43" s="17">
        <f t="shared" si="5"/>
        <v>200</v>
      </c>
    </row>
    <row r="44" spans="1:13" x14ac:dyDescent="0.3">
      <c r="I44" s="17">
        <v>41</v>
      </c>
      <c r="J44" s="17" cm="1">
        <f t="array" ref="J44">VCB_RI_Freq*$I44</f>
        <v>410</v>
      </c>
      <c r="K44" s="17">
        <f t="shared" si="3"/>
        <v>410</v>
      </c>
      <c r="L44" s="17">
        <f t="shared" si="4"/>
        <v>574</v>
      </c>
      <c r="M44" s="17">
        <f t="shared" si="5"/>
        <v>205</v>
      </c>
    </row>
    <row r="45" spans="1:13" x14ac:dyDescent="0.3">
      <c r="I45" s="17">
        <v>42</v>
      </c>
      <c r="J45" s="17" cm="1">
        <f t="array" ref="J45">VCB_RI_Freq*$I45</f>
        <v>420</v>
      </c>
      <c r="K45" s="17">
        <f t="shared" si="3"/>
        <v>420</v>
      </c>
      <c r="L45" s="17">
        <f t="shared" si="4"/>
        <v>588</v>
      </c>
      <c r="M45" s="17">
        <f t="shared" si="5"/>
        <v>210</v>
      </c>
    </row>
    <row r="46" spans="1:13" x14ac:dyDescent="0.3">
      <c r="I46" s="17">
        <v>43</v>
      </c>
      <c r="J46" s="17" cm="1">
        <f t="array" ref="J46">VCB_RI_Freq*$I46</f>
        <v>430</v>
      </c>
      <c r="K46" s="17">
        <f t="shared" si="3"/>
        <v>430</v>
      </c>
      <c r="L46" s="17">
        <f t="shared" si="4"/>
        <v>602</v>
      </c>
      <c r="M46" s="17">
        <f t="shared" si="5"/>
        <v>215</v>
      </c>
    </row>
    <row r="47" spans="1:13" x14ac:dyDescent="0.3">
      <c r="I47" s="17">
        <v>44</v>
      </c>
      <c r="J47" s="17" cm="1">
        <f t="array" ref="J47">VCB_RI_Freq*$I47</f>
        <v>440</v>
      </c>
      <c r="K47" s="17">
        <f t="shared" si="3"/>
        <v>440</v>
      </c>
      <c r="L47" s="17">
        <f t="shared" si="4"/>
        <v>616</v>
      </c>
      <c r="M47" s="17">
        <f t="shared" si="5"/>
        <v>220</v>
      </c>
    </row>
    <row r="48" spans="1:13" x14ac:dyDescent="0.3">
      <c r="I48" s="17">
        <v>45</v>
      </c>
      <c r="J48" s="17" cm="1">
        <f t="array" ref="J48">VCB_RI_Freq*$I48</f>
        <v>450</v>
      </c>
      <c r="K48" s="17">
        <f t="shared" si="3"/>
        <v>450</v>
      </c>
      <c r="L48" s="17">
        <f t="shared" si="4"/>
        <v>630</v>
      </c>
      <c r="M48" s="17">
        <f t="shared" si="5"/>
        <v>225</v>
      </c>
    </row>
    <row r="49" spans="9:13" x14ac:dyDescent="0.3">
      <c r="I49" s="17">
        <v>46</v>
      </c>
      <c r="J49" s="17" cm="1">
        <f t="array" ref="J49">VCB_RI_Freq*$I49</f>
        <v>460</v>
      </c>
      <c r="K49" s="17">
        <f t="shared" si="3"/>
        <v>460</v>
      </c>
      <c r="L49" s="17">
        <f t="shared" si="4"/>
        <v>644</v>
      </c>
      <c r="M49" s="17">
        <f t="shared" si="5"/>
        <v>230</v>
      </c>
    </row>
    <row r="50" spans="9:13" x14ac:dyDescent="0.3">
      <c r="I50" s="17">
        <v>47</v>
      </c>
      <c r="J50" s="17" cm="1">
        <f t="array" ref="J50">VCB_RI_Freq*$I50</f>
        <v>470</v>
      </c>
      <c r="K50" s="17">
        <f t="shared" si="3"/>
        <v>470</v>
      </c>
      <c r="L50" s="17">
        <f t="shared" si="4"/>
        <v>658</v>
      </c>
      <c r="M50" s="17">
        <f t="shared" si="5"/>
        <v>235</v>
      </c>
    </row>
    <row r="51" spans="9:13" x14ac:dyDescent="0.3">
      <c r="I51" s="17">
        <v>48</v>
      </c>
      <c r="J51" s="17" cm="1">
        <f t="array" ref="J51">VCB_RI_Freq*$I51</f>
        <v>480</v>
      </c>
      <c r="K51" s="17">
        <f t="shared" si="3"/>
        <v>480</v>
      </c>
      <c r="L51" s="17">
        <f t="shared" si="4"/>
        <v>672</v>
      </c>
      <c r="M51" s="17">
        <f t="shared" si="5"/>
        <v>240</v>
      </c>
    </row>
    <row r="52" spans="9:13" x14ac:dyDescent="0.3">
      <c r="I52" s="17">
        <v>49</v>
      </c>
      <c r="J52" s="17" cm="1">
        <f t="array" ref="J52">VCB_RI_Freq*$I52</f>
        <v>490</v>
      </c>
      <c r="K52" s="17">
        <f t="shared" si="3"/>
        <v>490</v>
      </c>
      <c r="L52" s="17">
        <f t="shared" si="4"/>
        <v>686</v>
      </c>
      <c r="M52" s="17">
        <f t="shared" si="5"/>
        <v>245</v>
      </c>
    </row>
    <row r="53" spans="9:13" x14ac:dyDescent="0.3">
      <c r="I53" s="17">
        <v>50</v>
      </c>
      <c r="J53" s="17" cm="1">
        <f t="array" ref="J53">VCB_RI_Freq*$I53</f>
        <v>500</v>
      </c>
      <c r="K53" s="17">
        <f t="shared" si="3"/>
        <v>500</v>
      </c>
      <c r="L53" s="17">
        <f t="shared" si="4"/>
        <v>700</v>
      </c>
      <c r="M53" s="17">
        <f t="shared" si="5"/>
        <v>250</v>
      </c>
    </row>
    <row r="54" spans="9:13" x14ac:dyDescent="0.3">
      <c r="I54" s="17">
        <v>51</v>
      </c>
      <c r="J54" s="17" cm="1">
        <f t="array" ref="J54">VCB_RI_Freq*$I54</f>
        <v>510</v>
      </c>
      <c r="K54" s="17">
        <f t="shared" si="3"/>
        <v>510</v>
      </c>
      <c r="L54" s="17">
        <f t="shared" si="4"/>
        <v>714</v>
      </c>
      <c r="M54" s="17">
        <f t="shared" si="5"/>
        <v>255</v>
      </c>
    </row>
    <row r="55" spans="9:13" x14ac:dyDescent="0.3">
      <c r="I55" s="17">
        <v>52</v>
      </c>
      <c r="J55" s="17" cm="1">
        <f t="array" ref="J55">VCB_RI_Freq*$I55</f>
        <v>520</v>
      </c>
      <c r="K55" s="17">
        <f t="shared" si="3"/>
        <v>520</v>
      </c>
      <c r="L55" s="17">
        <f t="shared" si="4"/>
        <v>728</v>
      </c>
      <c r="M55" s="17">
        <f t="shared" si="5"/>
        <v>260</v>
      </c>
    </row>
    <row r="56" spans="9:13" x14ac:dyDescent="0.3">
      <c r="I56" s="17">
        <v>53</v>
      </c>
      <c r="J56" s="17" cm="1">
        <f t="array" ref="J56">VCB_RI_Freq*$I56</f>
        <v>530</v>
      </c>
      <c r="K56" s="17">
        <f t="shared" si="3"/>
        <v>530</v>
      </c>
      <c r="L56" s="17">
        <f t="shared" si="4"/>
        <v>742</v>
      </c>
      <c r="M56" s="17">
        <f t="shared" si="5"/>
        <v>265</v>
      </c>
    </row>
    <row r="57" spans="9:13" x14ac:dyDescent="0.3">
      <c r="I57" s="17">
        <v>54</v>
      </c>
      <c r="J57" s="17" cm="1">
        <f t="array" ref="J57">VCB_RI_Freq*$I57</f>
        <v>540</v>
      </c>
      <c r="K57" s="17">
        <f t="shared" si="3"/>
        <v>540</v>
      </c>
      <c r="L57" s="17">
        <f t="shared" si="4"/>
        <v>756</v>
      </c>
      <c r="M57" s="17">
        <f t="shared" si="5"/>
        <v>270</v>
      </c>
    </row>
    <row r="58" spans="9:13" x14ac:dyDescent="0.3">
      <c r="I58" s="17">
        <v>55</v>
      </c>
      <c r="J58" s="17" cm="1">
        <f t="array" ref="J58">VCB_RI_Freq*$I58</f>
        <v>550</v>
      </c>
      <c r="K58" s="17">
        <f t="shared" si="3"/>
        <v>550</v>
      </c>
      <c r="L58" s="17">
        <f t="shared" si="4"/>
        <v>770</v>
      </c>
      <c r="M58" s="17">
        <f t="shared" si="5"/>
        <v>275</v>
      </c>
    </row>
    <row r="59" spans="9:13" x14ac:dyDescent="0.3">
      <c r="I59" s="17">
        <v>56</v>
      </c>
      <c r="J59" s="17" cm="1">
        <f t="array" ref="J59">VCB_RI_Freq*$I59</f>
        <v>560</v>
      </c>
      <c r="K59" s="17">
        <f t="shared" si="3"/>
        <v>560</v>
      </c>
      <c r="L59" s="17">
        <f t="shared" si="4"/>
        <v>784</v>
      </c>
      <c r="M59" s="17">
        <f t="shared" si="5"/>
        <v>280</v>
      </c>
    </row>
    <row r="60" spans="9:13" x14ac:dyDescent="0.3">
      <c r="I60" s="17">
        <v>57</v>
      </c>
      <c r="J60" s="17" cm="1">
        <f t="array" ref="J60">VCB_RI_Freq*$I60</f>
        <v>570</v>
      </c>
      <c r="K60" s="17">
        <f t="shared" si="3"/>
        <v>570</v>
      </c>
      <c r="L60" s="17">
        <f t="shared" si="4"/>
        <v>798</v>
      </c>
      <c r="M60" s="17">
        <f t="shared" si="5"/>
        <v>285</v>
      </c>
    </row>
    <row r="61" spans="9:13" x14ac:dyDescent="0.3">
      <c r="I61" s="17">
        <v>58</v>
      </c>
      <c r="J61" s="17" cm="1">
        <f t="array" ref="J61">VCB_RI_Freq*$I61</f>
        <v>580</v>
      </c>
      <c r="K61" s="17">
        <f t="shared" si="3"/>
        <v>580</v>
      </c>
      <c r="L61" s="17">
        <f t="shared" si="4"/>
        <v>812</v>
      </c>
      <c r="M61" s="17">
        <f t="shared" si="5"/>
        <v>290</v>
      </c>
    </row>
    <row r="62" spans="9:13" x14ac:dyDescent="0.3">
      <c r="I62" s="17">
        <v>59</v>
      </c>
      <c r="J62" s="17" cm="1">
        <f t="array" ref="J62">VCB_RI_Freq*$I62</f>
        <v>590</v>
      </c>
      <c r="K62" s="17">
        <f t="shared" si="3"/>
        <v>590</v>
      </c>
      <c r="L62" s="17">
        <f t="shared" si="4"/>
        <v>826</v>
      </c>
      <c r="M62" s="17">
        <f t="shared" si="5"/>
        <v>295</v>
      </c>
    </row>
    <row r="63" spans="9:13" x14ac:dyDescent="0.3">
      <c r="I63" s="17">
        <v>60</v>
      </c>
      <c r="J63" s="17" cm="1">
        <f t="array" ref="J63">VCB_RI_Freq*$I63</f>
        <v>600</v>
      </c>
      <c r="K63" s="17">
        <f t="shared" si="3"/>
        <v>600</v>
      </c>
      <c r="L63" s="17">
        <f t="shared" si="4"/>
        <v>840</v>
      </c>
      <c r="M63" s="17">
        <f t="shared" si="5"/>
        <v>300</v>
      </c>
    </row>
  </sheetData>
  <sheetProtection sheet="1" objects="1" scenarios="1"/>
  <dataValidations count="5">
    <dataValidation type="list" allowBlank="1" showInputMessage="1" showErrorMessage="1" prompt="Selecting a 3% discount rate will result in a more uniform weighting of cost across the lifespan of the breaker whereas 7% discount rate will cause installation costs to be more heavily weighted. " sqref="B8" xr:uid="{DA6F67BD-3BC1-4864-99DB-3189995C86BB}">
      <formula1>$N$4:$N$6</formula1>
    </dataValidation>
    <dataValidation allowBlank="1" showInputMessage="1" showErrorMessage="1" prompt="A periodic inspection will take place every X years, X being the value in C18." sqref="A18 A27" xr:uid="{95B1AC54-714D-45B0-A7A5-87A4F4F53407}"/>
    <dataValidation allowBlank="1" showInputMessage="1" showErrorMessage="1" prompt="For best results, the user should enter the utility's average SF6 emission rate, which is representative of equipment leak rate as well as losses from SF6 gas handling." sqref="B31" xr:uid="{56C60240-369E-4BB4-94CD-744CDB85DE57}"/>
    <dataValidation allowBlank="1" showInputMessage="1" showErrorMessage="1" prompt="User should enter a representative nameplate capacity of the SF6 breakers being using in the comparison analysis." sqref="B32" xr:uid="{A55BAD43-E18A-4642-AFD3-FDF482D46B91}"/>
    <dataValidation allowBlank="1" showInputMessage="1" showErrorMessage="1" prompt="A routine inspection will take place every X years, X being the value in C17." sqref="A17 A26" xr:uid="{9E6CF365-7D6C-463C-8B67-4F4CF3D2F381}"/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46E7-5B3E-49AE-834C-BC122D27FC97}">
  <sheetPr codeName="Sheet4"/>
  <dimension ref="A1:N29"/>
  <sheetViews>
    <sheetView workbookViewId="0">
      <selection activeCell="B25" sqref="B25"/>
    </sheetView>
  </sheetViews>
  <sheetFormatPr defaultColWidth="8" defaultRowHeight="14" x14ac:dyDescent="0.35"/>
  <cols>
    <col min="1" max="1" width="35.54296875" style="116" customWidth="1"/>
    <col min="2" max="2" width="19.453125" style="116" customWidth="1"/>
    <col min="3" max="6" width="17.54296875" style="116" customWidth="1"/>
    <col min="7" max="7" width="20.7265625" style="116" customWidth="1"/>
    <col min="8" max="8" width="12.54296875" style="116" customWidth="1"/>
    <col min="9" max="10" width="17.54296875" style="111" customWidth="1"/>
    <col min="11" max="11" width="26.453125" style="111" customWidth="1"/>
    <col min="12" max="12" width="17.54296875" style="111" customWidth="1"/>
    <col min="13" max="13" width="23.26953125" style="111" customWidth="1"/>
    <col min="14" max="14" width="20.26953125" style="111" customWidth="1"/>
    <col min="15" max="15" width="33.26953125" style="111" bestFit="1" customWidth="1"/>
    <col min="16" max="16384" width="8" style="111"/>
  </cols>
  <sheetData>
    <row r="1" spans="1:14" s="103" customFormat="1" x14ac:dyDescent="0.35">
      <c r="A1" s="100" t="s">
        <v>142</v>
      </c>
      <c r="B1" s="76"/>
      <c r="C1" s="76"/>
      <c r="D1" s="76"/>
      <c r="E1" s="76"/>
      <c r="F1" s="76"/>
      <c r="G1" s="76"/>
      <c r="H1" s="101"/>
      <c r="I1" s="102"/>
      <c r="J1" s="102"/>
      <c r="K1" s="102"/>
      <c r="L1" s="102"/>
      <c r="M1" s="102"/>
      <c r="N1" s="102"/>
    </row>
    <row r="2" spans="1:14" s="103" customFormat="1" ht="12.5" x14ac:dyDescent="0.35">
      <c r="A2" s="260" t="s">
        <v>117</v>
      </c>
      <c r="B2" s="105"/>
      <c r="C2" s="105"/>
      <c r="D2" s="79"/>
      <c r="E2" s="79"/>
      <c r="F2" s="79"/>
      <c r="G2" s="79"/>
      <c r="H2" s="106"/>
      <c r="I2" s="102"/>
      <c r="J2" s="102"/>
      <c r="K2" s="102"/>
      <c r="L2" s="102"/>
      <c r="M2" s="102"/>
      <c r="N2" s="102"/>
    </row>
    <row r="3" spans="1:14" s="103" customFormat="1" ht="13" x14ac:dyDescent="0.35">
      <c r="A3" s="81" t="s">
        <v>124</v>
      </c>
      <c r="B3" s="82" t="s">
        <v>125</v>
      </c>
      <c r="C3" s="268" t="s">
        <v>143</v>
      </c>
      <c r="D3" s="105"/>
      <c r="E3" s="105"/>
      <c r="F3" s="79"/>
      <c r="G3" s="79"/>
      <c r="H3" s="106"/>
      <c r="I3" s="102"/>
      <c r="J3" s="102"/>
      <c r="K3" s="102"/>
      <c r="L3" s="102"/>
      <c r="M3" s="102"/>
      <c r="N3" s="102"/>
    </row>
    <row r="4" spans="1:14" s="103" customFormat="1" ht="13" x14ac:dyDescent="0.35">
      <c r="A4" s="104"/>
      <c r="B4" s="105"/>
      <c r="C4" s="105"/>
      <c r="D4" s="85"/>
      <c r="E4" s="85"/>
      <c r="F4" s="79"/>
      <c r="G4" s="79"/>
      <c r="H4" s="106"/>
      <c r="I4" s="102"/>
      <c r="J4" s="102"/>
      <c r="K4" s="102"/>
      <c r="L4" s="102"/>
      <c r="M4" s="102"/>
      <c r="N4" s="102"/>
    </row>
    <row r="5" spans="1:14" s="103" customFormat="1" ht="13" x14ac:dyDescent="0.35">
      <c r="A5" s="107" t="s">
        <v>144</v>
      </c>
      <c r="B5" s="79"/>
      <c r="C5" s="105"/>
      <c r="D5" s="79"/>
      <c r="E5" s="79"/>
      <c r="F5" s="79"/>
      <c r="G5" s="79"/>
      <c r="H5" s="106"/>
      <c r="I5" s="102"/>
      <c r="J5" s="102"/>
      <c r="K5" s="102"/>
      <c r="L5" s="102"/>
      <c r="M5" s="102"/>
      <c r="N5" s="102"/>
    </row>
    <row r="6" spans="1:14" s="103" customFormat="1" ht="13" x14ac:dyDescent="0.35">
      <c r="A6" s="158"/>
      <c r="B6" s="235" t="s">
        <v>145</v>
      </c>
      <c r="C6" s="235"/>
      <c r="D6" s="235"/>
      <c r="E6" s="235"/>
      <c r="F6" s="235"/>
      <c r="G6" s="235"/>
      <c r="H6" s="106"/>
      <c r="I6" s="102"/>
      <c r="J6" s="102"/>
      <c r="K6" s="102"/>
      <c r="L6" s="102"/>
      <c r="M6" s="102"/>
      <c r="N6" s="102"/>
    </row>
    <row r="7" spans="1:14" s="103" customFormat="1" ht="13" x14ac:dyDescent="0.3">
      <c r="A7" s="123"/>
      <c r="B7" s="244" t="s">
        <v>146</v>
      </c>
      <c r="C7" s="245"/>
      <c r="D7" s="246"/>
      <c r="E7" s="244" t="s">
        <v>147</v>
      </c>
      <c r="F7" s="246"/>
      <c r="G7" s="124"/>
      <c r="H7" s="106"/>
      <c r="I7" s="102"/>
      <c r="J7" s="102"/>
      <c r="K7" s="102"/>
      <c r="L7" s="102"/>
      <c r="M7" s="102"/>
      <c r="N7" s="102"/>
    </row>
    <row r="8" spans="1:14" s="103" customFormat="1" ht="13" x14ac:dyDescent="0.35">
      <c r="A8" s="158" t="s">
        <v>148</v>
      </c>
      <c r="B8" s="125" t="s">
        <v>149</v>
      </c>
      <c r="C8" s="125" t="s">
        <v>150</v>
      </c>
      <c r="D8" s="126" t="s">
        <v>151</v>
      </c>
      <c r="E8" s="125" t="s">
        <v>152</v>
      </c>
      <c r="F8" s="126" t="s">
        <v>153</v>
      </c>
      <c r="G8" s="125" t="s">
        <v>154</v>
      </c>
      <c r="H8" s="106"/>
      <c r="I8" s="102"/>
      <c r="J8" s="102"/>
      <c r="K8" s="102"/>
      <c r="L8" s="102"/>
      <c r="M8" s="102"/>
      <c r="N8" s="102"/>
    </row>
    <row r="9" spans="1:14" s="103" customFormat="1" ht="13" x14ac:dyDescent="0.35">
      <c r="A9" s="127" t="s">
        <v>155</v>
      </c>
      <c r="B9" s="268"/>
      <c r="C9" s="268"/>
      <c r="D9" s="52">
        <f t="shared" ref="D9" si="0">B9*C9</f>
        <v>0</v>
      </c>
      <c r="E9" s="128" t="s">
        <v>156</v>
      </c>
      <c r="F9" s="19">
        <f>197000*4</f>
        <v>788000</v>
      </c>
      <c r="G9" s="129">
        <f>D9+F9</f>
        <v>788000</v>
      </c>
      <c r="H9" s="109"/>
    </row>
    <row r="10" spans="1:14" s="103" customFormat="1" ht="12.5" x14ac:dyDescent="0.25">
      <c r="A10" s="127" t="s">
        <v>157</v>
      </c>
      <c r="B10" s="18">
        <v>400</v>
      </c>
      <c r="C10" s="19">
        <v>125</v>
      </c>
      <c r="D10" s="248">
        <f t="shared" ref="D10" si="1">B10*C10</f>
        <v>50000</v>
      </c>
      <c r="E10" s="249" t="s">
        <v>158</v>
      </c>
      <c r="F10" s="247">
        <v>5000</v>
      </c>
      <c r="G10" s="129">
        <f>D10+F10</f>
        <v>55000</v>
      </c>
      <c r="H10" s="109"/>
    </row>
    <row r="11" spans="1:14" s="103" customFormat="1" ht="12.5" x14ac:dyDescent="0.35">
      <c r="A11" s="177" t="s">
        <v>159</v>
      </c>
      <c r="B11" s="18"/>
      <c r="C11" s="19"/>
      <c r="D11" s="52">
        <f t="shared" ref="D11" si="2">B11*C11</f>
        <v>0</v>
      </c>
      <c r="E11" s="202"/>
      <c r="F11" s="19"/>
      <c r="G11" s="129">
        <f>D11+F11</f>
        <v>0</v>
      </c>
      <c r="H11" s="109"/>
    </row>
    <row r="12" spans="1:14" s="103" customFormat="1" ht="14.5" x14ac:dyDescent="0.35">
      <c r="A12" s="170" t="s">
        <v>160</v>
      </c>
      <c r="B12" s="108"/>
      <c r="C12" s="108"/>
      <c r="D12" s="108"/>
      <c r="E12" s="105"/>
      <c r="F12" s="105"/>
      <c r="G12" s="129">
        <f>SUM(G9:G11)</f>
        <v>843000</v>
      </c>
      <c r="H12" s="109"/>
      <c r="M12" s="110"/>
      <c r="N12" s="111"/>
    </row>
    <row r="13" spans="1:14" s="103" customFormat="1" x14ac:dyDescent="0.35">
      <c r="A13" s="122"/>
      <c r="B13" s="266" t="s">
        <v>161</v>
      </c>
      <c r="C13" s="236"/>
      <c r="D13" s="237"/>
      <c r="E13" s="237"/>
      <c r="F13" s="237"/>
      <c r="G13" s="238"/>
      <c r="H13" s="109"/>
      <c r="M13" s="110"/>
      <c r="N13" s="111"/>
    </row>
    <row r="14" spans="1:14" s="103" customFormat="1" x14ac:dyDescent="0.3">
      <c r="A14" s="123"/>
      <c r="B14" s="243" t="s">
        <v>146</v>
      </c>
      <c r="C14" s="241"/>
      <c r="D14" s="242"/>
      <c r="E14" s="244" t="s">
        <v>147</v>
      </c>
      <c r="F14" s="246"/>
      <c r="G14" s="124"/>
      <c r="H14" s="109"/>
      <c r="M14" s="110"/>
      <c r="N14" s="111"/>
    </row>
    <row r="15" spans="1:14" x14ac:dyDescent="0.35">
      <c r="A15" s="158" t="s">
        <v>148</v>
      </c>
      <c r="B15" s="125" t="s">
        <v>149</v>
      </c>
      <c r="C15" s="125" t="s">
        <v>150</v>
      </c>
      <c r="D15" s="126" t="s">
        <v>151</v>
      </c>
      <c r="E15" s="125" t="s">
        <v>152</v>
      </c>
      <c r="F15" s="126" t="s">
        <v>153</v>
      </c>
      <c r="G15" s="125" t="s">
        <v>162</v>
      </c>
      <c r="H15" s="112"/>
    </row>
    <row r="16" spans="1:14" ht="13.9" customHeight="1" x14ac:dyDescent="0.35">
      <c r="A16" s="127" t="s">
        <v>155</v>
      </c>
      <c r="B16" s="268"/>
      <c r="C16" s="268"/>
      <c r="D16" s="52">
        <f t="shared" ref="D16:D18" si="3">B16*C16</f>
        <v>0</v>
      </c>
      <c r="E16" s="128" t="s">
        <v>156</v>
      </c>
      <c r="F16" s="19">
        <f>88000*4</f>
        <v>352000</v>
      </c>
      <c r="G16" s="129">
        <f>D16+F16</f>
        <v>352000</v>
      </c>
      <c r="H16" s="112"/>
    </row>
    <row r="17" spans="1:8" ht="13.9" customHeight="1" x14ac:dyDescent="0.35">
      <c r="A17" s="127" t="s">
        <v>157</v>
      </c>
      <c r="B17" s="18">
        <v>400</v>
      </c>
      <c r="C17" s="19">
        <v>125</v>
      </c>
      <c r="D17" s="52">
        <f t="shared" si="3"/>
        <v>50000</v>
      </c>
      <c r="E17" s="128" t="s">
        <v>158</v>
      </c>
      <c r="F17" s="19">
        <v>5000</v>
      </c>
      <c r="G17" s="129">
        <f>D17+F17</f>
        <v>55000</v>
      </c>
      <c r="H17" s="112"/>
    </row>
    <row r="18" spans="1:8" s="103" customFormat="1" ht="12.5" x14ac:dyDescent="0.35">
      <c r="A18" s="177" t="s">
        <v>159</v>
      </c>
      <c r="B18" s="18"/>
      <c r="C18" s="19"/>
      <c r="D18" s="52">
        <f t="shared" si="3"/>
        <v>0</v>
      </c>
      <c r="E18" s="202"/>
      <c r="F18" s="19"/>
      <c r="G18" s="129">
        <f>D18+F18</f>
        <v>0</v>
      </c>
      <c r="H18" s="109"/>
    </row>
    <row r="19" spans="1:8" ht="14.5" x14ac:dyDescent="0.35">
      <c r="A19" s="170" t="s">
        <v>160</v>
      </c>
      <c r="B19" s="108"/>
      <c r="C19" s="108"/>
      <c r="D19" s="108"/>
      <c r="E19" s="105"/>
      <c r="F19" s="105"/>
      <c r="G19" s="129">
        <f>SUM(G16:G18)</f>
        <v>407000</v>
      </c>
      <c r="H19" s="112"/>
    </row>
    <row r="20" spans="1:8" x14ac:dyDescent="0.35">
      <c r="A20" s="122"/>
      <c r="B20" s="239" t="s">
        <v>163</v>
      </c>
      <c r="C20" s="240"/>
      <c r="D20" s="241"/>
      <c r="E20" s="241"/>
      <c r="F20" s="241"/>
      <c r="G20" s="242"/>
      <c r="H20" s="112"/>
    </row>
    <row r="21" spans="1:8" x14ac:dyDescent="0.3">
      <c r="A21" s="123"/>
      <c r="B21" s="244" t="s">
        <v>146</v>
      </c>
      <c r="C21" s="245"/>
      <c r="D21" s="246"/>
      <c r="E21" s="244" t="s">
        <v>147</v>
      </c>
      <c r="F21" s="246"/>
      <c r="G21" s="124"/>
      <c r="H21" s="112"/>
    </row>
    <row r="22" spans="1:8" x14ac:dyDescent="0.35">
      <c r="A22" s="158" t="s">
        <v>148</v>
      </c>
      <c r="B22" s="125" t="s">
        <v>149</v>
      </c>
      <c r="C22" s="125" t="s">
        <v>150</v>
      </c>
      <c r="D22" s="126" t="s">
        <v>151</v>
      </c>
      <c r="E22" s="125" t="s">
        <v>152</v>
      </c>
      <c r="F22" s="126" t="s">
        <v>153</v>
      </c>
      <c r="G22" s="125" t="s">
        <v>162</v>
      </c>
      <c r="H22" s="112"/>
    </row>
    <row r="23" spans="1:8" x14ac:dyDescent="0.35">
      <c r="A23" s="127" t="s">
        <v>155</v>
      </c>
      <c r="B23" s="268"/>
      <c r="C23" s="268"/>
      <c r="D23" s="52">
        <f t="shared" ref="D23:D25" si="4">B23*C23</f>
        <v>0</v>
      </c>
      <c r="E23" s="128" t="s">
        <v>156</v>
      </c>
      <c r="F23" s="19">
        <v>352000</v>
      </c>
      <c r="G23" s="129">
        <f>D23+F23</f>
        <v>352000</v>
      </c>
      <c r="H23" s="112"/>
    </row>
    <row r="24" spans="1:8" x14ac:dyDescent="0.35">
      <c r="A24" s="127" t="s">
        <v>157</v>
      </c>
      <c r="B24" s="18">
        <v>400</v>
      </c>
      <c r="C24" s="19">
        <v>125</v>
      </c>
      <c r="D24" s="52">
        <f t="shared" si="4"/>
        <v>50000</v>
      </c>
      <c r="E24" s="128" t="s">
        <v>158</v>
      </c>
      <c r="F24" s="19">
        <v>5000</v>
      </c>
      <c r="G24" s="129">
        <f>D24+F24</f>
        <v>55000</v>
      </c>
      <c r="H24" s="112"/>
    </row>
    <row r="25" spans="1:8" s="103" customFormat="1" ht="12.5" x14ac:dyDescent="0.35">
      <c r="A25" s="177" t="s">
        <v>159</v>
      </c>
      <c r="B25" s="18"/>
      <c r="C25" s="19"/>
      <c r="D25" s="52">
        <f t="shared" si="4"/>
        <v>0</v>
      </c>
      <c r="E25" s="202"/>
      <c r="F25" s="19"/>
      <c r="G25" s="129">
        <f>D25+F25</f>
        <v>0</v>
      </c>
      <c r="H25" s="109"/>
    </row>
    <row r="26" spans="1:8" ht="14.5" x14ac:dyDescent="0.35">
      <c r="A26" s="171" t="s">
        <v>160</v>
      </c>
      <c r="B26" s="108"/>
      <c r="C26" s="108"/>
      <c r="D26" s="108"/>
      <c r="E26" s="105"/>
      <c r="F26" s="105"/>
      <c r="G26" s="129">
        <f>SUM(G23:G25)</f>
        <v>407000</v>
      </c>
      <c r="H26" s="112"/>
    </row>
    <row r="27" spans="1:8" ht="14.5" thickBot="1" x14ac:dyDescent="0.4">
      <c r="A27" s="113"/>
      <c r="B27" s="114"/>
      <c r="C27" s="114"/>
      <c r="D27" s="114"/>
      <c r="E27" s="114"/>
      <c r="F27" s="114"/>
      <c r="G27" s="114"/>
      <c r="H27" s="115"/>
    </row>
    <row r="29" spans="1:8" ht="14.5" x14ac:dyDescent="0.35">
      <c r="A29" s="156"/>
    </row>
  </sheetData>
  <sheetProtection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2991-980A-4F35-9C24-FC96057F77F5}">
  <sheetPr codeName="Sheet5"/>
  <dimension ref="A1:M38"/>
  <sheetViews>
    <sheetView workbookViewId="0">
      <selection activeCell="E35" sqref="E35"/>
    </sheetView>
  </sheetViews>
  <sheetFormatPr defaultColWidth="8" defaultRowHeight="14" x14ac:dyDescent="0.3"/>
  <cols>
    <col min="1" max="1" width="36.7265625" style="17" customWidth="1"/>
    <col min="2" max="2" width="19.453125" style="17" customWidth="1"/>
    <col min="3" max="4" width="17.54296875" style="17" customWidth="1"/>
    <col min="5" max="6" width="27.26953125" style="17" customWidth="1"/>
    <col min="7" max="7" width="20.7265625" style="17" customWidth="1"/>
    <col min="8" max="9" width="17.54296875" style="17" customWidth="1"/>
    <col min="10" max="10" width="26.453125" style="17" customWidth="1"/>
    <col min="11" max="11" width="17.54296875" style="17" customWidth="1"/>
    <col min="12" max="12" width="23.26953125" style="17" customWidth="1"/>
    <col min="13" max="13" width="20.26953125" style="17" customWidth="1"/>
    <col min="14" max="14" width="33.26953125" style="17" bestFit="1" customWidth="1"/>
    <col min="15" max="16384" width="8" style="17"/>
  </cols>
  <sheetData>
    <row r="1" spans="1:13" s="120" customFormat="1" x14ac:dyDescent="0.35">
      <c r="A1" s="100" t="s">
        <v>142</v>
      </c>
      <c r="B1" s="76"/>
      <c r="C1" s="76"/>
      <c r="D1" s="76"/>
      <c r="E1" s="76"/>
      <c r="F1" s="76"/>
      <c r="G1" s="117"/>
      <c r="H1" s="118"/>
      <c r="I1" s="119"/>
      <c r="J1" s="119"/>
      <c r="K1" s="119"/>
      <c r="L1" s="119"/>
      <c r="M1" s="119"/>
    </row>
    <row r="2" spans="1:13" s="120" customFormat="1" ht="12.5" x14ac:dyDescent="0.35">
      <c r="A2" s="260" t="s">
        <v>117</v>
      </c>
      <c r="B2" s="105"/>
      <c r="C2" s="105"/>
      <c r="D2" s="79"/>
      <c r="E2" s="79"/>
      <c r="F2" s="79"/>
      <c r="G2" s="79"/>
      <c r="H2" s="106"/>
      <c r="I2" s="119"/>
      <c r="J2" s="119"/>
      <c r="K2" s="119"/>
      <c r="L2" s="119"/>
      <c r="M2" s="119"/>
    </row>
    <row r="3" spans="1:13" s="120" customFormat="1" ht="13" x14ac:dyDescent="0.35">
      <c r="A3" s="81" t="s">
        <v>124</v>
      </c>
      <c r="B3" s="82" t="s">
        <v>125</v>
      </c>
      <c r="C3" s="268" t="s">
        <v>143</v>
      </c>
      <c r="D3" s="105"/>
      <c r="E3" s="105"/>
      <c r="F3" s="79"/>
      <c r="G3" s="79"/>
      <c r="H3" s="106"/>
      <c r="I3" s="119"/>
      <c r="J3" s="119"/>
      <c r="K3" s="119"/>
      <c r="L3" s="119"/>
      <c r="M3" s="119"/>
    </row>
    <row r="4" spans="1:13" x14ac:dyDescent="0.3">
      <c r="A4" s="95"/>
      <c r="B4" s="8"/>
      <c r="C4" s="8"/>
      <c r="D4" s="8"/>
      <c r="E4" s="8"/>
      <c r="F4" s="8"/>
      <c r="G4" s="8"/>
      <c r="H4" s="80"/>
    </row>
    <row r="5" spans="1:13" s="120" customFormat="1" ht="13" x14ac:dyDescent="0.35">
      <c r="A5" s="121" t="s">
        <v>164</v>
      </c>
      <c r="B5" s="79"/>
      <c r="C5" s="79"/>
      <c r="D5" s="79"/>
      <c r="E5" s="79"/>
      <c r="F5" s="79"/>
      <c r="G5" s="79"/>
      <c r="H5" s="106"/>
      <c r="I5" s="119"/>
      <c r="J5" s="119"/>
      <c r="K5" s="119"/>
      <c r="L5" s="119"/>
      <c r="M5" s="119"/>
    </row>
    <row r="6" spans="1:13" s="120" customFormat="1" ht="14.25" customHeight="1" x14ac:dyDescent="0.35">
      <c r="A6" s="158"/>
      <c r="B6" s="235" t="s">
        <v>145</v>
      </c>
      <c r="C6" s="235"/>
      <c r="D6" s="235"/>
      <c r="E6" s="235"/>
      <c r="F6" s="235"/>
      <c r="G6" s="235"/>
      <c r="H6" s="109"/>
    </row>
    <row r="7" spans="1:13" s="120" customFormat="1" ht="14.25" customHeight="1" x14ac:dyDescent="0.35">
      <c r="A7" s="123"/>
      <c r="B7" s="243" t="s">
        <v>146</v>
      </c>
      <c r="C7" s="241"/>
      <c r="D7" s="242"/>
      <c r="E7" s="243" t="s">
        <v>147</v>
      </c>
      <c r="F7" s="242"/>
      <c r="G7" s="124"/>
      <c r="H7" s="109"/>
    </row>
    <row r="8" spans="1:13" s="120" customFormat="1" ht="30" customHeight="1" x14ac:dyDescent="0.35">
      <c r="A8" s="158" t="s">
        <v>148</v>
      </c>
      <c r="B8" s="125" t="s">
        <v>165</v>
      </c>
      <c r="C8" s="125" t="s">
        <v>150</v>
      </c>
      <c r="D8" s="126" t="s">
        <v>166</v>
      </c>
      <c r="E8" s="125" t="s">
        <v>152</v>
      </c>
      <c r="F8" s="126" t="s">
        <v>167</v>
      </c>
      <c r="G8" s="125" t="s">
        <v>154</v>
      </c>
      <c r="H8" s="109"/>
    </row>
    <row r="9" spans="1:13" s="120" customFormat="1" ht="13" x14ac:dyDescent="0.35">
      <c r="A9" s="127" t="s">
        <v>168</v>
      </c>
      <c r="B9" s="18">
        <v>10</v>
      </c>
      <c r="C9" s="19">
        <v>125</v>
      </c>
      <c r="D9" s="52">
        <f>B9*C9</f>
        <v>1250</v>
      </c>
      <c r="E9" s="128" t="s">
        <v>143</v>
      </c>
      <c r="F9" s="268"/>
      <c r="G9" s="129">
        <f>D9+F9</f>
        <v>1250</v>
      </c>
      <c r="H9" s="109"/>
    </row>
    <row r="10" spans="1:13" s="120" customFormat="1" ht="13" x14ac:dyDescent="0.35">
      <c r="A10" s="127" t="s">
        <v>169</v>
      </c>
      <c r="B10" s="18"/>
      <c r="C10" s="19"/>
      <c r="D10" s="52">
        <f t="shared" ref="D10:D16" si="0">B10*C10</f>
        <v>0</v>
      </c>
      <c r="E10" s="128" t="s">
        <v>143</v>
      </c>
      <c r="F10" s="268"/>
      <c r="G10" s="129">
        <f t="shared" ref="G10:G16" si="1">D10+F10</f>
        <v>0</v>
      </c>
      <c r="H10" s="109"/>
    </row>
    <row r="11" spans="1:13" s="120" customFormat="1" ht="13" x14ac:dyDescent="0.35">
      <c r="A11" s="127" t="s">
        <v>170</v>
      </c>
      <c r="B11" s="18"/>
      <c r="C11" s="19"/>
      <c r="D11" s="52">
        <f t="shared" si="0"/>
        <v>0</v>
      </c>
      <c r="E11" s="128" t="s">
        <v>143</v>
      </c>
      <c r="F11" s="268"/>
      <c r="G11" s="129">
        <f t="shared" si="1"/>
        <v>0</v>
      </c>
      <c r="H11" s="109"/>
    </row>
    <row r="12" spans="1:13" s="120" customFormat="1" ht="12.5" x14ac:dyDescent="0.35">
      <c r="A12" s="127" t="s">
        <v>171</v>
      </c>
      <c r="B12" s="18"/>
      <c r="C12" s="19"/>
      <c r="D12" s="52">
        <f t="shared" si="0"/>
        <v>0</v>
      </c>
      <c r="E12" s="128" t="s">
        <v>172</v>
      </c>
      <c r="F12" s="19">
        <v>1500</v>
      </c>
      <c r="G12" s="129">
        <f t="shared" si="1"/>
        <v>1500</v>
      </c>
      <c r="H12" s="109"/>
    </row>
    <row r="13" spans="1:13" s="120" customFormat="1" ht="13" x14ac:dyDescent="0.35">
      <c r="A13" s="127" t="s">
        <v>173</v>
      </c>
      <c r="B13" s="18"/>
      <c r="C13" s="19"/>
      <c r="D13" s="52">
        <f t="shared" si="0"/>
        <v>0</v>
      </c>
      <c r="E13" s="128" t="s">
        <v>143</v>
      </c>
      <c r="F13" s="268"/>
      <c r="G13" s="129">
        <f t="shared" si="1"/>
        <v>0</v>
      </c>
      <c r="H13" s="109"/>
    </row>
    <row r="14" spans="1:13" s="120" customFormat="1" ht="13" x14ac:dyDescent="0.35">
      <c r="A14" s="127" t="s">
        <v>174</v>
      </c>
      <c r="B14" s="18"/>
      <c r="C14" s="19"/>
      <c r="D14" s="52">
        <f t="shared" si="0"/>
        <v>0</v>
      </c>
      <c r="E14" s="128" t="s">
        <v>143</v>
      </c>
      <c r="F14" s="268"/>
      <c r="G14" s="129">
        <f t="shared" si="1"/>
        <v>0</v>
      </c>
      <c r="H14" s="109"/>
    </row>
    <row r="15" spans="1:13" s="120" customFormat="1" ht="13" x14ac:dyDescent="0.35">
      <c r="A15" s="130" t="s">
        <v>175</v>
      </c>
      <c r="B15" s="161"/>
      <c r="C15" s="162"/>
      <c r="D15" s="52">
        <f t="shared" si="0"/>
        <v>0</v>
      </c>
      <c r="E15" s="128" t="s">
        <v>143</v>
      </c>
      <c r="F15" s="268"/>
      <c r="G15" s="129">
        <f t="shared" si="1"/>
        <v>0</v>
      </c>
      <c r="H15" s="109"/>
    </row>
    <row r="16" spans="1:13" s="120" customFormat="1" ht="12.5" x14ac:dyDescent="0.35">
      <c r="A16" s="130" t="s">
        <v>159</v>
      </c>
      <c r="B16" s="161"/>
      <c r="C16" s="162"/>
      <c r="D16" s="52">
        <f t="shared" si="0"/>
        <v>0</v>
      </c>
      <c r="E16" s="202"/>
      <c r="F16" s="19"/>
      <c r="G16" s="129">
        <f t="shared" si="1"/>
        <v>0</v>
      </c>
      <c r="H16" s="109"/>
    </row>
    <row r="17" spans="1:8" s="120" customFormat="1" ht="30" customHeight="1" x14ac:dyDescent="0.35">
      <c r="A17" s="131" t="s">
        <v>176</v>
      </c>
      <c r="B17" s="164"/>
      <c r="C17" s="165"/>
      <c r="D17" s="159" t="s">
        <v>177</v>
      </c>
      <c r="E17" s="132" t="s">
        <v>178</v>
      </c>
      <c r="F17" s="132" t="s">
        <v>179</v>
      </c>
      <c r="G17" s="133" t="s">
        <v>180</v>
      </c>
      <c r="H17" s="109"/>
    </row>
    <row r="18" spans="1:8" s="120" customFormat="1" ht="12.5" x14ac:dyDescent="0.35">
      <c r="A18" s="127" t="s">
        <v>181</v>
      </c>
      <c r="B18" s="166"/>
      <c r="C18" s="167"/>
      <c r="D18" s="160"/>
      <c r="E18" s="48"/>
      <c r="F18" s="49"/>
      <c r="G18" s="129">
        <f>D18*E18*F18</f>
        <v>0</v>
      </c>
      <c r="H18" s="109"/>
    </row>
    <row r="19" spans="1:8" s="120" customFormat="1" ht="12.5" x14ac:dyDescent="0.35">
      <c r="A19" s="127" t="s">
        <v>182</v>
      </c>
      <c r="B19" s="166"/>
      <c r="C19" s="167"/>
      <c r="D19" s="160"/>
      <c r="E19" s="48"/>
      <c r="F19" s="49"/>
      <c r="G19" s="129">
        <f>D19*E19*F19</f>
        <v>0</v>
      </c>
      <c r="H19" s="109"/>
    </row>
    <row r="20" spans="1:8" s="120" customFormat="1" x14ac:dyDescent="0.3">
      <c r="A20" s="134" t="s">
        <v>183</v>
      </c>
      <c r="B20" s="168"/>
      <c r="C20" s="169"/>
      <c r="D20" s="281"/>
      <c r="E20" s="276"/>
      <c r="F20" s="276"/>
      <c r="G20" s="279">
        <f>SUM(G9:G16,G18:G19)</f>
        <v>2750</v>
      </c>
      <c r="H20" s="109"/>
    </row>
    <row r="21" spans="1:8" x14ac:dyDescent="0.3">
      <c r="A21" s="122"/>
      <c r="B21" s="266" t="s">
        <v>161</v>
      </c>
      <c r="C21" s="236"/>
      <c r="D21" s="237"/>
      <c r="E21" s="237"/>
      <c r="F21" s="237"/>
      <c r="G21" s="238"/>
      <c r="H21" s="80"/>
    </row>
    <row r="22" spans="1:8" x14ac:dyDescent="0.3">
      <c r="A22" s="123"/>
      <c r="B22" s="243" t="s">
        <v>146</v>
      </c>
      <c r="C22" s="241"/>
      <c r="D22" s="242"/>
      <c r="E22" s="243" t="s">
        <v>147</v>
      </c>
      <c r="F22" s="242"/>
      <c r="G22" s="124"/>
      <c r="H22" s="80"/>
    </row>
    <row r="23" spans="1:8" ht="27.65" customHeight="1" x14ac:dyDescent="0.3">
      <c r="A23" s="158" t="s">
        <v>148</v>
      </c>
      <c r="B23" s="125" t="s">
        <v>165</v>
      </c>
      <c r="C23" s="126" t="s">
        <v>150</v>
      </c>
      <c r="D23" s="126" t="s">
        <v>166</v>
      </c>
      <c r="E23" s="126" t="s">
        <v>152</v>
      </c>
      <c r="F23" s="126" t="s">
        <v>167</v>
      </c>
      <c r="G23" s="133" t="s">
        <v>162</v>
      </c>
      <c r="H23" s="80"/>
    </row>
    <row r="24" spans="1:8" x14ac:dyDescent="0.3">
      <c r="A24" s="127" t="s">
        <v>184</v>
      </c>
      <c r="B24" s="18">
        <v>40</v>
      </c>
      <c r="C24" s="19">
        <v>125</v>
      </c>
      <c r="D24" s="52">
        <f>B24*C24</f>
        <v>5000</v>
      </c>
      <c r="E24" s="128" t="s">
        <v>143</v>
      </c>
      <c r="F24" s="268"/>
      <c r="G24" s="129">
        <f>D24+F24</f>
        <v>5000</v>
      </c>
      <c r="H24" s="80"/>
    </row>
    <row r="25" spans="1:8" x14ac:dyDescent="0.3">
      <c r="A25" s="127" t="s">
        <v>185</v>
      </c>
      <c r="B25" s="18"/>
      <c r="C25" s="19"/>
      <c r="D25" s="52">
        <f t="shared" ref="D25:D29" si="2">B25*C25</f>
        <v>0</v>
      </c>
      <c r="E25" s="135" t="s">
        <v>186</v>
      </c>
      <c r="F25" s="19"/>
      <c r="G25" s="129">
        <f t="shared" ref="G25:G29" si="3">D25+F25</f>
        <v>0</v>
      </c>
      <c r="H25" s="80"/>
    </row>
    <row r="26" spans="1:8" x14ac:dyDescent="0.3">
      <c r="A26" s="127" t="s">
        <v>187</v>
      </c>
      <c r="B26" s="18">
        <v>10</v>
      </c>
      <c r="C26" s="19">
        <v>125</v>
      </c>
      <c r="D26" s="52">
        <f t="shared" si="2"/>
        <v>1250</v>
      </c>
      <c r="E26" s="135" t="s">
        <v>188</v>
      </c>
      <c r="F26" s="19">
        <v>6500</v>
      </c>
      <c r="G26" s="129">
        <f t="shared" si="3"/>
        <v>7750</v>
      </c>
      <c r="H26" s="80"/>
    </row>
    <row r="27" spans="1:8" x14ac:dyDescent="0.3">
      <c r="A27" s="127" t="s">
        <v>189</v>
      </c>
      <c r="B27" s="18"/>
      <c r="C27" s="19"/>
      <c r="D27" s="52">
        <f t="shared" si="2"/>
        <v>0</v>
      </c>
      <c r="E27" s="135" t="s">
        <v>190</v>
      </c>
      <c r="F27" s="19">
        <v>1500</v>
      </c>
      <c r="G27" s="129">
        <f t="shared" si="3"/>
        <v>1500</v>
      </c>
      <c r="H27" s="80"/>
    </row>
    <row r="28" spans="1:8" x14ac:dyDescent="0.3">
      <c r="A28" s="127" t="s">
        <v>191</v>
      </c>
      <c r="B28" s="18"/>
      <c r="C28" s="19"/>
      <c r="D28" s="52">
        <f t="shared" si="2"/>
        <v>0</v>
      </c>
      <c r="E28" s="128" t="s">
        <v>143</v>
      </c>
      <c r="F28" s="268"/>
      <c r="G28" s="129">
        <f t="shared" si="3"/>
        <v>0</v>
      </c>
      <c r="H28" s="80"/>
    </row>
    <row r="29" spans="1:8" x14ac:dyDescent="0.3">
      <c r="A29" s="127" t="s">
        <v>174</v>
      </c>
      <c r="B29" s="18"/>
      <c r="C29" s="19"/>
      <c r="D29" s="52">
        <f t="shared" si="2"/>
        <v>0</v>
      </c>
      <c r="E29" s="135" t="s">
        <v>192</v>
      </c>
      <c r="F29" s="19"/>
      <c r="G29" s="129">
        <f t="shared" si="3"/>
        <v>0</v>
      </c>
      <c r="H29" s="80"/>
    </row>
    <row r="30" spans="1:8" x14ac:dyDescent="0.3">
      <c r="A30" s="130" t="s">
        <v>193</v>
      </c>
      <c r="B30" s="161">
        <v>40</v>
      </c>
      <c r="C30" s="162">
        <v>125</v>
      </c>
      <c r="D30" s="52">
        <f>B30*C30</f>
        <v>5000</v>
      </c>
      <c r="E30" s="135" t="s">
        <v>194</v>
      </c>
      <c r="F30" s="19"/>
      <c r="G30" s="129">
        <f>D30+F30</f>
        <v>5000</v>
      </c>
      <c r="H30" s="136"/>
    </row>
    <row r="31" spans="1:8" s="120" customFormat="1" ht="12.5" x14ac:dyDescent="0.35">
      <c r="A31" s="130" t="s">
        <v>159</v>
      </c>
      <c r="B31" s="18"/>
      <c r="C31" s="19"/>
      <c r="D31" s="52">
        <f>B31*C31</f>
        <v>0</v>
      </c>
      <c r="E31" s="202"/>
      <c r="F31" s="19"/>
      <c r="G31" s="129">
        <f>D31+F31</f>
        <v>0</v>
      </c>
      <c r="H31" s="109"/>
    </row>
    <row r="32" spans="1:8" ht="25" x14ac:dyDescent="0.3">
      <c r="A32" s="87" t="s">
        <v>176</v>
      </c>
      <c r="B32" s="163"/>
      <c r="C32" s="163"/>
      <c r="D32" s="132" t="s">
        <v>177</v>
      </c>
      <c r="E32" s="132" t="s">
        <v>178</v>
      </c>
      <c r="F32" s="132" t="s">
        <v>179</v>
      </c>
      <c r="G32" s="133" t="s">
        <v>195</v>
      </c>
      <c r="H32" s="80"/>
    </row>
    <row r="33" spans="1:8" x14ac:dyDescent="0.3">
      <c r="A33" s="137" t="s">
        <v>181</v>
      </c>
      <c r="B33" s="163"/>
      <c r="C33" s="163"/>
      <c r="D33" s="289">
        <f>8760/4</f>
        <v>2190</v>
      </c>
      <c r="E33" s="48">
        <v>0.19</v>
      </c>
      <c r="F33" s="282">
        <v>0.18</v>
      </c>
      <c r="G33" s="129">
        <f>D33*E33*F33</f>
        <v>74.897999999999996</v>
      </c>
      <c r="H33" s="80"/>
    </row>
    <row r="34" spans="1:8" x14ac:dyDescent="0.3">
      <c r="A34" s="137" t="s">
        <v>182</v>
      </c>
      <c r="B34" s="163"/>
      <c r="C34" s="163"/>
      <c r="D34" s="290">
        <f>8760/4</f>
        <v>2190</v>
      </c>
      <c r="E34" s="291">
        <v>3</v>
      </c>
      <c r="F34" s="292">
        <v>0.18</v>
      </c>
      <c r="G34" s="149">
        <f>D34*E34*F34</f>
        <v>1182.5999999999999</v>
      </c>
      <c r="H34" s="80"/>
    </row>
    <row r="35" spans="1:8" x14ac:dyDescent="0.3">
      <c r="A35" s="138" t="s">
        <v>183</v>
      </c>
      <c r="B35" s="163"/>
      <c r="C35" s="163"/>
      <c r="D35" s="281"/>
      <c r="E35" s="276"/>
      <c r="F35" s="276"/>
      <c r="G35" s="279">
        <f>SUM(G24:G31,G33:G34)</f>
        <v>20507.498</v>
      </c>
      <c r="H35" s="80"/>
    </row>
    <row r="36" spans="1:8" ht="14.5" thickBot="1" x14ac:dyDescent="0.35">
      <c r="A36" s="96"/>
      <c r="B36" s="97"/>
      <c r="C36" s="97"/>
      <c r="D36" s="97"/>
      <c r="E36" s="97"/>
      <c r="F36" s="97"/>
      <c r="G36" s="97"/>
      <c r="H36" s="98"/>
    </row>
    <row r="38" spans="1:8" ht="14.5" x14ac:dyDescent="0.35">
      <c r="A38" s="156"/>
    </row>
  </sheetData>
  <sheetProtection sheet="1" objects="1" scenarios="1"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CA59-F927-48EE-ADDF-F9514362EF70}">
  <sheetPr codeName="Sheet6"/>
  <dimension ref="A1:M32"/>
  <sheetViews>
    <sheetView workbookViewId="0">
      <selection activeCell="B27" sqref="B27"/>
    </sheetView>
  </sheetViews>
  <sheetFormatPr defaultColWidth="27.26953125" defaultRowHeight="14" x14ac:dyDescent="0.3"/>
  <cols>
    <col min="1" max="1" width="28.7265625" style="17" customWidth="1"/>
    <col min="2" max="2" width="17" style="17" customWidth="1"/>
    <col min="3" max="3" width="14.7265625" style="17" customWidth="1"/>
    <col min="4" max="4" width="17" style="17" customWidth="1"/>
    <col min="5" max="5" width="22.54296875" style="17" customWidth="1"/>
    <col min="6" max="6" width="16.54296875" style="17" customWidth="1"/>
    <col min="7" max="7" width="16.26953125" style="17" customWidth="1"/>
    <col min="8" max="8" width="12.26953125" style="17" customWidth="1"/>
    <col min="9" max="9" width="16.54296875" style="17" customWidth="1"/>
    <col min="10" max="10" width="15.26953125" style="17" customWidth="1"/>
    <col min="11" max="11" width="19.7265625" style="17" customWidth="1"/>
    <col min="12" max="12" width="18.26953125" style="17" customWidth="1"/>
    <col min="13" max="13" width="16.7265625" style="17" customWidth="1"/>
    <col min="14" max="16384" width="27.26953125" style="17"/>
  </cols>
  <sheetData>
    <row r="1" spans="1:13" s="120" customFormat="1" x14ac:dyDescent="0.35">
      <c r="A1" s="100" t="s">
        <v>142</v>
      </c>
      <c r="B1" s="76"/>
      <c r="C1" s="76"/>
      <c r="D1" s="76"/>
      <c r="E1" s="76"/>
      <c r="F1" s="76"/>
      <c r="G1" s="117"/>
      <c r="H1" s="118"/>
      <c r="I1" s="119"/>
      <c r="J1" s="119"/>
      <c r="K1" s="119"/>
      <c r="L1" s="119"/>
      <c r="M1" s="119"/>
    </row>
    <row r="2" spans="1:13" s="120" customFormat="1" ht="12.5" x14ac:dyDescent="0.35">
      <c r="A2" s="260" t="s">
        <v>117</v>
      </c>
      <c r="B2" s="105"/>
      <c r="C2" s="105"/>
      <c r="D2" s="79"/>
      <c r="E2" s="79"/>
      <c r="F2" s="79"/>
      <c r="G2" s="79"/>
      <c r="H2" s="106"/>
      <c r="I2" s="119"/>
      <c r="J2" s="119"/>
      <c r="K2" s="119"/>
      <c r="L2" s="119"/>
      <c r="M2" s="119"/>
    </row>
    <row r="3" spans="1:13" s="120" customFormat="1" ht="13" x14ac:dyDescent="0.35">
      <c r="A3" s="81" t="s">
        <v>124</v>
      </c>
      <c r="B3" s="82" t="s">
        <v>125</v>
      </c>
      <c r="C3" s="268" t="s">
        <v>143</v>
      </c>
      <c r="D3" s="105"/>
      <c r="E3" s="105"/>
      <c r="F3" s="79"/>
      <c r="G3" s="79"/>
      <c r="H3" s="106"/>
      <c r="I3" s="119"/>
      <c r="J3" s="119"/>
      <c r="K3" s="119"/>
      <c r="L3" s="119"/>
      <c r="M3" s="119"/>
    </row>
    <row r="4" spans="1:13" x14ac:dyDescent="0.3">
      <c r="A4" s="95"/>
      <c r="B4" s="8"/>
      <c r="C4" s="8"/>
      <c r="D4" s="8"/>
      <c r="E4" s="8"/>
      <c r="F4" s="8"/>
      <c r="G4" s="8"/>
      <c r="H4" s="80"/>
    </row>
    <row r="5" spans="1:13" s="120" customFormat="1" ht="13" x14ac:dyDescent="0.35">
      <c r="A5" s="139" t="s">
        <v>196</v>
      </c>
      <c r="B5" s="140"/>
      <c r="C5" s="140"/>
      <c r="D5" s="140"/>
      <c r="E5" s="140"/>
      <c r="F5" s="140"/>
      <c r="G5" s="140"/>
      <c r="H5" s="141"/>
      <c r="I5" s="142"/>
      <c r="J5" s="142"/>
      <c r="K5" s="142"/>
      <c r="L5" s="142"/>
      <c r="M5" s="142"/>
    </row>
    <row r="6" spans="1:13" s="120" customFormat="1" ht="14.25" customHeight="1" x14ac:dyDescent="0.35">
      <c r="A6" s="143"/>
      <c r="B6" s="250" t="s">
        <v>112</v>
      </c>
      <c r="C6" s="250"/>
      <c r="D6" s="250"/>
      <c r="E6" s="250"/>
      <c r="F6" s="250"/>
      <c r="G6" s="250"/>
      <c r="H6" s="109"/>
    </row>
    <row r="7" spans="1:13" s="120" customFormat="1" ht="14.25" customHeight="1" x14ac:dyDescent="0.35">
      <c r="A7" s="123"/>
      <c r="B7" s="243" t="s">
        <v>146</v>
      </c>
      <c r="C7" s="241"/>
      <c r="D7" s="242"/>
      <c r="E7" s="243" t="s">
        <v>147</v>
      </c>
      <c r="F7" s="242"/>
      <c r="G7" s="144"/>
      <c r="H7" s="109"/>
    </row>
    <row r="8" spans="1:13" s="120" customFormat="1" ht="16.5" customHeight="1" x14ac:dyDescent="0.35">
      <c r="A8" s="267" t="s">
        <v>148</v>
      </c>
      <c r="B8" s="125" t="s">
        <v>197</v>
      </c>
      <c r="C8" s="125" t="s">
        <v>150</v>
      </c>
      <c r="D8" s="126" t="s">
        <v>198</v>
      </c>
      <c r="E8" s="125" t="s">
        <v>152</v>
      </c>
      <c r="F8" s="125" t="s">
        <v>153</v>
      </c>
      <c r="G8" s="125" t="s">
        <v>199</v>
      </c>
      <c r="H8" s="109"/>
    </row>
    <row r="9" spans="1:13" s="120" customFormat="1" ht="12.5" x14ac:dyDescent="0.35">
      <c r="A9" s="127" t="s">
        <v>200</v>
      </c>
      <c r="B9" s="20"/>
      <c r="C9" s="21"/>
      <c r="D9" s="56">
        <f>B9*C9</f>
        <v>0</v>
      </c>
      <c r="E9" s="145" t="s">
        <v>201</v>
      </c>
      <c r="F9" s="19"/>
      <c r="G9" s="146">
        <f>D9+F9</f>
        <v>0</v>
      </c>
      <c r="H9" s="109"/>
    </row>
    <row r="10" spans="1:13" s="120" customFormat="1" ht="13" x14ac:dyDescent="0.35">
      <c r="A10" s="127" t="s">
        <v>202</v>
      </c>
      <c r="B10" s="20"/>
      <c r="C10" s="21"/>
      <c r="D10" s="56">
        <f>B10*C10</f>
        <v>0</v>
      </c>
      <c r="E10" s="147" t="s">
        <v>143</v>
      </c>
      <c r="F10" s="268"/>
      <c r="G10" s="129">
        <f t="shared" ref="G10:G16" si="0">D10+F10</f>
        <v>0</v>
      </c>
      <c r="H10" s="109"/>
    </row>
    <row r="11" spans="1:13" s="120" customFormat="1" ht="12.5" x14ac:dyDescent="0.35">
      <c r="A11" s="127" t="s">
        <v>203</v>
      </c>
      <c r="B11" s="18"/>
      <c r="C11" s="19"/>
      <c r="D11" s="52">
        <f t="shared" ref="D11:D16" si="1">B11*C11</f>
        <v>0</v>
      </c>
      <c r="E11" s="147" t="s">
        <v>204</v>
      </c>
      <c r="F11" s="19"/>
      <c r="G11" s="129">
        <f t="shared" si="0"/>
        <v>0</v>
      </c>
      <c r="H11" s="109"/>
    </row>
    <row r="12" spans="1:13" s="120" customFormat="1" ht="12.5" x14ac:dyDescent="0.35">
      <c r="A12" s="127" t="s">
        <v>205</v>
      </c>
      <c r="B12" s="18"/>
      <c r="C12" s="19"/>
      <c r="D12" s="52">
        <f t="shared" si="1"/>
        <v>0</v>
      </c>
      <c r="E12" s="147" t="s">
        <v>206</v>
      </c>
      <c r="F12" s="19"/>
      <c r="G12" s="129">
        <f t="shared" si="0"/>
        <v>0</v>
      </c>
      <c r="H12" s="109"/>
    </row>
    <row r="13" spans="1:13" s="120" customFormat="1" ht="12.5" x14ac:dyDescent="0.35">
      <c r="A13" s="127" t="s">
        <v>207</v>
      </c>
      <c r="B13" s="18"/>
      <c r="C13" s="293"/>
      <c r="D13" s="52">
        <f t="shared" si="1"/>
        <v>0</v>
      </c>
      <c r="E13" s="147" t="s">
        <v>208</v>
      </c>
      <c r="F13" s="19"/>
      <c r="G13" s="129">
        <f t="shared" si="0"/>
        <v>0</v>
      </c>
      <c r="H13" s="109"/>
    </row>
    <row r="14" spans="1:13" s="120" customFormat="1" ht="12.5" x14ac:dyDescent="0.35">
      <c r="A14" s="127" t="s">
        <v>209</v>
      </c>
      <c r="B14" s="18"/>
      <c r="C14" s="19"/>
      <c r="D14" s="52">
        <f t="shared" si="1"/>
        <v>0</v>
      </c>
      <c r="E14" s="147" t="s">
        <v>100</v>
      </c>
      <c r="F14" s="19"/>
      <c r="G14" s="129">
        <f t="shared" si="0"/>
        <v>0</v>
      </c>
      <c r="H14" s="109"/>
    </row>
    <row r="15" spans="1:13" s="120" customFormat="1" ht="13" x14ac:dyDescent="0.35">
      <c r="A15" s="130" t="s">
        <v>210</v>
      </c>
      <c r="B15" s="161">
        <v>10</v>
      </c>
      <c r="C15" s="162">
        <v>125</v>
      </c>
      <c r="D15" s="57">
        <f t="shared" si="1"/>
        <v>1250</v>
      </c>
      <c r="E15" s="148" t="s">
        <v>143</v>
      </c>
      <c r="F15" s="268"/>
      <c r="G15" s="149">
        <f t="shared" si="0"/>
        <v>1250</v>
      </c>
      <c r="H15" s="109"/>
    </row>
    <row r="16" spans="1:13" s="120" customFormat="1" ht="12.5" x14ac:dyDescent="0.35">
      <c r="A16" s="172" t="s">
        <v>159</v>
      </c>
      <c r="B16" s="18"/>
      <c r="C16" s="19"/>
      <c r="D16" s="52">
        <f t="shared" si="1"/>
        <v>0</v>
      </c>
      <c r="E16" s="203"/>
      <c r="F16" s="19"/>
      <c r="G16" s="129">
        <f t="shared" si="0"/>
        <v>0</v>
      </c>
      <c r="H16" s="109"/>
    </row>
    <row r="17" spans="1:8" s="120" customFormat="1" x14ac:dyDescent="0.3">
      <c r="A17" s="173" t="s">
        <v>211</v>
      </c>
      <c r="B17" s="281"/>
      <c r="C17" s="276"/>
      <c r="D17" s="276"/>
      <c r="E17" s="276"/>
      <c r="F17" s="276"/>
      <c r="G17" s="279">
        <f>SUM(G9:G16)</f>
        <v>1250</v>
      </c>
      <c r="H17" s="109"/>
    </row>
    <row r="18" spans="1:8" x14ac:dyDescent="0.3">
      <c r="A18" s="143"/>
      <c r="B18" s="250" t="s">
        <v>161</v>
      </c>
      <c r="C18" s="250"/>
      <c r="D18" s="250"/>
      <c r="E18" s="250"/>
      <c r="F18" s="250"/>
      <c r="G18" s="250"/>
      <c r="H18" s="80"/>
    </row>
    <row r="19" spans="1:8" x14ac:dyDescent="0.3">
      <c r="A19" s="123"/>
      <c r="B19" s="243" t="s">
        <v>146</v>
      </c>
      <c r="C19" s="241"/>
      <c r="D19" s="242"/>
      <c r="E19" s="243" t="s">
        <v>147</v>
      </c>
      <c r="F19" s="242"/>
      <c r="G19" s="144"/>
      <c r="H19" s="80"/>
    </row>
    <row r="20" spans="1:8" x14ac:dyDescent="0.3">
      <c r="A20" s="267" t="s">
        <v>148</v>
      </c>
      <c r="B20" s="125" t="s">
        <v>197</v>
      </c>
      <c r="C20" s="125" t="s">
        <v>150</v>
      </c>
      <c r="D20" s="126" t="s">
        <v>198</v>
      </c>
      <c r="E20" s="125" t="s">
        <v>152</v>
      </c>
      <c r="F20" s="125" t="s">
        <v>153</v>
      </c>
      <c r="G20" s="125" t="s">
        <v>212</v>
      </c>
      <c r="H20" s="80"/>
    </row>
    <row r="21" spans="1:8" x14ac:dyDescent="0.3">
      <c r="A21" s="127" t="s">
        <v>200</v>
      </c>
      <c r="B21" s="20"/>
      <c r="C21" s="21"/>
      <c r="D21" s="56">
        <f>B21*C21</f>
        <v>0</v>
      </c>
      <c r="E21" s="135" t="s">
        <v>201</v>
      </c>
      <c r="F21" s="19"/>
      <c r="G21" s="146">
        <f>D21+F21</f>
        <v>0</v>
      </c>
      <c r="H21" s="80"/>
    </row>
    <row r="22" spans="1:8" x14ac:dyDescent="0.3">
      <c r="A22" s="127" t="s">
        <v>202</v>
      </c>
      <c r="B22" s="20"/>
      <c r="C22" s="22"/>
      <c r="D22" s="56">
        <f>B22*C22</f>
        <v>0</v>
      </c>
      <c r="E22" s="135" t="s">
        <v>143</v>
      </c>
      <c r="F22" s="268"/>
      <c r="G22" s="129">
        <f t="shared" ref="G22:G28" si="2">D22+F22</f>
        <v>0</v>
      </c>
      <c r="H22" s="80"/>
    </row>
    <row r="23" spans="1:8" x14ac:dyDescent="0.3">
      <c r="A23" s="127" t="s">
        <v>203</v>
      </c>
      <c r="B23" s="18"/>
      <c r="C23" s="293"/>
      <c r="D23" s="52">
        <f t="shared" ref="D23:D28" si="3">B23*C23</f>
        <v>0</v>
      </c>
      <c r="E23" s="135" t="s">
        <v>204</v>
      </c>
      <c r="F23" s="19"/>
      <c r="G23" s="129">
        <f t="shared" si="2"/>
        <v>0</v>
      </c>
      <c r="H23" s="80"/>
    </row>
    <row r="24" spans="1:8" x14ac:dyDescent="0.3">
      <c r="A24" s="127" t="s">
        <v>205</v>
      </c>
      <c r="B24" s="18"/>
      <c r="C24" s="293"/>
      <c r="D24" s="52">
        <f t="shared" si="3"/>
        <v>0</v>
      </c>
      <c r="E24" s="135" t="s">
        <v>206</v>
      </c>
      <c r="F24" s="19"/>
      <c r="G24" s="129">
        <f t="shared" si="2"/>
        <v>0</v>
      </c>
      <c r="H24" s="80"/>
    </row>
    <row r="25" spans="1:8" x14ac:dyDescent="0.3">
      <c r="A25" s="127" t="s">
        <v>207</v>
      </c>
      <c r="B25" s="18"/>
      <c r="C25" s="293"/>
      <c r="D25" s="52">
        <f t="shared" si="3"/>
        <v>0</v>
      </c>
      <c r="E25" s="135" t="s">
        <v>208</v>
      </c>
      <c r="F25" s="19"/>
      <c r="G25" s="129">
        <f t="shared" si="2"/>
        <v>0</v>
      </c>
      <c r="H25" s="80"/>
    </row>
    <row r="26" spans="1:8" x14ac:dyDescent="0.3">
      <c r="A26" s="127" t="s">
        <v>209</v>
      </c>
      <c r="B26" s="18"/>
      <c r="C26" s="293"/>
      <c r="D26" s="52">
        <f t="shared" si="3"/>
        <v>0</v>
      </c>
      <c r="E26" s="135" t="s">
        <v>143</v>
      </c>
      <c r="F26" s="268"/>
      <c r="G26" s="129">
        <f t="shared" si="2"/>
        <v>0</v>
      </c>
      <c r="H26" s="80"/>
    </row>
    <row r="27" spans="1:8" x14ac:dyDescent="0.3">
      <c r="A27" s="127" t="s">
        <v>213</v>
      </c>
      <c r="B27" s="18">
        <v>10</v>
      </c>
      <c r="C27" s="293">
        <v>125</v>
      </c>
      <c r="D27" s="52">
        <f t="shared" si="3"/>
        <v>1250</v>
      </c>
      <c r="E27" s="150" t="s">
        <v>214</v>
      </c>
      <c r="F27" s="19"/>
      <c r="G27" s="129">
        <f t="shared" si="2"/>
        <v>1250</v>
      </c>
      <c r="H27" s="80"/>
    </row>
    <row r="28" spans="1:8" x14ac:dyDescent="0.3">
      <c r="A28" s="172" t="s">
        <v>159</v>
      </c>
      <c r="B28" s="161"/>
      <c r="C28" s="162"/>
      <c r="D28" s="57">
        <f t="shared" si="3"/>
        <v>0</v>
      </c>
      <c r="E28" s="280"/>
      <c r="F28" s="162"/>
      <c r="G28" s="149">
        <f t="shared" si="2"/>
        <v>0</v>
      </c>
      <c r="H28" s="80"/>
    </row>
    <row r="29" spans="1:8" x14ac:dyDescent="0.3">
      <c r="A29" s="134" t="s">
        <v>211</v>
      </c>
      <c r="B29" s="281"/>
      <c r="C29" s="276"/>
      <c r="D29" s="276"/>
      <c r="E29" s="276"/>
      <c r="F29" s="276"/>
      <c r="G29" s="279">
        <f>SUM(G21:G28)</f>
        <v>1250</v>
      </c>
      <c r="H29" s="80"/>
    </row>
    <row r="30" spans="1:8" ht="14.5" thickBot="1" x14ac:dyDescent="0.35">
      <c r="A30" s="96"/>
      <c r="B30" s="97"/>
      <c r="C30" s="97"/>
      <c r="D30" s="97"/>
      <c r="E30" s="97"/>
      <c r="F30" s="97"/>
      <c r="G30" s="97"/>
      <c r="H30" s="98"/>
    </row>
    <row r="32" spans="1:8" ht="14.5" x14ac:dyDescent="0.35">
      <c r="A32" s="156"/>
    </row>
  </sheetData>
  <sheetProtection sheet="1" objects="1" scenarios="1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20E4-BC01-481E-B02A-3868A37D4A57}">
  <sheetPr codeName="Sheet7"/>
  <dimension ref="A1:M38"/>
  <sheetViews>
    <sheetView workbookViewId="0">
      <selection activeCell="B12" sqref="B12"/>
    </sheetView>
  </sheetViews>
  <sheetFormatPr defaultColWidth="8" defaultRowHeight="14" x14ac:dyDescent="0.3"/>
  <cols>
    <col min="1" max="1" width="31" style="17" customWidth="1"/>
    <col min="2" max="2" width="12.26953125" style="17" customWidth="1"/>
    <col min="3" max="3" width="16.54296875" style="17" customWidth="1"/>
    <col min="4" max="4" width="17.54296875" style="17" customWidth="1"/>
    <col min="5" max="5" width="21.54296875" style="17" customWidth="1"/>
    <col min="6" max="6" width="19.26953125" style="17" customWidth="1"/>
    <col min="7" max="7" width="20.7265625" style="17" customWidth="1"/>
    <col min="8" max="8" width="13.54296875" style="17" customWidth="1"/>
    <col min="9" max="9" width="17.54296875" style="17" customWidth="1"/>
    <col min="10" max="10" width="26.453125" style="17" customWidth="1"/>
    <col min="11" max="11" width="17.54296875" style="17" customWidth="1"/>
    <col min="12" max="12" width="23.26953125" style="17" customWidth="1"/>
    <col min="13" max="13" width="20.26953125" style="17" customWidth="1"/>
    <col min="14" max="14" width="33.26953125" style="17" bestFit="1" customWidth="1"/>
    <col min="15" max="16384" width="8" style="17"/>
  </cols>
  <sheetData>
    <row r="1" spans="1:13" s="120" customFormat="1" x14ac:dyDescent="0.35">
      <c r="A1" s="100" t="s">
        <v>142</v>
      </c>
      <c r="B1" s="76"/>
      <c r="C1" s="76"/>
      <c r="D1" s="76"/>
      <c r="E1" s="76"/>
      <c r="F1" s="76"/>
      <c r="G1" s="117"/>
      <c r="H1" s="118"/>
      <c r="I1" s="119"/>
      <c r="J1" s="119"/>
      <c r="K1" s="119"/>
      <c r="L1" s="119"/>
      <c r="M1" s="119"/>
    </row>
    <row r="2" spans="1:13" s="120" customFormat="1" ht="12.5" x14ac:dyDescent="0.35">
      <c r="A2" s="260" t="s">
        <v>117</v>
      </c>
      <c r="B2" s="105"/>
      <c r="C2" s="105"/>
      <c r="D2" s="79"/>
      <c r="E2" s="79"/>
      <c r="F2" s="79"/>
      <c r="G2" s="79"/>
      <c r="H2" s="106"/>
      <c r="I2" s="119"/>
      <c r="J2" s="119"/>
      <c r="K2" s="119"/>
      <c r="L2" s="119"/>
      <c r="M2" s="119"/>
    </row>
    <row r="3" spans="1:13" s="120" customFormat="1" ht="13" x14ac:dyDescent="0.35">
      <c r="A3" s="81" t="s">
        <v>124</v>
      </c>
      <c r="B3" s="82" t="s">
        <v>125</v>
      </c>
      <c r="C3" s="268" t="s">
        <v>143</v>
      </c>
      <c r="D3" s="105"/>
      <c r="E3" s="105"/>
      <c r="F3" s="79"/>
      <c r="G3" s="79"/>
      <c r="H3" s="106"/>
      <c r="I3" s="119"/>
      <c r="J3" s="119"/>
      <c r="K3" s="119"/>
      <c r="L3" s="119"/>
      <c r="M3" s="119"/>
    </row>
    <row r="4" spans="1:13" x14ac:dyDescent="0.3">
      <c r="A4" s="95"/>
      <c r="B4" s="8"/>
      <c r="C4" s="8"/>
      <c r="D4" s="8"/>
      <c r="E4" s="8"/>
      <c r="F4" s="8"/>
      <c r="G4" s="8"/>
      <c r="H4" s="80"/>
    </row>
    <row r="5" spans="1:13" s="120" customFormat="1" ht="13" x14ac:dyDescent="0.35">
      <c r="A5" s="139" t="s">
        <v>215</v>
      </c>
      <c r="B5" s="140"/>
      <c r="C5" s="140"/>
      <c r="D5" s="140"/>
      <c r="E5" s="140"/>
      <c r="F5" s="140"/>
      <c r="G5" s="140"/>
      <c r="H5" s="141"/>
      <c r="I5" s="142"/>
      <c r="J5" s="142"/>
      <c r="K5" s="142"/>
      <c r="L5" s="142"/>
      <c r="M5" s="142"/>
    </row>
    <row r="6" spans="1:13" s="120" customFormat="1" ht="14.25" customHeight="1" x14ac:dyDescent="0.35">
      <c r="A6" s="143"/>
      <c r="B6" s="250" t="s">
        <v>112</v>
      </c>
      <c r="C6" s="250"/>
      <c r="D6" s="250"/>
      <c r="E6" s="250"/>
      <c r="F6" s="250"/>
      <c r="G6" s="250"/>
      <c r="H6" s="109"/>
    </row>
    <row r="7" spans="1:13" x14ac:dyDescent="0.3">
      <c r="A7" s="123"/>
      <c r="B7" s="243" t="s">
        <v>146</v>
      </c>
      <c r="C7" s="241"/>
      <c r="D7" s="242"/>
      <c r="E7" s="243" t="s">
        <v>147</v>
      </c>
      <c r="F7" s="242"/>
      <c r="G7" s="144"/>
      <c r="H7" s="80"/>
    </row>
    <row r="8" spans="1:13" s="120" customFormat="1" ht="16.5" customHeight="1" x14ac:dyDescent="0.35">
      <c r="A8" s="267" t="s">
        <v>148</v>
      </c>
      <c r="B8" s="125" t="s">
        <v>197</v>
      </c>
      <c r="C8" s="125" t="s">
        <v>150</v>
      </c>
      <c r="D8" s="126" t="s">
        <v>198</v>
      </c>
      <c r="E8" s="125" t="s">
        <v>152</v>
      </c>
      <c r="F8" s="125" t="s">
        <v>153</v>
      </c>
      <c r="G8" s="125" t="s">
        <v>199</v>
      </c>
      <c r="H8" s="109"/>
    </row>
    <row r="9" spans="1:13" s="120" customFormat="1" ht="12.5" x14ac:dyDescent="0.35">
      <c r="A9" s="127" t="s">
        <v>200</v>
      </c>
      <c r="B9" s="20">
        <v>10</v>
      </c>
      <c r="C9" s="21">
        <v>125</v>
      </c>
      <c r="D9" s="56">
        <f>B9*C9</f>
        <v>1250</v>
      </c>
      <c r="E9" s="145" t="s">
        <v>201</v>
      </c>
      <c r="F9" s="19"/>
      <c r="G9" s="146">
        <f>D9+F9</f>
        <v>1250</v>
      </c>
      <c r="H9" s="109"/>
    </row>
    <row r="10" spans="1:13" s="120" customFormat="1" ht="13" x14ac:dyDescent="0.35">
      <c r="A10" s="127" t="s">
        <v>202</v>
      </c>
      <c r="B10" s="20"/>
      <c r="C10" s="21"/>
      <c r="D10" s="56">
        <f>B10*C10</f>
        <v>0</v>
      </c>
      <c r="E10" s="147" t="s">
        <v>143</v>
      </c>
      <c r="F10" s="268"/>
      <c r="G10" s="129">
        <f t="shared" ref="G10:G18" si="0">D10+F10</f>
        <v>0</v>
      </c>
      <c r="H10" s="109"/>
    </row>
    <row r="11" spans="1:13" s="120" customFormat="1" ht="12.5" x14ac:dyDescent="0.35">
      <c r="A11" s="127" t="s">
        <v>203</v>
      </c>
      <c r="B11" s="18">
        <v>40</v>
      </c>
      <c r="C11" s="21">
        <v>125</v>
      </c>
      <c r="D11" s="52">
        <f t="shared" ref="D11:D18" si="1">B11*C11</f>
        <v>5000</v>
      </c>
      <c r="E11" s="147" t="s">
        <v>204</v>
      </c>
      <c r="F11" s="19"/>
      <c r="G11" s="129">
        <f t="shared" si="0"/>
        <v>5000</v>
      </c>
      <c r="H11" s="109"/>
    </row>
    <row r="12" spans="1:13" s="120" customFormat="1" ht="12.5" x14ac:dyDescent="0.35">
      <c r="A12" s="127" t="s">
        <v>205</v>
      </c>
      <c r="B12" s="18"/>
      <c r="C12" s="21"/>
      <c r="D12" s="52">
        <f t="shared" si="1"/>
        <v>0</v>
      </c>
      <c r="E12" s="147" t="s">
        <v>206</v>
      </c>
      <c r="F12" s="19"/>
      <c r="G12" s="129">
        <f t="shared" si="0"/>
        <v>0</v>
      </c>
      <c r="H12" s="109"/>
    </row>
    <row r="13" spans="1:13" s="120" customFormat="1" ht="12.5" x14ac:dyDescent="0.35">
      <c r="A13" s="127" t="s">
        <v>207</v>
      </c>
      <c r="B13" s="18"/>
      <c r="C13" s="21"/>
      <c r="D13" s="52">
        <f t="shared" si="1"/>
        <v>0</v>
      </c>
      <c r="E13" s="147" t="s">
        <v>208</v>
      </c>
      <c r="F13" s="19"/>
      <c r="G13" s="129">
        <f t="shared" si="0"/>
        <v>0</v>
      </c>
      <c r="H13" s="109"/>
    </row>
    <row r="14" spans="1:13" s="120" customFormat="1" ht="12.5" x14ac:dyDescent="0.35">
      <c r="A14" s="127" t="s">
        <v>209</v>
      </c>
      <c r="B14" s="18"/>
      <c r="C14" s="21"/>
      <c r="D14" s="52">
        <f t="shared" si="1"/>
        <v>0</v>
      </c>
      <c r="E14" s="147" t="s">
        <v>100</v>
      </c>
      <c r="F14" s="19"/>
      <c r="G14" s="129">
        <f t="shared" si="0"/>
        <v>0</v>
      </c>
      <c r="H14" s="109"/>
    </row>
    <row r="15" spans="1:13" s="120" customFormat="1" ht="13" x14ac:dyDescent="0.35">
      <c r="A15" s="127" t="s">
        <v>210</v>
      </c>
      <c r="B15" s="18"/>
      <c r="C15" s="21"/>
      <c r="D15" s="57">
        <f t="shared" si="1"/>
        <v>0</v>
      </c>
      <c r="E15" s="147" t="s">
        <v>143</v>
      </c>
      <c r="F15" s="268"/>
      <c r="G15" s="129">
        <f>D15+F15</f>
        <v>0</v>
      </c>
      <c r="H15" s="109"/>
    </row>
    <row r="16" spans="1:13" s="120" customFormat="1" ht="12.5" x14ac:dyDescent="0.35">
      <c r="A16" s="127" t="s">
        <v>216</v>
      </c>
      <c r="B16" s="18"/>
      <c r="C16" s="21"/>
      <c r="D16" s="57">
        <f t="shared" si="1"/>
        <v>0</v>
      </c>
      <c r="E16" s="147" t="s">
        <v>217</v>
      </c>
      <c r="F16" s="19"/>
      <c r="G16" s="146">
        <f>D16+F16</f>
        <v>0</v>
      </c>
      <c r="H16" s="109"/>
    </row>
    <row r="17" spans="1:8" s="120" customFormat="1" ht="13" x14ac:dyDescent="0.35">
      <c r="A17" s="127" t="s">
        <v>218</v>
      </c>
      <c r="B17" s="18"/>
      <c r="C17" s="21"/>
      <c r="D17" s="57">
        <f t="shared" si="1"/>
        <v>0</v>
      </c>
      <c r="E17" s="147" t="s">
        <v>143</v>
      </c>
      <c r="F17" s="268"/>
      <c r="G17" s="129">
        <f t="shared" si="0"/>
        <v>0</v>
      </c>
      <c r="H17" s="109"/>
    </row>
    <row r="18" spans="1:8" s="120" customFormat="1" ht="12.5" x14ac:dyDescent="0.35">
      <c r="A18" s="127" t="s">
        <v>219</v>
      </c>
      <c r="B18" s="18"/>
      <c r="C18" s="21"/>
      <c r="D18" s="57">
        <f t="shared" si="1"/>
        <v>0</v>
      </c>
      <c r="E18" s="148" t="s">
        <v>220</v>
      </c>
      <c r="F18" s="19"/>
      <c r="G18" s="129">
        <f t="shared" si="0"/>
        <v>0</v>
      </c>
      <c r="H18" s="109"/>
    </row>
    <row r="19" spans="1:8" s="120" customFormat="1" ht="12.5" x14ac:dyDescent="0.35">
      <c r="A19" s="127" t="s">
        <v>159</v>
      </c>
      <c r="B19" s="161"/>
      <c r="C19" s="294"/>
      <c r="D19" s="57">
        <f t="shared" ref="D19" si="2">B19*C19</f>
        <v>0</v>
      </c>
      <c r="E19" s="204"/>
      <c r="F19" s="162"/>
      <c r="G19" s="149">
        <f t="shared" ref="G19" si="3">D19+F19</f>
        <v>0</v>
      </c>
      <c r="H19" s="109"/>
    </row>
    <row r="20" spans="1:8" s="120" customFormat="1" ht="13" x14ac:dyDescent="0.35">
      <c r="A20" s="134" t="s">
        <v>221</v>
      </c>
      <c r="B20" s="278"/>
      <c r="C20" s="276"/>
      <c r="D20" s="276"/>
      <c r="E20" s="276"/>
      <c r="F20" s="276"/>
      <c r="G20" s="279">
        <f>SUM(G9:G19)</f>
        <v>6250</v>
      </c>
      <c r="H20" s="109"/>
    </row>
    <row r="21" spans="1:8" x14ac:dyDescent="0.3">
      <c r="A21" s="143"/>
      <c r="B21" s="277" t="s">
        <v>161</v>
      </c>
      <c r="C21" s="277"/>
      <c r="D21" s="277"/>
      <c r="E21" s="277"/>
      <c r="F21" s="277"/>
      <c r="G21" s="277"/>
      <c r="H21" s="80"/>
    </row>
    <row r="22" spans="1:8" x14ac:dyDescent="0.3">
      <c r="A22" s="123"/>
      <c r="B22" s="243" t="s">
        <v>146</v>
      </c>
      <c r="C22" s="241"/>
      <c r="D22" s="242"/>
      <c r="E22" s="243" t="s">
        <v>147</v>
      </c>
      <c r="F22" s="242"/>
      <c r="G22" s="144"/>
      <c r="H22" s="80"/>
    </row>
    <row r="23" spans="1:8" x14ac:dyDescent="0.3">
      <c r="A23" s="267" t="s">
        <v>148</v>
      </c>
      <c r="B23" s="125" t="s">
        <v>197</v>
      </c>
      <c r="C23" s="125" t="s">
        <v>150</v>
      </c>
      <c r="D23" s="126" t="s">
        <v>198</v>
      </c>
      <c r="E23" s="125" t="s">
        <v>152</v>
      </c>
      <c r="F23" s="125" t="s">
        <v>153</v>
      </c>
      <c r="G23" s="125" t="s">
        <v>212</v>
      </c>
      <c r="H23" s="80"/>
    </row>
    <row r="24" spans="1:8" x14ac:dyDescent="0.3">
      <c r="A24" s="127" t="s">
        <v>200</v>
      </c>
      <c r="B24" s="20">
        <v>10</v>
      </c>
      <c r="C24" s="21">
        <v>125</v>
      </c>
      <c r="D24" s="56">
        <f>B24*C24</f>
        <v>1250</v>
      </c>
      <c r="E24" s="145" t="s">
        <v>201</v>
      </c>
      <c r="F24" s="19"/>
      <c r="G24" s="146">
        <f>D24+F24</f>
        <v>1250</v>
      </c>
      <c r="H24" s="80"/>
    </row>
    <row r="25" spans="1:8" x14ac:dyDescent="0.3">
      <c r="A25" s="127" t="s">
        <v>202</v>
      </c>
      <c r="B25" s="20"/>
      <c r="C25" s="21"/>
      <c r="D25" s="56">
        <f>B25*C25</f>
        <v>0</v>
      </c>
      <c r="E25" s="147" t="s">
        <v>143</v>
      </c>
      <c r="F25" s="268"/>
      <c r="G25" s="129">
        <f t="shared" ref="G25:G33" si="4">D25+F25</f>
        <v>0</v>
      </c>
      <c r="H25" s="80"/>
    </row>
    <row r="26" spans="1:8" x14ac:dyDescent="0.3">
      <c r="A26" s="127" t="s">
        <v>203</v>
      </c>
      <c r="B26" s="18">
        <v>40</v>
      </c>
      <c r="C26" s="21">
        <v>125</v>
      </c>
      <c r="D26" s="52">
        <f t="shared" ref="D26:D33" si="5">B26*C26</f>
        <v>5000</v>
      </c>
      <c r="E26" s="147" t="s">
        <v>204</v>
      </c>
      <c r="F26" s="19"/>
      <c r="G26" s="129">
        <f t="shared" si="4"/>
        <v>5000</v>
      </c>
      <c r="H26" s="80"/>
    </row>
    <row r="27" spans="1:8" x14ac:dyDescent="0.3">
      <c r="A27" s="127" t="s">
        <v>205</v>
      </c>
      <c r="B27" s="18"/>
      <c r="C27" s="21"/>
      <c r="D27" s="52">
        <f t="shared" si="5"/>
        <v>0</v>
      </c>
      <c r="E27" s="147" t="s">
        <v>206</v>
      </c>
      <c r="F27" s="19"/>
      <c r="G27" s="129">
        <f t="shared" si="4"/>
        <v>0</v>
      </c>
      <c r="H27" s="80"/>
    </row>
    <row r="28" spans="1:8" x14ac:dyDescent="0.3">
      <c r="A28" s="127" t="s">
        <v>207</v>
      </c>
      <c r="B28" s="18"/>
      <c r="C28" s="21"/>
      <c r="D28" s="52">
        <f t="shared" si="5"/>
        <v>0</v>
      </c>
      <c r="E28" s="147" t="s">
        <v>208</v>
      </c>
      <c r="F28" s="19"/>
      <c r="G28" s="129">
        <f t="shared" si="4"/>
        <v>0</v>
      </c>
      <c r="H28" s="80"/>
    </row>
    <row r="29" spans="1:8" x14ac:dyDescent="0.3">
      <c r="A29" s="127" t="s">
        <v>209</v>
      </c>
      <c r="B29" s="18"/>
      <c r="C29" s="21"/>
      <c r="D29" s="52">
        <f t="shared" si="5"/>
        <v>0</v>
      </c>
      <c r="E29" s="147" t="s">
        <v>143</v>
      </c>
      <c r="F29" s="268"/>
      <c r="G29" s="129">
        <f t="shared" si="4"/>
        <v>0</v>
      </c>
      <c r="H29" s="80"/>
    </row>
    <row r="30" spans="1:8" x14ac:dyDescent="0.3">
      <c r="A30" s="127" t="s">
        <v>213</v>
      </c>
      <c r="B30" s="18"/>
      <c r="C30" s="21"/>
      <c r="D30" s="57">
        <f t="shared" si="5"/>
        <v>0</v>
      </c>
      <c r="E30" s="147" t="s">
        <v>214</v>
      </c>
      <c r="F30" s="19"/>
      <c r="G30" s="129">
        <f t="shared" si="4"/>
        <v>0</v>
      </c>
      <c r="H30" s="80"/>
    </row>
    <row r="31" spans="1:8" x14ac:dyDescent="0.3">
      <c r="A31" s="127" t="s">
        <v>216</v>
      </c>
      <c r="B31" s="18"/>
      <c r="C31" s="21"/>
      <c r="D31" s="57">
        <f t="shared" si="5"/>
        <v>0</v>
      </c>
      <c r="E31" s="147" t="s">
        <v>222</v>
      </c>
      <c r="F31" s="19"/>
      <c r="G31" s="129">
        <f>D31+F31</f>
        <v>0</v>
      </c>
      <c r="H31" s="80"/>
    </row>
    <row r="32" spans="1:8" x14ac:dyDescent="0.3">
      <c r="A32" s="127" t="s">
        <v>218</v>
      </c>
      <c r="B32" s="18">
        <v>40</v>
      </c>
      <c r="C32" s="21">
        <v>125</v>
      </c>
      <c r="D32" s="57">
        <f t="shared" si="5"/>
        <v>5000</v>
      </c>
      <c r="E32" s="147" t="s">
        <v>143</v>
      </c>
      <c r="F32" s="268"/>
      <c r="G32" s="129">
        <f t="shared" si="4"/>
        <v>5000</v>
      </c>
      <c r="H32" s="80"/>
    </row>
    <row r="33" spans="1:8" x14ac:dyDescent="0.3">
      <c r="A33" s="127" t="s">
        <v>219</v>
      </c>
      <c r="B33" s="18"/>
      <c r="C33" s="21"/>
      <c r="D33" s="57">
        <f t="shared" si="5"/>
        <v>0</v>
      </c>
      <c r="E33" s="147" t="s">
        <v>220</v>
      </c>
      <c r="F33" s="19"/>
      <c r="G33" s="129">
        <f t="shared" si="4"/>
        <v>0</v>
      </c>
      <c r="H33" s="80"/>
    </row>
    <row r="34" spans="1:8" x14ac:dyDescent="0.3">
      <c r="A34" s="127" t="s">
        <v>159</v>
      </c>
      <c r="B34" s="18"/>
      <c r="C34" s="21"/>
      <c r="D34" s="57">
        <f t="shared" ref="D34" si="6">B34*C34</f>
        <v>0</v>
      </c>
      <c r="E34" s="204"/>
      <c r="F34" s="19"/>
      <c r="G34" s="129">
        <f t="shared" ref="G34" si="7">D34+F34</f>
        <v>0</v>
      </c>
      <c r="H34" s="80"/>
    </row>
    <row r="35" spans="1:8" x14ac:dyDescent="0.3">
      <c r="A35" s="134" t="s">
        <v>221</v>
      </c>
      <c r="B35" s="278"/>
      <c r="C35" s="276"/>
      <c r="D35" s="276"/>
      <c r="E35" s="276"/>
      <c r="F35" s="276"/>
      <c r="G35" s="279">
        <f>SUM(G24:G34)</f>
        <v>11250</v>
      </c>
      <c r="H35" s="80"/>
    </row>
    <row r="36" spans="1:8" ht="14.5" thickBot="1" x14ac:dyDescent="0.35">
      <c r="A36" s="96"/>
      <c r="B36" s="97"/>
      <c r="C36" s="97"/>
      <c r="D36" s="97"/>
      <c r="E36" s="97"/>
      <c r="F36" s="97"/>
      <c r="G36" s="97"/>
      <c r="H36" s="98"/>
    </row>
    <row r="38" spans="1:8" ht="14.5" x14ac:dyDescent="0.35">
      <c r="A38" s="156"/>
    </row>
  </sheetData>
  <sheetProtection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EC6B-00CA-4CFB-8A07-ACAA01F4938F}">
  <sheetPr codeName="Sheet8"/>
  <dimension ref="A1:L23"/>
  <sheetViews>
    <sheetView workbookViewId="0">
      <selection activeCell="B9" sqref="B9:C9"/>
    </sheetView>
  </sheetViews>
  <sheetFormatPr defaultColWidth="8" defaultRowHeight="14" x14ac:dyDescent="0.3"/>
  <cols>
    <col min="1" max="1" width="41.453125" style="17" customWidth="1"/>
    <col min="2" max="4" width="17.54296875" style="17" customWidth="1"/>
    <col min="5" max="5" width="25.7265625" style="17" customWidth="1"/>
    <col min="6" max="6" width="20.7265625" style="17" customWidth="1"/>
    <col min="7" max="7" width="15" style="17" customWidth="1"/>
    <col min="8" max="8" width="17.54296875" style="17" customWidth="1"/>
    <col min="9" max="9" width="26.453125" style="17" customWidth="1"/>
    <col min="10" max="10" width="17.54296875" style="17" customWidth="1"/>
    <col min="11" max="11" width="23.26953125" style="17" customWidth="1"/>
    <col min="12" max="12" width="20.26953125" style="17" customWidth="1"/>
    <col min="13" max="13" width="33.26953125" style="17" bestFit="1" customWidth="1"/>
    <col min="14" max="16384" width="8" style="17"/>
  </cols>
  <sheetData>
    <row r="1" spans="1:12" s="120" customFormat="1" x14ac:dyDescent="0.35">
      <c r="A1" s="100" t="s">
        <v>142</v>
      </c>
      <c r="B1" s="76"/>
      <c r="C1" s="76"/>
      <c r="D1" s="76"/>
      <c r="E1" s="118"/>
      <c r="F1" s="151"/>
      <c r="G1" s="119"/>
      <c r="H1" s="119"/>
      <c r="I1" s="119"/>
      <c r="J1" s="119"/>
      <c r="K1" s="119"/>
      <c r="L1" s="119"/>
    </row>
    <row r="2" spans="1:12" s="120" customFormat="1" ht="12.5" x14ac:dyDescent="0.35">
      <c r="A2" s="260" t="s">
        <v>117</v>
      </c>
      <c r="B2" s="105"/>
      <c r="C2" s="105"/>
      <c r="D2" s="79"/>
      <c r="E2" s="106"/>
      <c r="F2" s="119"/>
      <c r="G2" s="119"/>
      <c r="H2" s="119"/>
      <c r="I2" s="119"/>
      <c r="J2" s="119"/>
      <c r="K2" s="119"/>
      <c r="L2" s="119"/>
    </row>
    <row r="3" spans="1:12" s="120" customFormat="1" ht="13" x14ac:dyDescent="0.35">
      <c r="A3" s="81" t="s">
        <v>124</v>
      </c>
      <c r="B3" s="82" t="s">
        <v>125</v>
      </c>
      <c r="C3" s="105"/>
      <c r="D3" s="105"/>
      <c r="E3" s="106"/>
      <c r="F3" s="119"/>
      <c r="G3" s="119"/>
      <c r="H3" s="119"/>
      <c r="I3" s="119"/>
      <c r="J3" s="119"/>
      <c r="K3" s="119"/>
      <c r="L3" s="119"/>
    </row>
    <row r="4" spans="1:12" x14ac:dyDescent="0.3">
      <c r="A4" s="95"/>
      <c r="B4" s="8"/>
      <c r="C4" s="8"/>
      <c r="D4" s="8"/>
      <c r="E4" s="80"/>
    </row>
    <row r="5" spans="1:12" s="120" customFormat="1" ht="13" x14ac:dyDescent="0.35">
      <c r="A5" s="152" t="s">
        <v>223</v>
      </c>
      <c r="B5" s="140"/>
      <c r="C5" s="140"/>
      <c r="D5" s="140"/>
      <c r="E5" s="141"/>
      <c r="F5" s="142"/>
      <c r="G5" s="142"/>
      <c r="H5" s="142"/>
      <c r="I5" s="142"/>
    </row>
    <row r="6" spans="1:12" s="120" customFormat="1" ht="25.9" customHeight="1" x14ac:dyDescent="0.35">
      <c r="A6" s="153" t="s">
        <v>224</v>
      </c>
      <c r="B6" s="295" t="s">
        <v>145</v>
      </c>
      <c r="C6" s="295"/>
      <c r="D6" s="105"/>
      <c r="E6" s="109"/>
      <c r="H6" s="154"/>
      <c r="I6" s="154"/>
    </row>
    <row r="7" spans="1:12" s="120" customFormat="1" ht="14.65" customHeight="1" x14ac:dyDescent="0.3">
      <c r="A7" s="127" t="s">
        <v>225</v>
      </c>
      <c r="B7" s="298">
        <v>0</v>
      </c>
      <c r="C7" s="298"/>
      <c r="D7" s="105"/>
      <c r="E7" s="109"/>
      <c r="H7" s="17"/>
      <c r="I7" s="17"/>
      <c r="J7" s="17"/>
    </row>
    <row r="8" spans="1:12" s="120" customFormat="1" ht="14.65" customHeight="1" x14ac:dyDescent="0.3">
      <c r="A8" s="127" t="s">
        <v>226</v>
      </c>
      <c r="B8" s="298">
        <v>10000</v>
      </c>
      <c r="C8" s="298"/>
      <c r="D8" s="105"/>
      <c r="E8" s="109"/>
      <c r="H8" s="17"/>
      <c r="I8" s="17"/>
      <c r="J8" s="17"/>
    </row>
    <row r="9" spans="1:12" s="120" customFormat="1" ht="14.65" customHeight="1" x14ac:dyDescent="0.3">
      <c r="A9" s="127" t="s">
        <v>159</v>
      </c>
      <c r="B9" s="298"/>
      <c r="C9" s="298"/>
      <c r="D9" s="105"/>
      <c r="E9" s="109"/>
      <c r="H9" s="17"/>
      <c r="I9" s="17"/>
      <c r="J9" s="17"/>
    </row>
    <row r="10" spans="1:12" s="120" customFormat="1" ht="14.65" customHeight="1" x14ac:dyDescent="0.35">
      <c r="A10" s="155" t="s">
        <v>227</v>
      </c>
      <c r="B10" s="301">
        <f>SUM(B7:C9)</f>
        <v>10000</v>
      </c>
      <c r="C10" s="301"/>
      <c r="D10" s="105"/>
      <c r="E10" s="109"/>
      <c r="H10" s="154"/>
      <c r="I10" s="154"/>
    </row>
    <row r="11" spans="1:12" x14ac:dyDescent="0.3">
      <c r="A11" s="153" t="s">
        <v>224</v>
      </c>
      <c r="B11" s="296" t="s">
        <v>228</v>
      </c>
      <c r="C11" s="297"/>
      <c r="D11" s="8"/>
      <c r="E11" s="80"/>
    </row>
    <row r="12" spans="1:12" x14ac:dyDescent="0.3">
      <c r="A12" s="127" t="s">
        <v>225</v>
      </c>
      <c r="B12" s="299"/>
      <c r="C12" s="300"/>
      <c r="D12" s="8"/>
      <c r="E12" s="80"/>
    </row>
    <row r="13" spans="1:12" x14ac:dyDescent="0.3">
      <c r="A13" s="127" t="s">
        <v>226</v>
      </c>
      <c r="B13" s="304">
        <v>10000</v>
      </c>
      <c r="C13" s="305"/>
      <c r="D13" s="8"/>
      <c r="E13" s="80"/>
    </row>
    <row r="14" spans="1:12" x14ac:dyDescent="0.3">
      <c r="A14" s="127" t="s">
        <v>159</v>
      </c>
      <c r="B14" s="298"/>
      <c r="C14" s="298"/>
      <c r="D14" s="8"/>
      <c r="E14" s="80"/>
    </row>
    <row r="15" spans="1:12" x14ac:dyDescent="0.3">
      <c r="A15" s="155" t="s">
        <v>227</v>
      </c>
      <c r="B15" s="301">
        <f>SUM(B12:C14)</f>
        <v>10000</v>
      </c>
      <c r="C15" s="301"/>
      <c r="D15" s="8"/>
      <c r="E15" s="80"/>
    </row>
    <row r="16" spans="1:12" x14ac:dyDescent="0.3">
      <c r="A16" s="153" t="s">
        <v>224</v>
      </c>
      <c r="B16" s="296" t="s">
        <v>163</v>
      </c>
      <c r="C16" s="297"/>
      <c r="D16" s="8"/>
      <c r="E16" s="80"/>
    </row>
    <row r="17" spans="1:5" x14ac:dyDescent="0.3">
      <c r="A17" s="127" t="s">
        <v>225</v>
      </c>
      <c r="B17" s="302">
        <v>10000</v>
      </c>
      <c r="C17" s="303"/>
      <c r="D17" s="8"/>
      <c r="E17" s="80"/>
    </row>
    <row r="18" spans="1:5" x14ac:dyDescent="0.3">
      <c r="A18" s="127" t="s">
        <v>226</v>
      </c>
      <c r="B18" s="302">
        <v>10000</v>
      </c>
      <c r="C18" s="303"/>
      <c r="D18" s="8"/>
      <c r="E18" s="80"/>
    </row>
    <row r="19" spans="1:5" x14ac:dyDescent="0.3">
      <c r="A19" s="127" t="s">
        <v>159</v>
      </c>
      <c r="B19" s="298"/>
      <c r="C19" s="298"/>
      <c r="D19" s="8"/>
      <c r="E19" s="80"/>
    </row>
    <row r="20" spans="1:5" x14ac:dyDescent="0.3">
      <c r="A20" s="176" t="s">
        <v>227</v>
      </c>
      <c r="B20" s="301">
        <f>SUM(B17:C19)</f>
        <v>20000</v>
      </c>
      <c r="C20" s="301"/>
      <c r="D20" s="8"/>
      <c r="E20" s="80"/>
    </row>
    <row r="21" spans="1:5" ht="14.5" thickBot="1" x14ac:dyDescent="0.35">
      <c r="A21" s="96"/>
      <c r="B21" s="97"/>
      <c r="C21" s="97"/>
      <c r="D21" s="97"/>
      <c r="E21" s="98"/>
    </row>
    <row r="23" spans="1:5" ht="14.5" x14ac:dyDescent="0.35">
      <c r="A23" s="156"/>
    </row>
  </sheetData>
  <sheetProtection sheet="1" objects="1" scenarios="1"/>
  <mergeCells count="15">
    <mergeCell ref="B20:C20"/>
    <mergeCell ref="B17:C17"/>
    <mergeCell ref="B8:C8"/>
    <mergeCell ref="B13:C13"/>
    <mergeCell ref="B18:C18"/>
    <mergeCell ref="B10:C10"/>
    <mergeCell ref="B15:C15"/>
    <mergeCell ref="B9:C9"/>
    <mergeCell ref="B14:C14"/>
    <mergeCell ref="B19:C19"/>
    <mergeCell ref="B6:C6"/>
    <mergeCell ref="B11:C11"/>
    <mergeCell ref="B16:C16"/>
    <mergeCell ref="B7:C7"/>
    <mergeCell ref="B12:C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2786-F6BA-4DEB-B1A8-B8A06CB15586}">
  <sheetPr codeName="Sheet9"/>
  <dimension ref="A1:E72"/>
  <sheetViews>
    <sheetView tabSelected="1" workbookViewId="0">
      <selection activeCell="D29" sqref="D29"/>
    </sheetView>
  </sheetViews>
  <sheetFormatPr defaultColWidth="8.7265625" defaultRowHeight="14" x14ac:dyDescent="0.3"/>
  <cols>
    <col min="1" max="1" width="44.7265625" style="8" customWidth="1"/>
    <col min="2" max="2" width="27.26953125" style="8" customWidth="1"/>
    <col min="3" max="3" width="25.7265625" style="8" bestFit="1" customWidth="1"/>
    <col min="4" max="4" width="53.453125" style="8" customWidth="1"/>
    <col min="5" max="5" width="17.26953125" style="8" customWidth="1"/>
    <col min="6" max="6" width="6.26953125" style="8" customWidth="1"/>
    <col min="7" max="16384" width="8.7265625" style="8"/>
  </cols>
  <sheetData>
    <row r="1" spans="1:5" ht="28.5" x14ac:dyDescent="0.65">
      <c r="A1" s="234" t="s">
        <v>229</v>
      </c>
      <c r="B1" s="252"/>
      <c r="C1" s="252"/>
      <c r="D1" s="252"/>
      <c r="E1" s="2"/>
    </row>
    <row r="2" spans="1:5" ht="28.5" customHeight="1" x14ac:dyDescent="0.3">
      <c r="A2" s="58" t="str">
        <f>IFERROR(CONCATENATE("By choosing ",'0. Assumptions'!B9, " ", B21,"s, your utility could save an estimated $",TEXT(MAX(B19:D19)-MIN(B19:D19),"#,###,###")," over the life of the breakers as compared to the most expensive option of the ",INDEX($A$15:$D$15,MATCH(MAX(A19:D19),A19:D19,0)),"."),"")</f>
        <v>By choosing 4 VCBs, your utility could save an estimated $3,331 over the life of the breakers as compared to the most expensive option of the SF6 GCB with Tank Heater.</v>
      </c>
      <c r="B2" s="258"/>
      <c r="C2" s="258"/>
      <c r="D2" s="258"/>
      <c r="E2" s="231"/>
    </row>
    <row r="3" spans="1:5" ht="18" customHeight="1" x14ac:dyDescent="0.3">
      <c r="A3" s="257" t="str">
        <f>CONCATENATE("Your utility will prevent an estimated ",TEXT(C11,"#,###,###")," metric tons of CO₂ equivalent (MTCO₂e) of SF₆ emissions over the breaker lifetime, based on an emission rate of ", '0. Assumptions'!B31*100, "%.*")</f>
        <v>Your utility will prevent an estimated 682 metric tons of CO₂ equivalent (MTCO₂e) of SF₆ emissions over the breaker lifetime, based on an emission rate of 0.5%.*</v>
      </c>
      <c r="B3" s="256"/>
      <c r="C3" s="256"/>
      <c r="D3" s="256"/>
      <c r="E3" s="253"/>
    </row>
    <row r="4" spans="1:5" ht="18" customHeight="1" x14ac:dyDescent="0.3">
      <c r="A4" s="257" t="str">
        <f>CONCATENATE("Your emissions savings is equivalent to removing approximately ", TEXT(D11,"#,###,###"), " passenger vehicles driven for one year.*")</f>
        <v>Your emissions savings is equivalent to removing approximately 152 passenger vehicles driven for one year.*</v>
      </c>
      <c r="B4" s="256"/>
      <c r="C4" s="256"/>
      <c r="D4" s="256"/>
      <c r="E4" s="253"/>
    </row>
    <row r="5" spans="1:5" ht="18" customHeight="1" x14ac:dyDescent="0.3">
      <c r="A5" s="257" t="str">
        <f>CONCATENATE("Potential emissions avoided in a given year can be as high as ", TEXT('0. Assumptions'!B22*'0. Assumptions'!B32/2204.62*22800, "#,###,###")," MTCO₂e when considering the total SF₆ capacity and the potential for catastrophic failure and major loss events.")</f>
        <v>Potential emissions avoided in a given year can be as high as 3,309 MTCO₂e when considering the total SF₆ capacity and the potential for catastrophic failure and major loss events.</v>
      </c>
      <c r="B5" s="254"/>
      <c r="C5" s="254"/>
      <c r="D5" s="254"/>
      <c r="E5" s="231"/>
    </row>
    <row r="6" spans="1:5" x14ac:dyDescent="0.3">
      <c r="A6" s="58"/>
      <c r="B6" s="53"/>
      <c r="C6" s="53"/>
      <c r="D6" s="53"/>
      <c r="E6" s="44"/>
    </row>
    <row r="7" spans="1:5" ht="20" x14ac:dyDescent="0.4">
      <c r="A7" s="251" t="s">
        <v>230</v>
      </c>
      <c r="B7" s="251"/>
      <c r="C7" s="251"/>
      <c r="D7" s="251"/>
      <c r="E7" s="44"/>
    </row>
    <row r="8" spans="1:5" ht="15" x14ac:dyDescent="0.3">
      <c r="A8" s="51" t="s">
        <v>231</v>
      </c>
      <c r="B8" s="51"/>
      <c r="C8" s="9"/>
      <c r="D8" s="53"/>
      <c r="E8" s="44"/>
    </row>
    <row r="9" spans="1:5" ht="17" x14ac:dyDescent="0.45">
      <c r="A9" s="12" t="s">
        <v>232</v>
      </c>
      <c r="B9" s="12" t="s">
        <v>233</v>
      </c>
      <c r="C9" s="12" t="s">
        <v>234</v>
      </c>
      <c r="D9" s="12" t="s">
        <v>235</v>
      </c>
      <c r="E9" s="44"/>
    </row>
    <row r="10" spans="1:5" x14ac:dyDescent="0.3">
      <c r="A10" s="13" t="s">
        <v>236</v>
      </c>
      <c r="B10" s="72">
        <f>'0. Assumptions'!B31*'0. Assumptions'!B32*GCB_Life</f>
        <v>16</v>
      </c>
      <c r="C10" s="73">
        <f>B10/lbs_to_MT*GWP_SF6</f>
        <v>170.55360000000002</v>
      </c>
      <c r="D10" s="61">
        <f>C10/Vehicles_Per_year</f>
        <v>37.985211581291765</v>
      </c>
      <c r="E10" s="44"/>
    </row>
    <row r="11" spans="1:5" x14ac:dyDescent="0.3">
      <c r="A11" s="62" t="s">
        <v>237</v>
      </c>
      <c r="B11" s="63">
        <f>'0. Assumptions'!B31*'0. Assumptions'!B32*GCB_Life*GCB_Systems</f>
        <v>64</v>
      </c>
      <c r="C11" s="63">
        <f>B11/lbs_to_MT*GWP_SF6</f>
        <v>682.21440000000007</v>
      </c>
      <c r="D11" s="63">
        <f>C11/Vehicles_Per_year</f>
        <v>151.94084632516706</v>
      </c>
      <c r="E11" s="44"/>
    </row>
    <row r="12" spans="1:5" x14ac:dyDescent="0.3">
      <c r="A12" s="53"/>
      <c r="B12" s="53"/>
      <c r="C12" s="53"/>
      <c r="D12" s="53"/>
      <c r="E12" s="44"/>
    </row>
    <row r="13" spans="1:5" ht="20" x14ac:dyDescent="0.4">
      <c r="A13" s="251" t="s">
        <v>238</v>
      </c>
      <c r="B13" s="251"/>
      <c r="C13" s="251"/>
      <c r="D13" s="251"/>
      <c r="E13" s="44"/>
    </row>
    <row r="14" spans="1:5" x14ac:dyDescent="0.3">
      <c r="A14" s="51" t="s">
        <v>239</v>
      </c>
      <c r="B14" s="255"/>
      <c r="C14" s="9"/>
      <c r="D14" s="10"/>
      <c r="E14" s="11"/>
    </row>
    <row r="15" spans="1:5" ht="17" x14ac:dyDescent="0.45">
      <c r="A15" s="12" t="s">
        <v>240</v>
      </c>
      <c r="B15" s="12" t="s">
        <v>112</v>
      </c>
      <c r="C15" s="12" t="s">
        <v>241</v>
      </c>
      <c r="D15" s="12" t="s">
        <v>242</v>
      </c>
      <c r="E15" s="11"/>
    </row>
    <row r="16" spans="1:5" x14ac:dyDescent="0.3">
      <c r="A16" s="275" t="s">
        <v>243</v>
      </c>
      <c r="B16" s="50">
        <f>(VCB_Initial+VCB_Annual*VCB_Life+VCB_Cost_RI*VCB_RI+VCB_Cost_PI*VCB_PI+VCB_Breaker)*VCB_Systems</f>
        <v>3947000</v>
      </c>
      <c r="C16" s="50">
        <f>(GCB_NTH_Initial+GCB_Annual*GCB_Life+GCB_Cost_RI*GCB_RI+GCB_Cost_PI*GCB_PI+GCB_NTH_Breaker)*GCB_Systems</f>
        <v>5329199.68</v>
      </c>
      <c r="D16" s="50">
        <f>(GCB_TH_Initial+GCB_Annual*GCB_Life+GCB_Cost_RI*GCB_RI+GCB_Cost_PI*GCB_PI+GCB_TH_Breaker)*GCB_Systems</f>
        <v>5369199.6799999997</v>
      </c>
      <c r="E16" s="11"/>
    </row>
    <row r="17" spans="1:5" x14ac:dyDescent="0.3">
      <c r="A17" s="275" t="s">
        <v>244</v>
      </c>
      <c r="B17" s="50">
        <f>IFERROR(B16/VCB_Life,"")</f>
        <v>98675</v>
      </c>
      <c r="C17" s="50">
        <f>IFERROR(C16/GCB_Life,"")</f>
        <v>133229.992</v>
      </c>
      <c r="D17" s="50">
        <f>IFERROR(D16/GCB_Life,"")</f>
        <v>134229.992</v>
      </c>
      <c r="E17" s="11"/>
    </row>
    <row r="18" spans="1:5" x14ac:dyDescent="0.3">
      <c r="A18" s="275" t="s">
        <v>245</v>
      </c>
      <c r="B18" s="50">
        <f>IFERROR('NPV Analysis'!H53,"")</f>
        <v>3685183.0315388772</v>
      </c>
      <c r="C18" s="50">
        <f>IFERROR('NPV Analysis'!O53,"")</f>
        <v>3805799.2291840771</v>
      </c>
      <c r="D18" s="50">
        <f>IFERROR('NPV Analysis'!V53,"")</f>
        <v>3818429.3710239576</v>
      </c>
      <c r="E18" s="11"/>
    </row>
    <row r="19" spans="1:5" x14ac:dyDescent="0.3">
      <c r="A19" s="60" t="s">
        <v>246</v>
      </c>
      <c r="B19" s="59">
        <f>IFERROR('NPV Analysis'!H54,"")</f>
        <v>92129.575788471935</v>
      </c>
      <c r="C19" s="59">
        <f>IFERROR('NPV Analysis'!O54,"")</f>
        <v>95144.980729601928</v>
      </c>
      <c r="D19" s="59">
        <f>IFERROR('NPV Analysis'!V54,"")</f>
        <v>95460.734275598938</v>
      </c>
      <c r="E19" s="11"/>
    </row>
    <row r="20" spans="1:5" x14ac:dyDescent="0.3">
      <c r="A20" s="14"/>
      <c r="B20" s="15"/>
      <c r="C20" s="15"/>
      <c r="D20" s="10"/>
      <c r="E20" s="11"/>
    </row>
    <row r="21" spans="1:5" x14ac:dyDescent="0.3">
      <c r="A21" s="64" t="s">
        <v>247</v>
      </c>
      <c r="B21" s="62" t="str">
        <f>IF(AND(B19&lt;C19,B19&lt;D19),B15,IF(AND(C19&lt;B19,C19&lt;D19),C15,IF(AND(D19&lt;B19,D19&lt;C19),D15,"")))</f>
        <v>VCB</v>
      </c>
      <c r="C21" s="10"/>
      <c r="D21" s="10"/>
      <c r="E21" s="11"/>
    </row>
    <row r="22" spans="1:5" x14ac:dyDescent="0.3">
      <c r="A22" s="16" t="s">
        <v>248</v>
      </c>
      <c r="B22" s="17"/>
      <c r="C22" s="17"/>
      <c r="D22" s="68"/>
      <c r="E22" s="11"/>
    </row>
    <row r="23" spans="1:5" x14ac:dyDescent="0.3">
      <c r="A23" s="16"/>
      <c r="B23" s="17"/>
      <c r="C23" s="17"/>
      <c r="D23" s="68"/>
      <c r="E23" s="11"/>
    </row>
    <row r="24" spans="1:5" ht="24" x14ac:dyDescent="0.6">
      <c r="A24" s="251" t="s">
        <v>249</v>
      </c>
      <c r="B24" s="17"/>
      <c r="C24" s="17"/>
      <c r="D24" s="68"/>
      <c r="E24" s="11"/>
    </row>
    <row r="25" spans="1:5" ht="15" x14ac:dyDescent="0.3">
      <c r="A25" s="51" t="s">
        <v>250</v>
      </c>
      <c r="B25" s="17"/>
      <c r="C25" s="17"/>
      <c r="D25" s="68"/>
      <c r="E25" s="11"/>
    </row>
    <row r="26" spans="1:5" x14ac:dyDescent="0.3">
      <c r="A26" s="12" t="s">
        <v>240</v>
      </c>
      <c r="B26" s="12"/>
      <c r="C26" s="17"/>
      <c r="D26" s="10"/>
      <c r="E26" s="11"/>
    </row>
    <row r="27" spans="1:5" x14ac:dyDescent="0.3">
      <c r="A27" s="13" t="s">
        <v>236</v>
      </c>
      <c r="B27" s="283">
        <f>IFERROR(B28/GCB_Systems,"")</f>
        <v>15000</v>
      </c>
      <c r="C27" s="17"/>
      <c r="D27" s="10"/>
      <c r="E27" s="11"/>
    </row>
    <row r="28" spans="1:5" x14ac:dyDescent="0.3">
      <c r="A28" s="62" t="s">
        <v>237</v>
      </c>
      <c r="B28" s="284">
        <f>'2. Annual Cost'!F27*GCB_Life</f>
        <v>60000</v>
      </c>
      <c r="C28" s="17"/>
      <c r="D28" s="10"/>
      <c r="E28" s="11"/>
    </row>
    <row r="29" spans="1:5" x14ac:dyDescent="0.3">
      <c r="A29" s="23"/>
      <c r="B29" s="17"/>
      <c r="C29" s="17"/>
      <c r="D29" s="10"/>
      <c r="E29" s="11"/>
    </row>
    <row r="30" spans="1:5" x14ac:dyDescent="0.3">
      <c r="A30" s="255" t="s">
        <v>251</v>
      </c>
      <c r="B30" s="255"/>
      <c r="C30" s="4"/>
      <c r="D30" s="10"/>
      <c r="E30" s="11"/>
    </row>
    <row r="31" spans="1:5" x14ac:dyDescent="0.3">
      <c r="A31" s="3"/>
      <c r="B31" s="3"/>
      <c r="C31" s="3"/>
      <c r="D31" s="10"/>
      <c r="E31" s="1"/>
    </row>
    <row r="32" spans="1:5" x14ac:dyDescent="0.3">
      <c r="A32" s="3"/>
      <c r="B32" s="3"/>
      <c r="C32" s="3"/>
      <c r="D32" s="10"/>
      <c r="E32" s="1"/>
    </row>
    <row r="33" spans="1:5" x14ac:dyDescent="0.3">
      <c r="A33" s="3"/>
      <c r="B33" s="3"/>
      <c r="C33" s="3"/>
      <c r="D33" s="10"/>
      <c r="E33" s="1"/>
    </row>
    <row r="34" spans="1:5" x14ac:dyDescent="0.3">
      <c r="A34" s="3"/>
      <c r="B34" s="3"/>
      <c r="C34" s="3"/>
      <c r="D34" s="10"/>
      <c r="E34" s="1"/>
    </row>
    <row r="35" spans="1:5" x14ac:dyDescent="0.3">
      <c r="A35" s="3"/>
      <c r="B35" s="3"/>
      <c r="C35" s="3"/>
      <c r="D35" s="10"/>
      <c r="E35" s="1"/>
    </row>
    <row r="36" spans="1:5" x14ac:dyDescent="0.3">
      <c r="A36" s="3"/>
      <c r="B36" s="3"/>
      <c r="C36" s="3"/>
      <c r="D36" s="10"/>
      <c r="E36" s="1"/>
    </row>
    <row r="37" spans="1:5" x14ac:dyDescent="0.3">
      <c r="A37" s="3"/>
      <c r="B37" s="3"/>
      <c r="C37" s="3"/>
      <c r="D37" s="10"/>
      <c r="E37" s="1"/>
    </row>
    <row r="38" spans="1:5" x14ac:dyDescent="0.3">
      <c r="A38" s="3"/>
      <c r="B38" s="3"/>
      <c r="C38" s="3"/>
      <c r="D38" s="4"/>
      <c r="E38" s="1"/>
    </row>
    <row r="39" spans="1:5" x14ac:dyDescent="0.3">
      <c r="A39" s="3"/>
      <c r="B39" s="3"/>
      <c r="C39" s="3"/>
      <c r="D39" s="10"/>
      <c r="E39" s="1"/>
    </row>
    <row r="40" spans="1:5" x14ac:dyDescent="0.3">
      <c r="A40" s="3"/>
      <c r="B40" s="3"/>
      <c r="C40" s="3"/>
      <c r="D40" s="10"/>
      <c r="E40" s="1"/>
    </row>
    <row r="41" spans="1:5" x14ac:dyDescent="0.3">
      <c r="A41" s="3"/>
      <c r="B41" s="3"/>
      <c r="C41" s="3"/>
      <c r="D41" s="10"/>
      <c r="E41" s="1"/>
    </row>
    <row r="42" spans="1:5" x14ac:dyDescent="0.3">
      <c r="A42" s="3"/>
      <c r="B42" s="3"/>
      <c r="C42" s="3"/>
      <c r="D42" s="10"/>
      <c r="E42" s="1"/>
    </row>
    <row r="43" spans="1:5" x14ac:dyDescent="0.3">
      <c r="A43" s="3"/>
      <c r="B43" s="3"/>
      <c r="C43" s="3"/>
      <c r="D43" s="10"/>
      <c r="E43" s="1"/>
    </row>
    <row r="44" spans="1:5" x14ac:dyDescent="0.3">
      <c r="A44" s="3"/>
      <c r="B44" s="3"/>
      <c r="C44" s="3"/>
      <c r="D44" s="10"/>
      <c r="E44" s="1"/>
    </row>
    <row r="45" spans="1:5" x14ac:dyDescent="0.3">
      <c r="A45" s="3"/>
      <c r="B45" s="3"/>
      <c r="C45" s="3"/>
      <c r="D45" s="10"/>
      <c r="E45" s="1"/>
    </row>
    <row r="46" spans="1:5" x14ac:dyDescent="0.3">
      <c r="A46" s="3"/>
      <c r="B46" s="3"/>
      <c r="C46" s="3"/>
      <c r="D46" s="4"/>
      <c r="E46" s="1"/>
    </row>
    <row r="47" spans="1:5" x14ac:dyDescent="0.3">
      <c r="A47" s="3"/>
      <c r="B47" s="3"/>
      <c r="C47" s="3"/>
      <c r="D47" s="4"/>
      <c r="E47" s="1"/>
    </row>
    <row r="48" spans="1:5" x14ac:dyDescent="0.3">
      <c r="A48" s="3"/>
      <c r="B48" s="3"/>
      <c r="C48" s="3"/>
      <c r="D48" s="4"/>
      <c r="E48" s="1"/>
    </row>
    <row r="49" spans="1:5" x14ac:dyDescent="0.3">
      <c r="A49" s="3"/>
      <c r="B49" s="3"/>
      <c r="C49" s="3"/>
      <c r="D49" s="4"/>
      <c r="E49" s="1"/>
    </row>
    <row r="50" spans="1:5" x14ac:dyDescent="0.3">
      <c r="A50" s="3"/>
      <c r="B50" s="3"/>
      <c r="C50" s="3"/>
      <c r="D50" s="4"/>
      <c r="E50" s="1"/>
    </row>
    <row r="51" spans="1:5" x14ac:dyDescent="0.3">
      <c r="A51" s="3"/>
      <c r="B51" s="3"/>
      <c r="C51" s="3"/>
      <c r="D51" s="4"/>
      <c r="E51" s="1"/>
    </row>
    <row r="52" spans="1:5" x14ac:dyDescent="0.3">
      <c r="A52" s="3"/>
      <c r="B52" s="3"/>
      <c r="C52" s="3"/>
      <c r="D52" s="4"/>
      <c r="E52" s="1"/>
    </row>
    <row r="53" spans="1:5" x14ac:dyDescent="0.3">
      <c r="A53" s="3"/>
      <c r="B53" s="3"/>
      <c r="C53" s="3"/>
      <c r="D53" s="4"/>
      <c r="E53" s="1"/>
    </row>
    <row r="54" spans="1:5" x14ac:dyDescent="0.3">
      <c r="A54" s="3"/>
      <c r="B54" s="3"/>
      <c r="C54" s="3"/>
      <c r="D54" s="4"/>
      <c r="E54" s="1"/>
    </row>
    <row r="55" spans="1:5" x14ac:dyDescent="0.3">
      <c r="A55" s="3"/>
      <c r="B55" s="3"/>
      <c r="C55" s="3"/>
      <c r="D55" s="4"/>
      <c r="E55" s="1"/>
    </row>
    <row r="56" spans="1:5" x14ac:dyDescent="0.3">
      <c r="A56" s="3"/>
      <c r="B56" s="3"/>
      <c r="C56" s="3"/>
      <c r="D56" s="4"/>
      <c r="E56" s="1"/>
    </row>
    <row r="57" spans="1:5" x14ac:dyDescent="0.3">
      <c r="A57" s="3"/>
      <c r="B57" s="3"/>
      <c r="C57" s="3"/>
      <c r="D57" s="4"/>
      <c r="E57" s="1"/>
    </row>
    <row r="58" spans="1:5" x14ac:dyDescent="0.3">
      <c r="A58" s="3"/>
      <c r="B58" s="3"/>
      <c r="C58" s="3"/>
      <c r="D58" s="4"/>
      <c r="E58" s="1"/>
    </row>
    <row r="59" spans="1:5" x14ac:dyDescent="0.3">
      <c r="A59" s="3"/>
      <c r="B59" s="3"/>
      <c r="C59" s="3"/>
      <c r="D59" s="4"/>
      <c r="E59" s="1"/>
    </row>
    <row r="60" spans="1:5" x14ac:dyDescent="0.3">
      <c r="A60" s="3"/>
      <c r="B60" s="3"/>
      <c r="C60" s="3"/>
      <c r="D60" s="4"/>
      <c r="E60" s="1"/>
    </row>
    <row r="61" spans="1:5" x14ac:dyDescent="0.3">
      <c r="A61" s="3"/>
      <c r="B61" s="3"/>
      <c r="C61" s="3"/>
      <c r="D61" s="4"/>
      <c r="E61" s="1"/>
    </row>
    <row r="62" spans="1:5" x14ac:dyDescent="0.3">
      <c r="A62" s="3"/>
      <c r="B62" s="3"/>
      <c r="C62" s="3"/>
      <c r="D62" s="4"/>
      <c r="E62" s="1"/>
    </row>
    <row r="63" spans="1:5" x14ac:dyDescent="0.3">
      <c r="A63" s="3"/>
      <c r="B63" s="3"/>
      <c r="C63" s="3"/>
      <c r="D63" s="4"/>
      <c r="E63" s="1"/>
    </row>
    <row r="64" spans="1:5" x14ac:dyDescent="0.3">
      <c r="A64" s="3"/>
      <c r="B64" s="3"/>
      <c r="C64" s="3"/>
      <c r="D64" s="4"/>
      <c r="E64" s="1"/>
    </row>
    <row r="65" spans="1:5" x14ac:dyDescent="0.3">
      <c r="A65" s="3"/>
      <c r="B65" s="3"/>
      <c r="C65" s="3"/>
      <c r="D65" s="4"/>
      <c r="E65" s="1"/>
    </row>
    <row r="66" spans="1:5" x14ac:dyDescent="0.3">
      <c r="A66" s="3"/>
      <c r="B66" s="3"/>
      <c r="C66" s="3"/>
      <c r="D66" s="4"/>
      <c r="E66" s="1"/>
    </row>
    <row r="67" spans="1:5" ht="14.5" x14ac:dyDescent="0.3">
      <c r="A67" s="306" t="s">
        <v>273</v>
      </c>
      <c r="B67" s="307"/>
      <c r="C67" s="307"/>
      <c r="D67" s="307"/>
      <c r="E67" s="1"/>
    </row>
    <row r="68" spans="1:5" x14ac:dyDescent="0.3">
      <c r="A68" s="65" t="s">
        <v>252</v>
      </c>
      <c r="B68" s="3"/>
      <c r="C68" s="3"/>
      <c r="D68" s="4"/>
      <c r="E68" s="1"/>
    </row>
    <row r="69" spans="1:5" x14ac:dyDescent="0.3">
      <c r="A69" s="285" t="s">
        <v>253</v>
      </c>
      <c r="B69" s="3"/>
      <c r="C69" s="3"/>
      <c r="D69" s="4"/>
      <c r="E69" s="1"/>
    </row>
    <row r="70" spans="1:5" ht="14.5" thickBot="1" x14ac:dyDescent="0.35">
      <c r="A70" s="66" t="s">
        <v>272</v>
      </c>
      <c r="B70" s="5"/>
      <c r="C70" s="5"/>
      <c r="D70" s="6"/>
      <c r="E70" s="7"/>
    </row>
    <row r="72" spans="1:5" ht="14.5" x14ac:dyDescent="0.35">
      <c r="A72" s="157"/>
    </row>
  </sheetData>
  <mergeCells count="1">
    <mergeCell ref="A67:D67"/>
  </mergeCells>
  <hyperlinks>
    <hyperlink ref="A16" location="'Definitions and Acronyms'!A69" display="Undiscounted Total Cost" xr:uid="{D8A6B14F-FB65-4F3D-A8AA-AED481A75DB2}"/>
    <hyperlink ref="A17" location="'Definitions and Acronyms'!A70" display="Average Annual Undiscounted Cost" xr:uid="{93C3A5E2-EA5B-4D8A-BAAD-878C28A68EE7}"/>
    <hyperlink ref="A18" location="'Definitions and Acronyms'!A71" display="Discounted Total Cost" xr:uid="{F98F7BDA-BBF1-4A6D-84C3-5EF30D822EB6}"/>
    <hyperlink ref="A69" r:id="rId1" xr:uid="{D7C01E3B-C2B8-4C7C-BB3F-A2FFB5B33C84}"/>
  </hyperlinks>
  <pageMargins left="0.7" right="0.7" top="0.75" bottom="0.75" header="0.3" footer="0.3"/>
  <pageSetup orientation="portrait" horizontalDpi="1200" verticalDpi="12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E684-3FD6-440B-AA39-94A49E299688}">
  <sheetPr codeName="Sheet10"/>
  <dimension ref="A1:AG97"/>
  <sheetViews>
    <sheetView topLeftCell="B1" workbookViewId="0"/>
  </sheetViews>
  <sheetFormatPr defaultColWidth="8.7265625" defaultRowHeight="14" x14ac:dyDescent="0.3"/>
  <cols>
    <col min="1" max="1" width="11.26953125" style="23" hidden="1" customWidth="1"/>
    <col min="2" max="2" width="10.7265625" style="23" bestFit="1" customWidth="1"/>
    <col min="3" max="3" width="16.26953125" style="23" bestFit="1" customWidth="1"/>
    <col min="4" max="7" width="17.453125" style="23" customWidth="1"/>
    <col min="8" max="8" width="16.7265625" style="23" customWidth="1"/>
    <col min="9" max="9" width="11.26953125" style="23" bestFit="1" customWidth="1"/>
    <col min="10" max="10" width="16.26953125" style="23" bestFit="1" customWidth="1"/>
    <col min="11" max="13" width="18.26953125" style="23" customWidth="1"/>
    <col min="14" max="14" width="21.26953125" style="23" customWidth="1"/>
    <col min="15" max="15" width="17.54296875" style="23" bestFit="1" customWidth="1"/>
    <col min="16" max="16" width="11.26953125" style="23" bestFit="1" customWidth="1"/>
    <col min="17" max="17" width="16.26953125" style="23" bestFit="1" customWidth="1"/>
    <col min="18" max="18" width="17.54296875" style="23" bestFit="1" customWidth="1"/>
    <col min="19" max="19" width="17.26953125" style="23" bestFit="1" customWidth="1"/>
    <col min="20" max="20" width="18.26953125" style="23" bestFit="1" customWidth="1"/>
    <col min="21" max="21" width="22.26953125" style="23" customWidth="1"/>
    <col min="22" max="22" width="17.54296875" style="23" bestFit="1" customWidth="1"/>
    <col min="23" max="24" width="8.7265625" style="23"/>
    <col min="25" max="25" width="9" style="23" bestFit="1" customWidth="1"/>
    <col min="26" max="26" width="19.26953125" style="23" customWidth="1"/>
    <col min="27" max="27" width="18.26953125" style="23" customWidth="1"/>
    <col min="28" max="28" width="16.7265625" style="23" customWidth="1"/>
    <col min="29" max="30" width="8.7265625" style="23"/>
    <col min="31" max="31" width="14.7265625" style="23" bestFit="1" customWidth="1"/>
    <col min="32" max="33" width="12.7265625" style="23" bestFit="1" customWidth="1"/>
    <col min="34" max="16384" width="8.7265625" style="23"/>
  </cols>
  <sheetData>
    <row r="1" spans="1:33" ht="16" thickBot="1" x14ac:dyDescent="0.4">
      <c r="B1" s="308" t="s">
        <v>112</v>
      </c>
      <c r="C1" s="309"/>
      <c r="D1" s="309"/>
      <c r="E1" s="309"/>
      <c r="F1" s="309"/>
      <c r="G1" s="309"/>
      <c r="H1" s="310"/>
      <c r="I1" s="308" t="s">
        <v>254</v>
      </c>
      <c r="J1" s="309"/>
      <c r="K1" s="309"/>
      <c r="L1" s="309"/>
      <c r="M1" s="309"/>
      <c r="N1" s="309"/>
      <c r="O1" s="310"/>
      <c r="P1" s="308" t="s">
        <v>255</v>
      </c>
      <c r="Q1" s="309"/>
      <c r="R1" s="309"/>
      <c r="S1" s="309"/>
      <c r="T1" s="309"/>
      <c r="U1" s="309"/>
      <c r="V1" s="310"/>
    </row>
    <row r="2" spans="1:33" ht="42" x14ac:dyDescent="0.3">
      <c r="A2" s="23" t="s">
        <v>256</v>
      </c>
      <c r="B2" s="24" t="s">
        <v>257</v>
      </c>
      <c r="C2" s="25" t="s">
        <v>258</v>
      </c>
      <c r="D2" s="25" t="s">
        <v>259</v>
      </c>
      <c r="E2" s="25" t="s">
        <v>260</v>
      </c>
      <c r="F2" s="25" t="s">
        <v>261</v>
      </c>
      <c r="G2" s="26" t="s">
        <v>262</v>
      </c>
      <c r="H2" s="27" t="s">
        <v>263</v>
      </c>
      <c r="I2" s="24" t="s">
        <v>257</v>
      </c>
      <c r="J2" s="25" t="s">
        <v>258</v>
      </c>
      <c r="K2" s="25" t="s">
        <v>259</v>
      </c>
      <c r="L2" s="25" t="s">
        <v>260</v>
      </c>
      <c r="M2" s="25" t="s">
        <v>261</v>
      </c>
      <c r="N2" s="26" t="s">
        <v>262</v>
      </c>
      <c r="O2" s="27" t="s">
        <v>263</v>
      </c>
      <c r="P2" s="24" t="s">
        <v>257</v>
      </c>
      <c r="Q2" s="25" t="s">
        <v>258</v>
      </c>
      <c r="R2" s="25" t="s">
        <v>259</v>
      </c>
      <c r="S2" s="25" t="s">
        <v>260</v>
      </c>
      <c r="T2" s="25" t="s">
        <v>261</v>
      </c>
      <c r="U2" s="26" t="s">
        <v>262</v>
      </c>
      <c r="V2" s="27" t="s">
        <v>263</v>
      </c>
      <c r="Y2" s="28" t="s">
        <v>257</v>
      </c>
      <c r="Z2" s="28" t="s">
        <v>112</v>
      </c>
      <c r="AA2" s="29" t="s">
        <v>264</v>
      </c>
      <c r="AB2" s="29" t="s">
        <v>255</v>
      </c>
      <c r="AE2" s="28"/>
      <c r="AF2" s="29"/>
      <c r="AG2" s="29"/>
    </row>
    <row r="3" spans="1:33" x14ac:dyDescent="0.3">
      <c r="A3" s="23">
        <v>1</v>
      </c>
      <c r="B3" s="30">
        <f>IF(VCB_Life&gt;='NPV Analysis'!$A3,'NPV Analysis'!$A3,"")</f>
        <v>1</v>
      </c>
      <c r="C3" s="31">
        <f>VCB_Initial*VCB_Systems</f>
        <v>3372000</v>
      </c>
      <c r="D3" s="31">
        <f t="shared" ref="D3:D43" si="0">IF($B3&gt;VCB_Life,0,(VCB_Annual/(1+Discount_Rate)^($B3-1))*VCB_Systems)</f>
        <v>11000</v>
      </c>
      <c r="E3" s="31">
        <f>IF(COUNTIF('0. Assumptions'!$J$4:$J$63,'NPV Analysis'!$B3),(VCB_Cost_RI/(1+Discount_Rate)^($B3-1))*VCB_Systems,0)</f>
        <v>0</v>
      </c>
      <c r="F3" s="31">
        <f>IF(COUNTIF('0. Assumptions'!$L$4:$L$63,'NPV Analysis'!$B3),(VCB_Cost_PI/(1+Discount_Rate)^($B3-1))*VCB_Systems,0)</f>
        <v>0</v>
      </c>
      <c r="G3" s="31">
        <f>IF($B3=VCB_Life,(VCB_Breaker/(1+Discount_Rate)^('NPV Analysis'!$B3-1))*VCB_Systems,0)</f>
        <v>0</v>
      </c>
      <c r="H3" s="32">
        <f>SUM(C3:G3)</f>
        <v>3383000</v>
      </c>
      <c r="I3" s="30">
        <f>IF(GCB_Life&gt;='NPV Analysis'!$A3,'NPV Analysis'!$A3,"")</f>
        <v>1</v>
      </c>
      <c r="J3" s="31">
        <f>GCB_NTH_Initial*GCB_Systems</f>
        <v>1628000</v>
      </c>
      <c r="K3" s="31">
        <f>IF($I3&gt;GCB_Life,0,GCB_Annual/(1+Discount_Rate)^($I3-1)*GCB_Systems)</f>
        <v>82029.991999999998</v>
      </c>
      <c r="L3" s="31">
        <f>IF(COUNTIF('0. Assumptions'!$K$4:$K$63,'NPV Analysis'!$I3),(GCB_Cost_RI/(1+Discount_Rate)^($I3-1))*GCB_Systems,0)</f>
        <v>0</v>
      </c>
      <c r="M3" s="31">
        <f>IF(COUNTIF('0. Assumptions'!$M$4:$M$63,'NPV Analysis'!$I3),(GCB_Cost_PI/(1+Discount_Rate)^($I3-1))*GCB_Systems,0)</f>
        <v>0</v>
      </c>
      <c r="N3" s="31">
        <f t="shared" ref="N3:N34" si="1">IF($I3=GCB_Life,(GCB_NTH_Breaker/(1+Discount_Rate)^($I3-1))*GCB_Systems,0)</f>
        <v>0</v>
      </c>
      <c r="O3" s="32">
        <f>SUM(J3:N3)</f>
        <v>1710029.9920000001</v>
      </c>
      <c r="P3" s="30">
        <f>IF(GCB_Life&gt;='NPV Analysis'!$A3,'NPV Analysis'!$A3,"")</f>
        <v>1</v>
      </c>
      <c r="Q3" s="31">
        <f>GCB_TH_Initial*GCB_Systems</f>
        <v>1628000</v>
      </c>
      <c r="R3" s="31">
        <f t="shared" ref="R3:R34" si="2">IF($P3&gt;GCB_Life,0,GCB_Annual/(1+Discount_Rate)^($P3-1)*GCB_Systems)</f>
        <v>82029.991999999998</v>
      </c>
      <c r="S3" s="31">
        <f>IF(COUNTIF('0. Assumptions'!$K$4:$K$63,'NPV Analysis'!$I3),(GCB_Cost_RI/(1+Discount_Rate)^($I3-1))*GCB_Systems,0)</f>
        <v>0</v>
      </c>
      <c r="T3" s="31">
        <f>IF(COUNTIF('0. Assumptions'!$M$4:$M$63,'NPV Analysis'!$I3),(GCB_Cost_PI/(1+Discount_Rate)^($I3-1))*GCB_Systems,0)</f>
        <v>0</v>
      </c>
      <c r="U3" s="31">
        <f t="shared" ref="U3:U34" si="3">IF($P3=GCB_Life,(GCB_TH_Breaker/(1+Discount_Rate)^($P3-1))*GCB_Systems,0)</f>
        <v>0</v>
      </c>
      <c r="V3" s="32">
        <f>SUM(Q3:U3)</f>
        <v>1710029.9920000001</v>
      </c>
      <c r="Y3" s="23">
        <f>IF(MAX(B3,I3)=0,"",MAX(B3,I3))</f>
        <v>1</v>
      </c>
      <c r="Z3" s="33">
        <f>H3</f>
        <v>3383000</v>
      </c>
      <c r="AA3" s="33">
        <f>O3</f>
        <v>1710029.9920000001</v>
      </c>
      <c r="AB3" s="33">
        <f>V3</f>
        <v>1710029.9920000001</v>
      </c>
      <c r="AE3" s="33"/>
      <c r="AF3" s="33"/>
      <c r="AG3" s="33"/>
    </row>
    <row r="4" spans="1:33" x14ac:dyDescent="0.3">
      <c r="A4" s="23">
        <v>2</v>
      </c>
      <c r="B4" s="30">
        <f>IF(VCB_Life&gt;='NPV Analysis'!$A4,'NPV Analysis'!$A4,"")</f>
        <v>2</v>
      </c>
      <c r="C4" s="13"/>
      <c r="D4" s="31">
        <f t="shared" si="0"/>
        <v>10679.611650485436</v>
      </c>
      <c r="E4" s="31">
        <f>IF(COUNTIF('0. Assumptions'!$J$4:$J$63,'NPV Analysis'!$B4),(VCB_Cost_RI/(1+Discount_Rate)^($B4-1))*VCB_Systems,0)</f>
        <v>0</v>
      </c>
      <c r="F4" s="31">
        <f>IF(COUNTIF('0. Assumptions'!$L$4:$L$63,'NPV Analysis'!$B4),(VCB_Cost_PI/(1+Discount_Rate)^($B4-1))*VCB_Systems,0)</f>
        <v>0</v>
      </c>
      <c r="G4" s="31">
        <f>IF($B4=VCB_Life,(VCB_Breaker/(1+Discount_Rate)^('NPV Analysis'!$B4-1))*VCB_Systems,0)</f>
        <v>0</v>
      </c>
      <c r="H4" s="32">
        <f t="shared" ref="H4:H52" si="4">SUM(C4:G4)</f>
        <v>10679.611650485436</v>
      </c>
      <c r="I4" s="30">
        <f>IF(GCB_Life&gt;='NPV Analysis'!$A4,'NPV Analysis'!$A4,"")</f>
        <v>2</v>
      </c>
      <c r="J4" s="13"/>
      <c r="K4" s="31">
        <f t="shared" ref="K4:K34" si="5">IF($I4&gt;GCB_Life,0,GCB_Annual/(1+Discount_Rate)^($I4-1)*GCB_Systems)</f>
        <v>79640.768932038831</v>
      </c>
      <c r="L4" s="31">
        <f>IF(COUNTIF('0. Assumptions'!$K$4:$K$63,'NPV Analysis'!$I4),(GCB_Cost_RI/(1+Discount_Rate)^($I4-1))*GCB_Systems,0)</f>
        <v>0</v>
      </c>
      <c r="M4" s="31">
        <f>IF(COUNTIF('0. Assumptions'!$M$4:$M$63,'NPV Analysis'!$I4),(GCB_Cost_PI/(1+Discount_Rate)^($I4-1))*GCB_Systems,0)</f>
        <v>0</v>
      </c>
      <c r="N4" s="31">
        <f t="shared" si="1"/>
        <v>0</v>
      </c>
      <c r="O4" s="32">
        <f t="shared" ref="O4:O52" si="6">SUM(J4:N4)</f>
        <v>79640.768932038831</v>
      </c>
      <c r="P4" s="30">
        <f>IF(GCB_Life&gt;='NPV Analysis'!$A4,'NPV Analysis'!$A4,"")</f>
        <v>2</v>
      </c>
      <c r="Q4" s="13"/>
      <c r="R4" s="31">
        <f t="shared" si="2"/>
        <v>79640.768932038831</v>
      </c>
      <c r="S4" s="31">
        <f>IF(COUNTIF('0. Assumptions'!$K$4:$K$63,'NPV Analysis'!$I4),(GCB_Cost_RI/(1+Discount_Rate)^($I4-1))*GCB_Systems,0)</f>
        <v>0</v>
      </c>
      <c r="T4" s="31">
        <f>IF(COUNTIF('0. Assumptions'!$M$4:$M$63,'NPV Analysis'!$P4),(GCB_Cost_PI/(1+Discount_Rate)^($I4-1))*GCB_Systems,0)</f>
        <v>0</v>
      </c>
      <c r="U4" s="31">
        <f t="shared" si="3"/>
        <v>0</v>
      </c>
      <c r="V4" s="32">
        <f t="shared" ref="V4:V52" si="7">SUM(Q4:U4)</f>
        <v>79640.768932038831</v>
      </c>
      <c r="Y4" s="23">
        <f t="shared" ref="Y4:Y52" si="8">IF(MAX(B4,I4)=0,"",MAX(B4,I4))</f>
        <v>2</v>
      </c>
      <c r="Z4" s="33">
        <f>IF(Y4="",NA(),Z3+H4)</f>
        <v>3393679.6116504855</v>
      </c>
      <c r="AA4" s="33">
        <f>IF($P4="",NA(),O4+AA3)</f>
        <v>1789670.760932039</v>
      </c>
      <c r="AB4" s="33">
        <f>IF($P4="",NA(),V4+AB3)</f>
        <v>1789670.760932039</v>
      </c>
      <c r="AE4" s="33"/>
      <c r="AF4" s="33"/>
      <c r="AG4" s="33"/>
    </row>
    <row r="5" spans="1:33" x14ac:dyDescent="0.3">
      <c r="A5" s="23">
        <v>3</v>
      </c>
      <c r="B5" s="30">
        <f>IF(VCB_Life&gt;='NPV Analysis'!$A5,'NPV Analysis'!$A5,"")</f>
        <v>3</v>
      </c>
      <c r="C5" s="13"/>
      <c r="D5" s="31">
        <f t="shared" si="0"/>
        <v>10368.555000471299</v>
      </c>
      <c r="E5" s="31">
        <f>IF(COUNTIF('0. Assumptions'!$J$4:$J$63,'NPV Analysis'!$B5),(VCB_Cost_RI/(1+Discount_Rate)^($B5-1))*VCB_Systems,0)</f>
        <v>0</v>
      </c>
      <c r="F5" s="31">
        <f>IF(COUNTIF('0. Assumptions'!$L$4:$L$63,'NPV Analysis'!$B5),(VCB_Cost_PI/(1+Discount_Rate)^($B5-1))*VCB_Systems,0)</f>
        <v>0</v>
      </c>
      <c r="G5" s="31">
        <f>IF($B5=VCB_Life,(VCB_Breaker/(1+Discount_Rate)^('NPV Analysis'!$B5-1))*VCB_Systems,0)</f>
        <v>0</v>
      </c>
      <c r="H5" s="32">
        <f t="shared" si="4"/>
        <v>10368.555000471299</v>
      </c>
      <c r="I5" s="30">
        <f>IF(GCB_Life&gt;='NPV Analysis'!$A5,'NPV Analysis'!$A5,"")</f>
        <v>3</v>
      </c>
      <c r="J5" s="13"/>
      <c r="K5" s="31">
        <f t="shared" si="5"/>
        <v>77321.134885474603</v>
      </c>
      <c r="L5" s="31">
        <f>IF(COUNTIF('0. Assumptions'!$K$4:$K$63,'NPV Analysis'!$I5),(GCB_Cost_RI/(1+Discount_Rate)^($I5-1))*GCB_Systems,0)</f>
        <v>0</v>
      </c>
      <c r="M5" s="31">
        <f>IF(COUNTIF('0. Assumptions'!$M$4:$M$63,'NPV Analysis'!$I5),(GCB_Cost_PI/(1+Discount_Rate)^($I5-1))*GCB_Systems,0)</f>
        <v>0</v>
      </c>
      <c r="N5" s="31">
        <f t="shared" si="1"/>
        <v>0</v>
      </c>
      <c r="O5" s="32">
        <f t="shared" si="6"/>
        <v>77321.134885474603</v>
      </c>
      <c r="P5" s="30">
        <f>IF(GCB_Life&gt;='NPV Analysis'!$A5,'NPV Analysis'!$A5,"")</f>
        <v>3</v>
      </c>
      <c r="Q5" s="13"/>
      <c r="R5" s="31">
        <f t="shared" si="2"/>
        <v>77321.134885474603</v>
      </c>
      <c r="S5" s="31">
        <f>IF(COUNTIF('0. Assumptions'!$K$4:$K$63,'NPV Analysis'!$I5),(GCB_Cost_RI/(1+Discount_Rate)^($I5-1))*GCB_Systems,0)</f>
        <v>0</v>
      </c>
      <c r="T5" s="31">
        <f>IF(COUNTIF('0. Assumptions'!$M$4:$M$63,'NPV Analysis'!$P5),(GCB_Cost_PI/(1+Discount_Rate)^($I5-1))*GCB_Systems,0)</f>
        <v>0</v>
      </c>
      <c r="U5" s="31">
        <f t="shared" si="3"/>
        <v>0</v>
      </c>
      <c r="V5" s="32">
        <f t="shared" si="7"/>
        <v>77321.134885474603</v>
      </c>
      <c r="Y5" s="23">
        <f t="shared" si="8"/>
        <v>3</v>
      </c>
      <c r="Z5" s="33">
        <f t="shared" ref="Z5:Z52" si="9">IF(Y5="",NA(),Z4+H5)</f>
        <v>3404048.166650957</v>
      </c>
      <c r="AA5" s="33">
        <f t="shared" ref="AA5:AA52" si="10">IF($P5="",NA(),O5+AA4)</f>
        <v>1866991.8958175136</v>
      </c>
      <c r="AB5" s="33">
        <f t="shared" ref="AB5:AB52" si="11">IF($P5="",NA(),V5+AB4)</f>
        <v>1866991.8958175136</v>
      </c>
    </row>
    <row r="6" spans="1:33" x14ac:dyDescent="0.3">
      <c r="A6" s="23">
        <v>4</v>
      </c>
      <c r="B6" s="30">
        <f>IF(VCB_Life&gt;='NPV Analysis'!$A6,'NPV Analysis'!$A6,"")</f>
        <v>4</v>
      </c>
      <c r="C6" s="13"/>
      <c r="D6" s="31">
        <f t="shared" si="0"/>
        <v>10066.558252884755</v>
      </c>
      <c r="E6" s="31">
        <f>IF(COUNTIF('0. Assumptions'!$J$4:$J$63,'NPV Analysis'!$B6),(VCB_Cost_RI/(1+Discount_Rate)^($B6-1))*VCB_Systems,0)</f>
        <v>0</v>
      </c>
      <c r="F6" s="31">
        <f>IF(COUNTIF('0. Assumptions'!$L$4:$L$63,'NPV Analysis'!$B6),(VCB_Cost_PI/(1+Discount_Rate)^($B6-1))*VCB_Systems,0)</f>
        <v>0</v>
      </c>
      <c r="G6" s="31">
        <f>IF($B6=VCB_Life,(VCB_Breaker/(1+Discount_Rate)^('NPV Analysis'!$B6-1))*VCB_Systems,0)</f>
        <v>0</v>
      </c>
      <c r="H6" s="32">
        <f t="shared" si="4"/>
        <v>10066.558252884755</v>
      </c>
      <c r="I6" s="30">
        <f>IF(GCB_Life&gt;='NPV Analysis'!$A6,'NPV Analysis'!$A6,"")</f>
        <v>4</v>
      </c>
      <c r="J6" s="13"/>
      <c r="K6" s="31">
        <f t="shared" si="5"/>
        <v>75069.062995606408</v>
      </c>
      <c r="L6" s="31">
        <f>IF(COUNTIF('0. Assumptions'!$K$4:$K$63,'NPV Analysis'!$I6),(GCB_Cost_RI/(1+Discount_Rate)^($I6-1))*GCB_Systems,0)</f>
        <v>0</v>
      </c>
      <c r="M6" s="31">
        <f>IF(COUNTIF('0. Assumptions'!$M$4:$M$63,'NPV Analysis'!$I6),(GCB_Cost_PI/(1+Discount_Rate)^($I6-1))*GCB_Systems,0)</f>
        <v>0</v>
      </c>
      <c r="N6" s="31">
        <f t="shared" si="1"/>
        <v>0</v>
      </c>
      <c r="O6" s="32">
        <f t="shared" si="6"/>
        <v>75069.062995606408</v>
      </c>
      <c r="P6" s="30">
        <f>IF(GCB_Life&gt;='NPV Analysis'!$A6,'NPV Analysis'!$A6,"")</f>
        <v>4</v>
      </c>
      <c r="Q6" s="13"/>
      <c r="R6" s="31">
        <f t="shared" si="2"/>
        <v>75069.062995606408</v>
      </c>
      <c r="S6" s="31">
        <f>IF(COUNTIF('0. Assumptions'!$K$4:$K$63,'NPV Analysis'!$I6),(GCB_Cost_RI/(1+Discount_Rate)^($I6-1))*GCB_Systems,0)</f>
        <v>0</v>
      </c>
      <c r="T6" s="31">
        <f>IF(COUNTIF('0. Assumptions'!$M$4:$M$63,'NPV Analysis'!$P6),(GCB_Cost_PI/(1+Discount_Rate)^($I6-1))*GCB_Systems,0)</f>
        <v>0</v>
      </c>
      <c r="U6" s="31">
        <f t="shared" si="3"/>
        <v>0</v>
      </c>
      <c r="V6" s="32">
        <f t="shared" si="7"/>
        <v>75069.062995606408</v>
      </c>
      <c r="Y6" s="23">
        <f t="shared" si="8"/>
        <v>4</v>
      </c>
      <c r="Z6" s="33">
        <f t="shared" si="9"/>
        <v>3414114.7249038415</v>
      </c>
      <c r="AA6" s="33">
        <f t="shared" si="10"/>
        <v>1942060.9588131199</v>
      </c>
      <c r="AB6" s="33">
        <f t="shared" si="11"/>
        <v>1942060.9588131199</v>
      </c>
    </row>
    <row r="7" spans="1:33" x14ac:dyDescent="0.3">
      <c r="A7" s="23">
        <v>5</v>
      </c>
      <c r="B7" s="30">
        <f>IF(VCB_Life&gt;='NPV Analysis'!$A7,'NPV Analysis'!$A7,"")</f>
        <v>5</v>
      </c>
      <c r="C7" s="13"/>
      <c r="D7" s="31">
        <f t="shared" si="0"/>
        <v>9773.3575270725778</v>
      </c>
      <c r="E7" s="31">
        <f>IF(COUNTIF('0. Assumptions'!$J$4:$J$63,'NPV Analysis'!$B7),(VCB_Cost_RI/(1+Discount_Rate)^($B7-1))*VCB_Systems,0)</f>
        <v>0</v>
      </c>
      <c r="F7" s="31">
        <f>IF(COUNTIF('0. Assumptions'!$L$4:$L$63,'NPV Analysis'!$B7),(VCB_Cost_PI/(1+Discount_Rate)^($B7-1))*VCB_Systems,0)</f>
        <v>0</v>
      </c>
      <c r="G7" s="31">
        <f>IF($B7=VCB_Life,(VCB_Breaker/(1+Discount_Rate)^('NPV Analysis'!$B7-1))*VCB_Systems,0)</f>
        <v>0</v>
      </c>
      <c r="H7" s="32">
        <f t="shared" si="4"/>
        <v>9773.3575270725778</v>
      </c>
      <c r="I7" s="30">
        <f>IF(GCB_Life&gt;='NPV Analysis'!$A7,'NPV Analysis'!$A7,"")</f>
        <v>5</v>
      </c>
      <c r="J7" s="13"/>
      <c r="K7" s="31">
        <f t="shared" si="5"/>
        <v>72882.585432627588</v>
      </c>
      <c r="L7" s="31">
        <f>IF(COUNTIF('0. Assumptions'!$K$4:$K$63,'NPV Analysis'!$I7),(GCB_Cost_RI/(1+Discount_Rate)^($I7-1))*GCB_Systems,0)</f>
        <v>0</v>
      </c>
      <c r="M7" s="31">
        <f>IF(COUNTIF('0. Assumptions'!$M$4:$M$63,'NPV Analysis'!$I7),(GCB_Cost_PI/(1+Discount_Rate)^($I7-1))*GCB_Systems,0)</f>
        <v>39981.917156206007</v>
      </c>
      <c r="N7" s="31">
        <f t="shared" si="1"/>
        <v>0</v>
      </c>
      <c r="O7" s="32">
        <f t="shared" si="6"/>
        <v>112864.50258883359</v>
      </c>
      <c r="P7" s="30">
        <f>IF(GCB_Life&gt;='NPV Analysis'!$A7,'NPV Analysis'!$A7,"")</f>
        <v>5</v>
      </c>
      <c r="Q7" s="13"/>
      <c r="R7" s="31">
        <f t="shared" si="2"/>
        <v>72882.585432627588</v>
      </c>
      <c r="S7" s="31">
        <f>IF(COUNTIF('0. Assumptions'!$K$4:$K$63,'NPV Analysis'!$I7),(GCB_Cost_RI/(1+Discount_Rate)^($I7-1))*GCB_Systems,0)</f>
        <v>0</v>
      </c>
      <c r="T7" s="31">
        <f>IF(COUNTIF('0. Assumptions'!$M$4:$M$63,'NPV Analysis'!$P7),(GCB_Cost_PI/(1+Discount_Rate)^($I7-1))*GCB_Systems,0)</f>
        <v>39981.917156206007</v>
      </c>
      <c r="U7" s="31">
        <f t="shared" si="3"/>
        <v>0</v>
      </c>
      <c r="V7" s="32">
        <f t="shared" si="7"/>
        <v>112864.50258883359</v>
      </c>
      <c r="Y7" s="23">
        <f t="shared" si="8"/>
        <v>5</v>
      </c>
      <c r="Z7" s="33">
        <f t="shared" si="9"/>
        <v>3423888.082430914</v>
      </c>
      <c r="AA7" s="33">
        <f t="shared" si="10"/>
        <v>2054925.4614019536</v>
      </c>
      <c r="AB7" s="33">
        <f t="shared" si="11"/>
        <v>2054925.4614019536</v>
      </c>
    </row>
    <row r="8" spans="1:33" x14ac:dyDescent="0.3">
      <c r="A8" s="23">
        <v>6</v>
      </c>
      <c r="B8" s="30">
        <f>IF(VCB_Life&gt;='NPV Analysis'!$A8,'NPV Analysis'!$A8,"")</f>
        <v>6</v>
      </c>
      <c r="C8" s="13"/>
      <c r="D8" s="31">
        <f t="shared" si="0"/>
        <v>9488.6966282258054</v>
      </c>
      <c r="E8" s="31">
        <f>IF(COUNTIF('0. Assumptions'!$J$4:$J$63,'NPV Analysis'!$B8),(VCB_Cost_RI/(1+Discount_Rate)^($B8-1))*VCB_Systems,0)</f>
        <v>0</v>
      </c>
      <c r="F8" s="31">
        <f>IF(COUNTIF('0. Assumptions'!$L$4:$L$63,'NPV Analysis'!$B8),(VCB_Cost_PI/(1+Discount_Rate)^($B8-1))*VCB_Systems,0)</f>
        <v>0</v>
      </c>
      <c r="G8" s="31">
        <f>IF($B8=VCB_Life,(VCB_Breaker/(1+Discount_Rate)^('NPV Analysis'!$B8-1))*VCB_Systems,0)</f>
        <v>0</v>
      </c>
      <c r="H8" s="32">
        <f t="shared" si="4"/>
        <v>9488.6966282258054</v>
      </c>
      <c r="I8" s="30">
        <f>IF(GCB_Life&gt;='NPV Analysis'!$A8,'NPV Analysis'!$A8,"")</f>
        <v>6</v>
      </c>
      <c r="J8" s="13"/>
      <c r="K8" s="31">
        <f t="shared" si="5"/>
        <v>70759.7916821627</v>
      </c>
      <c r="L8" s="31">
        <f>IF(COUNTIF('0. Assumptions'!$K$4:$K$63,'NPV Analysis'!$I8),(GCB_Cost_RI/(1+Discount_Rate)^($I8-1))*GCB_Systems,0)</f>
        <v>0</v>
      </c>
      <c r="M8" s="31">
        <f>IF(COUNTIF('0. Assumptions'!$M$4:$M$63,'NPV Analysis'!$I8),(GCB_Cost_PI/(1+Discount_Rate)^($I8-1))*GCB_Systems,0)</f>
        <v>0</v>
      </c>
      <c r="N8" s="31">
        <f t="shared" si="1"/>
        <v>0</v>
      </c>
      <c r="O8" s="32">
        <f t="shared" si="6"/>
        <v>70759.7916821627</v>
      </c>
      <c r="P8" s="30">
        <f>IF(GCB_Life&gt;='NPV Analysis'!$A8,'NPV Analysis'!$A8,"")</f>
        <v>6</v>
      </c>
      <c r="Q8" s="13"/>
      <c r="R8" s="31">
        <f t="shared" si="2"/>
        <v>70759.7916821627</v>
      </c>
      <c r="S8" s="31">
        <f>IF(COUNTIF('0. Assumptions'!$K$4:$K$63,'NPV Analysis'!$I8),(GCB_Cost_RI/(1+Discount_Rate)^($I8-1))*GCB_Systems,0)</f>
        <v>0</v>
      </c>
      <c r="T8" s="31">
        <f>IF(COUNTIF('0. Assumptions'!$M$4:$M$63,'NPV Analysis'!$P8),(GCB_Cost_PI/(1+Discount_Rate)^($I8-1))*GCB_Systems,0)</f>
        <v>0</v>
      </c>
      <c r="U8" s="31">
        <f t="shared" si="3"/>
        <v>0</v>
      </c>
      <c r="V8" s="32">
        <f t="shared" si="7"/>
        <v>70759.7916821627</v>
      </c>
      <c r="Y8" s="23">
        <f t="shared" si="8"/>
        <v>6</v>
      </c>
      <c r="Z8" s="33">
        <f t="shared" si="9"/>
        <v>3433376.77905914</v>
      </c>
      <c r="AA8" s="33">
        <f t="shared" si="10"/>
        <v>2125685.2530841161</v>
      </c>
      <c r="AB8" s="33">
        <f t="shared" si="11"/>
        <v>2125685.2530841161</v>
      </c>
    </row>
    <row r="9" spans="1:33" x14ac:dyDescent="0.3">
      <c r="A9" s="23">
        <v>7</v>
      </c>
      <c r="B9" s="30">
        <f>IF(VCB_Life&gt;='NPV Analysis'!$A9,'NPV Analysis'!$A9,"")</f>
        <v>7</v>
      </c>
      <c r="C9" s="13"/>
      <c r="D9" s="31">
        <f t="shared" si="0"/>
        <v>9212.3268235201995</v>
      </c>
      <c r="E9" s="31">
        <f>IF(COUNTIF('0. Assumptions'!$J$4:$J$63,'NPV Analysis'!$B9),(VCB_Cost_RI/(1+Discount_Rate)^($B9-1))*VCB_Systems,0)</f>
        <v>0</v>
      </c>
      <c r="F9" s="31">
        <f>IF(COUNTIF('0. Assumptions'!$L$4:$L$63,'NPV Analysis'!$B9),(VCB_Cost_PI/(1+Discount_Rate)^($B9-1))*VCB_Systems,0)</f>
        <v>0</v>
      </c>
      <c r="G9" s="31">
        <f>IF($B9=VCB_Life,(VCB_Breaker/(1+Discount_Rate)^('NPV Analysis'!$B9-1))*VCB_Systems,0)</f>
        <v>0</v>
      </c>
      <c r="H9" s="32">
        <f t="shared" si="4"/>
        <v>9212.3268235201995</v>
      </c>
      <c r="I9" s="30">
        <f>IF(GCB_Life&gt;='NPV Analysis'!$A9,'NPV Analysis'!$A9,"")</f>
        <v>7</v>
      </c>
      <c r="J9" s="13"/>
      <c r="K9" s="31">
        <f>IF($I9&gt;GCB_Life,0,GCB_Annual/(1+Discount_Rate)^($I9-1)*GCB_Systems)</f>
        <v>68698.826875886123</v>
      </c>
      <c r="L9" s="31">
        <f>IF(COUNTIF('0. Assumptions'!$K$4:$K$63,'NPV Analysis'!$I9),(GCB_Cost_RI/(1+Discount_Rate)^($I9-1))*GCB_Systems,0)</f>
        <v>0</v>
      </c>
      <c r="M9" s="31">
        <f>IF(COUNTIF('0. Assumptions'!$M$4:$M$63,'NPV Analysis'!$I9),(GCB_Cost_PI/(1+Discount_Rate)^($I9-1))*GCB_Systems,0)</f>
        <v>0</v>
      </c>
      <c r="N9" s="31">
        <f t="shared" si="1"/>
        <v>0</v>
      </c>
      <c r="O9" s="32">
        <f t="shared" si="6"/>
        <v>68698.826875886123</v>
      </c>
      <c r="P9" s="30">
        <f>IF(GCB_Life&gt;='NPV Analysis'!$A9,'NPV Analysis'!$A9,"")</f>
        <v>7</v>
      </c>
      <c r="Q9" s="13"/>
      <c r="R9" s="31">
        <f t="shared" si="2"/>
        <v>68698.826875886123</v>
      </c>
      <c r="S9" s="31">
        <f>IF(COUNTIF('0. Assumptions'!$K$4:$K$63,'NPV Analysis'!$I9),(GCB_Cost_RI/(1+Discount_Rate)^($I9-1))*GCB_Systems,0)</f>
        <v>0</v>
      </c>
      <c r="T9" s="31">
        <f>IF(COUNTIF('0. Assumptions'!$M$4:$M$63,'NPV Analysis'!$P9),(GCB_Cost_PI/(1+Discount_Rate)^($I9-1))*GCB_Systems,0)</f>
        <v>0</v>
      </c>
      <c r="U9" s="31">
        <f t="shared" si="3"/>
        <v>0</v>
      </c>
      <c r="V9" s="32">
        <f t="shared" si="7"/>
        <v>68698.826875886123</v>
      </c>
      <c r="Y9" s="23">
        <f t="shared" si="8"/>
        <v>7</v>
      </c>
      <c r="Z9" s="33">
        <f t="shared" si="9"/>
        <v>3442589.10588266</v>
      </c>
      <c r="AA9" s="33">
        <f t="shared" si="10"/>
        <v>2194384.0799600021</v>
      </c>
      <c r="AB9" s="33">
        <f t="shared" si="11"/>
        <v>2194384.0799600021</v>
      </c>
    </row>
    <row r="10" spans="1:33" x14ac:dyDescent="0.3">
      <c r="A10" s="23">
        <v>8</v>
      </c>
      <c r="B10" s="30">
        <f>IF(VCB_Life&gt;='NPV Analysis'!$A10,'NPV Analysis'!$A10,"")</f>
        <v>8</v>
      </c>
      <c r="C10" s="13"/>
      <c r="D10" s="31">
        <f t="shared" si="0"/>
        <v>8944.0066247768918</v>
      </c>
      <c r="E10" s="31">
        <f>IF(COUNTIF('0. Assumptions'!$J$4:$J$63,'NPV Analysis'!$B10),(VCB_Cost_RI/(1+Discount_Rate)^($B10-1))*VCB_Systems,0)</f>
        <v>0</v>
      </c>
      <c r="F10" s="31">
        <f>IF(COUNTIF('0. Assumptions'!$L$4:$L$63,'NPV Analysis'!$B10),(VCB_Cost_PI/(1+Discount_Rate)^($B10-1))*VCB_Systems,0)</f>
        <v>0</v>
      </c>
      <c r="G10" s="31">
        <f>IF($B10=VCB_Life,(VCB_Breaker/(1+Discount_Rate)^('NPV Analysis'!$B10-1))*VCB_Systems,0)</f>
        <v>0</v>
      </c>
      <c r="H10" s="32">
        <f t="shared" si="4"/>
        <v>8944.0066247768918</v>
      </c>
      <c r="I10" s="30">
        <f>IF(GCB_Life&gt;='NPV Analysis'!$A10,'NPV Analysis'!$A10,"")</f>
        <v>8</v>
      </c>
      <c r="J10" s="13"/>
      <c r="K10" s="31">
        <f t="shared" si="5"/>
        <v>66697.890170763218</v>
      </c>
      <c r="L10" s="31">
        <f>IF(COUNTIF('0. Assumptions'!$K$4:$K$63,'NPV Analysis'!$I10),(GCB_Cost_RI/(1+Discount_Rate)^($I10-1))*GCB_Systems,0)</f>
        <v>0</v>
      </c>
      <c r="M10" s="31">
        <f>IF(COUNTIF('0. Assumptions'!$M$4:$M$63,'NPV Analysis'!$I10),(GCB_Cost_PI/(1+Discount_Rate)^($I10-1))*GCB_Systems,0)</f>
        <v>0</v>
      </c>
      <c r="N10" s="31">
        <f t="shared" si="1"/>
        <v>0</v>
      </c>
      <c r="O10" s="32">
        <f t="shared" si="6"/>
        <v>66697.890170763218</v>
      </c>
      <c r="P10" s="30">
        <f>IF(GCB_Life&gt;='NPV Analysis'!$A10,'NPV Analysis'!$A10,"")</f>
        <v>8</v>
      </c>
      <c r="Q10" s="13"/>
      <c r="R10" s="31">
        <f t="shared" si="2"/>
        <v>66697.890170763218</v>
      </c>
      <c r="S10" s="31">
        <f>IF(COUNTIF('0. Assumptions'!$K$4:$K$63,'NPV Analysis'!$I10),(GCB_Cost_RI/(1+Discount_Rate)^($I10-1))*GCB_Systems,0)</f>
        <v>0</v>
      </c>
      <c r="T10" s="31">
        <f>IF(COUNTIF('0. Assumptions'!$M$4:$M$63,'NPV Analysis'!$P10),(GCB_Cost_PI/(1+Discount_Rate)^($I10-1))*GCB_Systems,0)</f>
        <v>0</v>
      </c>
      <c r="U10" s="31">
        <f t="shared" si="3"/>
        <v>0</v>
      </c>
      <c r="V10" s="32">
        <f t="shared" si="7"/>
        <v>66697.890170763218</v>
      </c>
      <c r="Y10" s="23">
        <f t="shared" si="8"/>
        <v>8</v>
      </c>
      <c r="Z10" s="33">
        <f t="shared" si="9"/>
        <v>3451533.1125074369</v>
      </c>
      <c r="AA10" s="33">
        <f t="shared" si="10"/>
        <v>2261081.9701307653</v>
      </c>
      <c r="AB10" s="33">
        <f t="shared" si="11"/>
        <v>2261081.9701307653</v>
      </c>
    </row>
    <row r="11" spans="1:33" x14ac:dyDescent="0.3">
      <c r="A11" s="23">
        <v>9</v>
      </c>
      <c r="B11" s="30">
        <f>IF(VCB_Life&gt;='NPV Analysis'!$A11,'NPV Analysis'!$A11,"")</f>
        <v>9</v>
      </c>
      <c r="C11" s="13"/>
      <c r="D11" s="31">
        <f t="shared" si="0"/>
        <v>8683.5015774532931</v>
      </c>
      <c r="E11" s="31">
        <f>IF(COUNTIF('0. Assumptions'!$J$4:$J$63,'NPV Analysis'!$B11),(VCB_Cost_RI/(1+Discount_Rate)^($B11-1))*VCB_Systems,0)</f>
        <v>0</v>
      </c>
      <c r="F11" s="31">
        <f>IF(COUNTIF('0. Assumptions'!$L$4:$L$63,'NPV Analysis'!$B11),(VCB_Cost_PI/(1+Discount_Rate)^($B11-1))*VCB_Systems,0)</f>
        <v>0</v>
      </c>
      <c r="G11" s="31">
        <f>IF($B11=VCB_Life,(VCB_Breaker/(1+Discount_Rate)^('NPV Analysis'!$B11-1))*VCB_Systems,0)</f>
        <v>0</v>
      </c>
      <c r="H11" s="32">
        <f t="shared" si="4"/>
        <v>8683.5015774532931</v>
      </c>
      <c r="I11" s="30">
        <f>IF(GCB_Life&gt;='NPV Analysis'!$A11,'NPV Analysis'!$A11,"")</f>
        <v>9</v>
      </c>
      <c r="J11" s="13"/>
      <c r="K11" s="31">
        <f t="shared" si="5"/>
        <v>64755.233175498273</v>
      </c>
      <c r="L11" s="31">
        <f>IF(COUNTIF('0. Assumptions'!$K$4:$K$63,'NPV Analysis'!$I11),(GCB_Cost_RI/(1+Discount_Rate)^($I11-1))*GCB_Systems,0)</f>
        <v>0</v>
      </c>
      <c r="M11" s="31">
        <f>IF(COUNTIF('0. Assumptions'!$M$4:$M$63,'NPV Analysis'!$I11),(GCB_Cost_PI/(1+Discount_Rate)^($I11-1))*GCB_Systems,0)</f>
        <v>0</v>
      </c>
      <c r="N11" s="31">
        <f t="shared" si="1"/>
        <v>0</v>
      </c>
      <c r="O11" s="32">
        <f t="shared" si="6"/>
        <v>64755.233175498273</v>
      </c>
      <c r="P11" s="30">
        <f>IF(GCB_Life&gt;='NPV Analysis'!$A11,'NPV Analysis'!$A11,"")</f>
        <v>9</v>
      </c>
      <c r="Q11" s="13"/>
      <c r="R11" s="31">
        <f t="shared" si="2"/>
        <v>64755.233175498273</v>
      </c>
      <c r="S11" s="31">
        <f>IF(COUNTIF('0. Assumptions'!$K$4:$K$63,'NPV Analysis'!$I11),(GCB_Cost_RI/(1+Discount_Rate)^($I11-1))*GCB_Systems,0)</f>
        <v>0</v>
      </c>
      <c r="T11" s="31">
        <f>IF(COUNTIF('0. Assumptions'!$M$4:$M$63,'NPV Analysis'!$P11),(GCB_Cost_PI/(1+Discount_Rate)^($I11-1))*GCB_Systems,0)</f>
        <v>0</v>
      </c>
      <c r="U11" s="31">
        <f t="shared" si="3"/>
        <v>0</v>
      </c>
      <c r="V11" s="32">
        <f t="shared" si="7"/>
        <v>64755.233175498273</v>
      </c>
      <c r="Y11" s="23">
        <f t="shared" si="8"/>
        <v>9</v>
      </c>
      <c r="Z11" s="33">
        <f t="shared" si="9"/>
        <v>3460216.6140848901</v>
      </c>
      <c r="AA11" s="33">
        <f t="shared" si="10"/>
        <v>2325837.2033062638</v>
      </c>
      <c r="AB11" s="33">
        <f t="shared" si="11"/>
        <v>2325837.2033062638</v>
      </c>
    </row>
    <row r="12" spans="1:33" x14ac:dyDescent="0.3">
      <c r="A12" s="23">
        <v>10</v>
      </c>
      <c r="B12" s="30">
        <f>IF(VCB_Life&gt;='NPV Analysis'!$A12,'NPV Analysis'!$A12,"")</f>
        <v>10</v>
      </c>
      <c r="C12" s="13"/>
      <c r="D12" s="31">
        <f t="shared" si="0"/>
        <v>8430.5840557798965</v>
      </c>
      <c r="E12" s="31">
        <f>IF(COUNTIF('0. Assumptions'!$J$4:$J$63,'NPV Analysis'!$B12),(VCB_Cost_RI/(1+Discount_Rate)^($B12-1))*VCB_Systems,0)</f>
        <v>3832.0836617181349</v>
      </c>
      <c r="F12" s="31">
        <f>IF(COUNTIF('0. Assumptions'!$L$4:$L$63,'NPV Analysis'!$B12),(VCB_Cost_PI/(1+Discount_Rate)^($B12-1))*VCB_Systems,0)</f>
        <v>0</v>
      </c>
      <c r="G12" s="31">
        <f>IF($B12=VCB_Life,(VCB_Breaker/(1+Discount_Rate)^('NPV Analysis'!$B12-1))*VCB_Systems,0)</f>
        <v>0</v>
      </c>
      <c r="H12" s="32">
        <f t="shared" si="4"/>
        <v>12262.667717498032</v>
      </c>
      <c r="I12" s="30">
        <f>IF(GCB_Life&gt;='NPV Analysis'!$A12,'NPV Analysis'!$A12,"")</f>
        <v>10</v>
      </c>
      <c r="J12" s="13"/>
      <c r="K12" s="31">
        <f t="shared" si="5"/>
        <v>62869.15842281386</v>
      </c>
      <c r="L12" s="31">
        <f>IF(COUNTIF('0. Assumptions'!$K$4:$K$63,'NPV Analysis'!$I12),(GCB_Cost_RI/(1+Discount_Rate)^($I12-1))*GCB_Systems,0)</f>
        <v>3832.0836617181349</v>
      </c>
      <c r="M12" s="31">
        <f>IF(COUNTIF('0. Assumptions'!$M$4:$M$63,'NPV Analysis'!$I12),(GCB_Cost_PI/(1+Discount_Rate)^($I12-1))*GCB_Systems,0)</f>
        <v>34488.752955463213</v>
      </c>
      <c r="N12" s="31">
        <f t="shared" si="1"/>
        <v>0</v>
      </c>
      <c r="O12" s="32">
        <f t="shared" si="6"/>
        <v>101189.99503999521</v>
      </c>
      <c r="P12" s="30">
        <f>IF(GCB_Life&gt;='NPV Analysis'!$A12,'NPV Analysis'!$A12,"")</f>
        <v>10</v>
      </c>
      <c r="Q12" s="13"/>
      <c r="R12" s="31">
        <f t="shared" si="2"/>
        <v>62869.15842281386</v>
      </c>
      <c r="S12" s="31">
        <f>IF(COUNTIF('0. Assumptions'!$K$4:$K$63,'NPV Analysis'!$I12),(GCB_Cost_RI/(1+Discount_Rate)^($I12-1))*GCB_Systems,0)</f>
        <v>3832.0836617181349</v>
      </c>
      <c r="T12" s="31">
        <f>IF(COUNTIF('0. Assumptions'!$M$4:$M$63,'NPV Analysis'!$P12),(GCB_Cost_PI/(1+Discount_Rate)^($I12-1))*GCB_Systems,0)</f>
        <v>34488.752955463213</v>
      </c>
      <c r="U12" s="31">
        <f t="shared" si="3"/>
        <v>0</v>
      </c>
      <c r="V12" s="32">
        <f t="shared" si="7"/>
        <v>101189.99503999521</v>
      </c>
      <c r="Y12" s="23">
        <f t="shared" si="8"/>
        <v>10</v>
      </c>
      <c r="Z12" s="33">
        <f t="shared" si="9"/>
        <v>3472479.2818023884</v>
      </c>
      <c r="AA12" s="33">
        <f t="shared" si="10"/>
        <v>2427027.1983462591</v>
      </c>
      <c r="AB12" s="33">
        <f t="shared" si="11"/>
        <v>2427027.1983462591</v>
      </c>
    </row>
    <row r="13" spans="1:33" x14ac:dyDescent="0.3">
      <c r="A13" s="23">
        <v>11</v>
      </c>
      <c r="B13" s="30">
        <f>IF(VCB_Life&gt;='NPV Analysis'!$A13,'NPV Analysis'!$A13,"")</f>
        <v>11</v>
      </c>
      <c r="C13" s="13"/>
      <c r="D13" s="31">
        <f t="shared" si="0"/>
        <v>8185.0330638639771</v>
      </c>
      <c r="E13" s="31">
        <f>IF(COUNTIF('0. Assumptions'!$J$4:$J$63,'NPV Analysis'!$B13),(VCB_Cost_RI/(1+Discount_Rate)^($B13-1))*VCB_Systems,0)</f>
        <v>0</v>
      </c>
      <c r="F13" s="31">
        <f>IF(COUNTIF('0. Assumptions'!$L$4:$L$63,'NPV Analysis'!$B13),(VCB_Cost_PI/(1+Discount_Rate)^($B13-1))*VCB_Systems,0)</f>
        <v>0</v>
      </c>
      <c r="G13" s="31">
        <f>IF($B13=VCB_Life,(VCB_Breaker/(1+Discount_Rate)^('NPV Analysis'!$B13-1))*VCB_Systems,0)</f>
        <v>0</v>
      </c>
      <c r="H13" s="32">
        <f t="shared" si="4"/>
        <v>8185.0330638639771</v>
      </c>
      <c r="I13" s="30">
        <f>IF(GCB_Life&gt;='NPV Analysis'!$A13,'NPV Analysis'!$A13,"")</f>
        <v>11</v>
      </c>
      <c r="J13" s="13"/>
      <c r="K13" s="31">
        <f t="shared" si="5"/>
        <v>61038.017886227048</v>
      </c>
      <c r="L13" s="31">
        <f>IF(COUNTIF('0. Assumptions'!$K$4:$K$63,'NPV Analysis'!$I13),(GCB_Cost_RI/(1+Discount_Rate)^($I13-1))*GCB_Systems,0)</f>
        <v>0</v>
      </c>
      <c r="M13" s="31">
        <f>IF(COUNTIF('0. Assumptions'!$M$4:$M$63,'NPV Analysis'!$I13),(GCB_Cost_PI/(1+Discount_Rate)^($I13-1))*GCB_Systems,0)</f>
        <v>0</v>
      </c>
      <c r="N13" s="31">
        <f t="shared" si="1"/>
        <v>0</v>
      </c>
      <c r="O13" s="32">
        <f t="shared" si="6"/>
        <v>61038.017886227048</v>
      </c>
      <c r="P13" s="30">
        <f>IF(GCB_Life&gt;='NPV Analysis'!$A13,'NPV Analysis'!$A13,"")</f>
        <v>11</v>
      </c>
      <c r="Q13" s="13"/>
      <c r="R13" s="31">
        <f t="shared" si="2"/>
        <v>61038.017886227048</v>
      </c>
      <c r="S13" s="31">
        <f>IF(COUNTIF('0. Assumptions'!$K$4:$K$63,'NPV Analysis'!$I13),(GCB_Cost_RI/(1+Discount_Rate)^($I13-1))*GCB_Systems,0)</f>
        <v>0</v>
      </c>
      <c r="T13" s="31">
        <f>IF(COUNTIF('0. Assumptions'!$M$4:$M$63,'NPV Analysis'!$P13),(GCB_Cost_PI/(1+Discount_Rate)^($I13-1))*GCB_Systems,0)</f>
        <v>0</v>
      </c>
      <c r="U13" s="31">
        <f t="shared" si="3"/>
        <v>0</v>
      </c>
      <c r="V13" s="32">
        <f t="shared" si="7"/>
        <v>61038.017886227048</v>
      </c>
      <c r="Y13" s="23">
        <f t="shared" si="8"/>
        <v>11</v>
      </c>
      <c r="Z13" s="33">
        <f t="shared" si="9"/>
        <v>3480664.3148662522</v>
      </c>
      <c r="AA13" s="33">
        <f t="shared" si="10"/>
        <v>2488065.2162324861</v>
      </c>
      <c r="AB13" s="33">
        <f t="shared" si="11"/>
        <v>2488065.2162324861</v>
      </c>
    </row>
    <row r="14" spans="1:33" x14ac:dyDescent="0.3">
      <c r="A14" s="23">
        <v>12</v>
      </c>
      <c r="B14" s="30">
        <f>IF(VCB_Life&gt;='NPV Analysis'!$A14,'NPV Analysis'!$A14,"")</f>
        <v>12</v>
      </c>
      <c r="C14" s="13"/>
      <c r="D14" s="31">
        <f t="shared" si="0"/>
        <v>7946.6340425863855</v>
      </c>
      <c r="E14" s="31">
        <f>IF(COUNTIF('0. Assumptions'!$J$4:$J$63,'NPV Analysis'!$B14),(VCB_Cost_RI/(1+Discount_Rate)^($B14-1))*VCB_Systems,0)</f>
        <v>0</v>
      </c>
      <c r="F14" s="31">
        <f>IF(COUNTIF('0. Assumptions'!$L$4:$L$63,'NPV Analysis'!$B14),(VCB_Cost_PI/(1+Discount_Rate)^($B14-1))*VCB_Systems,0)</f>
        <v>0</v>
      </c>
      <c r="G14" s="31">
        <f>IF($B14=VCB_Life,(VCB_Breaker/(1+Discount_Rate)^('NPV Analysis'!$B14-1))*VCB_Systems,0)</f>
        <v>0</v>
      </c>
      <c r="H14" s="32">
        <f t="shared" si="4"/>
        <v>7946.6340425863855</v>
      </c>
      <c r="I14" s="30">
        <f>IF(GCB_Life&gt;='NPV Analysis'!$A14,'NPV Analysis'!$A14,"")</f>
        <v>12</v>
      </c>
      <c r="J14" s="13"/>
      <c r="K14" s="31">
        <f t="shared" si="5"/>
        <v>59260.211540026256</v>
      </c>
      <c r="L14" s="31">
        <f>IF(COUNTIF('0. Assumptions'!$K$4:$K$63,'NPV Analysis'!$I14),(GCB_Cost_RI/(1+Discount_Rate)^($I14-1))*GCB_Systems,0)</f>
        <v>0</v>
      </c>
      <c r="M14" s="31">
        <f>IF(COUNTIF('0. Assumptions'!$M$4:$M$63,'NPV Analysis'!$I14),(GCB_Cost_PI/(1+Discount_Rate)^($I14-1))*GCB_Systems,0)</f>
        <v>0</v>
      </c>
      <c r="N14" s="31">
        <f t="shared" si="1"/>
        <v>0</v>
      </c>
      <c r="O14" s="32">
        <f t="shared" si="6"/>
        <v>59260.211540026256</v>
      </c>
      <c r="P14" s="30">
        <f>IF(GCB_Life&gt;='NPV Analysis'!$A14,'NPV Analysis'!$A14,"")</f>
        <v>12</v>
      </c>
      <c r="Q14" s="13"/>
      <c r="R14" s="31">
        <f t="shared" si="2"/>
        <v>59260.211540026256</v>
      </c>
      <c r="S14" s="31">
        <f>IF(COUNTIF('0. Assumptions'!$K$4:$K$63,'NPV Analysis'!$I14),(GCB_Cost_RI/(1+Discount_Rate)^($I14-1))*GCB_Systems,0)</f>
        <v>0</v>
      </c>
      <c r="T14" s="31">
        <f>IF(COUNTIF('0. Assumptions'!$M$4:$M$63,'NPV Analysis'!$P14),(GCB_Cost_PI/(1+Discount_Rate)^($I14-1))*GCB_Systems,0)</f>
        <v>0</v>
      </c>
      <c r="U14" s="31">
        <f t="shared" si="3"/>
        <v>0</v>
      </c>
      <c r="V14" s="32">
        <f t="shared" si="7"/>
        <v>59260.211540026256</v>
      </c>
      <c r="Y14" s="23">
        <f t="shared" si="8"/>
        <v>12</v>
      </c>
      <c r="Z14" s="33">
        <f t="shared" si="9"/>
        <v>3488610.9489088384</v>
      </c>
      <c r="AA14" s="33">
        <f t="shared" si="10"/>
        <v>2547325.4277725122</v>
      </c>
      <c r="AB14" s="33">
        <f t="shared" si="11"/>
        <v>2547325.4277725122</v>
      </c>
    </row>
    <row r="15" spans="1:33" x14ac:dyDescent="0.3">
      <c r="A15" s="23">
        <v>13</v>
      </c>
      <c r="B15" s="30">
        <f>IF(VCB_Life&gt;='NPV Analysis'!$A15,'NPV Analysis'!$A15,"")</f>
        <v>13</v>
      </c>
      <c r="C15" s="13"/>
      <c r="D15" s="31">
        <f t="shared" si="0"/>
        <v>7715.1786821227051</v>
      </c>
      <c r="E15" s="31">
        <f>IF(COUNTIF('0. Assumptions'!$J$4:$J$63,'NPV Analysis'!$B15),(VCB_Cost_RI/(1+Discount_Rate)^($B15-1))*VCB_Systems,0)</f>
        <v>0</v>
      </c>
      <c r="F15" s="31">
        <f>IF(COUNTIF('0. Assumptions'!$L$4:$L$63,'NPV Analysis'!$B15),(VCB_Cost_PI/(1+Discount_Rate)^($B15-1))*VCB_Systems,0)</f>
        <v>0</v>
      </c>
      <c r="G15" s="31">
        <f>IF($B15=VCB_Life,(VCB_Breaker/(1+Discount_Rate)^('NPV Analysis'!$B15-1))*VCB_Systems,0)</f>
        <v>0</v>
      </c>
      <c r="H15" s="32">
        <f t="shared" si="4"/>
        <v>7715.1786821227051</v>
      </c>
      <c r="I15" s="30">
        <f>IF(GCB_Life&gt;='NPV Analysis'!$A15,'NPV Analysis'!$A15,"")</f>
        <v>13</v>
      </c>
      <c r="J15" s="13"/>
      <c r="K15" s="31">
        <f t="shared" si="5"/>
        <v>57534.185961190553</v>
      </c>
      <c r="L15" s="31">
        <f>IF(COUNTIF('0. Assumptions'!$K$4:$K$63,'NPV Analysis'!$I15),(GCB_Cost_RI/(1+Discount_Rate)^($I15-1))*GCB_Systems,0)</f>
        <v>0</v>
      </c>
      <c r="M15" s="31">
        <f>IF(COUNTIF('0. Assumptions'!$M$4:$M$63,'NPV Analysis'!$I15),(GCB_Cost_PI/(1+Discount_Rate)^($I15-1))*GCB_Systems,0)</f>
        <v>0</v>
      </c>
      <c r="N15" s="31">
        <f t="shared" si="1"/>
        <v>0</v>
      </c>
      <c r="O15" s="32">
        <f t="shared" si="6"/>
        <v>57534.185961190553</v>
      </c>
      <c r="P15" s="30">
        <f>IF(GCB_Life&gt;='NPV Analysis'!$A15,'NPV Analysis'!$A15,"")</f>
        <v>13</v>
      </c>
      <c r="Q15" s="13"/>
      <c r="R15" s="31">
        <f t="shared" si="2"/>
        <v>57534.185961190553</v>
      </c>
      <c r="S15" s="31">
        <f>IF(COUNTIF('0. Assumptions'!$K$4:$K$63,'NPV Analysis'!$I15),(GCB_Cost_RI/(1+Discount_Rate)^($I15-1))*GCB_Systems,0)</f>
        <v>0</v>
      </c>
      <c r="T15" s="31">
        <f>IF(COUNTIF('0. Assumptions'!$M$4:$M$63,'NPV Analysis'!$P15),(GCB_Cost_PI/(1+Discount_Rate)^($I15-1))*GCB_Systems,0)</f>
        <v>0</v>
      </c>
      <c r="U15" s="31">
        <f t="shared" si="3"/>
        <v>0</v>
      </c>
      <c r="V15" s="32">
        <f t="shared" si="7"/>
        <v>57534.185961190553</v>
      </c>
      <c r="Y15" s="23">
        <f t="shared" si="8"/>
        <v>13</v>
      </c>
      <c r="Z15" s="33">
        <f t="shared" si="9"/>
        <v>3496326.1275909613</v>
      </c>
      <c r="AA15" s="33">
        <f t="shared" si="10"/>
        <v>2604859.6137337028</v>
      </c>
      <c r="AB15" s="33">
        <f t="shared" si="11"/>
        <v>2604859.6137337028</v>
      </c>
    </row>
    <row r="16" spans="1:33" x14ac:dyDescent="0.3">
      <c r="A16" s="23">
        <v>14</v>
      </c>
      <c r="B16" s="30">
        <f>IF(VCB_Life&gt;='NPV Analysis'!$A16,'NPV Analysis'!$A16,"")</f>
        <v>14</v>
      </c>
      <c r="C16" s="13"/>
      <c r="D16" s="31">
        <f t="shared" si="0"/>
        <v>7490.464739924957</v>
      </c>
      <c r="E16" s="31">
        <f>IF(COUNTIF('0. Assumptions'!$J$4:$J$63,'NPV Analysis'!$B16),(VCB_Cost_RI/(1+Discount_Rate)^($B16-1))*VCB_Systems,0)</f>
        <v>0</v>
      </c>
      <c r="F16" s="31">
        <f>IF(COUNTIF('0. Assumptions'!$L$4:$L$63,'NPV Analysis'!$B16),(VCB_Cost_PI/(1+Discount_Rate)^($B16-1))*VCB_Systems,0)</f>
        <v>17023.783499829449</v>
      </c>
      <c r="G16" s="31">
        <f>IF($B16=VCB_Life,(VCB_Breaker/(1+Discount_Rate)^('NPV Analysis'!$B16-1))*VCB_Systems,0)</f>
        <v>0</v>
      </c>
      <c r="H16" s="32">
        <f t="shared" si="4"/>
        <v>24514.248239754408</v>
      </c>
      <c r="I16" s="30">
        <f>IF(GCB_Life&gt;='NPV Analysis'!$A16,'NPV Analysis'!$A16,"")</f>
        <v>14</v>
      </c>
      <c r="J16" s="13"/>
      <c r="K16" s="31">
        <f t="shared" si="5"/>
        <v>55858.432972029659</v>
      </c>
      <c r="L16" s="31">
        <f>IF(COUNTIF('0. Assumptions'!$K$4:$K$63,'NPV Analysis'!$I16),(GCB_Cost_RI/(1+Discount_Rate)^($I16-1))*GCB_Systems,0)</f>
        <v>0</v>
      </c>
      <c r="M16" s="31">
        <f>IF(COUNTIF('0. Assumptions'!$M$4:$M$63,'NPV Analysis'!$I16),(GCB_Cost_PI/(1+Discount_Rate)^($I16-1))*GCB_Systems,0)</f>
        <v>0</v>
      </c>
      <c r="N16" s="31">
        <f t="shared" si="1"/>
        <v>0</v>
      </c>
      <c r="O16" s="32">
        <f t="shared" si="6"/>
        <v>55858.432972029659</v>
      </c>
      <c r="P16" s="30">
        <f>IF(GCB_Life&gt;='NPV Analysis'!$A16,'NPV Analysis'!$A16,"")</f>
        <v>14</v>
      </c>
      <c r="Q16" s="13"/>
      <c r="R16" s="31">
        <f t="shared" si="2"/>
        <v>55858.432972029659</v>
      </c>
      <c r="S16" s="31">
        <f>IF(COUNTIF('0. Assumptions'!$K$4:$K$63,'NPV Analysis'!$I16),(GCB_Cost_RI/(1+Discount_Rate)^($I16-1))*GCB_Systems,0)</f>
        <v>0</v>
      </c>
      <c r="T16" s="31">
        <f>IF(COUNTIF('0. Assumptions'!$M$4:$M$63,'NPV Analysis'!$P16),(GCB_Cost_PI/(1+Discount_Rate)^($I16-1))*GCB_Systems,0)</f>
        <v>0</v>
      </c>
      <c r="U16" s="31">
        <f t="shared" si="3"/>
        <v>0</v>
      </c>
      <c r="V16" s="32">
        <f t="shared" si="7"/>
        <v>55858.432972029659</v>
      </c>
      <c r="Y16" s="23">
        <f t="shared" si="8"/>
        <v>14</v>
      </c>
      <c r="Z16" s="33">
        <f t="shared" si="9"/>
        <v>3520840.3758307155</v>
      </c>
      <c r="AA16" s="33">
        <f t="shared" si="10"/>
        <v>2660718.0467057326</v>
      </c>
      <c r="AB16" s="33">
        <f t="shared" si="11"/>
        <v>2660718.0467057326</v>
      </c>
    </row>
    <row r="17" spans="1:28" x14ac:dyDescent="0.3">
      <c r="A17" s="23">
        <v>15</v>
      </c>
      <c r="B17" s="30">
        <f>IF(VCB_Life&gt;='NPV Analysis'!$A17,'NPV Analysis'!$A17,"")</f>
        <v>15</v>
      </c>
      <c r="C17" s="13"/>
      <c r="D17" s="31">
        <f t="shared" si="0"/>
        <v>7272.2958640048118</v>
      </c>
      <c r="E17" s="31">
        <f>IF(COUNTIF('0. Assumptions'!$J$4:$J$63,'NPV Analysis'!$B17),(VCB_Cost_RI/(1+Discount_Rate)^($B17-1))*VCB_Systems,0)</f>
        <v>0</v>
      </c>
      <c r="F17" s="31">
        <f>IF(COUNTIF('0. Assumptions'!$L$4:$L$63,'NPV Analysis'!$B17),(VCB_Cost_PI/(1+Discount_Rate)^($B17-1))*VCB_Systems,0)</f>
        <v>0</v>
      </c>
      <c r="G17" s="31">
        <f>IF($B17=VCB_Life,(VCB_Breaker/(1+Discount_Rate)^('NPV Analysis'!$B17-1))*VCB_Systems,0)</f>
        <v>0</v>
      </c>
      <c r="H17" s="32">
        <f t="shared" si="4"/>
        <v>7272.2958640048118</v>
      </c>
      <c r="I17" s="30">
        <f>IF(GCB_Life&gt;='NPV Analysis'!$A17,'NPV Analysis'!$A17,"")</f>
        <v>15</v>
      </c>
      <c r="J17" s="13"/>
      <c r="K17" s="31">
        <f t="shared" si="5"/>
        <v>54231.488322358891</v>
      </c>
      <c r="L17" s="31">
        <f>IF(COUNTIF('0. Assumptions'!$K$4:$K$63,'NPV Analysis'!$I17),(GCB_Cost_RI/(1+Discount_Rate)^($I17-1))*GCB_Systems,0)</f>
        <v>0</v>
      </c>
      <c r="M17" s="31">
        <f>IF(COUNTIF('0. Assumptions'!$M$4:$M$63,'NPV Analysis'!$I17),(GCB_Cost_PI/(1+Discount_Rate)^($I17-1))*GCB_Systems,0)</f>
        <v>29750.301261837867</v>
      </c>
      <c r="N17" s="31">
        <f t="shared" si="1"/>
        <v>0</v>
      </c>
      <c r="O17" s="32">
        <f t="shared" si="6"/>
        <v>83981.789584196755</v>
      </c>
      <c r="P17" s="30">
        <f>IF(GCB_Life&gt;='NPV Analysis'!$A17,'NPV Analysis'!$A17,"")</f>
        <v>15</v>
      </c>
      <c r="Q17" s="13"/>
      <c r="R17" s="31">
        <f t="shared" si="2"/>
        <v>54231.488322358891</v>
      </c>
      <c r="S17" s="31">
        <f>IF(COUNTIF('0. Assumptions'!$K$4:$K$63,'NPV Analysis'!$I17),(GCB_Cost_RI/(1+Discount_Rate)^($I17-1))*GCB_Systems,0)</f>
        <v>0</v>
      </c>
      <c r="T17" s="31">
        <f>IF(COUNTIF('0. Assumptions'!$M$4:$M$63,'NPV Analysis'!$P17),(GCB_Cost_PI/(1+Discount_Rate)^($I17-1))*GCB_Systems,0)</f>
        <v>29750.301261837867</v>
      </c>
      <c r="U17" s="31">
        <f t="shared" si="3"/>
        <v>0</v>
      </c>
      <c r="V17" s="32">
        <f t="shared" si="7"/>
        <v>83981.789584196755</v>
      </c>
      <c r="Y17" s="23">
        <f t="shared" si="8"/>
        <v>15</v>
      </c>
      <c r="Z17" s="33">
        <f t="shared" si="9"/>
        <v>3528112.6716947202</v>
      </c>
      <c r="AA17" s="33">
        <f t="shared" si="10"/>
        <v>2744699.8362899292</v>
      </c>
      <c r="AB17" s="33">
        <f t="shared" si="11"/>
        <v>2744699.8362899292</v>
      </c>
    </row>
    <row r="18" spans="1:28" x14ac:dyDescent="0.3">
      <c r="A18" s="23">
        <v>16</v>
      </c>
      <c r="B18" s="30">
        <f>IF(VCB_Life&gt;='NPV Analysis'!$A18,'NPV Analysis'!$A18,"")</f>
        <v>16</v>
      </c>
      <c r="C18" s="13"/>
      <c r="D18" s="31">
        <f t="shared" si="0"/>
        <v>7060.4814213638947</v>
      </c>
      <c r="E18" s="31">
        <f>IF(COUNTIF('0. Assumptions'!$J$4:$J$63,'NPV Analysis'!$B18),(VCB_Cost_RI/(1+Discount_Rate)^($B18-1))*VCB_Systems,0)</f>
        <v>0</v>
      </c>
      <c r="F18" s="31">
        <f>IF(COUNTIF('0. Assumptions'!$L$4:$L$63,'NPV Analysis'!$B18),(VCB_Cost_PI/(1+Discount_Rate)^($B18-1))*VCB_Systems,0)</f>
        <v>0</v>
      </c>
      <c r="G18" s="31">
        <f>IF($B18=VCB_Life,(VCB_Breaker/(1+Discount_Rate)^('NPV Analysis'!$B18-1))*VCB_Systems,0)</f>
        <v>0</v>
      </c>
      <c r="H18" s="32">
        <f t="shared" si="4"/>
        <v>7060.4814213638947</v>
      </c>
      <c r="I18" s="30">
        <f>IF(GCB_Life&gt;='NPV Analysis'!$A18,'NPV Analysis'!$A18,"")</f>
        <v>16</v>
      </c>
      <c r="J18" s="13"/>
      <c r="K18" s="31">
        <f t="shared" si="5"/>
        <v>52651.930410057168</v>
      </c>
      <c r="L18" s="31">
        <f>IF(COUNTIF('0. Assumptions'!$K$4:$K$63,'NPV Analysis'!$I18),(GCB_Cost_RI/(1+Discount_Rate)^($I18-1))*GCB_Systems,0)</f>
        <v>0</v>
      </c>
      <c r="M18" s="31">
        <f>IF(COUNTIF('0. Assumptions'!$M$4:$M$63,'NPV Analysis'!$I18),(GCB_Cost_PI/(1+Discount_Rate)^($I18-1))*GCB_Systems,0)</f>
        <v>0</v>
      </c>
      <c r="N18" s="31">
        <f t="shared" si="1"/>
        <v>0</v>
      </c>
      <c r="O18" s="32">
        <f t="shared" si="6"/>
        <v>52651.930410057168</v>
      </c>
      <c r="P18" s="30">
        <f>IF(GCB_Life&gt;='NPV Analysis'!$A18,'NPV Analysis'!$A18,"")</f>
        <v>16</v>
      </c>
      <c r="Q18" s="13"/>
      <c r="R18" s="31">
        <f t="shared" si="2"/>
        <v>52651.930410057168</v>
      </c>
      <c r="S18" s="31">
        <f>IF(COUNTIF('0. Assumptions'!$K$4:$K$63,'NPV Analysis'!$I18),(GCB_Cost_RI/(1+Discount_Rate)^($I18-1))*GCB_Systems,0)</f>
        <v>0</v>
      </c>
      <c r="T18" s="31">
        <f>IF(COUNTIF('0. Assumptions'!$M$4:$M$63,'NPV Analysis'!$P18),(GCB_Cost_PI/(1+Discount_Rate)^($I18-1))*GCB_Systems,0)</f>
        <v>0</v>
      </c>
      <c r="U18" s="31">
        <f t="shared" si="3"/>
        <v>0</v>
      </c>
      <c r="V18" s="32">
        <f t="shared" si="7"/>
        <v>52651.930410057168</v>
      </c>
      <c r="Y18" s="23">
        <f t="shared" si="8"/>
        <v>16</v>
      </c>
      <c r="Z18" s="33">
        <f t="shared" si="9"/>
        <v>3535173.1531160842</v>
      </c>
      <c r="AA18" s="33">
        <f t="shared" si="10"/>
        <v>2797351.7666999865</v>
      </c>
      <c r="AB18" s="33">
        <f t="shared" si="11"/>
        <v>2797351.7666999865</v>
      </c>
    </row>
    <row r="19" spans="1:28" x14ac:dyDescent="0.3">
      <c r="A19" s="23">
        <v>17</v>
      </c>
      <c r="B19" s="30">
        <f>IF(VCB_Life&gt;='NPV Analysis'!$A19,'NPV Analysis'!$A19,"")</f>
        <v>17</v>
      </c>
      <c r="C19" s="13"/>
      <c r="D19" s="31">
        <f t="shared" si="0"/>
        <v>6854.8363314212584</v>
      </c>
      <c r="E19" s="31">
        <f>IF(COUNTIF('0. Assumptions'!$J$4:$J$63,'NPV Analysis'!$B19),(VCB_Cost_RI/(1+Discount_Rate)^($B19-1))*VCB_Systems,0)</f>
        <v>0</v>
      </c>
      <c r="F19" s="31">
        <f>IF(COUNTIF('0. Assumptions'!$L$4:$L$63,'NPV Analysis'!$B19),(VCB_Cost_PI/(1+Discount_Rate)^($B19-1))*VCB_Systems,0)</f>
        <v>0</v>
      </c>
      <c r="G19" s="31">
        <f>IF($B19=VCB_Life,(VCB_Breaker/(1+Discount_Rate)^('NPV Analysis'!$B19-1))*VCB_Systems,0)</f>
        <v>0</v>
      </c>
      <c r="H19" s="32">
        <f t="shared" si="4"/>
        <v>6854.8363314212584</v>
      </c>
      <c r="I19" s="30">
        <f>IF(GCB_Life&gt;='NPV Analysis'!$A19,'NPV Analysis'!$A19,"")</f>
        <v>17</v>
      </c>
      <c r="J19" s="13"/>
      <c r="K19" s="31">
        <f t="shared" si="5"/>
        <v>51118.379038890467</v>
      </c>
      <c r="L19" s="31">
        <f>IF(COUNTIF('0. Assumptions'!$K$4:$K$63,'NPV Analysis'!$I19),(GCB_Cost_RI/(1+Discount_Rate)^($I19-1))*GCB_Systems,0)</f>
        <v>0</v>
      </c>
      <c r="M19" s="31">
        <f>IF(COUNTIF('0. Assumptions'!$M$4:$M$63,'NPV Analysis'!$I19),(GCB_Cost_PI/(1+Discount_Rate)^($I19-1))*GCB_Systems,0)</f>
        <v>0</v>
      </c>
      <c r="N19" s="31">
        <f t="shared" si="1"/>
        <v>0</v>
      </c>
      <c r="O19" s="32">
        <f t="shared" si="6"/>
        <v>51118.379038890467</v>
      </c>
      <c r="P19" s="30">
        <f>IF(GCB_Life&gt;='NPV Analysis'!$A19,'NPV Analysis'!$A19,"")</f>
        <v>17</v>
      </c>
      <c r="Q19" s="13"/>
      <c r="R19" s="31">
        <f t="shared" si="2"/>
        <v>51118.379038890467</v>
      </c>
      <c r="S19" s="31">
        <f>IF(COUNTIF('0. Assumptions'!$K$4:$K$63,'NPV Analysis'!$I19),(GCB_Cost_RI/(1+Discount_Rate)^($I19-1))*GCB_Systems,0)</f>
        <v>0</v>
      </c>
      <c r="T19" s="31">
        <f>IF(COUNTIF('0. Assumptions'!$M$4:$M$63,'NPV Analysis'!$P19),(GCB_Cost_PI/(1+Discount_Rate)^($I19-1))*GCB_Systems,0)</f>
        <v>0</v>
      </c>
      <c r="U19" s="31">
        <f t="shared" si="3"/>
        <v>0</v>
      </c>
      <c r="V19" s="32">
        <f t="shared" si="7"/>
        <v>51118.379038890467</v>
      </c>
      <c r="Y19" s="23">
        <f t="shared" si="8"/>
        <v>17</v>
      </c>
      <c r="Z19" s="33">
        <f t="shared" si="9"/>
        <v>3542027.9894475052</v>
      </c>
      <c r="AA19" s="33">
        <f t="shared" si="10"/>
        <v>2848470.1457388769</v>
      </c>
      <c r="AB19" s="33">
        <f t="shared" si="11"/>
        <v>2848470.1457388769</v>
      </c>
    </row>
    <row r="20" spans="1:28" x14ac:dyDescent="0.3">
      <c r="A20" s="23">
        <v>18</v>
      </c>
      <c r="B20" s="30">
        <f>IF(VCB_Life&gt;='NPV Analysis'!$A20,'NPV Analysis'!$A20,"")</f>
        <v>18</v>
      </c>
      <c r="C20" s="13"/>
      <c r="D20" s="31">
        <f t="shared" si="0"/>
        <v>6655.1809042924833</v>
      </c>
      <c r="E20" s="31">
        <f>IF(COUNTIF('0. Assumptions'!$J$4:$J$63,'NPV Analysis'!$B20),(VCB_Cost_RI/(1+Discount_Rate)^($B20-1))*VCB_Systems,0)</f>
        <v>0</v>
      </c>
      <c r="F20" s="31">
        <f>IF(COUNTIF('0. Assumptions'!$L$4:$L$63,'NPV Analysis'!$B20),(VCB_Cost_PI/(1+Discount_Rate)^($B20-1))*VCB_Systems,0)</f>
        <v>0</v>
      </c>
      <c r="G20" s="31">
        <f>IF($B20=VCB_Life,(VCB_Breaker/(1+Discount_Rate)^('NPV Analysis'!$B20-1))*VCB_Systems,0)</f>
        <v>0</v>
      </c>
      <c r="H20" s="32">
        <f t="shared" si="4"/>
        <v>6655.1809042924833</v>
      </c>
      <c r="I20" s="30">
        <f>IF(GCB_Life&gt;='NPV Analysis'!$A20,'NPV Analysis'!$A20,"")</f>
        <v>18</v>
      </c>
      <c r="J20" s="13"/>
      <c r="K20" s="31">
        <f t="shared" si="5"/>
        <v>49629.494212515019</v>
      </c>
      <c r="L20" s="31">
        <f>IF(COUNTIF('0. Assumptions'!$K$4:$K$63,'NPV Analysis'!$I20),(GCB_Cost_RI/(1+Discount_Rate)^($I20-1))*GCB_Systems,0)</f>
        <v>0</v>
      </c>
      <c r="M20" s="31">
        <f>IF(COUNTIF('0. Assumptions'!$M$4:$M$63,'NPV Analysis'!$I20),(GCB_Cost_PI/(1+Discount_Rate)^($I20-1))*GCB_Systems,0)</f>
        <v>0</v>
      </c>
      <c r="N20" s="31">
        <f t="shared" si="1"/>
        <v>0</v>
      </c>
      <c r="O20" s="32">
        <f t="shared" si="6"/>
        <v>49629.494212515019</v>
      </c>
      <c r="P20" s="30">
        <f>IF(GCB_Life&gt;='NPV Analysis'!$A20,'NPV Analysis'!$A20,"")</f>
        <v>18</v>
      </c>
      <c r="Q20" s="13"/>
      <c r="R20" s="31">
        <f t="shared" si="2"/>
        <v>49629.494212515019</v>
      </c>
      <c r="S20" s="31">
        <f>IF(COUNTIF('0. Assumptions'!$K$4:$K$63,'NPV Analysis'!$I20),(GCB_Cost_RI/(1+Discount_Rate)^($I20-1))*GCB_Systems,0)</f>
        <v>0</v>
      </c>
      <c r="T20" s="31">
        <f>IF(COUNTIF('0. Assumptions'!$M$4:$M$63,'NPV Analysis'!$P20),(GCB_Cost_PI/(1+Discount_Rate)^($I20-1))*GCB_Systems,0)</f>
        <v>0</v>
      </c>
      <c r="U20" s="31">
        <f t="shared" si="3"/>
        <v>0</v>
      </c>
      <c r="V20" s="32">
        <f t="shared" si="7"/>
        <v>49629.494212515019</v>
      </c>
      <c r="Y20" s="23">
        <f t="shared" si="8"/>
        <v>18</v>
      </c>
      <c r="Z20" s="33">
        <f t="shared" si="9"/>
        <v>3548683.1703517977</v>
      </c>
      <c r="AA20" s="33">
        <f t="shared" si="10"/>
        <v>2898099.6399513921</v>
      </c>
      <c r="AB20" s="33">
        <f t="shared" si="11"/>
        <v>2898099.6399513921</v>
      </c>
    </row>
    <row r="21" spans="1:28" x14ac:dyDescent="0.3">
      <c r="A21" s="23">
        <v>19</v>
      </c>
      <c r="B21" s="30">
        <f>IF(VCB_Life&gt;='NPV Analysis'!$A21,'NPV Analysis'!$A21,"")</f>
        <v>19</v>
      </c>
      <c r="C21" s="13"/>
      <c r="D21" s="31">
        <f t="shared" si="0"/>
        <v>6461.3406837791099</v>
      </c>
      <c r="E21" s="31">
        <f>IF(COUNTIF('0. Assumptions'!$J$4:$J$63,'NPV Analysis'!$B21),(VCB_Cost_RI/(1+Discount_Rate)^($B21-1))*VCB_Systems,0)</f>
        <v>0</v>
      </c>
      <c r="F21" s="31">
        <f>IF(COUNTIF('0. Assumptions'!$L$4:$L$63,'NPV Analysis'!$B21),(VCB_Cost_PI/(1+Discount_Rate)^($B21-1))*VCB_Systems,0)</f>
        <v>0</v>
      </c>
      <c r="G21" s="31">
        <f>IF($B21=VCB_Life,(VCB_Breaker/(1+Discount_Rate)^('NPV Analysis'!$B21-1))*VCB_Systems,0)</f>
        <v>0</v>
      </c>
      <c r="H21" s="32">
        <f t="shared" si="4"/>
        <v>6461.3406837791099</v>
      </c>
      <c r="I21" s="30">
        <f>IF(GCB_Life&gt;='NPV Analysis'!$A21,'NPV Analysis'!$A21,"")</f>
        <v>19</v>
      </c>
      <c r="J21" s="13"/>
      <c r="K21" s="31">
        <f t="shared" si="5"/>
        <v>48183.974963606808</v>
      </c>
      <c r="L21" s="31">
        <f>IF(COUNTIF('0. Assumptions'!$K$4:$K$63,'NPV Analysis'!$I21),(GCB_Cost_RI/(1+Discount_Rate)^($I21-1))*GCB_Systems,0)</f>
        <v>0</v>
      </c>
      <c r="M21" s="31">
        <f>IF(COUNTIF('0. Assumptions'!$M$4:$M$63,'NPV Analysis'!$I21),(GCB_Cost_PI/(1+Discount_Rate)^($I21-1))*GCB_Systems,0)</f>
        <v>0</v>
      </c>
      <c r="N21" s="31">
        <f t="shared" si="1"/>
        <v>0</v>
      </c>
      <c r="O21" s="32">
        <f t="shared" si="6"/>
        <v>48183.974963606808</v>
      </c>
      <c r="P21" s="30">
        <f>IF(GCB_Life&gt;='NPV Analysis'!$A21,'NPV Analysis'!$A21,"")</f>
        <v>19</v>
      </c>
      <c r="Q21" s="13"/>
      <c r="R21" s="31">
        <f t="shared" si="2"/>
        <v>48183.974963606808</v>
      </c>
      <c r="S21" s="31">
        <f>IF(COUNTIF('0. Assumptions'!$K$4:$K$63,'NPV Analysis'!$I21),(GCB_Cost_RI/(1+Discount_Rate)^($I21-1))*GCB_Systems,0)</f>
        <v>0</v>
      </c>
      <c r="T21" s="31">
        <f>IF(COUNTIF('0. Assumptions'!$M$4:$M$63,'NPV Analysis'!$P21),(GCB_Cost_PI/(1+Discount_Rate)^($I21-1))*GCB_Systems,0)</f>
        <v>0</v>
      </c>
      <c r="U21" s="31">
        <f t="shared" si="3"/>
        <v>0</v>
      </c>
      <c r="V21" s="32">
        <f t="shared" si="7"/>
        <v>48183.974963606808</v>
      </c>
      <c r="Y21" s="23">
        <f t="shared" si="8"/>
        <v>19</v>
      </c>
      <c r="Z21" s="33">
        <f t="shared" si="9"/>
        <v>3555144.5110355769</v>
      </c>
      <c r="AA21" s="33">
        <f t="shared" si="10"/>
        <v>2946283.6149149989</v>
      </c>
      <c r="AB21" s="33">
        <f t="shared" si="11"/>
        <v>2946283.6149149989</v>
      </c>
    </row>
    <row r="22" spans="1:28" x14ac:dyDescent="0.3">
      <c r="A22" s="23">
        <v>20</v>
      </c>
      <c r="B22" s="30">
        <f>IF(VCB_Life&gt;='NPV Analysis'!$A22,'NPV Analysis'!$A22,"")</f>
        <v>20</v>
      </c>
      <c r="C22" s="13"/>
      <c r="D22" s="31">
        <f t="shared" si="0"/>
        <v>6273.1462949311754</v>
      </c>
      <c r="E22" s="31">
        <f>IF(COUNTIF('0. Assumptions'!$J$4:$J$63,'NPV Analysis'!$B22),(VCB_Cost_RI/(1+Discount_Rate)^($B22-1))*VCB_Systems,0)</f>
        <v>2851.4301340596248</v>
      </c>
      <c r="F22" s="31">
        <f>IF(COUNTIF('0. Assumptions'!$L$4:$L$63,'NPV Analysis'!$B22),(VCB_Cost_PI/(1+Discount_Rate)^($B22-1))*VCB_Systems,0)</f>
        <v>0</v>
      </c>
      <c r="G22" s="31">
        <f>IF($B22=VCB_Life,(VCB_Breaker/(1+Discount_Rate)^('NPV Analysis'!$B22-1))*VCB_Systems,0)</f>
        <v>0</v>
      </c>
      <c r="H22" s="32">
        <f t="shared" si="4"/>
        <v>9124.5764289908002</v>
      </c>
      <c r="I22" s="30">
        <f>IF(GCB_Life&gt;='NPV Analysis'!$A22,'NPV Analysis'!$A22,"")</f>
        <v>20</v>
      </c>
      <c r="J22" s="13"/>
      <c r="K22" s="31">
        <f t="shared" si="5"/>
        <v>46780.558217093996</v>
      </c>
      <c r="L22" s="31">
        <f>IF(COUNTIF('0. Assumptions'!$K$4:$K$63,'NPV Analysis'!$I22),(GCB_Cost_RI/(1+Discount_Rate)^($I22-1))*GCB_Systems,0)</f>
        <v>2851.4301340596248</v>
      </c>
      <c r="M22" s="31">
        <f>IF(COUNTIF('0. Assumptions'!$M$4:$M$63,'NPV Analysis'!$I22),(GCB_Cost_PI/(1+Discount_Rate)^($I22-1))*GCB_Systems,0)</f>
        <v>25662.871206536624</v>
      </c>
      <c r="N22" s="31">
        <f t="shared" si="1"/>
        <v>0</v>
      </c>
      <c r="O22" s="32">
        <f t="shared" si="6"/>
        <v>75294.859557690244</v>
      </c>
      <c r="P22" s="30">
        <f>IF(GCB_Life&gt;='NPV Analysis'!$A22,'NPV Analysis'!$A22,"")</f>
        <v>20</v>
      </c>
      <c r="Q22" s="13"/>
      <c r="R22" s="31">
        <f t="shared" si="2"/>
        <v>46780.558217093996</v>
      </c>
      <c r="S22" s="31">
        <f>IF(COUNTIF('0. Assumptions'!$K$4:$K$63,'NPV Analysis'!$I22),(GCB_Cost_RI/(1+Discount_Rate)^($I22-1))*GCB_Systems,0)</f>
        <v>2851.4301340596248</v>
      </c>
      <c r="T22" s="31">
        <f>IF(COUNTIF('0. Assumptions'!$M$4:$M$63,'NPV Analysis'!$P22),(GCB_Cost_PI/(1+Discount_Rate)^($I22-1))*GCB_Systems,0)</f>
        <v>25662.871206536624</v>
      </c>
      <c r="U22" s="31">
        <f t="shared" si="3"/>
        <v>0</v>
      </c>
      <c r="V22" s="32">
        <f t="shared" si="7"/>
        <v>75294.859557690244</v>
      </c>
      <c r="Y22" s="23">
        <f t="shared" si="8"/>
        <v>20</v>
      </c>
      <c r="Z22" s="33">
        <f t="shared" si="9"/>
        <v>3564269.0874645677</v>
      </c>
      <c r="AA22" s="33">
        <f t="shared" si="10"/>
        <v>3021578.474472689</v>
      </c>
      <c r="AB22" s="33">
        <f t="shared" si="11"/>
        <v>3021578.474472689</v>
      </c>
    </row>
    <row r="23" spans="1:28" x14ac:dyDescent="0.3">
      <c r="A23" s="23">
        <v>21</v>
      </c>
      <c r="B23" s="30">
        <f>IF(VCB_Life&gt;='NPV Analysis'!$A23,'NPV Analysis'!$A23,"")</f>
        <v>21</v>
      </c>
      <c r="C23" s="13"/>
      <c r="D23" s="31">
        <f t="shared" si="0"/>
        <v>6090.4332960496849</v>
      </c>
      <c r="E23" s="31">
        <f>IF(COUNTIF('0. Assumptions'!$J$4:$J$63,'NPV Analysis'!$B23),(VCB_Cost_RI/(1+Discount_Rate)^($B23-1))*VCB_Systems,0)</f>
        <v>0</v>
      </c>
      <c r="F23" s="31">
        <f>IF(COUNTIF('0. Assumptions'!$L$4:$L$63,'NPV Analysis'!$B23),(VCB_Cost_PI/(1+Discount_Rate)^($B23-1))*VCB_Systems,0)</f>
        <v>0</v>
      </c>
      <c r="G23" s="31">
        <f>IF($B23=VCB_Life,(VCB_Breaker/(1+Discount_Rate)^('NPV Analysis'!$B23-1))*VCB_Systems,0)</f>
        <v>0</v>
      </c>
      <c r="H23" s="32">
        <f t="shared" si="4"/>
        <v>6090.4332960496849</v>
      </c>
      <c r="I23" s="30">
        <f>IF(GCB_Life&gt;='NPV Analysis'!$A23,'NPV Analysis'!$A23,"")</f>
        <v>21</v>
      </c>
      <c r="J23" s="13"/>
      <c r="K23" s="31">
        <f t="shared" si="5"/>
        <v>45418.017686499021</v>
      </c>
      <c r="L23" s="31">
        <f>IF(COUNTIF('0. Assumptions'!$K$4:$K$63,'NPV Analysis'!$I23),(GCB_Cost_RI/(1+Discount_Rate)^($I23-1))*GCB_Systems,0)</f>
        <v>0</v>
      </c>
      <c r="M23" s="31">
        <f>IF(COUNTIF('0. Assumptions'!$M$4:$M$63,'NPV Analysis'!$I23),(GCB_Cost_PI/(1+Discount_Rate)^($I23-1))*GCB_Systems,0)</f>
        <v>0</v>
      </c>
      <c r="N23" s="31">
        <f t="shared" si="1"/>
        <v>0</v>
      </c>
      <c r="O23" s="32">
        <f t="shared" si="6"/>
        <v>45418.017686499021</v>
      </c>
      <c r="P23" s="30">
        <f>IF(GCB_Life&gt;='NPV Analysis'!$A23,'NPV Analysis'!$A23,"")</f>
        <v>21</v>
      </c>
      <c r="Q23" s="13"/>
      <c r="R23" s="31">
        <f t="shared" si="2"/>
        <v>45418.017686499021</v>
      </c>
      <c r="S23" s="31">
        <f>IF(COUNTIF('0. Assumptions'!$K$4:$K$63,'NPV Analysis'!$I23),(GCB_Cost_RI/(1+Discount_Rate)^($I23-1))*GCB_Systems,0)</f>
        <v>0</v>
      </c>
      <c r="T23" s="31">
        <f>IF(COUNTIF('0. Assumptions'!$M$4:$M$63,'NPV Analysis'!$P23),(GCB_Cost_PI/(1+Discount_Rate)^($I23-1))*GCB_Systems,0)</f>
        <v>0</v>
      </c>
      <c r="U23" s="31">
        <f t="shared" si="3"/>
        <v>0</v>
      </c>
      <c r="V23" s="32">
        <f t="shared" si="7"/>
        <v>45418.017686499021</v>
      </c>
      <c r="Y23" s="23">
        <f t="shared" si="8"/>
        <v>21</v>
      </c>
      <c r="Z23" s="33">
        <f t="shared" si="9"/>
        <v>3570359.5207606172</v>
      </c>
      <c r="AA23" s="33">
        <f t="shared" si="10"/>
        <v>3066996.4921591878</v>
      </c>
      <c r="AB23" s="33">
        <f t="shared" si="11"/>
        <v>3066996.4921591878</v>
      </c>
    </row>
    <row r="24" spans="1:28" x14ac:dyDescent="0.3">
      <c r="A24" s="23">
        <v>22</v>
      </c>
      <c r="B24" s="30">
        <f>IF(VCB_Life&gt;='NPV Analysis'!$A24,'NPV Analysis'!$A24,"")</f>
        <v>22</v>
      </c>
      <c r="C24" s="13"/>
      <c r="D24" s="31">
        <f t="shared" si="0"/>
        <v>5913.0420349996948</v>
      </c>
      <c r="E24" s="31">
        <f>IF(COUNTIF('0. Assumptions'!$J$4:$J$63,'NPV Analysis'!$B24),(VCB_Cost_RI/(1+Discount_Rate)^($B24-1))*VCB_Systems,0)</f>
        <v>0</v>
      </c>
      <c r="F24" s="31">
        <f>IF(COUNTIF('0. Assumptions'!$L$4:$L$63,'NPV Analysis'!$B24),(VCB_Cost_PI/(1+Discount_Rate)^($B24-1))*VCB_Systems,0)</f>
        <v>0</v>
      </c>
      <c r="G24" s="31">
        <f>IF($B24=VCB_Life,(VCB_Breaker/(1+Discount_Rate)^('NPV Analysis'!$B24-1))*VCB_Systems,0)</f>
        <v>0</v>
      </c>
      <c r="H24" s="32">
        <f t="shared" si="4"/>
        <v>5913.0420349996948</v>
      </c>
      <c r="I24" s="30">
        <f>IF(GCB_Life&gt;='NPV Analysis'!$A24,'NPV Analysis'!$A24,"")</f>
        <v>22</v>
      </c>
      <c r="J24" s="13"/>
      <c r="K24" s="31">
        <f t="shared" si="5"/>
        <v>44095.162802426239</v>
      </c>
      <c r="L24" s="31">
        <f>IF(COUNTIF('0. Assumptions'!$K$4:$K$63,'NPV Analysis'!$I24),(GCB_Cost_RI/(1+Discount_Rate)^($I24-1))*GCB_Systems,0)</f>
        <v>0</v>
      </c>
      <c r="M24" s="31">
        <f>IF(COUNTIF('0. Assumptions'!$M$4:$M$63,'NPV Analysis'!$I24),(GCB_Cost_PI/(1+Discount_Rate)^($I24-1))*GCB_Systems,0)</f>
        <v>0</v>
      </c>
      <c r="N24" s="31">
        <f t="shared" si="1"/>
        <v>0</v>
      </c>
      <c r="O24" s="32">
        <f t="shared" si="6"/>
        <v>44095.162802426239</v>
      </c>
      <c r="P24" s="30">
        <f>IF(GCB_Life&gt;='NPV Analysis'!$A24,'NPV Analysis'!$A24,"")</f>
        <v>22</v>
      </c>
      <c r="Q24" s="13"/>
      <c r="R24" s="31">
        <f t="shared" si="2"/>
        <v>44095.162802426239</v>
      </c>
      <c r="S24" s="31">
        <f>IF(COUNTIF('0. Assumptions'!$K$4:$K$63,'NPV Analysis'!$I24),(GCB_Cost_RI/(1+Discount_Rate)^($I24-1))*GCB_Systems,0)</f>
        <v>0</v>
      </c>
      <c r="T24" s="31">
        <f>IF(COUNTIF('0. Assumptions'!$M$4:$M$63,'NPV Analysis'!$P24),(GCB_Cost_PI/(1+Discount_Rate)^($I24-1))*GCB_Systems,0)</f>
        <v>0</v>
      </c>
      <c r="U24" s="31">
        <f t="shared" si="3"/>
        <v>0</v>
      </c>
      <c r="V24" s="32">
        <f t="shared" si="7"/>
        <v>44095.162802426239</v>
      </c>
      <c r="Y24" s="23">
        <f t="shared" si="8"/>
        <v>22</v>
      </c>
      <c r="Z24" s="33">
        <f t="shared" si="9"/>
        <v>3576272.5627956167</v>
      </c>
      <c r="AA24" s="33">
        <f t="shared" si="10"/>
        <v>3111091.6549616139</v>
      </c>
      <c r="AB24" s="33">
        <f t="shared" si="11"/>
        <v>3111091.6549616139</v>
      </c>
    </row>
    <row r="25" spans="1:28" x14ac:dyDescent="0.3">
      <c r="A25" s="23">
        <v>23</v>
      </c>
      <c r="B25" s="30">
        <f>IF(VCB_Life&gt;='NPV Analysis'!$A25,'NPV Analysis'!$A25,"")</f>
        <v>23</v>
      </c>
      <c r="C25" s="13"/>
      <c r="D25" s="31">
        <f t="shared" si="0"/>
        <v>5740.8175097084404</v>
      </c>
      <c r="E25" s="31">
        <f>IF(COUNTIF('0. Assumptions'!$J$4:$J$63,'NPV Analysis'!$B25),(VCB_Cost_RI/(1+Discount_Rate)^($B25-1))*VCB_Systems,0)</f>
        <v>0</v>
      </c>
      <c r="F25" s="31">
        <f>IF(COUNTIF('0. Assumptions'!$L$4:$L$63,'NPV Analysis'!$B25),(VCB_Cost_PI/(1+Discount_Rate)^($B25-1))*VCB_Systems,0)</f>
        <v>0</v>
      </c>
      <c r="G25" s="31">
        <f>IF($B25=VCB_Life,(VCB_Breaker/(1+Discount_Rate)^('NPV Analysis'!$B25-1))*VCB_Systems,0)</f>
        <v>0</v>
      </c>
      <c r="H25" s="32">
        <f t="shared" si="4"/>
        <v>5740.8175097084404</v>
      </c>
      <c r="I25" s="30">
        <f>IF(GCB_Life&gt;='NPV Analysis'!$A25,'NPV Analysis'!$A25,"")</f>
        <v>23</v>
      </c>
      <c r="J25" s="13"/>
      <c r="K25" s="31">
        <f t="shared" si="5"/>
        <v>42810.83767225848</v>
      </c>
      <c r="L25" s="31">
        <f>IF(COUNTIF('0. Assumptions'!$K$4:$K$63,'NPV Analysis'!$I25),(GCB_Cost_RI/(1+Discount_Rate)^($I25-1))*GCB_Systems,0)</f>
        <v>0</v>
      </c>
      <c r="M25" s="31">
        <f>IF(COUNTIF('0. Assumptions'!$M$4:$M$63,'NPV Analysis'!$I25),(GCB_Cost_PI/(1+Discount_Rate)^($I25-1))*GCB_Systems,0)</f>
        <v>0</v>
      </c>
      <c r="N25" s="31">
        <f t="shared" si="1"/>
        <v>0</v>
      </c>
      <c r="O25" s="32">
        <f t="shared" si="6"/>
        <v>42810.83767225848</v>
      </c>
      <c r="P25" s="30">
        <f>IF(GCB_Life&gt;='NPV Analysis'!$A25,'NPV Analysis'!$A25,"")</f>
        <v>23</v>
      </c>
      <c r="Q25" s="13"/>
      <c r="R25" s="31">
        <f t="shared" si="2"/>
        <v>42810.83767225848</v>
      </c>
      <c r="S25" s="31">
        <f>IF(COUNTIF('0. Assumptions'!$K$4:$K$63,'NPV Analysis'!$I25),(GCB_Cost_RI/(1+Discount_Rate)^($I25-1))*GCB_Systems,0)</f>
        <v>0</v>
      </c>
      <c r="T25" s="31">
        <f>IF(COUNTIF('0. Assumptions'!$M$4:$M$63,'NPV Analysis'!$P25),(GCB_Cost_PI/(1+Discount_Rate)^($I25-1))*GCB_Systems,0)</f>
        <v>0</v>
      </c>
      <c r="U25" s="31">
        <f t="shared" si="3"/>
        <v>0</v>
      </c>
      <c r="V25" s="32">
        <f t="shared" si="7"/>
        <v>42810.83767225848</v>
      </c>
      <c r="Y25" s="23">
        <f t="shared" si="8"/>
        <v>23</v>
      </c>
      <c r="Z25" s="33">
        <f t="shared" si="9"/>
        <v>3582013.3803053251</v>
      </c>
      <c r="AA25" s="33">
        <f t="shared" si="10"/>
        <v>3153902.4926338722</v>
      </c>
      <c r="AB25" s="33">
        <f t="shared" si="11"/>
        <v>3153902.4926338722</v>
      </c>
    </row>
    <row r="26" spans="1:28" x14ac:dyDescent="0.3">
      <c r="A26" s="23">
        <v>24</v>
      </c>
      <c r="B26" s="30">
        <f>IF(VCB_Life&gt;='NPV Analysis'!$A26,'NPV Analysis'!$A26,"")</f>
        <v>24</v>
      </c>
      <c r="C26" s="13"/>
      <c r="D26" s="31">
        <f t="shared" si="0"/>
        <v>5573.6092327266415</v>
      </c>
      <c r="E26" s="31">
        <f>IF(COUNTIF('0. Assumptions'!$J$4:$J$63,'NPV Analysis'!$B26),(VCB_Cost_RI/(1+Discount_Rate)^($B26-1))*VCB_Systems,0)</f>
        <v>0</v>
      </c>
      <c r="F26" s="31">
        <f>IF(COUNTIF('0. Assumptions'!$L$4:$L$63,'NPV Analysis'!$B26),(VCB_Cost_PI/(1+Discount_Rate)^($B26-1))*VCB_Systems,0)</f>
        <v>0</v>
      </c>
      <c r="G26" s="31">
        <f>IF($B26=VCB_Life,(VCB_Breaker/(1+Discount_Rate)^('NPV Analysis'!$B26-1))*VCB_Systems,0)</f>
        <v>0</v>
      </c>
      <c r="H26" s="32">
        <f t="shared" si="4"/>
        <v>5573.6092327266415</v>
      </c>
      <c r="I26" s="30">
        <f>IF(GCB_Life&gt;='NPV Analysis'!$A26,'NPV Analysis'!$A26,"")</f>
        <v>24</v>
      </c>
      <c r="J26" s="13"/>
      <c r="K26" s="31">
        <f t="shared" si="5"/>
        <v>41563.920070153865</v>
      </c>
      <c r="L26" s="31">
        <f>IF(COUNTIF('0. Assumptions'!$K$4:$K$63,'NPV Analysis'!$I26),(GCB_Cost_RI/(1+Discount_Rate)^($I26-1))*GCB_Systems,0)</f>
        <v>0</v>
      </c>
      <c r="M26" s="31">
        <f>IF(COUNTIF('0. Assumptions'!$M$4:$M$63,'NPV Analysis'!$I26),(GCB_Cost_PI/(1+Discount_Rate)^($I26-1))*GCB_Systems,0)</f>
        <v>0</v>
      </c>
      <c r="N26" s="31">
        <f t="shared" si="1"/>
        <v>0</v>
      </c>
      <c r="O26" s="32">
        <f t="shared" si="6"/>
        <v>41563.920070153865</v>
      </c>
      <c r="P26" s="30">
        <f>IF(GCB_Life&gt;='NPV Analysis'!$A26,'NPV Analysis'!$A26,"")</f>
        <v>24</v>
      </c>
      <c r="Q26" s="13"/>
      <c r="R26" s="31">
        <f t="shared" si="2"/>
        <v>41563.920070153865</v>
      </c>
      <c r="S26" s="31">
        <f>IF(COUNTIF('0. Assumptions'!$K$4:$K$63,'NPV Analysis'!$I26),(GCB_Cost_RI/(1+Discount_Rate)^($I26-1))*GCB_Systems,0)</f>
        <v>0</v>
      </c>
      <c r="T26" s="31">
        <f>IF(COUNTIF('0. Assumptions'!$M$4:$M$63,'NPV Analysis'!$P26),(GCB_Cost_PI/(1+Discount_Rate)^($I26-1))*GCB_Systems,0)</f>
        <v>0</v>
      </c>
      <c r="U26" s="31">
        <f t="shared" si="3"/>
        <v>0</v>
      </c>
      <c r="V26" s="32">
        <f t="shared" si="7"/>
        <v>41563.920070153865</v>
      </c>
      <c r="Y26" s="23">
        <f t="shared" si="8"/>
        <v>24</v>
      </c>
      <c r="Z26" s="33">
        <f t="shared" si="9"/>
        <v>3587586.9895380517</v>
      </c>
      <c r="AA26" s="33">
        <f t="shared" si="10"/>
        <v>3195466.4127040259</v>
      </c>
      <c r="AB26" s="33">
        <f t="shared" si="11"/>
        <v>3195466.4127040259</v>
      </c>
    </row>
    <row r="27" spans="1:28" x14ac:dyDescent="0.3">
      <c r="A27" s="23">
        <v>25</v>
      </c>
      <c r="B27" s="30">
        <f>IF(VCB_Life&gt;='NPV Analysis'!$A27,'NPV Analysis'!$A27,"")</f>
        <v>25</v>
      </c>
      <c r="C27" s="13"/>
      <c r="D27" s="31">
        <f t="shared" si="0"/>
        <v>5411.2710997346039</v>
      </c>
      <c r="E27" s="31">
        <f>IF(COUNTIF('0. Assumptions'!$J$4:$J$63,'NPV Analysis'!$B27),(VCB_Cost_RI/(1+Discount_Rate)^($B27-1))*VCB_Systems,0)</f>
        <v>0</v>
      </c>
      <c r="F27" s="31">
        <f>IF(COUNTIF('0. Assumptions'!$L$4:$L$63,'NPV Analysis'!$B27),(VCB_Cost_PI/(1+Discount_Rate)^($B27-1))*VCB_Systems,0)</f>
        <v>0</v>
      </c>
      <c r="G27" s="31">
        <f>IF($B27=VCB_Life,(VCB_Breaker/(1+Discount_Rate)^('NPV Analysis'!$B27-1))*VCB_Systems,0)</f>
        <v>0</v>
      </c>
      <c r="H27" s="32">
        <f t="shared" si="4"/>
        <v>5411.2710997346039</v>
      </c>
      <c r="I27" s="30">
        <f>IF(GCB_Life&gt;='NPV Analysis'!$A27,'NPV Analysis'!$A27,"")</f>
        <v>25</v>
      </c>
      <c r="J27" s="13"/>
      <c r="K27" s="31">
        <f t="shared" si="5"/>
        <v>40353.320456460067</v>
      </c>
      <c r="L27" s="31">
        <f>IF(COUNTIF('0. Assumptions'!$K$4:$K$63,'NPV Analysis'!$I27),(GCB_Cost_RI/(1+Discount_Rate)^($I27-1))*GCB_Systems,0)</f>
        <v>0</v>
      </c>
      <c r="M27" s="31">
        <f>IF(COUNTIF('0. Assumptions'!$M$4:$M$63,'NPV Analysis'!$I27),(GCB_Cost_PI/(1+Discount_Rate)^($I27-1))*GCB_Systems,0)</f>
        <v>22137.018135277925</v>
      </c>
      <c r="N27" s="31">
        <f t="shared" si="1"/>
        <v>0</v>
      </c>
      <c r="O27" s="32">
        <f t="shared" si="6"/>
        <v>62490.338591737993</v>
      </c>
      <c r="P27" s="30">
        <f>IF(GCB_Life&gt;='NPV Analysis'!$A27,'NPV Analysis'!$A27,"")</f>
        <v>25</v>
      </c>
      <c r="Q27" s="13"/>
      <c r="R27" s="31">
        <f t="shared" si="2"/>
        <v>40353.320456460067</v>
      </c>
      <c r="S27" s="31">
        <f>IF(COUNTIF('0. Assumptions'!$K$4:$K$63,'NPV Analysis'!$I27),(GCB_Cost_RI/(1+Discount_Rate)^($I27-1))*GCB_Systems,0)</f>
        <v>0</v>
      </c>
      <c r="T27" s="31">
        <f>IF(COUNTIF('0. Assumptions'!$M$4:$M$63,'NPV Analysis'!$P27),(GCB_Cost_PI/(1+Discount_Rate)^($I27-1))*GCB_Systems,0)</f>
        <v>22137.018135277925</v>
      </c>
      <c r="U27" s="31">
        <f t="shared" si="3"/>
        <v>0</v>
      </c>
      <c r="V27" s="32">
        <f t="shared" si="7"/>
        <v>62490.338591737993</v>
      </c>
      <c r="Y27" s="23">
        <f t="shared" si="8"/>
        <v>25</v>
      </c>
      <c r="Z27" s="33">
        <f t="shared" si="9"/>
        <v>3592998.2606377862</v>
      </c>
      <c r="AA27" s="33">
        <f t="shared" si="10"/>
        <v>3257956.751295764</v>
      </c>
      <c r="AB27" s="33">
        <f t="shared" si="11"/>
        <v>3257956.751295764</v>
      </c>
    </row>
    <row r="28" spans="1:28" x14ac:dyDescent="0.3">
      <c r="A28" s="23">
        <v>26</v>
      </c>
      <c r="B28" s="30">
        <f>IF(VCB_Life&gt;='NPV Analysis'!$A28,'NPV Analysis'!$A28,"")</f>
        <v>26</v>
      </c>
      <c r="C28" s="13"/>
      <c r="D28" s="31">
        <f t="shared" si="0"/>
        <v>5253.6612618782565</v>
      </c>
      <c r="E28" s="31">
        <f>IF(COUNTIF('0. Assumptions'!$J$4:$J$63,'NPV Analysis'!$B28),(VCB_Cost_RI/(1+Discount_Rate)^($B28-1))*VCB_Systems,0)</f>
        <v>0</v>
      </c>
      <c r="F28" s="31">
        <f>IF(COUNTIF('0. Assumptions'!$L$4:$L$63,'NPV Analysis'!$B28),(VCB_Cost_PI/(1+Discount_Rate)^($B28-1))*VCB_Systems,0)</f>
        <v>0</v>
      </c>
      <c r="G28" s="31">
        <f>IF($B28=VCB_Life,(VCB_Breaker/(1+Discount_Rate)^('NPV Analysis'!$B28-1))*VCB_Systems,0)</f>
        <v>0</v>
      </c>
      <c r="H28" s="32">
        <f t="shared" si="4"/>
        <v>5253.6612618782565</v>
      </c>
      <c r="I28" s="30">
        <f>IF(GCB_Life&gt;='NPV Analysis'!$A28,'NPV Analysis'!$A28,"")</f>
        <v>26</v>
      </c>
      <c r="J28" s="13"/>
      <c r="K28" s="31">
        <f t="shared" si="5"/>
        <v>39177.981025689391</v>
      </c>
      <c r="L28" s="31">
        <f>IF(COUNTIF('0. Assumptions'!$K$4:$K$63,'NPV Analysis'!$I28),(GCB_Cost_RI/(1+Discount_Rate)^($I28-1))*GCB_Systems,0)</f>
        <v>0</v>
      </c>
      <c r="M28" s="31">
        <f>IF(COUNTIF('0. Assumptions'!$M$4:$M$63,'NPV Analysis'!$I28),(GCB_Cost_PI/(1+Discount_Rate)^($I28-1))*GCB_Systems,0)</f>
        <v>0</v>
      </c>
      <c r="N28" s="31">
        <f t="shared" si="1"/>
        <v>0</v>
      </c>
      <c r="O28" s="32">
        <f t="shared" si="6"/>
        <v>39177.981025689391</v>
      </c>
      <c r="P28" s="30">
        <f>IF(GCB_Life&gt;='NPV Analysis'!$A28,'NPV Analysis'!$A28,"")</f>
        <v>26</v>
      </c>
      <c r="Q28" s="13"/>
      <c r="R28" s="31">
        <f t="shared" si="2"/>
        <v>39177.981025689391</v>
      </c>
      <c r="S28" s="31">
        <f>IF(COUNTIF('0. Assumptions'!$K$4:$K$63,'NPV Analysis'!$I28),(GCB_Cost_RI/(1+Discount_Rate)^($I28-1))*GCB_Systems,0)</f>
        <v>0</v>
      </c>
      <c r="T28" s="31">
        <f>IF(COUNTIF('0. Assumptions'!$M$4:$M$63,'NPV Analysis'!$P28),(GCB_Cost_PI/(1+Discount_Rate)^($I28-1))*GCB_Systems,0)</f>
        <v>0</v>
      </c>
      <c r="U28" s="31">
        <f t="shared" si="3"/>
        <v>0</v>
      </c>
      <c r="V28" s="32">
        <f t="shared" si="7"/>
        <v>39177.981025689391</v>
      </c>
      <c r="Y28" s="23">
        <f t="shared" si="8"/>
        <v>26</v>
      </c>
      <c r="Z28" s="33">
        <f t="shared" si="9"/>
        <v>3598251.9218996647</v>
      </c>
      <c r="AA28" s="33">
        <f t="shared" si="10"/>
        <v>3297134.7323214533</v>
      </c>
      <c r="AB28" s="33">
        <f t="shared" si="11"/>
        <v>3297134.7323214533</v>
      </c>
    </row>
    <row r="29" spans="1:28" x14ac:dyDescent="0.3">
      <c r="A29" s="23">
        <v>27</v>
      </c>
      <c r="B29" s="30">
        <f>IF(VCB_Life&gt;='NPV Analysis'!$A29,'NPV Analysis'!$A29,"")</f>
        <v>27</v>
      </c>
      <c r="C29" s="13"/>
      <c r="D29" s="31">
        <f t="shared" si="0"/>
        <v>5100.6420018235494</v>
      </c>
      <c r="E29" s="31">
        <f>IF(COUNTIF('0. Assumptions'!$J$4:$J$63,'NPV Analysis'!$B29),(VCB_Cost_RI/(1+Discount_Rate)^($B29-1))*VCB_Systems,0)</f>
        <v>0</v>
      </c>
      <c r="F29" s="31">
        <f>IF(COUNTIF('0. Assumptions'!$L$4:$L$63,'NPV Analysis'!$B29),(VCB_Cost_PI/(1+Discount_Rate)^($B29-1))*VCB_Systems,0)</f>
        <v>0</v>
      </c>
      <c r="G29" s="31">
        <f>IF($B29=VCB_Life,(VCB_Breaker/(1+Discount_Rate)^('NPV Analysis'!$B29-1))*VCB_Systems,0)</f>
        <v>0</v>
      </c>
      <c r="H29" s="32">
        <f t="shared" si="4"/>
        <v>5100.6420018235494</v>
      </c>
      <c r="I29" s="30">
        <f>IF(GCB_Life&gt;='NPV Analysis'!$A29,'NPV Analysis'!$A29,"")</f>
        <v>27</v>
      </c>
      <c r="J29" s="13"/>
      <c r="K29" s="31">
        <f t="shared" si="5"/>
        <v>38036.874782222701</v>
      </c>
      <c r="L29" s="31">
        <f>IF(COUNTIF('0. Assumptions'!$K$4:$K$63,'NPV Analysis'!$I29),(GCB_Cost_RI/(1+Discount_Rate)^($I29-1))*GCB_Systems,0)</f>
        <v>0</v>
      </c>
      <c r="M29" s="31">
        <f>IF(COUNTIF('0. Assumptions'!$M$4:$M$63,'NPV Analysis'!$I29),(GCB_Cost_PI/(1+Discount_Rate)^($I29-1))*GCB_Systems,0)</f>
        <v>0</v>
      </c>
      <c r="N29" s="31">
        <f t="shared" si="1"/>
        <v>0</v>
      </c>
      <c r="O29" s="32">
        <f t="shared" si="6"/>
        <v>38036.874782222701</v>
      </c>
      <c r="P29" s="30">
        <f>IF(GCB_Life&gt;='NPV Analysis'!$A29,'NPV Analysis'!$A29,"")</f>
        <v>27</v>
      </c>
      <c r="Q29" s="13"/>
      <c r="R29" s="31">
        <f t="shared" si="2"/>
        <v>38036.874782222701</v>
      </c>
      <c r="S29" s="31">
        <f>IF(COUNTIF('0. Assumptions'!$K$4:$K$63,'NPV Analysis'!$I29),(GCB_Cost_RI/(1+Discount_Rate)^($I29-1))*GCB_Systems,0)</f>
        <v>0</v>
      </c>
      <c r="T29" s="31">
        <f>IF(COUNTIF('0. Assumptions'!$M$4:$M$63,'NPV Analysis'!$P29),(GCB_Cost_PI/(1+Discount_Rate)^($I29-1))*GCB_Systems,0)</f>
        <v>0</v>
      </c>
      <c r="U29" s="31">
        <f t="shared" si="3"/>
        <v>0</v>
      </c>
      <c r="V29" s="32">
        <f t="shared" si="7"/>
        <v>38036.874782222701</v>
      </c>
      <c r="Y29" s="23">
        <f t="shared" si="8"/>
        <v>27</v>
      </c>
      <c r="Z29" s="33">
        <f t="shared" si="9"/>
        <v>3603352.5639014882</v>
      </c>
      <c r="AA29" s="33">
        <f t="shared" si="10"/>
        <v>3335171.6071036761</v>
      </c>
      <c r="AB29" s="33">
        <f t="shared" si="11"/>
        <v>3335171.6071036761</v>
      </c>
    </row>
    <row r="30" spans="1:28" x14ac:dyDescent="0.3">
      <c r="A30" s="23">
        <v>28</v>
      </c>
      <c r="B30" s="30">
        <f>IF(VCB_Life&gt;='NPV Analysis'!$A30,'NPV Analysis'!$A30,"")</f>
        <v>28</v>
      </c>
      <c r="C30" s="13"/>
      <c r="D30" s="31">
        <f t="shared" si="0"/>
        <v>4952.0796134209222</v>
      </c>
      <c r="E30" s="31">
        <f>IF(COUNTIF('0. Assumptions'!$J$4:$J$63,'NPV Analysis'!$B30),(VCB_Cost_RI/(1+Discount_Rate)^($B30-1))*VCB_Systems,0)</f>
        <v>0</v>
      </c>
      <c r="F30" s="31">
        <f>IF(COUNTIF('0. Assumptions'!$L$4:$L$63,'NPV Analysis'!$B30),(VCB_Cost_PI/(1+Discount_Rate)^($B30-1))*VCB_Systems,0)</f>
        <v>11254.726394138459</v>
      </c>
      <c r="G30" s="31">
        <f>IF($B30=VCB_Life,(VCB_Breaker/(1+Discount_Rate)^('NPV Analysis'!$B30-1))*VCB_Systems,0)</f>
        <v>0</v>
      </c>
      <c r="H30" s="32">
        <f t="shared" si="4"/>
        <v>16206.806007559382</v>
      </c>
      <c r="I30" s="30">
        <f>IF(GCB_Life&gt;='NPV Analysis'!$A30,'NPV Analysis'!$A30,"")</f>
        <v>28</v>
      </c>
      <c r="J30" s="13"/>
      <c r="K30" s="31">
        <f t="shared" si="5"/>
        <v>36929.004642934662</v>
      </c>
      <c r="L30" s="31">
        <f>IF(COUNTIF('0. Assumptions'!$K$4:$K$63,'NPV Analysis'!$I30),(GCB_Cost_RI/(1+Discount_Rate)^($I30-1))*GCB_Systems,0)</f>
        <v>0</v>
      </c>
      <c r="M30" s="31">
        <f>IF(COUNTIF('0. Assumptions'!$M$4:$M$63,'NPV Analysis'!$I30),(GCB_Cost_PI/(1+Discount_Rate)^($I30-1))*GCB_Systems,0)</f>
        <v>0</v>
      </c>
      <c r="N30" s="31">
        <f t="shared" si="1"/>
        <v>0</v>
      </c>
      <c r="O30" s="32">
        <f t="shared" si="6"/>
        <v>36929.004642934662</v>
      </c>
      <c r="P30" s="30">
        <f>IF(GCB_Life&gt;='NPV Analysis'!$A30,'NPV Analysis'!$A30,"")</f>
        <v>28</v>
      </c>
      <c r="Q30" s="13"/>
      <c r="R30" s="31">
        <f t="shared" si="2"/>
        <v>36929.004642934662</v>
      </c>
      <c r="S30" s="31">
        <f>IF(COUNTIF('0. Assumptions'!$K$4:$K$63,'NPV Analysis'!$I30),(GCB_Cost_RI/(1+Discount_Rate)^($I30-1))*GCB_Systems,0)</f>
        <v>0</v>
      </c>
      <c r="T30" s="31">
        <f>IF(COUNTIF('0. Assumptions'!$M$4:$M$63,'NPV Analysis'!$P30),(GCB_Cost_PI/(1+Discount_Rate)^($I30-1))*GCB_Systems,0)</f>
        <v>0</v>
      </c>
      <c r="U30" s="31">
        <f t="shared" si="3"/>
        <v>0</v>
      </c>
      <c r="V30" s="32">
        <f t="shared" si="7"/>
        <v>36929.004642934662</v>
      </c>
      <c r="Y30" s="23">
        <f t="shared" si="8"/>
        <v>28</v>
      </c>
      <c r="Z30" s="33">
        <f t="shared" si="9"/>
        <v>3619559.3699090476</v>
      </c>
      <c r="AA30" s="33">
        <f t="shared" si="10"/>
        <v>3372100.6117466106</v>
      </c>
      <c r="AB30" s="33">
        <f t="shared" si="11"/>
        <v>3372100.6117466106</v>
      </c>
    </row>
    <row r="31" spans="1:28" x14ac:dyDescent="0.3">
      <c r="A31" s="23">
        <v>29</v>
      </c>
      <c r="B31" s="30">
        <f>IF(VCB_Life&gt;='NPV Analysis'!$A31,'NPV Analysis'!$A31,"")</f>
        <v>29</v>
      </c>
      <c r="C31" s="13"/>
      <c r="D31" s="31">
        <f t="shared" si="0"/>
        <v>4807.8442848746818</v>
      </c>
      <c r="E31" s="31">
        <f>IF(COUNTIF('0. Assumptions'!$J$4:$J$63,'NPV Analysis'!$B31),(VCB_Cost_RI/(1+Discount_Rate)^($B31-1))*VCB_Systems,0)</f>
        <v>0</v>
      </c>
      <c r="F31" s="31">
        <f>IF(COUNTIF('0. Assumptions'!$L$4:$L$63,'NPV Analysis'!$B31),(VCB_Cost_PI/(1+Discount_Rate)^($B31-1))*VCB_Systems,0)</f>
        <v>0</v>
      </c>
      <c r="G31" s="31">
        <f>IF($B31=VCB_Life,(VCB_Breaker/(1+Discount_Rate)^('NPV Analysis'!$B31-1))*VCB_Systems,0)</f>
        <v>0</v>
      </c>
      <c r="H31" s="32">
        <f t="shared" si="4"/>
        <v>4807.8442848746818</v>
      </c>
      <c r="I31" s="30">
        <f>IF(GCB_Life&gt;='NPV Analysis'!$A31,'NPV Analysis'!$A31,"")</f>
        <v>29</v>
      </c>
      <c r="J31" s="13"/>
      <c r="K31" s="31">
        <f t="shared" si="5"/>
        <v>35853.402565955985</v>
      </c>
      <c r="L31" s="31">
        <f>IF(COUNTIF('0. Assumptions'!$K$4:$K$63,'NPV Analysis'!$I31),(GCB_Cost_RI/(1+Discount_Rate)^($I31-1))*GCB_Systems,0)</f>
        <v>0</v>
      </c>
      <c r="M31" s="31">
        <f>IF(COUNTIF('0. Assumptions'!$M$4:$M$63,'NPV Analysis'!$I31),(GCB_Cost_PI/(1+Discount_Rate)^($I31-1))*GCB_Systems,0)</f>
        <v>0</v>
      </c>
      <c r="N31" s="31">
        <f t="shared" si="1"/>
        <v>0</v>
      </c>
      <c r="O31" s="32">
        <f t="shared" si="6"/>
        <v>35853.402565955985</v>
      </c>
      <c r="P31" s="30">
        <f>IF(GCB_Life&gt;='NPV Analysis'!$A31,'NPV Analysis'!$A31,"")</f>
        <v>29</v>
      </c>
      <c r="Q31" s="13"/>
      <c r="R31" s="31">
        <f t="shared" si="2"/>
        <v>35853.402565955985</v>
      </c>
      <c r="S31" s="31">
        <f>IF(COUNTIF('0. Assumptions'!$K$4:$K$63,'NPV Analysis'!$I31),(GCB_Cost_RI/(1+Discount_Rate)^($I31-1))*GCB_Systems,0)</f>
        <v>0</v>
      </c>
      <c r="T31" s="31">
        <f>IF(COUNTIF('0. Assumptions'!$M$4:$M$63,'NPV Analysis'!$P31),(GCB_Cost_PI/(1+Discount_Rate)^($I31-1))*GCB_Systems,0)</f>
        <v>0</v>
      </c>
      <c r="U31" s="31">
        <f t="shared" si="3"/>
        <v>0</v>
      </c>
      <c r="V31" s="32">
        <f t="shared" si="7"/>
        <v>35853.402565955985</v>
      </c>
      <c r="Y31" s="23">
        <f t="shared" si="8"/>
        <v>29</v>
      </c>
      <c r="Z31" s="33">
        <f t="shared" si="9"/>
        <v>3624367.2141939225</v>
      </c>
      <c r="AA31" s="33">
        <f t="shared" si="10"/>
        <v>3407954.0143125667</v>
      </c>
      <c r="AB31" s="33">
        <f t="shared" si="11"/>
        <v>3407954.0143125667</v>
      </c>
    </row>
    <row r="32" spans="1:28" x14ac:dyDescent="0.3">
      <c r="A32" s="23">
        <v>30</v>
      </c>
      <c r="B32" s="30">
        <f>IF(VCB_Life&gt;='NPV Analysis'!$A32,'NPV Analysis'!$A32,"")</f>
        <v>30</v>
      </c>
      <c r="C32" s="13"/>
      <c r="D32" s="31">
        <f t="shared" si="0"/>
        <v>4667.8099853152253</v>
      </c>
      <c r="E32" s="31">
        <f>IF(COUNTIF('0. Assumptions'!$J$4:$J$63,'NPV Analysis'!$B32),(VCB_Cost_RI/(1+Discount_Rate)^($B32-1))*VCB_Systems,0)</f>
        <v>2121.7318115069206</v>
      </c>
      <c r="F32" s="31">
        <f>IF(COUNTIF('0. Assumptions'!$L$4:$L$63,'NPV Analysis'!$B32),(VCB_Cost_PI/(1+Discount_Rate)^($B32-1))*VCB_Systems,0)</f>
        <v>0</v>
      </c>
      <c r="G32" s="31">
        <f>IF($B32=VCB_Life,(VCB_Breaker/(1+Discount_Rate)^('NPV Analysis'!$B32-1))*VCB_Systems,0)</f>
        <v>0</v>
      </c>
      <c r="H32" s="32">
        <f t="shared" si="4"/>
        <v>6789.5417968221464</v>
      </c>
      <c r="I32" s="30">
        <f>IF(GCB_Life&gt;='NPV Analysis'!$A32,'NPV Analysis'!$A32,"")</f>
        <v>30</v>
      </c>
      <c r="J32" s="13"/>
      <c r="K32" s="31">
        <f t="shared" si="5"/>
        <v>34809.128704811643</v>
      </c>
      <c r="L32" s="31">
        <f>IF(COUNTIF('0. Assumptions'!$K$4:$K$63,'NPV Analysis'!$I32),(GCB_Cost_RI/(1+Discount_Rate)^($I32-1))*GCB_Systems,0)</f>
        <v>2121.7318115069206</v>
      </c>
      <c r="M32" s="31">
        <f>IF(COUNTIF('0. Assumptions'!$M$4:$M$63,'NPV Analysis'!$I32),(GCB_Cost_PI/(1+Discount_Rate)^($I32-1))*GCB_Systems,0)</f>
        <v>19095.586303562286</v>
      </c>
      <c r="N32" s="31">
        <f t="shared" si="1"/>
        <v>0</v>
      </c>
      <c r="O32" s="32">
        <f t="shared" si="6"/>
        <v>56026.446819880846</v>
      </c>
      <c r="P32" s="30">
        <f>IF(GCB_Life&gt;='NPV Analysis'!$A32,'NPV Analysis'!$A32,"")</f>
        <v>30</v>
      </c>
      <c r="Q32" s="13"/>
      <c r="R32" s="31">
        <f t="shared" si="2"/>
        <v>34809.128704811643</v>
      </c>
      <c r="S32" s="31">
        <f>IF(COUNTIF('0. Assumptions'!$K$4:$K$63,'NPV Analysis'!$I32),(GCB_Cost_RI/(1+Discount_Rate)^($I32-1))*GCB_Systems,0)</f>
        <v>2121.7318115069206</v>
      </c>
      <c r="T32" s="31">
        <f>IF(COUNTIF('0. Assumptions'!$M$4:$M$63,'NPV Analysis'!$P32),(GCB_Cost_PI/(1+Discount_Rate)^($I32-1))*GCB_Systems,0)</f>
        <v>19095.586303562286</v>
      </c>
      <c r="U32" s="31">
        <f t="shared" si="3"/>
        <v>0</v>
      </c>
      <c r="V32" s="32">
        <f t="shared" si="7"/>
        <v>56026.446819880846</v>
      </c>
      <c r="Y32" s="23">
        <f t="shared" si="8"/>
        <v>30</v>
      </c>
      <c r="Z32" s="33">
        <f t="shared" si="9"/>
        <v>3631156.7559907446</v>
      </c>
      <c r="AA32" s="33">
        <f t="shared" si="10"/>
        <v>3463980.4611324477</v>
      </c>
      <c r="AB32" s="33">
        <f t="shared" si="11"/>
        <v>3463980.4611324477</v>
      </c>
    </row>
    <row r="33" spans="1:28" x14ac:dyDescent="0.3">
      <c r="A33" s="23">
        <v>31</v>
      </c>
      <c r="B33" s="30">
        <f>IF(VCB_Life&gt;='NPV Analysis'!$A33,'NPV Analysis'!$A33,"")</f>
        <v>31</v>
      </c>
      <c r="C33" s="13"/>
      <c r="D33" s="31">
        <f t="shared" si="0"/>
        <v>4531.8543546749761</v>
      </c>
      <c r="E33" s="31">
        <f>IF(COUNTIF('0. Assumptions'!$J$4:$J$63,'NPV Analysis'!$B33),(VCB_Cost_RI/(1+Discount_Rate)^($B33-1))*VCB_Systems,0)</f>
        <v>0</v>
      </c>
      <c r="F33" s="31">
        <f>IF(COUNTIF('0. Assumptions'!$L$4:$L$63,'NPV Analysis'!$B33),(VCB_Cost_PI/(1+Discount_Rate)^($B33-1))*VCB_Systems,0)</f>
        <v>0</v>
      </c>
      <c r="G33" s="31">
        <f>IF($B33=VCB_Life,(VCB_Breaker/(1+Discount_Rate)^('NPV Analysis'!$B33-1))*VCB_Systems,0)</f>
        <v>0</v>
      </c>
      <c r="H33" s="32">
        <f t="shared" si="4"/>
        <v>4531.8543546749761</v>
      </c>
      <c r="I33" s="30">
        <f>IF(GCB_Life&gt;='NPV Analysis'!$A33,'NPV Analysis'!$A33,"")</f>
        <v>31</v>
      </c>
      <c r="J33" s="13"/>
      <c r="K33" s="31">
        <f t="shared" si="5"/>
        <v>33795.270587195766</v>
      </c>
      <c r="L33" s="31">
        <f>IF(COUNTIF('0. Assumptions'!$K$4:$K$63,'NPV Analysis'!$I33),(GCB_Cost_RI/(1+Discount_Rate)^($I33-1))*GCB_Systems,0)</f>
        <v>0</v>
      </c>
      <c r="M33" s="31">
        <f>IF(COUNTIF('0. Assumptions'!$M$4:$M$63,'NPV Analysis'!$I33),(GCB_Cost_PI/(1+Discount_Rate)^($I33-1))*GCB_Systems,0)</f>
        <v>0</v>
      </c>
      <c r="N33" s="31">
        <f t="shared" si="1"/>
        <v>0</v>
      </c>
      <c r="O33" s="32">
        <f t="shared" si="6"/>
        <v>33795.270587195766</v>
      </c>
      <c r="P33" s="30">
        <f>IF(GCB_Life&gt;='NPV Analysis'!$A33,'NPV Analysis'!$A33,"")</f>
        <v>31</v>
      </c>
      <c r="Q33" s="13"/>
      <c r="R33" s="31">
        <f t="shared" si="2"/>
        <v>33795.270587195766</v>
      </c>
      <c r="S33" s="31">
        <f>IF(COUNTIF('0. Assumptions'!$K$4:$K$63,'NPV Analysis'!$I33),(GCB_Cost_RI/(1+Discount_Rate)^($I33-1))*GCB_Systems,0)</f>
        <v>0</v>
      </c>
      <c r="T33" s="31">
        <f>IF(COUNTIF('0. Assumptions'!$M$4:$M$63,'NPV Analysis'!$P33),(GCB_Cost_PI/(1+Discount_Rate)^($I33-1))*GCB_Systems,0)</f>
        <v>0</v>
      </c>
      <c r="U33" s="31">
        <f t="shared" si="3"/>
        <v>0</v>
      </c>
      <c r="V33" s="32">
        <f t="shared" si="7"/>
        <v>33795.270587195766</v>
      </c>
      <c r="Y33" s="23">
        <f t="shared" si="8"/>
        <v>31</v>
      </c>
      <c r="Z33" s="33">
        <f t="shared" si="9"/>
        <v>3635688.6103454195</v>
      </c>
      <c r="AA33" s="33">
        <f t="shared" si="10"/>
        <v>3497775.7317196433</v>
      </c>
      <c r="AB33" s="33">
        <f t="shared" si="11"/>
        <v>3497775.7317196433</v>
      </c>
    </row>
    <row r="34" spans="1:28" x14ac:dyDescent="0.3">
      <c r="A34" s="23">
        <v>32</v>
      </c>
      <c r="B34" s="30">
        <f>IF(VCB_Life&gt;='NPV Analysis'!$A34,'NPV Analysis'!$A34,"")</f>
        <v>32</v>
      </c>
      <c r="C34" s="13"/>
      <c r="D34" s="31">
        <f t="shared" si="0"/>
        <v>4399.8585967718209</v>
      </c>
      <c r="E34" s="31">
        <f>IF(COUNTIF('0. Assumptions'!$J$4:$J$63,'NPV Analysis'!$B34),(VCB_Cost_RI/(1+Discount_Rate)^($B34-1))*VCB_Systems,0)</f>
        <v>0</v>
      </c>
      <c r="F34" s="31">
        <f>IF(COUNTIF('0. Assumptions'!$L$4:$L$63,'NPV Analysis'!$B34),(VCB_Cost_PI/(1+Discount_Rate)^($B34-1))*VCB_Systems,0)</f>
        <v>0</v>
      </c>
      <c r="G34" s="31">
        <f>IF($B34=VCB_Life,(VCB_Breaker/(1+Discount_Rate)^('NPV Analysis'!$B34-1))*VCB_Systems,0)</f>
        <v>0</v>
      </c>
      <c r="H34" s="32">
        <f t="shared" si="4"/>
        <v>4399.8585967718209</v>
      </c>
      <c r="I34" s="30">
        <f>IF(GCB_Life&gt;='NPV Analysis'!$A34,'NPV Analysis'!$A34,"")</f>
        <v>32</v>
      </c>
      <c r="J34" s="13"/>
      <c r="K34" s="31">
        <f t="shared" si="5"/>
        <v>32810.942317665787</v>
      </c>
      <c r="L34" s="31">
        <f>IF(COUNTIF('0. Assumptions'!$K$4:$K$63,'NPV Analysis'!$I34),(GCB_Cost_RI/(1+Discount_Rate)^($I34-1))*GCB_Systems,0)</f>
        <v>0</v>
      </c>
      <c r="M34" s="31">
        <f>IF(COUNTIF('0. Assumptions'!$M$4:$M$63,'NPV Analysis'!$I34),(GCB_Cost_PI/(1+Discount_Rate)^($I34-1))*GCB_Systems,0)</f>
        <v>0</v>
      </c>
      <c r="N34" s="31">
        <f t="shared" si="1"/>
        <v>0</v>
      </c>
      <c r="O34" s="32">
        <f t="shared" si="6"/>
        <v>32810.942317665787</v>
      </c>
      <c r="P34" s="30">
        <f>IF(GCB_Life&gt;='NPV Analysis'!$A34,'NPV Analysis'!$A34,"")</f>
        <v>32</v>
      </c>
      <c r="Q34" s="13"/>
      <c r="R34" s="31">
        <f t="shared" si="2"/>
        <v>32810.942317665787</v>
      </c>
      <c r="S34" s="31">
        <f>IF(COUNTIF('0. Assumptions'!$K$4:$K$63,'NPV Analysis'!$I34),(GCB_Cost_RI/(1+Discount_Rate)^($I34-1))*GCB_Systems,0)</f>
        <v>0</v>
      </c>
      <c r="T34" s="31">
        <f>IF(COUNTIF('0. Assumptions'!$M$4:$M$63,'NPV Analysis'!$P34),(GCB_Cost_PI/(1+Discount_Rate)^($I34-1))*GCB_Systems,0)</f>
        <v>0</v>
      </c>
      <c r="U34" s="31">
        <f t="shared" si="3"/>
        <v>0</v>
      </c>
      <c r="V34" s="32">
        <f t="shared" si="7"/>
        <v>32810.942317665787</v>
      </c>
      <c r="Y34" s="23">
        <f t="shared" si="8"/>
        <v>32</v>
      </c>
      <c r="Z34" s="33">
        <f t="shared" si="9"/>
        <v>3640088.4689421915</v>
      </c>
      <c r="AA34" s="33">
        <f t="shared" si="10"/>
        <v>3530586.6740373094</v>
      </c>
      <c r="AB34" s="33">
        <f t="shared" si="11"/>
        <v>3530586.6740373094</v>
      </c>
    </row>
    <row r="35" spans="1:28" x14ac:dyDescent="0.3">
      <c r="A35" s="23">
        <v>33</v>
      </c>
      <c r="B35" s="30">
        <f>IF(VCB_Life&gt;='NPV Analysis'!$A35,'NPV Analysis'!$A35,"")</f>
        <v>33</v>
      </c>
      <c r="C35" s="13"/>
      <c r="D35" s="31">
        <f t="shared" si="0"/>
        <v>4271.7073755066231</v>
      </c>
      <c r="E35" s="31">
        <f>IF(COUNTIF('0. Assumptions'!$J$4:$J$63,'NPV Analysis'!$B35),(VCB_Cost_RI/(1+Discount_Rate)^($B35-1))*VCB_Systems,0)</f>
        <v>0</v>
      </c>
      <c r="F35" s="31">
        <f>IF(COUNTIF('0. Assumptions'!$L$4:$L$63,'NPV Analysis'!$B35),(VCB_Cost_PI/(1+Discount_Rate)^($B35-1))*VCB_Systems,0)</f>
        <v>0</v>
      </c>
      <c r="G35" s="31">
        <f>IF($B35=VCB_Life,(VCB_Breaker/(1+Discount_Rate)^('NPV Analysis'!$B35-1))*VCB_Systems,0)</f>
        <v>0</v>
      </c>
      <c r="H35" s="32">
        <f t="shared" si="4"/>
        <v>4271.7073755066231</v>
      </c>
      <c r="I35" s="30">
        <f>IF(GCB_Life&gt;='NPV Analysis'!$A35,'NPV Analysis'!$A35,"")</f>
        <v>33</v>
      </c>
      <c r="J35" s="13"/>
      <c r="K35" s="31">
        <f t="shared" ref="K35:K52" si="12">IF($I35&gt;GCB_Life,0,GCB_Annual/(1+Discount_Rate)^($I35-1)*GCB_Systems)</f>
        <v>31855.283803559025</v>
      </c>
      <c r="L35" s="31">
        <f>IF(COUNTIF('0. Assumptions'!$K$4:$K$63,'NPV Analysis'!$I35),(GCB_Cost_RI/(1+Discount_Rate)^($I35-1))*GCB_Systems,0)</f>
        <v>0</v>
      </c>
      <c r="M35" s="31">
        <f>IF(COUNTIF('0. Assumptions'!$M$4:$M$63,'NPV Analysis'!$I35),(GCB_Cost_PI/(1+Discount_Rate)^($I35-1))*GCB_Systems,0)</f>
        <v>0</v>
      </c>
      <c r="N35" s="31">
        <f t="shared" ref="N35:N52" si="13">IF($I35=GCB_Life,(GCB_NTH_Breaker/(1+Discount_Rate)^($I35-1))*GCB_Systems,0)</f>
        <v>0</v>
      </c>
      <c r="O35" s="32">
        <f t="shared" si="6"/>
        <v>31855.283803559025</v>
      </c>
      <c r="P35" s="30">
        <f>IF(GCB_Life&gt;='NPV Analysis'!$A35,'NPV Analysis'!$A35,"")</f>
        <v>33</v>
      </c>
      <c r="Q35" s="13"/>
      <c r="R35" s="31">
        <f t="shared" ref="R35:R52" si="14">IF($P35&gt;GCB_Life,0,GCB_Annual/(1+Discount_Rate)^($P35-1)*GCB_Systems)</f>
        <v>31855.283803559025</v>
      </c>
      <c r="S35" s="31">
        <f>IF(COUNTIF('0. Assumptions'!$K$4:$K$63,'NPV Analysis'!$I35),(GCB_Cost_RI/(1+Discount_Rate)^($I35-1))*GCB_Systems,0)</f>
        <v>0</v>
      </c>
      <c r="T35" s="31">
        <f>IF(COUNTIF('0. Assumptions'!$M$4:$M$63,'NPV Analysis'!$P35),(GCB_Cost_PI/(1+Discount_Rate)^($I35-1))*GCB_Systems,0)</f>
        <v>0</v>
      </c>
      <c r="U35" s="31">
        <f t="shared" ref="U35:U52" si="15">IF($P35=GCB_Life,(GCB_TH_Breaker/(1+Discount_Rate)^($P35-1))*GCB_Systems,0)</f>
        <v>0</v>
      </c>
      <c r="V35" s="32">
        <f t="shared" si="7"/>
        <v>31855.283803559025</v>
      </c>
      <c r="Y35" s="23">
        <f t="shared" si="8"/>
        <v>33</v>
      </c>
      <c r="Z35" s="33">
        <f t="shared" si="9"/>
        <v>3644360.1763176979</v>
      </c>
      <c r="AA35" s="33">
        <f t="shared" si="10"/>
        <v>3562441.9578408683</v>
      </c>
      <c r="AB35" s="33">
        <f t="shared" si="11"/>
        <v>3562441.9578408683</v>
      </c>
    </row>
    <row r="36" spans="1:28" x14ac:dyDescent="0.3">
      <c r="A36" s="23">
        <v>34</v>
      </c>
      <c r="B36" s="30">
        <f>IF(VCB_Life&gt;='NPV Analysis'!$A36,'NPV Analysis'!$A36,"")</f>
        <v>34</v>
      </c>
      <c r="C36" s="13"/>
      <c r="D36" s="31">
        <f t="shared" si="0"/>
        <v>4147.2887140840994</v>
      </c>
      <c r="E36" s="31">
        <f>IF(COUNTIF('0. Assumptions'!$J$4:$J$63,'NPV Analysis'!$B36),(VCB_Cost_RI/(1+Discount_Rate)^($B36-1))*VCB_Systems,0)</f>
        <v>0</v>
      </c>
      <c r="F36" s="31">
        <f>IF(COUNTIF('0. Assumptions'!$L$4:$L$63,'NPV Analysis'!$B36),(VCB_Cost_PI/(1+Discount_Rate)^($B36-1))*VCB_Systems,0)</f>
        <v>0</v>
      </c>
      <c r="G36" s="31">
        <f>IF($B36=VCB_Life,(VCB_Breaker/(1+Discount_Rate)^('NPV Analysis'!$B36-1))*VCB_Systems,0)</f>
        <v>0</v>
      </c>
      <c r="H36" s="32">
        <f t="shared" si="4"/>
        <v>4147.2887140840994</v>
      </c>
      <c r="I36" s="30">
        <f>IF(GCB_Life&gt;='NPV Analysis'!$A36,'NPV Analysis'!$A36,"")</f>
        <v>34</v>
      </c>
      <c r="J36" s="13"/>
      <c r="K36" s="31">
        <f t="shared" si="12"/>
        <v>30927.460003455362</v>
      </c>
      <c r="L36" s="31">
        <f>IF(COUNTIF('0. Assumptions'!$K$4:$K$63,'NPV Analysis'!$I36),(GCB_Cost_RI/(1+Discount_Rate)^($I36-1))*GCB_Systems,0)</f>
        <v>0</v>
      </c>
      <c r="M36" s="31">
        <f>IF(COUNTIF('0. Assumptions'!$M$4:$M$63,'NPV Analysis'!$I36),(GCB_Cost_PI/(1+Discount_Rate)^($I36-1))*GCB_Systems,0)</f>
        <v>0</v>
      </c>
      <c r="N36" s="31">
        <f t="shared" si="13"/>
        <v>0</v>
      </c>
      <c r="O36" s="32">
        <f t="shared" si="6"/>
        <v>30927.460003455362</v>
      </c>
      <c r="P36" s="30">
        <f>IF(GCB_Life&gt;='NPV Analysis'!$A36,'NPV Analysis'!$A36,"")</f>
        <v>34</v>
      </c>
      <c r="Q36" s="13"/>
      <c r="R36" s="31">
        <f t="shared" si="14"/>
        <v>30927.460003455362</v>
      </c>
      <c r="S36" s="31">
        <f>IF(COUNTIF('0. Assumptions'!$K$4:$K$63,'NPV Analysis'!$I36),(GCB_Cost_RI/(1+Discount_Rate)^($I36-1))*GCB_Systems,0)</f>
        <v>0</v>
      </c>
      <c r="T36" s="31">
        <f>IF(COUNTIF('0. Assumptions'!$M$4:$M$63,'NPV Analysis'!$P36),(GCB_Cost_PI/(1+Discount_Rate)^($I36-1))*GCB_Systems,0)</f>
        <v>0</v>
      </c>
      <c r="U36" s="31">
        <f t="shared" si="15"/>
        <v>0</v>
      </c>
      <c r="V36" s="32">
        <f t="shared" si="7"/>
        <v>30927.460003455362</v>
      </c>
      <c r="Y36" s="23">
        <f t="shared" si="8"/>
        <v>34</v>
      </c>
      <c r="Z36" s="33">
        <f t="shared" si="9"/>
        <v>3648507.4650317822</v>
      </c>
      <c r="AA36" s="33">
        <f t="shared" si="10"/>
        <v>3593369.4178443234</v>
      </c>
      <c r="AB36" s="33">
        <f t="shared" si="11"/>
        <v>3593369.4178443234</v>
      </c>
    </row>
    <row r="37" spans="1:28" x14ac:dyDescent="0.3">
      <c r="A37" s="23">
        <v>35</v>
      </c>
      <c r="B37" s="30">
        <f>IF(VCB_Life&gt;='NPV Analysis'!$A37,'NPV Analysis'!$A37,"")</f>
        <v>35</v>
      </c>
      <c r="C37" s="13"/>
      <c r="D37" s="31">
        <f t="shared" si="0"/>
        <v>4026.4938971690294</v>
      </c>
      <c r="E37" s="31">
        <f>IF(COUNTIF('0. Assumptions'!$J$4:$J$63,'NPV Analysis'!$B37),(VCB_Cost_RI/(1+Discount_Rate)^($B37-1))*VCB_Systems,0)</f>
        <v>0</v>
      </c>
      <c r="F37" s="31">
        <f>IF(COUNTIF('0. Assumptions'!$L$4:$L$63,'NPV Analysis'!$B37),(VCB_Cost_PI/(1+Discount_Rate)^($B37-1))*VCB_Systems,0)</f>
        <v>0</v>
      </c>
      <c r="G37" s="31">
        <f>IF($B37=VCB_Life,(VCB_Breaker/(1+Discount_Rate)^('NPV Analysis'!$B37-1))*VCB_Systems,0)</f>
        <v>0</v>
      </c>
      <c r="H37" s="32">
        <f t="shared" si="4"/>
        <v>4026.4938971690294</v>
      </c>
      <c r="I37" s="30">
        <f>IF(GCB_Life&gt;='NPV Analysis'!$A37,'NPV Analysis'!$A37,"")</f>
        <v>35</v>
      </c>
      <c r="J37" s="13"/>
      <c r="K37" s="31">
        <f t="shared" si="12"/>
        <v>30026.66019752948</v>
      </c>
      <c r="L37" s="31">
        <f>IF(COUNTIF('0. Assumptions'!$K$4:$K$63,'NPV Analysis'!$I37),(GCB_Cost_RI/(1+Discount_Rate)^($I37-1))*GCB_Systems,0)</f>
        <v>0</v>
      </c>
      <c r="M37" s="31">
        <f>IF(COUNTIF('0. Assumptions'!$M$4:$M$63,'NPV Analysis'!$I37),(GCB_Cost_PI/(1+Discount_Rate)^($I37-1))*GCB_Systems,0)</f>
        <v>16472.020488418755</v>
      </c>
      <c r="N37" s="31">
        <f t="shared" si="13"/>
        <v>0</v>
      </c>
      <c r="O37" s="32">
        <f t="shared" si="6"/>
        <v>46498.680685948231</v>
      </c>
      <c r="P37" s="30">
        <f>IF(GCB_Life&gt;='NPV Analysis'!$A37,'NPV Analysis'!$A37,"")</f>
        <v>35</v>
      </c>
      <c r="Q37" s="13"/>
      <c r="R37" s="31">
        <f t="shared" si="14"/>
        <v>30026.66019752948</v>
      </c>
      <c r="S37" s="31">
        <f>IF(COUNTIF('0. Assumptions'!$K$4:$K$63,'NPV Analysis'!$I37),(GCB_Cost_RI/(1+Discount_Rate)^($I37-1))*GCB_Systems,0)</f>
        <v>0</v>
      </c>
      <c r="T37" s="31">
        <f>IF(COUNTIF('0. Assumptions'!$M$4:$M$63,'NPV Analysis'!$P37),(GCB_Cost_PI/(1+Discount_Rate)^($I37-1))*GCB_Systems,0)</f>
        <v>16472.020488418755</v>
      </c>
      <c r="U37" s="31">
        <f t="shared" si="15"/>
        <v>0</v>
      </c>
      <c r="V37" s="32">
        <f t="shared" si="7"/>
        <v>46498.680685948231</v>
      </c>
      <c r="Y37" s="23">
        <f t="shared" si="8"/>
        <v>35</v>
      </c>
      <c r="Z37" s="33">
        <f t="shared" si="9"/>
        <v>3652533.9589289511</v>
      </c>
      <c r="AA37" s="33">
        <f t="shared" si="10"/>
        <v>3639868.0985302716</v>
      </c>
      <c r="AB37" s="33">
        <f t="shared" si="11"/>
        <v>3639868.0985302716</v>
      </c>
    </row>
    <row r="38" spans="1:28" x14ac:dyDescent="0.3">
      <c r="A38" s="23">
        <v>36</v>
      </c>
      <c r="B38" s="30">
        <f>IF(VCB_Life&gt;='NPV Analysis'!$A38,'NPV Analysis'!$A38,"")</f>
        <v>36</v>
      </c>
      <c r="C38" s="13"/>
      <c r="D38" s="31">
        <f t="shared" si="0"/>
        <v>3909.2173758922609</v>
      </c>
      <c r="E38" s="31">
        <f>IF(COUNTIF('0. Assumptions'!$J$4:$J$63,'NPV Analysis'!$B38),(VCB_Cost_RI/(1+Discount_Rate)^($B38-1))*VCB_Systems,0)</f>
        <v>0</v>
      </c>
      <c r="F38" s="31">
        <f>IF(COUNTIF('0. Assumptions'!$L$4:$L$63,'NPV Analysis'!$B38),(VCB_Cost_PI/(1+Discount_Rate)^($B38-1))*VCB_Systems,0)</f>
        <v>0</v>
      </c>
      <c r="G38" s="31">
        <f>IF($B38=VCB_Life,(VCB_Breaker/(1+Discount_Rate)^('NPV Analysis'!$B38-1))*VCB_Systems,0)</f>
        <v>0</v>
      </c>
      <c r="H38" s="32">
        <f t="shared" si="4"/>
        <v>3909.2173758922609</v>
      </c>
      <c r="I38" s="30">
        <f>IF(GCB_Life&gt;='NPV Analysis'!$A38,'NPV Analysis'!$A38,"")</f>
        <v>36</v>
      </c>
      <c r="J38" s="13"/>
      <c r="K38" s="31">
        <f t="shared" si="12"/>
        <v>29152.09727915483</v>
      </c>
      <c r="L38" s="31">
        <f>IF(COUNTIF('0. Assumptions'!$K$4:$K$63,'NPV Analysis'!$I38),(GCB_Cost_RI/(1+Discount_Rate)^($I38-1))*GCB_Systems,0)</f>
        <v>0</v>
      </c>
      <c r="M38" s="31">
        <f>IF(COUNTIF('0. Assumptions'!$M$4:$M$63,'NPV Analysis'!$I38),(GCB_Cost_PI/(1+Discount_Rate)^($I38-1))*GCB_Systems,0)</f>
        <v>0</v>
      </c>
      <c r="N38" s="31">
        <f t="shared" si="13"/>
        <v>0</v>
      </c>
      <c r="O38" s="32">
        <f t="shared" si="6"/>
        <v>29152.09727915483</v>
      </c>
      <c r="P38" s="30">
        <f>IF(GCB_Life&gt;='NPV Analysis'!$A38,'NPV Analysis'!$A38,"")</f>
        <v>36</v>
      </c>
      <c r="Q38" s="13"/>
      <c r="R38" s="31">
        <f t="shared" si="14"/>
        <v>29152.09727915483</v>
      </c>
      <c r="S38" s="31">
        <f>IF(COUNTIF('0. Assumptions'!$K$4:$K$63,'NPV Analysis'!$I38),(GCB_Cost_RI/(1+Discount_Rate)^($I38-1))*GCB_Systems,0)</f>
        <v>0</v>
      </c>
      <c r="T38" s="31">
        <f>IF(COUNTIF('0. Assumptions'!$M$4:$M$63,'NPV Analysis'!$P38),(GCB_Cost_PI/(1+Discount_Rate)^($I38-1))*GCB_Systems,0)</f>
        <v>0</v>
      </c>
      <c r="U38" s="31">
        <f t="shared" si="15"/>
        <v>0</v>
      </c>
      <c r="V38" s="32">
        <f t="shared" si="7"/>
        <v>29152.09727915483</v>
      </c>
      <c r="Y38" s="23">
        <f t="shared" si="8"/>
        <v>36</v>
      </c>
      <c r="Z38" s="33">
        <f t="shared" si="9"/>
        <v>3656443.1763048433</v>
      </c>
      <c r="AA38" s="33">
        <f t="shared" si="10"/>
        <v>3669020.1958094263</v>
      </c>
      <c r="AB38" s="33">
        <f t="shared" si="11"/>
        <v>3669020.1958094263</v>
      </c>
    </row>
    <row r="39" spans="1:28" x14ac:dyDescent="0.3">
      <c r="A39" s="23">
        <v>37</v>
      </c>
      <c r="B39" s="30">
        <f>IF(VCB_Life&gt;='NPV Analysis'!$A39,'NPV Analysis'!$A39,"")</f>
        <v>37</v>
      </c>
      <c r="C39" s="13"/>
      <c r="D39" s="31">
        <f t="shared" si="0"/>
        <v>3795.3566756235546</v>
      </c>
      <c r="E39" s="31">
        <f>IF(COUNTIF('0. Assumptions'!$J$4:$J$63,'NPV Analysis'!$B39),(VCB_Cost_RI/(1+Discount_Rate)^($B39-1))*VCB_Systems,0)</f>
        <v>0</v>
      </c>
      <c r="F39" s="31">
        <f>IF(COUNTIF('0. Assumptions'!$L$4:$L$63,'NPV Analysis'!$B39),(VCB_Cost_PI/(1+Discount_Rate)^($B39-1))*VCB_Systems,0)</f>
        <v>0</v>
      </c>
      <c r="G39" s="31">
        <f>IF($B39=VCB_Life,(VCB_Breaker/(1+Discount_Rate)^('NPV Analysis'!$B39-1))*VCB_Systems,0)</f>
        <v>0</v>
      </c>
      <c r="H39" s="32">
        <f t="shared" si="4"/>
        <v>3795.3566756235546</v>
      </c>
      <c r="I39" s="30">
        <f>IF(GCB_Life&gt;='NPV Analysis'!$A39,'NPV Analysis'!$A39,"")</f>
        <v>37</v>
      </c>
      <c r="J39" s="13"/>
      <c r="K39" s="31">
        <f t="shared" si="12"/>
        <v>28303.007067140614</v>
      </c>
      <c r="L39" s="31">
        <f>IF(COUNTIF('0. Assumptions'!$K$4:$K$63,'NPV Analysis'!$I39),(GCB_Cost_RI/(1+Discount_Rate)^($I39-1))*GCB_Systems,0)</f>
        <v>0</v>
      </c>
      <c r="M39" s="31">
        <f>IF(COUNTIF('0. Assumptions'!$M$4:$M$63,'NPV Analysis'!$I39),(GCB_Cost_PI/(1+Discount_Rate)^($I39-1))*GCB_Systems,0)</f>
        <v>0</v>
      </c>
      <c r="N39" s="31">
        <f t="shared" si="13"/>
        <v>0</v>
      </c>
      <c r="O39" s="32">
        <f t="shared" si="6"/>
        <v>28303.007067140614</v>
      </c>
      <c r="P39" s="30">
        <f>IF(GCB_Life&gt;='NPV Analysis'!$A39,'NPV Analysis'!$A39,"")</f>
        <v>37</v>
      </c>
      <c r="Q39" s="13"/>
      <c r="R39" s="31">
        <f t="shared" si="14"/>
        <v>28303.007067140614</v>
      </c>
      <c r="S39" s="31">
        <f>IF(COUNTIF('0. Assumptions'!$K$4:$K$63,'NPV Analysis'!$I39),(GCB_Cost_RI/(1+Discount_Rate)^($I39-1))*GCB_Systems,0)</f>
        <v>0</v>
      </c>
      <c r="T39" s="31">
        <f>IF(COUNTIF('0. Assumptions'!$M$4:$M$63,'NPV Analysis'!$P39),(GCB_Cost_PI/(1+Discount_Rate)^($I39-1))*GCB_Systems,0)</f>
        <v>0</v>
      </c>
      <c r="U39" s="31">
        <f t="shared" si="15"/>
        <v>0</v>
      </c>
      <c r="V39" s="32">
        <f t="shared" si="7"/>
        <v>28303.007067140614</v>
      </c>
      <c r="Y39" s="23">
        <f t="shared" si="8"/>
        <v>37</v>
      </c>
      <c r="Z39" s="33">
        <f t="shared" si="9"/>
        <v>3660238.5329804667</v>
      </c>
      <c r="AA39" s="33">
        <f t="shared" si="10"/>
        <v>3697323.2028765669</v>
      </c>
      <c r="AB39" s="33">
        <f t="shared" si="11"/>
        <v>3697323.2028765669</v>
      </c>
    </row>
    <row r="40" spans="1:28" x14ac:dyDescent="0.3">
      <c r="A40" s="23">
        <v>38</v>
      </c>
      <c r="B40" s="30">
        <f>IF(VCB_Life&gt;='NPV Analysis'!$A40,'NPV Analysis'!$A40,"")</f>
        <v>38</v>
      </c>
      <c r="C40" s="13"/>
      <c r="D40" s="31">
        <f t="shared" si="0"/>
        <v>3684.812306430636</v>
      </c>
      <c r="E40" s="31">
        <f>IF(COUNTIF('0. Assumptions'!$J$4:$J$63,'NPV Analysis'!$B40),(VCB_Cost_RI/(1+Discount_Rate)^($B40-1))*VCB_Systems,0)</f>
        <v>0</v>
      </c>
      <c r="F40" s="31">
        <f>IF(COUNTIF('0. Assumptions'!$L$4:$L$63,'NPV Analysis'!$B40),(VCB_Cost_PI/(1+Discount_Rate)^($B40-1))*VCB_Systems,0)</f>
        <v>0</v>
      </c>
      <c r="G40" s="31">
        <f>IF($B40=VCB_Life,(VCB_Breaker/(1+Discount_Rate)^('NPV Analysis'!$B40-1))*VCB_Systems,0)</f>
        <v>0</v>
      </c>
      <c r="H40" s="32">
        <f t="shared" si="4"/>
        <v>3684.812306430636</v>
      </c>
      <c r="I40" s="30">
        <f>IF(GCB_Life&gt;='NPV Analysis'!$A40,'NPV Analysis'!$A40,"")</f>
        <v>38</v>
      </c>
      <c r="J40" s="13"/>
      <c r="K40" s="31">
        <f t="shared" si="12"/>
        <v>27478.647638000602</v>
      </c>
      <c r="L40" s="31">
        <f>IF(COUNTIF('0. Assumptions'!$K$4:$K$63,'NPV Analysis'!$I40),(GCB_Cost_RI/(1+Discount_Rate)^($I40-1))*GCB_Systems,0)</f>
        <v>0</v>
      </c>
      <c r="M40" s="31">
        <f>IF(COUNTIF('0. Assumptions'!$M$4:$M$63,'NPV Analysis'!$I40),(GCB_Cost_PI/(1+Discount_Rate)^($I40-1))*GCB_Systems,0)</f>
        <v>0</v>
      </c>
      <c r="N40" s="31">
        <f t="shared" si="13"/>
        <v>0</v>
      </c>
      <c r="O40" s="32">
        <f t="shared" si="6"/>
        <v>27478.647638000602</v>
      </c>
      <c r="P40" s="30">
        <f>IF(GCB_Life&gt;='NPV Analysis'!$A40,'NPV Analysis'!$A40,"")</f>
        <v>38</v>
      </c>
      <c r="Q40" s="13"/>
      <c r="R40" s="31">
        <f t="shared" si="14"/>
        <v>27478.647638000602</v>
      </c>
      <c r="S40" s="31">
        <f>IF(COUNTIF('0. Assumptions'!$K$4:$K$63,'NPV Analysis'!$I40),(GCB_Cost_RI/(1+Discount_Rate)^($I40-1))*GCB_Systems,0)</f>
        <v>0</v>
      </c>
      <c r="T40" s="31">
        <f>IF(COUNTIF('0. Assumptions'!$M$4:$M$63,'NPV Analysis'!$P40),(GCB_Cost_PI/(1+Discount_Rate)^($I40-1))*GCB_Systems,0)</f>
        <v>0</v>
      </c>
      <c r="U40" s="31">
        <f t="shared" si="15"/>
        <v>0</v>
      </c>
      <c r="V40" s="32">
        <f t="shared" si="7"/>
        <v>27478.647638000602</v>
      </c>
      <c r="Y40" s="23">
        <f t="shared" si="8"/>
        <v>38</v>
      </c>
      <c r="Z40" s="33">
        <f t="shared" si="9"/>
        <v>3663923.3452868974</v>
      </c>
      <c r="AA40" s="33">
        <f t="shared" si="10"/>
        <v>3724801.8505145675</v>
      </c>
      <c r="AB40" s="33">
        <f t="shared" si="11"/>
        <v>3724801.8505145675</v>
      </c>
    </row>
    <row r="41" spans="1:28" x14ac:dyDescent="0.3">
      <c r="A41" s="23">
        <v>39</v>
      </c>
      <c r="B41" s="30">
        <f>IF(VCB_Life&gt;='NPV Analysis'!$A41,'NPV Analysis'!$A41,"")</f>
        <v>39</v>
      </c>
      <c r="C41" s="13"/>
      <c r="D41" s="31">
        <f t="shared" si="0"/>
        <v>3577.4876761462483</v>
      </c>
      <c r="E41" s="31">
        <f>IF(COUNTIF('0. Assumptions'!$J$4:$J$63,'NPV Analysis'!$B41),(VCB_Cost_RI/(1+Discount_Rate)^($B41-1))*VCB_Systems,0)</f>
        <v>0</v>
      </c>
      <c r="F41" s="31">
        <f>IF(COUNTIF('0. Assumptions'!$L$4:$L$63,'NPV Analysis'!$B41),(VCB_Cost_PI/(1+Discount_Rate)^($B41-1))*VCB_Systems,0)</f>
        <v>0</v>
      </c>
      <c r="G41" s="31">
        <f>IF($B41=VCB_Life,(VCB_Breaker/(1+Discount_Rate)^('NPV Analysis'!$B41-1))*VCB_Systems,0)</f>
        <v>0</v>
      </c>
      <c r="H41" s="32">
        <f t="shared" si="4"/>
        <v>3577.4876761462483</v>
      </c>
      <c r="I41" s="30">
        <f>IF(GCB_Life&gt;='NPV Analysis'!$A41,'NPV Analysis'!$A41,"")</f>
        <v>39</v>
      </c>
      <c r="J41" s="13"/>
      <c r="K41" s="31">
        <f t="shared" si="12"/>
        <v>26678.298677670486</v>
      </c>
      <c r="L41" s="31">
        <f>IF(COUNTIF('0. Assumptions'!$K$4:$K$63,'NPV Analysis'!$I41),(GCB_Cost_RI/(1+Discount_Rate)^($I41-1))*GCB_Systems,0)</f>
        <v>0</v>
      </c>
      <c r="M41" s="31">
        <f>IF(COUNTIF('0. Assumptions'!$M$4:$M$63,'NPV Analysis'!$I41),(GCB_Cost_PI/(1+Discount_Rate)^($I41-1))*GCB_Systems,0)</f>
        <v>0</v>
      </c>
      <c r="N41" s="31">
        <f t="shared" si="13"/>
        <v>0</v>
      </c>
      <c r="O41" s="32">
        <f t="shared" si="6"/>
        <v>26678.298677670486</v>
      </c>
      <c r="P41" s="30">
        <f>IF(GCB_Life&gt;='NPV Analysis'!$A41,'NPV Analysis'!$A41,"")</f>
        <v>39</v>
      </c>
      <c r="Q41" s="13"/>
      <c r="R41" s="31">
        <f t="shared" si="14"/>
        <v>26678.298677670486</v>
      </c>
      <c r="S41" s="31">
        <f>IF(COUNTIF('0. Assumptions'!$K$4:$K$63,'NPV Analysis'!$I41),(GCB_Cost_RI/(1+Discount_Rate)^($I41-1))*GCB_Systems,0)</f>
        <v>0</v>
      </c>
      <c r="T41" s="31">
        <f>IF(COUNTIF('0. Assumptions'!$M$4:$M$63,'NPV Analysis'!$P41),(GCB_Cost_PI/(1+Discount_Rate)^($I41-1))*GCB_Systems,0)</f>
        <v>0</v>
      </c>
      <c r="U41" s="31">
        <f t="shared" si="15"/>
        <v>0</v>
      </c>
      <c r="V41" s="32">
        <f t="shared" si="7"/>
        <v>26678.298677670486</v>
      </c>
      <c r="Y41" s="23">
        <f t="shared" si="8"/>
        <v>39</v>
      </c>
      <c r="Z41" s="33">
        <f t="shared" si="9"/>
        <v>3667500.8329630438</v>
      </c>
      <c r="AA41" s="33">
        <f t="shared" si="10"/>
        <v>3751480.1491922378</v>
      </c>
      <c r="AB41" s="33">
        <f t="shared" si="11"/>
        <v>3751480.1491922378</v>
      </c>
    </row>
    <row r="42" spans="1:28" x14ac:dyDescent="0.3">
      <c r="A42" s="23">
        <v>40</v>
      </c>
      <c r="B42" s="30">
        <f>IF(VCB_Life&gt;='NPV Analysis'!$A42,'NPV Analysis'!$A42,"")</f>
        <v>40</v>
      </c>
      <c r="C42" s="13"/>
      <c r="D42" s="31">
        <f t="shared" si="0"/>
        <v>3473.2890059672309</v>
      </c>
      <c r="E42" s="31">
        <f>IF(COUNTIF('0. Assumptions'!$J$4:$J$63,'NPV Analysis'!$B42),(VCB_Cost_RI/(1+Discount_Rate)^($B42-1))*VCB_Systems,0)</f>
        <v>1578.767729985105</v>
      </c>
      <c r="F42" s="31">
        <f>IF(COUNTIF('0. Assumptions'!$L$4:$L$63,'NPV Analysis'!$B42),(VCB_Cost_PI/(1+Discount_Rate)^($B42-1))*VCB_Systems,0)</f>
        <v>0</v>
      </c>
      <c r="G42" s="31">
        <f>IF($B42=VCB_Life,(VCB_Breaker/(1+Discount_Rate)^('NPV Analysis'!$B42-1))*VCB_Systems,0)</f>
        <v>12630.14183988084</v>
      </c>
      <c r="H42" s="32">
        <f t="shared" si="4"/>
        <v>17682.198575833176</v>
      </c>
      <c r="I42" s="30">
        <f>IF(GCB_Life&gt;='NPV Analysis'!$A42,'NPV Analysis'!$A42,"")</f>
        <v>40</v>
      </c>
      <c r="J42" s="13"/>
      <c r="K42" s="31">
        <f t="shared" si="12"/>
        <v>25901.260852107265</v>
      </c>
      <c r="L42" s="31">
        <f>IF(COUNTIF('0. Assumptions'!$K$4:$K$63,'NPV Analysis'!$I42),(GCB_Cost_RI/(1+Discount_Rate)^($I42-1))*GCB_Systems,0)</f>
        <v>1578.767729985105</v>
      </c>
      <c r="M42" s="31">
        <f>IF(COUNTIF('0. Assumptions'!$M$4:$M$63,'NPV Analysis'!$I42),(GCB_Cost_PI/(1+Discount_Rate)^($I42-1))*GCB_Systems,0)</f>
        <v>14208.909569865946</v>
      </c>
      <c r="N42" s="31">
        <f t="shared" si="13"/>
        <v>12630.14183988084</v>
      </c>
      <c r="O42" s="32">
        <f t="shared" si="6"/>
        <v>54319.079991839157</v>
      </c>
      <c r="P42" s="30">
        <f>IF(GCB_Life&gt;='NPV Analysis'!$A42,'NPV Analysis'!$A42,"")</f>
        <v>40</v>
      </c>
      <c r="Q42" s="13"/>
      <c r="R42" s="31">
        <f t="shared" si="14"/>
        <v>25901.260852107265</v>
      </c>
      <c r="S42" s="31">
        <f>IF(COUNTIF('0. Assumptions'!$K$4:$K$63,'NPV Analysis'!$I42),(GCB_Cost_RI/(1+Discount_Rate)^($I42-1))*GCB_Systems,0)</f>
        <v>1578.767729985105</v>
      </c>
      <c r="T42" s="31">
        <f>IF(COUNTIF('0. Assumptions'!$M$4:$M$63,'NPV Analysis'!$P42),(GCB_Cost_PI/(1+Discount_Rate)^($I42-1))*GCB_Systems,0)</f>
        <v>14208.909569865946</v>
      </c>
      <c r="U42" s="31">
        <f t="shared" si="15"/>
        <v>25260.28367976168</v>
      </c>
      <c r="V42" s="32">
        <f t="shared" si="7"/>
        <v>66949.221831720002</v>
      </c>
      <c r="Y42" s="23">
        <f t="shared" si="8"/>
        <v>40</v>
      </c>
      <c r="Z42" s="33">
        <f t="shared" si="9"/>
        <v>3685183.0315388772</v>
      </c>
      <c r="AA42" s="33">
        <f t="shared" si="10"/>
        <v>3805799.2291840771</v>
      </c>
      <c r="AB42" s="33">
        <f t="shared" si="11"/>
        <v>3818429.3710239576</v>
      </c>
    </row>
    <row r="43" spans="1:28" x14ac:dyDescent="0.3">
      <c r="A43" s="23">
        <v>41</v>
      </c>
      <c r="B43" s="30" t="str">
        <f>IF(VCB_Life&gt;='NPV Analysis'!$A43,'NPV Analysis'!$A43,"")</f>
        <v/>
      </c>
      <c r="C43" s="13"/>
      <c r="D43" s="31">
        <f t="shared" si="0"/>
        <v>0</v>
      </c>
      <c r="E43" s="31">
        <f>IF(COUNTIF('0. Assumptions'!$J$4:$J$63,'NPV Analysis'!$B43),(VCB_Cost_RI/(1+Discount_Rate)^($B43-1))*VCB_Systems,0)</f>
        <v>0</v>
      </c>
      <c r="F43" s="31">
        <f>IF(COUNTIF('0. Assumptions'!$L$4:$L$63,'NPV Analysis'!$B43),(VCB_Cost_PI/(1+Discount_Rate)^($B43-1))*VCB_Systems,0)</f>
        <v>0</v>
      </c>
      <c r="G43" s="31">
        <f>IF($B43=VCB_Life,(VCB_Breaker/(1+Discount_Rate)^('NPV Analysis'!$B43-1))*VCB_Systems,0)</f>
        <v>0</v>
      </c>
      <c r="H43" s="32">
        <f t="shared" si="4"/>
        <v>0</v>
      </c>
      <c r="I43" s="30" t="str">
        <f>IF(GCB_Life&gt;='NPV Analysis'!$A43,'NPV Analysis'!$A43,"")</f>
        <v/>
      </c>
      <c r="J43" s="13"/>
      <c r="K43" s="31">
        <f t="shared" si="12"/>
        <v>0</v>
      </c>
      <c r="L43" s="31">
        <f>IF(COUNTIF('0. Assumptions'!$K$4:$K$63,'NPV Analysis'!$I43),(GCB_Cost_RI/(1+Discount_Rate)^($I43-1))*GCB_Systems,0)</f>
        <v>0</v>
      </c>
      <c r="M43" s="31">
        <f>IF(COUNTIF('0. Assumptions'!$M$4:$M$63,'NPV Analysis'!$I43),(GCB_Cost_PI/(1+Discount_Rate)^($I43-1))*GCB_Systems,0)</f>
        <v>0</v>
      </c>
      <c r="N43" s="31">
        <f t="shared" si="13"/>
        <v>0</v>
      </c>
      <c r="O43" s="32">
        <f t="shared" si="6"/>
        <v>0</v>
      </c>
      <c r="P43" s="30" t="str">
        <f>IF(GCB_Life&gt;='NPV Analysis'!$A43,'NPV Analysis'!$A43,"")</f>
        <v/>
      </c>
      <c r="Q43" s="13"/>
      <c r="R43" s="31">
        <f t="shared" si="14"/>
        <v>0</v>
      </c>
      <c r="S43" s="31">
        <f>IF(COUNTIF('0. Assumptions'!$K$4:$K$63,'NPV Analysis'!$I43),(GCB_Cost_RI/(1+Discount_Rate)^($I43-1))*GCB_Systems,0)</f>
        <v>0</v>
      </c>
      <c r="T43" s="31">
        <f>IF(COUNTIF('0. Assumptions'!$M$4:$M$63,'NPV Analysis'!$P43),(GCB_Cost_PI/(1+Discount_Rate)^($I43-1))*GCB_Systems,0)</f>
        <v>0</v>
      </c>
      <c r="U43" s="31">
        <f t="shared" si="15"/>
        <v>0</v>
      </c>
      <c r="V43" s="32">
        <f t="shared" si="7"/>
        <v>0</v>
      </c>
      <c r="Y43" s="23" t="str">
        <f t="shared" si="8"/>
        <v/>
      </c>
      <c r="Z43" s="33" t="e">
        <f t="shared" si="9"/>
        <v>#N/A</v>
      </c>
      <c r="AA43" s="33" t="e">
        <f t="shared" si="10"/>
        <v>#N/A</v>
      </c>
      <c r="AB43" s="33" t="e">
        <f t="shared" si="11"/>
        <v>#N/A</v>
      </c>
    </row>
    <row r="44" spans="1:28" x14ac:dyDescent="0.3">
      <c r="A44" s="23">
        <v>42</v>
      </c>
      <c r="B44" s="30" t="str">
        <f>IF(VCB_Life&gt;='NPV Analysis'!$A44,'NPV Analysis'!$A44,"")</f>
        <v/>
      </c>
      <c r="C44" s="13"/>
      <c r="D44" s="31">
        <f t="shared" ref="D44:D52" si="16">IF($B44&gt;VCB_Life,0,(VCB_Annual/(1+Discount_Rate)^($B44-1))*VCB_Systems)</f>
        <v>0</v>
      </c>
      <c r="E44" s="31">
        <f>IF(COUNTIF('0. Assumptions'!$J$4:$J$63,'NPV Analysis'!$B44),(VCB_Cost_RI/(1+Discount_Rate)^($B44-1))*VCB_Systems,0)</f>
        <v>0</v>
      </c>
      <c r="F44" s="31">
        <f>IF(COUNTIF('0. Assumptions'!$L$4:$L$63,'NPV Analysis'!$B44),(VCB_Cost_PI/(1+Discount_Rate)^($B44-1))*VCB_Systems,0)</f>
        <v>0</v>
      </c>
      <c r="G44" s="31">
        <f>IF($B44=VCB_Life,(VCB_Breaker/(1+Discount_Rate)^('NPV Analysis'!$B44-1))*VCB_Systems,0)</f>
        <v>0</v>
      </c>
      <c r="H44" s="32">
        <f t="shared" si="4"/>
        <v>0</v>
      </c>
      <c r="I44" s="30" t="str">
        <f>IF(GCB_Life&gt;='NPV Analysis'!$A44,'NPV Analysis'!$A44,"")</f>
        <v/>
      </c>
      <c r="J44" s="13"/>
      <c r="K44" s="31">
        <f t="shared" si="12"/>
        <v>0</v>
      </c>
      <c r="L44" s="31">
        <f>IF(COUNTIF('0. Assumptions'!$K$4:$K$63,'NPV Analysis'!$I44),(GCB_Cost_RI/(1+Discount_Rate)^($I44-1))*GCB_Systems,0)</f>
        <v>0</v>
      </c>
      <c r="M44" s="31">
        <f>IF(COUNTIF('0. Assumptions'!$M$4:$M$63,'NPV Analysis'!$I44),(GCB_Cost_PI/(1+Discount_Rate)^($I44-1))*GCB_Systems,0)</f>
        <v>0</v>
      </c>
      <c r="N44" s="31">
        <f t="shared" si="13"/>
        <v>0</v>
      </c>
      <c r="O44" s="32">
        <f t="shared" si="6"/>
        <v>0</v>
      </c>
      <c r="P44" s="30" t="str">
        <f>IF(GCB_Life&gt;='NPV Analysis'!$A44,'NPV Analysis'!$A44,"")</f>
        <v/>
      </c>
      <c r="Q44" s="13"/>
      <c r="R44" s="31">
        <f t="shared" si="14"/>
        <v>0</v>
      </c>
      <c r="S44" s="31">
        <f>IF(COUNTIF('0. Assumptions'!$K$4:$K$63,'NPV Analysis'!$I44),(GCB_Cost_RI/(1+Discount_Rate)^($I44-1))*GCB_Systems,0)</f>
        <v>0</v>
      </c>
      <c r="T44" s="31">
        <f>IF(COUNTIF('0. Assumptions'!$M$4:$M$63,'NPV Analysis'!$P44),(GCB_Cost_PI/(1+Discount_Rate)^($I44-1))*GCB_Systems,0)</f>
        <v>0</v>
      </c>
      <c r="U44" s="31">
        <f t="shared" si="15"/>
        <v>0</v>
      </c>
      <c r="V44" s="32">
        <f t="shared" si="7"/>
        <v>0</v>
      </c>
      <c r="Y44" s="23" t="str">
        <f t="shared" si="8"/>
        <v/>
      </c>
      <c r="Z44" s="33" t="e">
        <f t="shared" si="9"/>
        <v>#N/A</v>
      </c>
      <c r="AA44" s="33" t="e">
        <f t="shared" si="10"/>
        <v>#N/A</v>
      </c>
      <c r="AB44" s="33" t="e">
        <f t="shared" si="11"/>
        <v>#N/A</v>
      </c>
    </row>
    <row r="45" spans="1:28" x14ac:dyDescent="0.3">
      <c r="A45" s="23">
        <v>43</v>
      </c>
      <c r="B45" s="30" t="str">
        <f>IF(VCB_Life&gt;='NPV Analysis'!$A45,'NPV Analysis'!$A45,"")</f>
        <v/>
      </c>
      <c r="C45" s="13"/>
      <c r="D45" s="31">
        <f t="shared" si="16"/>
        <v>0</v>
      </c>
      <c r="E45" s="31">
        <f>IF(COUNTIF('0. Assumptions'!$J$4:$J$63,'NPV Analysis'!$B45),(VCB_Cost_RI/(1+Discount_Rate)^($B45-1))*VCB_Systems,0)</f>
        <v>0</v>
      </c>
      <c r="F45" s="31">
        <f>IF(COUNTIF('0. Assumptions'!$L$4:$L$63,'NPV Analysis'!$B45),(VCB_Cost_PI/(1+Discount_Rate)^($B45-1))*VCB_Systems,0)</f>
        <v>0</v>
      </c>
      <c r="G45" s="31">
        <f>IF($B45=VCB_Life,(VCB_Breaker/(1+Discount_Rate)^('NPV Analysis'!$B45-1))*VCB_Systems,0)</f>
        <v>0</v>
      </c>
      <c r="H45" s="32">
        <f t="shared" si="4"/>
        <v>0</v>
      </c>
      <c r="I45" s="30" t="str">
        <f>IF(GCB_Life&gt;='NPV Analysis'!$A45,'NPV Analysis'!$A45,"")</f>
        <v/>
      </c>
      <c r="J45" s="13"/>
      <c r="K45" s="31">
        <f t="shared" si="12"/>
        <v>0</v>
      </c>
      <c r="L45" s="31">
        <f>IF(COUNTIF('0. Assumptions'!$K$4:$K$63,'NPV Analysis'!$I45),(GCB_Cost_RI/(1+Discount_Rate)^($I45-1))*GCB_Systems,0)</f>
        <v>0</v>
      </c>
      <c r="M45" s="31">
        <f>IF(COUNTIF('0. Assumptions'!$M$4:$M$63,'NPV Analysis'!$I45),(GCB_Cost_PI/(1+Discount_Rate)^($I45-1))*GCB_Systems,0)</f>
        <v>0</v>
      </c>
      <c r="N45" s="31">
        <f t="shared" si="13"/>
        <v>0</v>
      </c>
      <c r="O45" s="32">
        <f t="shared" si="6"/>
        <v>0</v>
      </c>
      <c r="P45" s="30" t="str">
        <f>IF(GCB_Life&gt;='NPV Analysis'!$A45,'NPV Analysis'!$A45,"")</f>
        <v/>
      </c>
      <c r="Q45" s="13"/>
      <c r="R45" s="31">
        <f t="shared" si="14"/>
        <v>0</v>
      </c>
      <c r="S45" s="31">
        <f>IF(COUNTIF('0. Assumptions'!$K$4:$K$63,'NPV Analysis'!$I45),(GCB_Cost_RI/(1+Discount_Rate)^($I45-1))*GCB_Systems,0)</f>
        <v>0</v>
      </c>
      <c r="T45" s="31">
        <f>IF(COUNTIF('0. Assumptions'!$M$4:$M$63,'NPV Analysis'!$P45),(GCB_Cost_PI/(1+Discount_Rate)^($I45-1))*GCB_Systems,0)</f>
        <v>0</v>
      </c>
      <c r="U45" s="31">
        <f t="shared" si="15"/>
        <v>0</v>
      </c>
      <c r="V45" s="32">
        <f t="shared" si="7"/>
        <v>0</v>
      </c>
      <c r="Y45" s="23" t="str">
        <f t="shared" si="8"/>
        <v/>
      </c>
      <c r="Z45" s="33" t="e">
        <f t="shared" si="9"/>
        <v>#N/A</v>
      </c>
      <c r="AA45" s="33" t="e">
        <f t="shared" si="10"/>
        <v>#N/A</v>
      </c>
      <c r="AB45" s="33" t="e">
        <f t="shared" si="11"/>
        <v>#N/A</v>
      </c>
    </row>
    <row r="46" spans="1:28" x14ac:dyDescent="0.3">
      <c r="A46" s="23">
        <v>44</v>
      </c>
      <c r="B46" s="30" t="str">
        <f>IF(VCB_Life&gt;='NPV Analysis'!$A46,'NPV Analysis'!$A46,"")</f>
        <v/>
      </c>
      <c r="C46" s="13"/>
      <c r="D46" s="31">
        <f t="shared" si="16"/>
        <v>0</v>
      </c>
      <c r="E46" s="31">
        <f>IF(COUNTIF('0. Assumptions'!$J$4:$J$63,'NPV Analysis'!$B46),(VCB_Cost_RI/(1+Discount_Rate)^($B46-1))*VCB_Systems,0)</f>
        <v>0</v>
      </c>
      <c r="F46" s="31">
        <f>IF(COUNTIF('0. Assumptions'!$L$4:$L$63,'NPV Analysis'!$B46),(VCB_Cost_PI/(1+Discount_Rate)^($B46-1))*VCB_Systems,0)</f>
        <v>0</v>
      </c>
      <c r="G46" s="31">
        <f>IF($B46=VCB_Life,(VCB_Breaker/(1+Discount_Rate)^('NPV Analysis'!$B46-1))*VCB_Systems,0)</f>
        <v>0</v>
      </c>
      <c r="H46" s="32">
        <f t="shared" si="4"/>
        <v>0</v>
      </c>
      <c r="I46" s="30" t="str">
        <f>IF(GCB_Life&gt;='NPV Analysis'!$A46,'NPV Analysis'!$A46,"")</f>
        <v/>
      </c>
      <c r="J46" s="13"/>
      <c r="K46" s="31">
        <f t="shared" si="12"/>
        <v>0</v>
      </c>
      <c r="L46" s="31">
        <f>IF(COUNTIF('0. Assumptions'!$K$4:$K$63,'NPV Analysis'!$I46),(GCB_Cost_RI/(1+Discount_Rate)^($I46-1))*GCB_Systems,0)</f>
        <v>0</v>
      </c>
      <c r="M46" s="31">
        <f>IF(COUNTIF('0. Assumptions'!$M$4:$M$63,'NPV Analysis'!$I46),(GCB_Cost_PI/(1+Discount_Rate)^($I46-1))*GCB_Systems,0)</f>
        <v>0</v>
      </c>
      <c r="N46" s="31">
        <f t="shared" si="13"/>
        <v>0</v>
      </c>
      <c r="O46" s="32">
        <f t="shared" si="6"/>
        <v>0</v>
      </c>
      <c r="P46" s="30" t="str">
        <f>IF(GCB_Life&gt;='NPV Analysis'!$A46,'NPV Analysis'!$A46,"")</f>
        <v/>
      </c>
      <c r="Q46" s="13"/>
      <c r="R46" s="31">
        <f t="shared" si="14"/>
        <v>0</v>
      </c>
      <c r="S46" s="31">
        <f>IF(COUNTIF('0. Assumptions'!$K$4:$K$63,'NPV Analysis'!$I46),(GCB_Cost_RI/(1+Discount_Rate)^($I46-1))*GCB_Systems,0)</f>
        <v>0</v>
      </c>
      <c r="T46" s="31">
        <f>IF(COUNTIF('0. Assumptions'!$M$4:$M$63,'NPV Analysis'!$P46),(GCB_Cost_PI/(1+Discount_Rate)^($I46-1))*GCB_Systems,0)</f>
        <v>0</v>
      </c>
      <c r="U46" s="31">
        <f t="shared" si="15"/>
        <v>0</v>
      </c>
      <c r="V46" s="32">
        <f t="shared" si="7"/>
        <v>0</v>
      </c>
      <c r="Y46" s="23" t="str">
        <f t="shared" si="8"/>
        <v/>
      </c>
      <c r="Z46" s="33" t="e">
        <f t="shared" si="9"/>
        <v>#N/A</v>
      </c>
      <c r="AA46" s="33" t="e">
        <f t="shared" si="10"/>
        <v>#N/A</v>
      </c>
      <c r="AB46" s="33" t="e">
        <f t="shared" si="11"/>
        <v>#N/A</v>
      </c>
    </row>
    <row r="47" spans="1:28" x14ac:dyDescent="0.3">
      <c r="A47" s="23">
        <v>45</v>
      </c>
      <c r="B47" s="30" t="str">
        <f>IF(VCB_Life&gt;='NPV Analysis'!$A47,'NPV Analysis'!$A47,"")</f>
        <v/>
      </c>
      <c r="C47" s="13"/>
      <c r="D47" s="31">
        <f t="shared" si="16"/>
        <v>0</v>
      </c>
      <c r="E47" s="31">
        <f>IF(COUNTIF('0. Assumptions'!$J$4:$J$63,'NPV Analysis'!$B47),(VCB_Cost_RI/(1+Discount_Rate)^($B47-1))*VCB_Systems,0)</f>
        <v>0</v>
      </c>
      <c r="F47" s="31">
        <f>IF(COUNTIF('0. Assumptions'!$L$4:$L$63,'NPV Analysis'!$B47),(VCB_Cost_PI/(1+Discount_Rate)^($B47-1))*VCB_Systems,0)</f>
        <v>0</v>
      </c>
      <c r="G47" s="31">
        <f>IF($B47=VCB_Life,(VCB_Breaker/(1+Discount_Rate)^('NPV Analysis'!$B47-1))*VCB_Systems,0)</f>
        <v>0</v>
      </c>
      <c r="H47" s="32">
        <f t="shared" si="4"/>
        <v>0</v>
      </c>
      <c r="I47" s="30" t="str">
        <f>IF(GCB_Life&gt;='NPV Analysis'!$A47,'NPV Analysis'!$A47,"")</f>
        <v/>
      </c>
      <c r="J47" s="13"/>
      <c r="K47" s="31">
        <f t="shared" si="12"/>
        <v>0</v>
      </c>
      <c r="L47" s="31">
        <f>IF(COUNTIF('0. Assumptions'!$K$4:$K$63,'NPV Analysis'!$I47),(GCB_Cost_RI/(1+Discount_Rate)^($I47-1))*GCB_Systems,0)</f>
        <v>0</v>
      </c>
      <c r="M47" s="31">
        <f>IF(COUNTIF('0. Assumptions'!$M$4:$M$63,'NPV Analysis'!$I47),(GCB_Cost_PI/(1+Discount_Rate)^($I47-1))*GCB_Systems,0)</f>
        <v>0</v>
      </c>
      <c r="N47" s="31">
        <f t="shared" si="13"/>
        <v>0</v>
      </c>
      <c r="O47" s="32">
        <f t="shared" si="6"/>
        <v>0</v>
      </c>
      <c r="P47" s="30" t="str">
        <f>IF(GCB_Life&gt;='NPV Analysis'!$A47,'NPV Analysis'!$A47,"")</f>
        <v/>
      </c>
      <c r="Q47" s="13"/>
      <c r="R47" s="31">
        <f t="shared" si="14"/>
        <v>0</v>
      </c>
      <c r="S47" s="31">
        <f>IF(COUNTIF('0. Assumptions'!$K$4:$K$63,'NPV Analysis'!$I47),(GCB_Cost_RI/(1+Discount_Rate)^($I47-1))*GCB_Systems,0)</f>
        <v>0</v>
      </c>
      <c r="T47" s="31">
        <f>IF(COUNTIF('0. Assumptions'!$M$4:$M$63,'NPV Analysis'!$P47),(GCB_Cost_PI/(1+Discount_Rate)^($I47-1))*GCB_Systems,0)</f>
        <v>0</v>
      </c>
      <c r="U47" s="31">
        <f t="shared" si="15"/>
        <v>0</v>
      </c>
      <c r="V47" s="32">
        <f t="shared" si="7"/>
        <v>0</v>
      </c>
      <c r="Y47" s="23" t="str">
        <f t="shared" si="8"/>
        <v/>
      </c>
      <c r="Z47" s="33" t="e">
        <f t="shared" si="9"/>
        <v>#N/A</v>
      </c>
      <c r="AA47" s="33" t="e">
        <f t="shared" si="10"/>
        <v>#N/A</v>
      </c>
      <c r="AB47" s="33" t="e">
        <f t="shared" si="11"/>
        <v>#N/A</v>
      </c>
    </row>
    <row r="48" spans="1:28" x14ac:dyDescent="0.3">
      <c r="A48" s="23">
        <v>46</v>
      </c>
      <c r="B48" s="30" t="str">
        <f>IF(VCB_Life&gt;='NPV Analysis'!$A48,'NPV Analysis'!$A48,"")</f>
        <v/>
      </c>
      <c r="C48" s="13"/>
      <c r="D48" s="31">
        <f t="shared" si="16"/>
        <v>0</v>
      </c>
      <c r="E48" s="31">
        <f>IF(COUNTIF('0. Assumptions'!$J$4:$J$63,'NPV Analysis'!$B48),(VCB_Cost_RI/(1+Discount_Rate)^($B48-1))*VCB_Systems,0)</f>
        <v>0</v>
      </c>
      <c r="F48" s="31">
        <f>IF(COUNTIF('0. Assumptions'!$L$4:$L$63,'NPV Analysis'!$B48),(VCB_Cost_PI/(1+Discount_Rate)^($B48-1))*VCB_Systems,0)</f>
        <v>0</v>
      </c>
      <c r="G48" s="31">
        <f>IF($B48=VCB_Life,(VCB_Breaker/(1+Discount_Rate)^('NPV Analysis'!$B48-1))*VCB_Systems,0)</f>
        <v>0</v>
      </c>
      <c r="H48" s="32">
        <f t="shared" si="4"/>
        <v>0</v>
      </c>
      <c r="I48" s="30" t="str">
        <f>IF(GCB_Life&gt;='NPV Analysis'!$A48,'NPV Analysis'!$A48,"")</f>
        <v/>
      </c>
      <c r="J48" s="13"/>
      <c r="K48" s="31">
        <f t="shared" si="12"/>
        <v>0</v>
      </c>
      <c r="L48" s="31">
        <f>IF(COUNTIF('0. Assumptions'!$K$4:$K$63,'NPV Analysis'!$I48),(GCB_Cost_RI/(1+Discount_Rate)^($I48-1))*GCB_Systems,0)</f>
        <v>0</v>
      </c>
      <c r="M48" s="31">
        <f>IF(COUNTIF('0. Assumptions'!$M$4:$M$63,'NPV Analysis'!$I48),(GCB_Cost_PI/(1+Discount_Rate)^($I48-1))*GCB_Systems,0)</f>
        <v>0</v>
      </c>
      <c r="N48" s="31">
        <f t="shared" si="13"/>
        <v>0</v>
      </c>
      <c r="O48" s="32">
        <f t="shared" si="6"/>
        <v>0</v>
      </c>
      <c r="P48" s="30" t="str">
        <f>IF(GCB_Life&gt;='NPV Analysis'!$A48,'NPV Analysis'!$A48,"")</f>
        <v/>
      </c>
      <c r="Q48" s="13"/>
      <c r="R48" s="31">
        <f t="shared" si="14"/>
        <v>0</v>
      </c>
      <c r="S48" s="31">
        <f>IF(COUNTIF('0. Assumptions'!$K$4:$K$63,'NPV Analysis'!$I48),(GCB_Cost_RI/(1+Discount_Rate)^($I48-1))*GCB_Systems,0)</f>
        <v>0</v>
      </c>
      <c r="T48" s="31">
        <f>IF(COUNTIF('0. Assumptions'!$M$4:$M$63,'NPV Analysis'!$P48),(GCB_Cost_PI/(1+Discount_Rate)^($I48-1))*GCB_Systems,0)</f>
        <v>0</v>
      </c>
      <c r="U48" s="31">
        <f t="shared" si="15"/>
        <v>0</v>
      </c>
      <c r="V48" s="32">
        <f t="shared" si="7"/>
        <v>0</v>
      </c>
      <c r="Y48" s="23" t="str">
        <f t="shared" si="8"/>
        <v/>
      </c>
      <c r="Z48" s="33" t="e">
        <f t="shared" si="9"/>
        <v>#N/A</v>
      </c>
      <c r="AA48" s="33" t="e">
        <f t="shared" si="10"/>
        <v>#N/A</v>
      </c>
      <c r="AB48" s="33" t="e">
        <f t="shared" si="11"/>
        <v>#N/A</v>
      </c>
    </row>
    <row r="49" spans="1:28" x14ac:dyDescent="0.3">
      <c r="A49" s="23">
        <v>47</v>
      </c>
      <c r="B49" s="30" t="str">
        <f>IF(VCB_Life&gt;='NPV Analysis'!$A49,'NPV Analysis'!$A49,"")</f>
        <v/>
      </c>
      <c r="C49" s="13"/>
      <c r="D49" s="31">
        <f t="shared" si="16"/>
        <v>0</v>
      </c>
      <c r="E49" s="31">
        <f>IF(COUNTIF('0. Assumptions'!$J$4:$J$63,'NPV Analysis'!$B49),(VCB_Cost_RI/(1+Discount_Rate)^($B49-1))*VCB_Systems,0)</f>
        <v>0</v>
      </c>
      <c r="F49" s="31">
        <f>IF(COUNTIF('0. Assumptions'!$L$4:$L$63,'NPV Analysis'!$B49),(VCB_Cost_PI/(1+Discount_Rate)^($B49-1))*VCB_Systems,0)</f>
        <v>0</v>
      </c>
      <c r="G49" s="31">
        <f>IF($B49=VCB_Life,(VCB_Breaker/(1+Discount_Rate)^('NPV Analysis'!$B49-1))*VCB_Systems,0)</f>
        <v>0</v>
      </c>
      <c r="H49" s="32">
        <f t="shared" si="4"/>
        <v>0</v>
      </c>
      <c r="I49" s="30" t="str">
        <f>IF(GCB_Life&gt;='NPV Analysis'!$A49,'NPV Analysis'!$A49,"")</f>
        <v/>
      </c>
      <c r="J49" s="13"/>
      <c r="K49" s="31">
        <f t="shared" si="12"/>
        <v>0</v>
      </c>
      <c r="L49" s="31">
        <f>IF(COUNTIF('0. Assumptions'!$K$4:$K$63,'NPV Analysis'!$I49),(GCB_Cost_RI/(1+Discount_Rate)^($I49-1))*GCB_Systems,0)</f>
        <v>0</v>
      </c>
      <c r="M49" s="31">
        <f>IF(COUNTIF('0. Assumptions'!$M$4:$M$63,'NPV Analysis'!$I49),(GCB_Cost_PI/(1+Discount_Rate)^($I49-1))*GCB_Systems,0)</f>
        <v>0</v>
      </c>
      <c r="N49" s="31">
        <f t="shared" si="13"/>
        <v>0</v>
      </c>
      <c r="O49" s="32">
        <f t="shared" si="6"/>
        <v>0</v>
      </c>
      <c r="P49" s="30" t="str">
        <f>IF(GCB_Life&gt;='NPV Analysis'!$A49,'NPV Analysis'!$A49,"")</f>
        <v/>
      </c>
      <c r="Q49" s="13"/>
      <c r="R49" s="31">
        <f t="shared" si="14"/>
        <v>0</v>
      </c>
      <c r="S49" s="31">
        <f>IF(COUNTIF('0. Assumptions'!$K$4:$K$63,'NPV Analysis'!$I49),(GCB_Cost_RI/(1+Discount_Rate)^($I49-1))*GCB_Systems,0)</f>
        <v>0</v>
      </c>
      <c r="T49" s="31">
        <f>IF(COUNTIF('0. Assumptions'!$M$4:$M$63,'NPV Analysis'!$P49),(GCB_Cost_PI/(1+Discount_Rate)^($I49-1))*GCB_Systems,0)</f>
        <v>0</v>
      </c>
      <c r="U49" s="31">
        <f t="shared" si="15"/>
        <v>0</v>
      </c>
      <c r="V49" s="32">
        <f t="shared" si="7"/>
        <v>0</v>
      </c>
      <c r="Y49" s="23" t="str">
        <f t="shared" si="8"/>
        <v/>
      </c>
      <c r="Z49" s="33" t="e">
        <f t="shared" si="9"/>
        <v>#N/A</v>
      </c>
      <c r="AA49" s="33" t="e">
        <f t="shared" si="10"/>
        <v>#N/A</v>
      </c>
      <c r="AB49" s="33" t="e">
        <f t="shared" si="11"/>
        <v>#N/A</v>
      </c>
    </row>
    <row r="50" spans="1:28" x14ac:dyDescent="0.3">
      <c r="A50" s="23">
        <v>48</v>
      </c>
      <c r="B50" s="30" t="str">
        <f>IF(VCB_Life&gt;='NPV Analysis'!$A50,'NPV Analysis'!$A50,"")</f>
        <v/>
      </c>
      <c r="C50" s="13"/>
      <c r="D50" s="31">
        <f t="shared" si="16"/>
        <v>0</v>
      </c>
      <c r="E50" s="31">
        <f>IF(COUNTIF('0. Assumptions'!$J$4:$J$63,'NPV Analysis'!$B50),(VCB_Cost_RI/(1+Discount_Rate)^($B50-1))*VCB_Systems,0)</f>
        <v>0</v>
      </c>
      <c r="F50" s="31">
        <f>IF(COUNTIF('0. Assumptions'!$L$4:$L$63,'NPV Analysis'!$B50),(VCB_Cost_PI/(1+Discount_Rate)^($B50-1))*VCB_Systems,0)</f>
        <v>0</v>
      </c>
      <c r="G50" s="31">
        <f>IF($B50=VCB_Life,(VCB_Breaker/(1+Discount_Rate)^('NPV Analysis'!$B50-1))*VCB_Systems,0)</f>
        <v>0</v>
      </c>
      <c r="H50" s="32">
        <f t="shared" si="4"/>
        <v>0</v>
      </c>
      <c r="I50" s="30" t="str">
        <f>IF(GCB_Life&gt;='NPV Analysis'!$A50,'NPV Analysis'!$A50,"")</f>
        <v/>
      </c>
      <c r="J50" s="13"/>
      <c r="K50" s="31">
        <f t="shared" si="12"/>
        <v>0</v>
      </c>
      <c r="L50" s="31">
        <f>IF(COUNTIF('0. Assumptions'!$K$4:$K$63,'NPV Analysis'!$I50),(GCB_Cost_RI/(1+Discount_Rate)^($I50-1))*GCB_Systems,0)</f>
        <v>0</v>
      </c>
      <c r="M50" s="31">
        <f>IF(COUNTIF('0. Assumptions'!$M$4:$M$63,'NPV Analysis'!$I50),(GCB_Cost_PI/(1+Discount_Rate)^($I50-1))*GCB_Systems,0)</f>
        <v>0</v>
      </c>
      <c r="N50" s="31">
        <f t="shared" si="13"/>
        <v>0</v>
      </c>
      <c r="O50" s="32">
        <f t="shared" si="6"/>
        <v>0</v>
      </c>
      <c r="P50" s="30" t="str">
        <f>IF(GCB_Life&gt;='NPV Analysis'!$A50,'NPV Analysis'!$A50,"")</f>
        <v/>
      </c>
      <c r="Q50" s="13"/>
      <c r="R50" s="31">
        <f t="shared" si="14"/>
        <v>0</v>
      </c>
      <c r="S50" s="31">
        <f>IF(COUNTIF('0. Assumptions'!$K$4:$K$63,'NPV Analysis'!$I50),(GCB_Cost_RI/(1+Discount_Rate)^($I50-1))*GCB_Systems,0)</f>
        <v>0</v>
      </c>
      <c r="T50" s="31">
        <f>IF(COUNTIF('0. Assumptions'!$M$4:$M$63,'NPV Analysis'!$P50),(GCB_Cost_PI/(1+Discount_Rate)^($I50-1))*GCB_Systems,0)</f>
        <v>0</v>
      </c>
      <c r="U50" s="31">
        <f t="shared" si="15"/>
        <v>0</v>
      </c>
      <c r="V50" s="32">
        <f t="shared" si="7"/>
        <v>0</v>
      </c>
      <c r="Y50" s="23" t="str">
        <f t="shared" si="8"/>
        <v/>
      </c>
      <c r="Z50" s="33" t="e">
        <f t="shared" si="9"/>
        <v>#N/A</v>
      </c>
      <c r="AA50" s="33" t="e">
        <f t="shared" si="10"/>
        <v>#N/A</v>
      </c>
      <c r="AB50" s="33" t="e">
        <f t="shared" si="11"/>
        <v>#N/A</v>
      </c>
    </row>
    <row r="51" spans="1:28" x14ac:dyDescent="0.3">
      <c r="A51" s="23">
        <v>49</v>
      </c>
      <c r="B51" s="30" t="str">
        <f>IF(VCB_Life&gt;='NPV Analysis'!$A51,'NPV Analysis'!$A51,"")</f>
        <v/>
      </c>
      <c r="C51" s="13"/>
      <c r="D51" s="31">
        <f t="shared" si="16"/>
        <v>0</v>
      </c>
      <c r="E51" s="31">
        <f>IF(COUNTIF('0. Assumptions'!$J$4:$J$63,'NPV Analysis'!$B51),(VCB_Cost_RI/(1+Discount_Rate)^($B51-1))*VCB_Systems,0)</f>
        <v>0</v>
      </c>
      <c r="F51" s="31">
        <f>IF(COUNTIF('0. Assumptions'!$L$4:$L$63,'NPV Analysis'!$B51),(VCB_Cost_PI/(1+Discount_Rate)^($B51-1))*VCB_Systems,0)</f>
        <v>0</v>
      </c>
      <c r="G51" s="31">
        <f>IF($B51=VCB_Life,(VCB_Breaker/(1+Discount_Rate)^('NPV Analysis'!$B51-1))*VCB_Systems,0)</f>
        <v>0</v>
      </c>
      <c r="H51" s="32">
        <f t="shared" si="4"/>
        <v>0</v>
      </c>
      <c r="I51" s="30" t="str">
        <f>IF(GCB_Life&gt;='NPV Analysis'!$A51,'NPV Analysis'!$A51,"")</f>
        <v/>
      </c>
      <c r="J51" s="13"/>
      <c r="K51" s="31">
        <f t="shared" si="12"/>
        <v>0</v>
      </c>
      <c r="L51" s="31">
        <f>IF(COUNTIF('0. Assumptions'!$K$4:$K$63,'NPV Analysis'!$I51),(GCB_Cost_RI/(1+Discount_Rate)^($I51-1))*GCB_Systems,0)</f>
        <v>0</v>
      </c>
      <c r="M51" s="31">
        <f>IF(COUNTIF('0. Assumptions'!$M$4:$M$63,'NPV Analysis'!$I51),(GCB_Cost_PI/(1+Discount_Rate)^($I51-1))*GCB_Systems,0)</f>
        <v>0</v>
      </c>
      <c r="N51" s="31">
        <f t="shared" si="13"/>
        <v>0</v>
      </c>
      <c r="O51" s="32">
        <f t="shared" si="6"/>
        <v>0</v>
      </c>
      <c r="P51" s="30" t="str">
        <f>IF(GCB_Life&gt;='NPV Analysis'!$A51,'NPV Analysis'!$A51,"")</f>
        <v/>
      </c>
      <c r="Q51" s="13"/>
      <c r="R51" s="31">
        <f t="shared" si="14"/>
        <v>0</v>
      </c>
      <c r="S51" s="31">
        <f>IF(COUNTIF('0. Assumptions'!$K$4:$K$63,'NPV Analysis'!$I51),(GCB_Cost_RI/(1+Discount_Rate)^($I51-1))*GCB_Systems,0)</f>
        <v>0</v>
      </c>
      <c r="T51" s="31">
        <f>IF(COUNTIF('0. Assumptions'!$M$4:$M$63,'NPV Analysis'!$P51),(GCB_Cost_PI/(1+Discount_Rate)^($I51-1))*GCB_Systems,0)</f>
        <v>0</v>
      </c>
      <c r="U51" s="31">
        <f t="shared" si="15"/>
        <v>0</v>
      </c>
      <c r="V51" s="32">
        <f t="shared" si="7"/>
        <v>0</v>
      </c>
      <c r="Y51" s="23" t="str">
        <f t="shared" si="8"/>
        <v/>
      </c>
      <c r="Z51" s="33" t="e">
        <f t="shared" si="9"/>
        <v>#N/A</v>
      </c>
      <c r="AA51" s="33" t="e">
        <f t="shared" si="10"/>
        <v>#N/A</v>
      </c>
      <c r="AB51" s="33" t="e">
        <f t="shared" si="11"/>
        <v>#N/A</v>
      </c>
    </row>
    <row r="52" spans="1:28" ht="14.5" thickBot="1" x14ac:dyDescent="0.35">
      <c r="A52" s="23">
        <v>50</v>
      </c>
      <c r="B52" s="30" t="str">
        <f>IF(VCB_Life&gt;='NPV Analysis'!$A52,'NPV Analysis'!$A52,"")</f>
        <v/>
      </c>
      <c r="C52" s="34"/>
      <c r="D52" s="31">
        <f t="shared" si="16"/>
        <v>0</v>
      </c>
      <c r="E52" s="31">
        <f>IF(COUNTIF('0. Assumptions'!$J$4:$J$63,'NPV Analysis'!$B52),(VCB_Cost_RI/(1+Discount_Rate)^($B52-1))*VCB_Systems,0)</f>
        <v>0</v>
      </c>
      <c r="F52" s="31">
        <f>IF(COUNTIF('0. Assumptions'!$L$4:$L$63,'NPV Analysis'!$B52),(VCB_Cost_PI/(1+Discount_Rate)^($B52-1))*VCB_Systems,0)</f>
        <v>0</v>
      </c>
      <c r="G52" s="31">
        <f>IF($B52=VCB_Life,(VCB_Breaker/(1+Discount_Rate)^('NPV Analysis'!$B52-1))*VCB_Systems,0)</f>
        <v>0</v>
      </c>
      <c r="H52" s="35">
        <f t="shared" si="4"/>
        <v>0</v>
      </c>
      <c r="I52" s="30" t="str">
        <f>IF(GCB_Life&gt;='NPV Analysis'!$A52,'NPV Analysis'!$A52,"")</f>
        <v/>
      </c>
      <c r="J52" s="34"/>
      <c r="K52" s="31">
        <f t="shared" si="12"/>
        <v>0</v>
      </c>
      <c r="L52" s="31">
        <f>IF(COUNTIF('0. Assumptions'!$K$4:$K$63,'NPV Analysis'!$I52),(GCB_Cost_RI/(1+Discount_Rate)^($I52-1))*GCB_Systems,0)</f>
        <v>0</v>
      </c>
      <c r="M52" s="31">
        <f>IF(COUNTIF('0. Assumptions'!$M$4:$M$63,'NPV Analysis'!$I52),(GCB_Cost_PI/(1+Discount_Rate)^($I52-1))*GCB_Systems,0)</f>
        <v>0</v>
      </c>
      <c r="N52" s="31">
        <f t="shared" si="13"/>
        <v>0</v>
      </c>
      <c r="O52" s="35">
        <f t="shared" si="6"/>
        <v>0</v>
      </c>
      <c r="P52" s="30" t="str">
        <f>IF(GCB_Life&gt;='NPV Analysis'!$A52,'NPV Analysis'!$A52,"")</f>
        <v/>
      </c>
      <c r="Q52" s="34"/>
      <c r="R52" s="31">
        <f t="shared" si="14"/>
        <v>0</v>
      </c>
      <c r="S52" s="31">
        <f>IF(COUNTIF('0. Assumptions'!$K$4:$K$63,'NPV Analysis'!$I52),(GCB_Cost_RI/(1+Discount_Rate)^($I52-1))*GCB_Systems,0)</f>
        <v>0</v>
      </c>
      <c r="T52" s="31">
        <f>IF(COUNTIF('0. Assumptions'!$M$4:$M$63,'NPV Analysis'!$P52),(GCB_Cost_PI/(1+Discount_Rate)^($I52-1))*GCB_Systems,0)</f>
        <v>0</v>
      </c>
      <c r="U52" s="31">
        <f t="shared" si="15"/>
        <v>0</v>
      </c>
      <c r="V52" s="35">
        <f t="shared" si="7"/>
        <v>0</v>
      </c>
      <c r="Y52" s="23" t="str">
        <f t="shared" si="8"/>
        <v/>
      </c>
      <c r="Z52" s="33" t="e">
        <f t="shared" si="9"/>
        <v>#N/A</v>
      </c>
      <c r="AA52" s="33" t="e">
        <f t="shared" si="10"/>
        <v>#N/A</v>
      </c>
      <c r="AB52" s="33" t="e">
        <f t="shared" si="11"/>
        <v>#N/A</v>
      </c>
    </row>
    <row r="53" spans="1:28" s="28" customFormat="1" x14ac:dyDescent="0.3">
      <c r="B53" s="36" t="s">
        <v>199</v>
      </c>
      <c r="C53" s="37">
        <f t="shared" ref="C53:G53" si="17">SUM(C3:C52)</f>
        <v>3372000</v>
      </c>
      <c r="D53" s="37">
        <f t="shared" si="17"/>
        <v>261890.3664677591</v>
      </c>
      <c r="E53" s="37">
        <f t="shared" si="17"/>
        <v>10384.013337269786</v>
      </c>
      <c r="F53" s="37">
        <f t="shared" si="17"/>
        <v>28278.509893967908</v>
      </c>
      <c r="G53" s="37">
        <f t="shared" si="17"/>
        <v>12630.14183988084</v>
      </c>
      <c r="H53" s="38">
        <f>SUM(H3:H52)</f>
        <v>3685183.0315388772</v>
      </c>
      <c r="I53" s="36" t="s">
        <v>199</v>
      </c>
      <c r="J53" s="37">
        <f t="shared" ref="J53" si="18">SUM(J3:J52)</f>
        <v>1628000</v>
      </c>
      <c r="K53" s="37">
        <f t="shared" ref="K53" si="19">SUM(K3:K52)</f>
        <v>1952987.6969297591</v>
      </c>
      <c r="L53" s="37">
        <f t="shared" ref="L53" si="20">SUM(L3:L52)</f>
        <v>10384.013337269786</v>
      </c>
      <c r="M53" s="37">
        <f t="shared" ref="M53:N53" si="21">SUM(M3:M52)</f>
        <v>201797.37707716861</v>
      </c>
      <c r="N53" s="37">
        <f t="shared" si="21"/>
        <v>12630.14183988084</v>
      </c>
      <c r="O53" s="38">
        <f t="shared" ref="O53" si="22">SUM(O3:O52)</f>
        <v>3805799.2291840771</v>
      </c>
      <c r="P53" s="36" t="s">
        <v>199</v>
      </c>
      <c r="Q53" s="37">
        <f t="shared" ref="Q53" si="23">SUM(Q3:Q52)</f>
        <v>1628000</v>
      </c>
      <c r="R53" s="37">
        <f t="shared" ref="R53" si="24">SUM(R3:R52)</f>
        <v>1952987.6969297591</v>
      </c>
      <c r="S53" s="37">
        <f t="shared" ref="S53" si="25">SUM(S3:S52)</f>
        <v>10384.013337269786</v>
      </c>
      <c r="T53" s="37">
        <f t="shared" ref="T53" si="26">SUM(T3:T52)</f>
        <v>201797.37707716861</v>
      </c>
      <c r="U53" s="37">
        <f t="shared" ref="U53" si="27">SUM(U3:U52)</f>
        <v>25260.28367976168</v>
      </c>
      <c r="V53" s="38">
        <f t="shared" ref="V53" si="28">SUM(V3:V52)</f>
        <v>3818429.3710239576</v>
      </c>
    </row>
    <row r="54" spans="1:28" s="28" customFormat="1" ht="14.5" thickBot="1" x14ac:dyDescent="0.35">
      <c r="B54" s="39" t="s">
        <v>265</v>
      </c>
      <c r="C54" s="40">
        <f>C53/'0. Assumptions'!$B$14</f>
        <v>84300</v>
      </c>
      <c r="D54" s="40">
        <f>D53/'0. Assumptions'!$B$14</f>
        <v>6547.2591616939771</v>
      </c>
      <c r="E54" s="40">
        <f>E53/'0. Assumptions'!$B$14</f>
        <v>259.60033343174462</v>
      </c>
      <c r="F54" s="40">
        <f>F53/'0. Assumptions'!$B$14</f>
        <v>706.96274734919768</v>
      </c>
      <c r="G54" s="40">
        <f>G53/'0. Assumptions'!$B$14</f>
        <v>315.75354599702098</v>
      </c>
      <c r="H54" s="41">
        <f>H53/'0. Assumptions'!$B$14</f>
        <v>92129.575788471935</v>
      </c>
      <c r="I54" s="39" t="s">
        <v>265</v>
      </c>
      <c r="J54" s="40">
        <f>J53/'0. Assumptions'!$B$23</f>
        <v>40700</v>
      </c>
      <c r="K54" s="40">
        <f>K53/'0. Assumptions'!$B$23</f>
        <v>48824.692423243978</v>
      </c>
      <c r="L54" s="40">
        <f>L53/'0. Assumptions'!$B$23</f>
        <v>259.60033343174462</v>
      </c>
      <c r="M54" s="40">
        <f>M53/'0. Assumptions'!$B$23</f>
        <v>5044.9344269292151</v>
      </c>
      <c r="N54" s="40">
        <f>N53/'0. Assumptions'!$B$23</f>
        <v>315.75354599702098</v>
      </c>
      <c r="O54" s="41">
        <f>O53/'0. Assumptions'!$B$23</f>
        <v>95144.980729601928</v>
      </c>
      <c r="P54" s="39" t="s">
        <v>265</v>
      </c>
      <c r="Q54" s="40">
        <f>Q53/'0. Assumptions'!$B$23</f>
        <v>40700</v>
      </c>
      <c r="R54" s="40">
        <f>R53/'0. Assumptions'!$B$23</f>
        <v>48824.692423243978</v>
      </c>
      <c r="S54" s="40">
        <f>S53/'0. Assumptions'!$B$23</f>
        <v>259.60033343174462</v>
      </c>
      <c r="T54" s="40">
        <f>T53/'0. Assumptions'!$B$23</f>
        <v>5044.9344269292151</v>
      </c>
      <c r="U54" s="40">
        <f>U53/'0. Assumptions'!$B$23</f>
        <v>631.50709199404196</v>
      </c>
      <c r="V54" s="41">
        <f>V53/'0. Assumptions'!$B$23</f>
        <v>95460.734275598938</v>
      </c>
    </row>
    <row r="56" spans="1:28" x14ac:dyDescent="0.3">
      <c r="F56" s="33"/>
      <c r="M56" s="33"/>
    </row>
    <row r="58" spans="1:28" x14ac:dyDescent="0.3">
      <c r="D58" s="274"/>
      <c r="F58" s="33"/>
    </row>
    <row r="59" spans="1:28" x14ac:dyDescent="0.3">
      <c r="D59" s="273"/>
    </row>
    <row r="60" spans="1:28" x14ac:dyDescent="0.3">
      <c r="D60" s="273"/>
      <c r="F60" s="33"/>
    </row>
    <row r="61" spans="1:28" x14ac:dyDescent="0.3">
      <c r="D61" s="273"/>
    </row>
    <row r="62" spans="1:28" x14ac:dyDescent="0.3">
      <c r="D62" s="273"/>
      <c r="F62" s="33"/>
    </row>
    <row r="63" spans="1:28" x14ac:dyDescent="0.3">
      <c r="D63" s="273"/>
    </row>
    <row r="64" spans="1:28" x14ac:dyDescent="0.3">
      <c r="D64" s="273"/>
      <c r="F64" s="33"/>
    </row>
    <row r="65" spans="4:4" x14ac:dyDescent="0.3">
      <c r="D65" s="273"/>
    </row>
    <row r="66" spans="4:4" x14ac:dyDescent="0.3">
      <c r="D66" s="273"/>
    </row>
    <row r="67" spans="4:4" x14ac:dyDescent="0.3">
      <c r="D67" s="273"/>
    </row>
    <row r="68" spans="4:4" x14ac:dyDescent="0.3">
      <c r="D68" s="273"/>
    </row>
    <row r="69" spans="4:4" x14ac:dyDescent="0.3">
      <c r="D69" s="273"/>
    </row>
    <row r="70" spans="4:4" x14ac:dyDescent="0.3">
      <c r="D70" s="273"/>
    </row>
    <row r="71" spans="4:4" x14ac:dyDescent="0.3">
      <c r="D71" s="273"/>
    </row>
    <row r="72" spans="4:4" x14ac:dyDescent="0.3">
      <c r="D72" s="273"/>
    </row>
    <row r="73" spans="4:4" x14ac:dyDescent="0.3">
      <c r="D73" s="273"/>
    </row>
    <row r="74" spans="4:4" x14ac:dyDescent="0.3">
      <c r="D74" s="273"/>
    </row>
    <row r="75" spans="4:4" x14ac:dyDescent="0.3">
      <c r="D75" s="273"/>
    </row>
    <row r="76" spans="4:4" x14ac:dyDescent="0.3">
      <c r="D76" s="273"/>
    </row>
    <row r="77" spans="4:4" x14ac:dyDescent="0.3">
      <c r="D77" s="273"/>
    </row>
    <row r="78" spans="4:4" x14ac:dyDescent="0.3">
      <c r="D78" s="273"/>
    </row>
    <row r="79" spans="4:4" x14ac:dyDescent="0.3">
      <c r="D79" s="273"/>
    </row>
    <row r="80" spans="4:4" x14ac:dyDescent="0.3">
      <c r="D80" s="273"/>
    </row>
    <row r="81" spans="4:4" x14ac:dyDescent="0.3">
      <c r="D81" s="273"/>
    </row>
    <row r="82" spans="4:4" x14ac:dyDescent="0.3">
      <c r="D82" s="273"/>
    </row>
    <row r="83" spans="4:4" x14ac:dyDescent="0.3">
      <c r="D83" s="273"/>
    </row>
    <row r="84" spans="4:4" x14ac:dyDescent="0.3">
      <c r="D84" s="273"/>
    </row>
    <row r="85" spans="4:4" x14ac:dyDescent="0.3">
      <c r="D85" s="273"/>
    </row>
    <row r="86" spans="4:4" x14ac:dyDescent="0.3">
      <c r="D86" s="273"/>
    </row>
    <row r="87" spans="4:4" x14ac:dyDescent="0.3">
      <c r="D87" s="273"/>
    </row>
    <row r="88" spans="4:4" x14ac:dyDescent="0.3">
      <c r="D88" s="273"/>
    </row>
    <row r="89" spans="4:4" x14ac:dyDescent="0.3">
      <c r="D89" s="273"/>
    </row>
    <row r="90" spans="4:4" x14ac:dyDescent="0.3">
      <c r="D90" s="273"/>
    </row>
    <row r="91" spans="4:4" x14ac:dyDescent="0.3">
      <c r="D91" s="273"/>
    </row>
    <row r="92" spans="4:4" x14ac:dyDescent="0.3">
      <c r="D92" s="273"/>
    </row>
    <row r="93" spans="4:4" x14ac:dyDescent="0.3">
      <c r="D93" s="273"/>
    </row>
    <row r="94" spans="4:4" x14ac:dyDescent="0.3">
      <c r="D94" s="273"/>
    </row>
    <row r="95" spans="4:4" x14ac:dyDescent="0.3">
      <c r="D95" s="273"/>
    </row>
    <row r="96" spans="4:4" x14ac:dyDescent="0.3">
      <c r="D96" s="273"/>
    </row>
    <row r="97" spans="4:4" x14ac:dyDescent="0.3">
      <c r="D97" s="273"/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4F5C-0DCA-4738-A5CD-44C427304960}">
  <sheetPr codeName="Sheet11"/>
  <dimension ref="A2:C7"/>
  <sheetViews>
    <sheetView workbookViewId="0">
      <selection activeCell="B10" sqref="B10"/>
    </sheetView>
  </sheetViews>
  <sheetFormatPr defaultRowHeight="14.5" x14ac:dyDescent="0.35"/>
  <cols>
    <col min="1" max="1" width="27.7265625" bestFit="1" customWidth="1"/>
  </cols>
  <sheetData>
    <row r="2" spans="1:3" x14ac:dyDescent="0.35">
      <c r="A2" s="311" t="s">
        <v>266</v>
      </c>
      <c r="B2" s="311"/>
    </row>
    <row r="3" spans="1:3" x14ac:dyDescent="0.35">
      <c r="A3" s="69" t="s">
        <v>267</v>
      </c>
      <c r="B3" s="69">
        <v>23500</v>
      </c>
    </row>
    <row r="4" spans="1:3" x14ac:dyDescent="0.35">
      <c r="A4" s="69" t="s">
        <v>268</v>
      </c>
      <c r="B4" s="69">
        <v>0.90720000000000001</v>
      </c>
    </row>
    <row r="5" spans="1:3" x14ac:dyDescent="0.35">
      <c r="A5" s="69" t="s">
        <v>269</v>
      </c>
      <c r="B5" s="69">
        <v>2000</v>
      </c>
    </row>
    <row r="6" spans="1:3" x14ac:dyDescent="0.35">
      <c r="A6" s="69" t="s">
        <v>270</v>
      </c>
      <c r="B6" s="71">
        <f>B5/B4</f>
        <v>2204.5855379188711</v>
      </c>
    </row>
    <row r="7" spans="1:3" x14ac:dyDescent="0.35">
      <c r="A7" s="69" t="s">
        <v>271</v>
      </c>
      <c r="B7" s="71">
        <v>4.49</v>
      </c>
      <c r="C7" s="70"/>
    </row>
  </sheetData>
  <mergeCells count="1">
    <mergeCell ref="A2:B2"/>
  </mergeCells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B1ECCB93B254692616F6D995EFE84" ma:contentTypeVersion="17" ma:contentTypeDescription="Create a new document." ma:contentTypeScope="" ma:versionID="0909a0643513b7d4e2ad170e7274bb9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dea1b25-6764-4109-b259-3e60ed77156a" xmlns:ns6="1b27d00e-0b08-4c50-a4ae-f66248fe09e0" targetNamespace="http://schemas.microsoft.com/office/2006/metadata/properties" ma:root="true" ma:fieldsID="bbcb697ae9cc2bfdc560881a975fab6f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dea1b25-6764-4109-b259-3e60ed77156a"/>
    <xsd:import namespace="1b27d00e-0b08-4c50-a4ae-f66248fe09e0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OCR" minOccurs="0"/>
                <xsd:element ref="ns1:_ip_UnifiedCompliancePolicyProperties" minOccurs="0"/>
                <xsd:element ref="ns1:_ip_UnifiedCompliancePolicyUIAction" minOccurs="0"/>
                <xsd:element ref="ns5:lcf76f155ced4ddcb4097134ff3c332f" minOccurs="0"/>
                <xsd:element ref="ns5:MediaLengthInSeconds" minOccurs="0"/>
                <xsd:element ref="ns5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984f6f6e-7412-44b2-afc8-413224362328}" ma:internalName="TaxCatchAllLabel" ma:readOnly="true" ma:showField="CatchAllDataLabel" ma:web="1b27d00e-0b08-4c50-a4ae-f66248fe09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984f6f6e-7412-44b2-afc8-413224362328}" ma:internalName="TaxCatchAll" ma:showField="CatchAllData" ma:web="1b27d00e-0b08-4c50-a4ae-f66248fe09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ea1b25-6764-4109-b259-3e60ed7715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7d00e-0b08-4c50-a4ae-f66248fe09e0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b27d00e-0b08-4c50-a4ae-f66248fe09e0">
      <UserInfo>
        <DisplayName>Voigt, George</DisplayName>
        <AccountId>71</AccountId>
        <AccountType/>
      </UserInfo>
    </SharedWithUsers>
    <TaxCatchAll xmlns="4ffa91fb-a0ff-4ac5-b2db-65c790d184a4" xsi:nil="true"/>
    <lcf76f155ced4ddcb4097134ff3c332f xmlns="adea1b25-6764-4109-b259-3e60ed77156a">
      <Terms xmlns="http://schemas.microsoft.com/office/infopath/2007/PartnerControls"/>
    </lcf76f155ced4ddcb4097134ff3c332f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2023-12-15T20:25:37+00:00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Props1.xml><?xml version="1.0" encoding="utf-8"?>
<ds:datastoreItem xmlns:ds="http://schemas.openxmlformats.org/officeDocument/2006/customXml" ds:itemID="{7090D367-31CD-4320-B0DA-1256FB6D69BF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1E50BE7-71D6-4A5D-B2CA-E6928011A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dea1b25-6764-4109-b259-3e60ed77156a"/>
    <ds:schemaRef ds:uri="1b27d00e-0b08-4c50-a4ae-f66248fe09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785102-D02D-4290-AEB3-951E098FF21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DDDE548-3F10-4BA1-9CBD-C7CF06ECAC1A}">
  <ds:schemaRefs>
    <ds:schemaRef ds:uri="94a1bc9e-0ef9-4f85-a26e-6d4e55ee71ae"/>
    <ds:schemaRef ds:uri="http://purl.org/dc/elements/1.1/"/>
    <ds:schemaRef ds:uri="http://schemas.microsoft.com/office/infopath/2007/PartnerControls"/>
    <ds:schemaRef ds:uri="http://schemas.microsoft.com/office/2006/metadata/properties"/>
    <ds:schemaRef ds:uri="4d6c424f-3e88-4f77-a956-36a224c86277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fa6a9aea-fb0f-4ddd-aff8-712634b7d5fe"/>
    <ds:schemaRef ds:uri="http://www.w3.org/XML/1998/namespace"/>
    <ds:schemaRef ds:uri="http://purl.org/dc/terms/"/>
    <ds:schemaRef ds:uri="1b27d00e-0b08-4c50-a4ae-f66248fe09e0"/>
    <ds:schemaRef ds:uri="4ffa91fb-a0ff-4ac5-b2db-65c790d184a4"/>
    <ds:schemaRef ds:uri="adea1b25-6764-4109-b259-3e60ed77156a"/>
    <ds:schemaRef ds:uri="http://schemas.microsoft.com/sharepoint/v3/fields"/>
    <ds:schemaRef ds:uri="http://schemas.microsoft.com/sharepoint/v3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28</vt:i4>
      </vt:variant>
    </vt:vector>
  </HeadingPairs>
  <TitlesOfParts>
    <vt:vector size="39" baseType="lpstr">
      <vt:lpstr>Introduction</vt:lpstr>
      <vt:lpstr>Definitions and Acronyms</vt:lpstr>
      <vt:lpstr>0. Assumptions</vt:lpstr>
      <vt:lpstr>1. Initial Cost</vt:lpstr>
      <vt:lpstr>2. Annual Cost</vt:lpstr>
      <vt:lpstr>3. Routine Inspection</vt:lpstr>
      <vt:lpstr>4. Periodic Inspection </vt:lpstr>
      <vt:lpstr>5. Replacement or Overhaul Cost</vt:lpstr>
      <vt:lpstr>RESULTS</vt:lpstr>
      <vt:lpstr>NPV Analysis</vt:lpstr>
      <vt:lpstr>Constants and Conversions</vt:lpstr>
      <vt:lpstr>Discount_Rate</vt:lpstr>
      <vt:lpstr>GCB_Annual</vt:lpstr>
      <vt:lpstr>GCB_Cost_PI</vt:lpstr>
      <vt:lpstr>GCB_Cost_RI</vt:lpstr>
      <vt:lpstr>GCB_Life</vt:lpstr>
      <vt:lpstr>GCB_NTH_Breaker</vt:lpstr>
      <vt:lpstr>GCB_NTH_Initial</vt:lpstr>
      <vt:lpstr>GCB_PI</vt:lpstr>
      <vt:lpstr>GCB_PI_Freq</vt:lpstr>
      <vt:lpstr>GCB_RI</vt:lpstr>
      <vt:lpstr>GCB_RI_Freq</vt:lpstr>
      <vt:lpstr>GCB_Systems</vt:lpstr>
      <vt:lpstr>GCB_TH_Breaker</vt:lpstr>
      <vt:lpstr>GCB_TH_Initial</vt:lpstr>
      <vt:lpstr>GWP_SF6</vt:lpstr>
      <vt:lpstr>lbs_to_MT</vt:lpstr>
      <vt:lpstr>VCB_Annual</vt:lpstr>
      <vt:lpstr>VCB_Breaker</vt:lpstr>
      <vt:lpstr>VCB_Cost_PI</vt:lpstr>
      <vt:lpstr>VCB_Cost_RI</vt:lpstr>
      <vt:lpstr>VCB_Initial</vt:lpstr>
      <vt:lpstr>VCB_Life</vt:lpstr>
      <vt:lpstr>VCB_PI</vt:lpstr>
      <vt:lpstr>VCB_PI_Freq</vt:lpstr>
      <vt:lpstr>VCB_RI</vt:lpstr>
      <vt:lpstr>VCB_RI_Freq</vt:lpstr>
      <vt:lpstr>VCB_Systems</vt:lpstr>
      <vt:lpstr>Vehicles_Per_year</vt:lpstr>
    </vt:vector>
  </TitlesOfParts>
  <Manager/>
  <Company>ICF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Alternatives Cost Compare Tool for EPA SF6 Partnership</dc:title>
  <dc:subject/>
  <dc:creator>Colwell, Hana</dc:creator>
  <cp:keywords/>
  <dc:description/>
  <cp:lastModifiedBy>Soham Ghosh</cp:lastModifiedBy>
  <cp:revision/>
  <dcterms:created xsi:type="dcterms:W3CDTF">2021-01-25T17:46:38Z</dcterms:created>
  <dcterms:modified xsi:type="dcterms:W3CDTF">2025-01-28T17:54:48Z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0x01010008513B67764CE74EBA98B2588445C8BC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