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c. " sheetId="1" r:id="rId1"/>
  </sheets>
  <definedNames>
    <definedName name="BoardQty">'dac. '!$I$1</definedName>
    <definedName name="digikey_part_data">'dac. '!$J$5:$N$76</definedName>
    <definedName name="global_part_data">'dac. '!$A$5:$I$76</definedName>
    <definedName name="TotalCost">'dac. 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J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$0.20
   100   $0.01      $0.89
   500   $0.01      $3.18
  1000   $0.00      $4.99
  4000   $0.00     $16.72
  8000   $0.00     $30.48
 12000   $0.00     $43.56</t>
        </r>
      </text>
    </comment>
    <comment ref="L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$0.29      $0.29
    10   $0.20      $1.98
   100   $0.11     $11.22
   500   $0.08     $39.60
  1000   $0.07     $69.30
  2000   $0.07    $132.00
  3000   $0.06    $175.68
  4000   $0.06    $244.20
  6000   $0.05    $319.44
  9000   $0.05    $455.22
 40000   $0.05   $1810.00</t>
        </r>
      </text>
    </comment>
    <comment ref="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$0.22      $0.22
    10   $0.15      $1.49
   100   $0.08      $7.52
   500   $0.05     $25.74
  1000   $0.05     $45.54
  2000   $0.04     $87.12
  4000   $0.04    $158.40</t>
        </r>
      </text>
    </comment>
    <comment ref="L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$0.05      $0.46
   100   $0.02      $2.05
   500   $0.01      $7.32
  1000   $0.01     $11.50
  4000   $0.01     $38.48
  8000   $0.01     $70.24
 12000   $0.01    $100.32</t>
        </r>
      </text>
    </comment>
    <comment ref="L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$0.19      $0.19
    10   $0.13      $1.32
   100   $0.07      $6.69
   500   $0.05     $22.88
  1000   $0.04     $40.48
  2000   $0.04     $77.44
  3000   $0.02     $63.90
  4000   $0.04    $140.80
  6000   $0.02    $116.94
  9000   $0.02    $163.17</t>
        </r>
      </text>
    </comment>
    <comment ref="L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$1.00
   500   $0.01      $3.56
  1000   $0.01      $5.60
  4000   $0.00     $18.72
  8000   $0.00     $34.16
 12000   $0.00     $48.84</t>
        </r>
      </text>
    </comment>
    <comment ref="L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$0.06      $0.64
   100   $0.03      $2.86
   500   $0.02     $10.20
  1000   $0.02     $16.03
  4000   $0.01     $53.64
  8000   $0.01     $97.92
 12000   $0.01    $139.92</t>
        </r>
      </text>
    </comment>
    <comment ref="L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$0.33      $3.30
   100   $0.22     $21.74
   500   $0.16     $80.51
  1000   $0.14    $136.87
  2000   $0.13    $257.64
  3000   $0.13    $386.22
  4000   $0.12    $483.04
  6000   $0.12    $724.20
  9000   $0.11   $1013.85</t>
        </r>
      </text>
    </comment>
    <comment ref="L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$0.06      $0.60
   100   $0.03      $2.67
   500   $0.02      $9.53
  1000   $0.01     $14.97
  2000   $0.01     $27.24
  3000   $0.01     $24.66
  4000   $0.01     $50.08
  6000   $0.01     $45.42
  9000   $0.01     $62.19
 40000   $0.01    $250.00</t>
        </r>
      </text>
    </comment>
    <comment ref="L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$0.05      $0.54
   100   $0.02      $2.41
   500   $0.02      $8.62
  1000   $0.01     $13.55
  4000   $0.01     $45.36
  8000   $0.01     $82.80
 12000   $0.01    $118.32</t>
        </r>
      </text>
    </comment>
    <comment ref="L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$0.05      $0.53
   100   $0.02      $2.35
   500   $0.02      $8.39
  1000   $0.01     $13.19
  4000   $0.01     $44.12
  8000   $0.01     $80.56
 12000   $0.01    $115.08</t>
        </r>
      </text>
    </comment>
    <comment ref="L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$0.05      $0.48
   100   $0.02      $2.16
   500   $0.02      $7.70
  1000   $0.01     $12.10
  4000   $0.01     $40.48
  8000   $0.01     $73.92
 12000   $0.01    $105.60</t>
        </r>
      </text>
    </comment>
    <comment ref="L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$0.50      $0.50
    10   $0.47      $4.65
    25   $0.42     $10.46
    50   $0.37     $18.60
   100   $0.36     $35.65
   250   $0.33     $81.38
   500   $0.31    $155.00
  1000   $0.26    $255.75
  2500   $0.23    $581.25</t>
        </r>
      </text>
    </comment>
    <comment ref="L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3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4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4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4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4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4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4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4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5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$0.35
   100   $0.01      $1.42
  1000   $0.01      $6.40
  2500   $0.01     $13.90
  5000   $0.00     $20.85
 10000   $0.00     $36.20
 25000   $0.00     $79.50
 50000   $0.00    $146.00
125000   $0.00    $357.50</t>
        </r>
      </text>
    </comment>
    <comment ref="L5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5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$0.38      $0.38
    10   $0.30      $3.05
   100   $0.21     $20.76
   500   $0.16     $77.87
  1000   $0.12    $116.80
  2500   $0.10    $259.88
  5000   $0.10    $488.25
 12500   $0.09   $1141.88
 25000   $0.08   $2094.75
 62500   $0.08   $5040.00
125000   $0.08   $9686.25</t>
        </r>
      </text>
    </comment>
    <comment ref="L6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$0.40      $0.40
    10   $0.33      $3.26
   100   $0.22     $22.18
   500   $0.17     $83.16
  1000   $0.12    $124.74
  2500   $0.11    $284.62
  5000   $0.11    $534.75
 12500   $0.10   $1250.62
 25000   $0.09   $2294.25
 62500   $0.09   $5520.00</t>
        </r>
      </text>
    </comment>
    <comment ref="L6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$1.54      $1.54
    10   $1.38     $13.81
   100   $1.11    $111.01
   250   $1.01    $253.00
   500   $0.86    $430.54
  1000   $0.68    $679.80
  1250   $0.73    $917.12
  3000   $0.62   $1848.00
  6000   $0.59   $3511.20
 15000   $0.56   $8448.00</t>
        </r>
      </text>
    </comment>
    <comment ref="L6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$2.83      $2.83
    10   $2.52     $25.24
    25   $2.27     $56.78
   100   $2.07    $206.93
   250   $1.87    $466.85
   500   $1.68    $837.80
  1000   $1.42   $1421.00
  2000   $1.32   $2646.00
  5000   $1.27   $6370.00</t>
        </r>
      </text>
    </comment>
    <comment ref="L6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$0.88      $0.88
    10   $0.79      $7.87
   100   $0.61     $61.36
   500   $0.51    $253.43
  1000   $0.40    $400.16
  2500   $0.36    $906.50
  5000   $0.34   $1722.35
 12500   $0.33   $4144.00</t>
        </r>
      </text>
    </comment>
    <comment ref="L6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$5.03      $5.03
    10   $4.52     $45.18
   100   $3.70    $370.17
   500   $3.15   $1575.58
  1000   $2.66   $2657.61
  2500   $2.30   $5759.38</t>
        </r>
      </text>
    </comment>
    <comment ref="L6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$5.53      $5.53
    10   $4.96     $49.64
   100   $4.07    $406.72
   500   $3.46   $1731.17
  1000   $2.92   $2920.05
  2000   $2.53   $5062.50</t>
        </r>
      </text>
    </comment>
    <comment ref="L6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$0.36      $0.36
    10   $0.29      $2.95
   100   $0.20     $20.11
   500   $0.15     $75.40
  1000   $0.11    $113.09
  2500   $0.10    $251.62
  5000   $0.09    $472.75
 12500   $0.09   $1105.62</t>
        </r>
      </text>
    </comment>
    <comment ref="L6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$14.30     $14.30
    10  $13.00    $130.00
    25  $12.03    $300.63
   100  $11.05   $1105.00
   250  $10.07   $2518.75
   500   $9.43   $4712.50
  1000   $8.64   $8645.00</t>
        </r>
      </text>
    </comment>
    <comment ref="L6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$0.48      $0.48
    10   $0.41      $4.13
   100   $0.31     $30.86
   500   $0.24    $121.23
  1000   $0.19    $187.36
  3000   $0.17    $497.55
  6000   $0.16    $930.90
 15000   $0.14   $2166.75
 30000   $0.14   $4108.80</t>
        </r>
      </text>
    </comment>
    <comment ref="L6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$0.40      $0.40
    10   $0.32      $3.24
   100   $0.22     $22.08
   500   $0.17     $82.81
  1000   $0.12    $124.22
  2500   $0.11    $276.38
  3150   $0.13    $415.80
  5000   $0.10    $519.25
 12500   $0.10   $1214.38</t>
        </r>
      </text>
    </comment>
    <comment ref="L7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$1.64      $1.64
    10   $1.47     $14.74
   100   $1.18    $118.47
   500   $0.97    $486.68
  1000   $0.81    $806.49
  3000   $0.68   $2025.00</t>
        </r>
      </text>
    </comment>
    <comment ref="L7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$3.93      $3.93
    10   $3.53     $35.30
   100   $2.89    $289.22
   180   $3.37    $606.53
   250   $3.06    $765.90
   500   $2.46   $1231.06
  1000   $2.08   $2076.48
  1250   $2.07   $2587.50
  2000   $1.80   $3600.00</t>
        </r>
      </text>
    </comment>
    <comment ref="L7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$0.36      $0.36
    10   $0.29      $2.95
   100   $0.20     $20.11
   500   $0.15     $75.40
  1000   $0.11    $113.09
  2500   $0.10    $251.62
  5000   $0.09    $472.75
 12500   $0.09   $1105.62
 25000   $0.08   $2028.25
 62500   $0.08   $4880.00
125000   $0.08   $9378.75</t>
        </r>
      </text>
    </comment>
    <comment ref="K7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<sst xmlns="http://schemas.openxmlformats.org/spreadsheetml/2006/main" count="332" uniqueCount="244">
  <si>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</si>
  <si>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</si>
  <si>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</si>
  <si>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</si>
  <si>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</si>
  <si>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</si>
  <si>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</si>
  <si>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</si>
  <si>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</si>
  <si>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</si>
  <si>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C1,C3,C4,C6,C8-C12,C14,C15,C20,C25,C26,C31,C33,C34,C39-C42,C45,C46,C49,C51,C53</t>
  </si>
  <si>
    <t>CL21B104MBCNNNC</t>
  </si>
  <si>
    <t>Capacitors_SMD:C_0805_HandSoldering</t>
  </si>
  <si>
    <t>100n</t>
  </si>
  <si>
    <t>C13</t>
  </si>
  <si>
    <t>CL21B106KPQNNNE</t>
  </si>
  <si>
    <t>10u</t>
  </si>
  <si>
    <t>C2,C32,C37,C50,C52</t>
  </si>
  <si>
    <t>CL21A106KAFN3NE</t>
  </si>
  <si>
    <t>C21</t>
  </si>
  <si>
    <t>CL21C101JBANNNC</t>
  </si>
  <si>
    <t>100p</t>
  </si>
  <si>
    <t>C22</t>
  </si>
  <si>
    <t>CL21A225KAFNNNG</t>
  </si>
  <si>
    <t>2u2</t>
  </si>
  <si>
    <t>C23</t>
  </si>
  <si>
    <t>Capacitors_SMD:CP_Elec_5x5.7</t>
  </si>
  <si>
    <t>1000u</t>
  </si>
  <si>
    <t>C24</t>
  </si>
  <si>
    <t>CL21F473ZBANNNC</t>
  </si>
  <si>
    <t>470n</t>
  </si>
  <si>
    <t>C27</t>
  </si>
  <si>
    <t>110p</t>
  </si>
  <si>
    <t>C28</t>
  </si>
  <si>
    <t>CL21C121JBANNNC</t>
  </si>
  <si>
    <t>120p</t>
  </si>
  <si>
    <t>C29,C30,C38</t>
  </si>
  <si>
    <t>4u7</t>
  </si>
  <si>
    <t>C35,C36</t>
  </si>
  <si>
    <t>C43,C44,C47,C48</t>
  </si>
  <si>
    <t>CL21A476MQYNNNE</t>
  </si>
  <si>
    <t>47u</t>
  </si>
  <si>
    <t>C5,C7,C16-C19</t>
  </si>
  <si>
    <t>CL21C180JBANNNC</t>
  </si>
  <si>
    <t>18p</t>
  </si>
  <si>
    <t>C54</t>
  </si>
  <si>
    <t>CL21F105ZAFNNNG</t>
  </si>
  <si>
    <t>1u</t>
  </si>
  <si>
    <t>C55,C56</t>
  </si>
  <si>
    <t>CL21B392KBANNNC</t>
  </si>
  <si>
    <t>3n9</t>
  </si>
  <si>
    <t>C57-C60</t>
  </si>
  <si>
    <t>CL21B471KBANNNC</t>
  </si>
  <si>
    <t>470p</t>
  </si>
  <si>
    <t>C61,C62</t>
  </si>
  <si>
    <t>CL21C220JBANNNC</t>
  </si>
  <si>
    <t>22p</t>
  </si>
  <si>
    <t>C63-C66</t>
  </si>
  <si>
    <t>0.1u</t>
  </si>
  <si>
    <t>D1</t>
  </si>
  <si>
    <t>D</t>
  </si>
  <si>
    <t>D2</t>
  </si>
  <si>
    <t>D_Schottky</t>
  </si>
  <si>
    <t>F1</t>
  </si>
  <si>
    <t>2A</t>
  </si>
  <si>
    <t>J1</t>
  </si>
  <si>
    <t>E8144-B02022-L</t>
  </si>
  <si>
    <t>Connectors:USB_B</t>
  </si>
  <si>
    <t>USB_B</t>
  </si>
  <si>
    <t>J2</t>
  </si>
  <si>
    <t>SPDIF OUT</t>
  </si>
  <si>
    <t>J3</t>
  </si>
  <si>
    <t>BARREL_JACK</t>
  </si>
  <si>
    <t>J4,J5</t>
  </si>
  <si>
    <t>XLR3</t>
  </si>
  <si>
    <t>J6</t>
  </si>
  <si>
    <t>JACK_TRS_6PINS</t>
  </si>
  <si>
    <t>L1</t>
  </si>
  <si>
    <t>L2</t>
  </si>
  <si>
    <t>56u</t>
  </si>
  <si>
    <t>L3,L4</t>
  </si>
  <si>
    <t>R1</t>
  </si>
  <si>
    <t>10K</t>
  </si>
  <si>
    <t>R14</t>
  </si>
  <si>
    <t>RC0805FR-0760K4L</t>
  </si>
  <si>
    <t>Resistors_SMD:R_0805_HandSoldering</t>
  </si>
  <si>
    <t>60K4</t>
  </si>
  <si>
    <t>R15</t>
  </si>
  <si>
    <t>13K7</t>
  </si>
  <si>
    <t>R16</t>
  </si>
  <si>
    <t>RC0805FR-07187KL</t>
  </si>
  <si>
    <t>187K</t>
  </si>
  <si>
    <t>R18</t>
  </si>
  <si>
    <t>RC0805FR-0733K2L</t>
  </si>
  <si>
    <t>33K2</t>
  </si>
  <si>
    <t>R19</t>
  </si>
  <si>
    <t>RC0805FR-0710K2L</t>
  </si>
  <si>
    <t>10K2</t>
  </si>
  <si>
    <t>R2</t>
  </si>
  <si>
    <t>43.2</t>
  </si>
  <si>
    <t>R20</t>
  </si>
  <si>
    <t>RC0805FR-073K74L</t>
  </si>
  <si>
    <t>3K74</t>
  </si>
  <si>
    <t>R21</t>
  </si>
  <si>
    <t>RC0805FR-0710KL</t>
  </si>
  <si>
    <t>R22-R25</t>
  </si>
  <si>
    <t>RC0805FR-073K9L</t>
  </si>
  <si>
    <t>3K9</t>
  </si>
  <si>
    <t>R26,R27,R32,R33</t>
  </si>
  <si>
    <t>RC0805FR-074K7L</t>
  </si>
  <si>
    <t>4K7</t>
  </si>
  <si>
    <t>R28-R31</t>
  </si>
  <si>
    <t>RC0805FR-07150RL</t>
  </si>
  <si>
    <t>150</t>
  </si>
  <si>
    <t>R3</t>
  </si>
  <si>
    <t>1M</t>
  </si>
  <si>
    <t>R34</t>
  </si>
  <si>
    <t>RC0805FR-0751RL</t>
  </si>
  <si>
    <t>51</t>
  </si>
  <si>
    <t>R36</t>
  </si>
  <si>
    <t>50</t>
  </si>
  <si>
    <t>R4</t>
  </si>
  <si>
    <t>RC0805FR-07220RL</t>
  </si>
  <si>
    <t>220</t>
  </si>
  <si>
    <t>R40,R41</t>
  </si>
  <si>
    <t>RC0805FR-0739R2L</t>
  </si>
  <si>
    <t>39.2</t>
  </si>
  <si>
    <t>R5</t>
  </si>
  <si>
    <t>RC0805FR-074R7L</t>
  </si>
  <si>
    <t>4.7</t>
  </si>
  <si>
    <t>R6,R13,R35,R37-R39</t>
  </si>
  <si>
    <t>RC0805FR-071KL</t>
  </si>
  <si>
    <t>1K</t>
  </si>
  <si>
    <t>R7,R8,R17</t>
  </si>
  <si>
    <t>RC0805FR-071ML</t>
  </si>
  <si>
    <t>R9-R12</t>
  </si>
  <si>
    <t>RV1</t>
  </si>
  <si>
    <t>POT_Dual</t>
  </si>
  <si>
    <t>U1</t>
  </si>
  <si>
    <t>S25FL116K0XNFA013</t>
  </si>
  <si>
    <t>U10</t>
  </si>
  <si>
    <t>L78L15CD-TR</t>
  </si>
  <si>
    <t>Housings_SOIC:SOIC-8_3.9x4.9mm_Pitch1.27mm</t>
  </si>
  <si>
    <t>L78L15_SO8</t>
  </si>
  <si>
    <t>U11</t>
  </si>
  <si>
    <t>MC79L15ACDG</t>
  </si>
  <si>
    <t>L79L15_SO8</t>
  </si>
  <si>
    <t>U12,U13</t>
  </si>
  <si>
    <t>TPS563209DDCT</t>
  </si>
  <si>
    <t>TPS563209</t>
  </si>
  <si>
    <t>U14</t>
  </si>
  <si>
    <t>AK4452VN</t>
  </si>
  <si>
    <t>AK4452</t>
  </si>
  <si>
    <t>U15,U16</t>
  </si>
  <si>
    <t>NE5534DR</t>
  </si>
  <si>
    <t>NE5534</t>
  </si>
  <si>
    <t>U17,U18</t>
  </si>
  <si>
    <t>DRV135UA/2K5</t>
  </si>
  <si>
    <t>DRV135</t>
  </si>
  <si>
    <t>U19</t>
  </si>
  <si>
    <t>TPA6120A2DWPR</t>
  </si>
  <si>
    <t>TPA6120A2</t>
  </si>
  <si>
    <t>U2</t>
  </si>
  <si>
    <t>SN74LV14ADR</t>
  </si>
  <si>
    <t>74LV14</t>
  </si>
  <si>
    <t>U3</t>
  </si>
  <si>
    <t>XHRA-2HPA-TQ64-C</t>
  </si>
  <si>
    <t>Housings_QFP:TQFP-64_10x10mm_Pitch0.5mm</t>
  </si>
  <si>
    <t>XHRA-2HPA</t>
  </si>
  <si>
    <t>U4</t>
  </si>
  <si>
    <t>NCP303LSN09T1G</t>
  </si>
  <si>
    <t>U5</t>
  </si>
  <si>
    <t>SN74LV74ADR</t>
  </si>
  <si>
    <t>74LV74</t>
  </si>
  <si>
    <t>U6</t>
  </si>
  <si>
    <t>SN74LV174ADR</t>
  </si>
  <si>
    <t>74LV157</t>
  </si>
  <si>
    <t>U7</t>
  </si>
  <si>
    <t>LM27313XMF/NOPB</t>
  </si>
  <si>
    <t>LM27313</t>
  </si>
  <si>
    <t>U8</t>
  </si>
  <si>
    <t>LM43601PWPR</t>
  </si>
  <si>
    <t>LM43601</t>
  </si>
  <si>
    <t>U9</t>
  </si>
  <si>
    <t>L78L05ABD13TR</t>
  </si>
  <si>
    <t>L78L05_SO8</t>
  </si>
  <si>
    <t>Y1</t>
  </si>
  <si>
    <t>Crystals:Crystal_SMD_HC49-SD_HandSoldering</t>
  </si>
  <si>
    <t>24</t>
  </si>
  <si>
    <t>Y2</t>
  </si>
  <si>
    <t>24.576</t>
  </si>
  <si>
    <t>Y3</t>
  </si>
  <si>
    <t>22.5792</t>
  </si>
  <si>
    <t>Proj:</t>
  </si>
  <si>
    <t>None</t>
  </si>
  <si>
    <t>Co.:</t>
  </si>
  <si>
    <t>Date:</t>
  </si>
  <si>
    <t>2017-12-06 09:43:47</t>
  </si>
  <si>
    <t>Board Qty:</t>
  </si>
  <si>
    <t>Total Cost:</t>
  </si>
  <si>
    <t>Unit Cost:</t>
  </si>
  <si>
    <t>Digi-Key</t>
  </si>
  <si>
    <t>Avail</t>
  </si>
  <si>
    <t>Purch</t>
  </si>
  <si>
    <t>Cat#</t>
  </si>
  <si>
    <t>1276-2450-1-ND</t>
  </si>
  <si>
    <t>NonStk</t>
  </si>
  <si>
    <t>1276-1764-1-ND</t>
  </si>
  <si>
    <t>1276-2890-1-ND</t>
  </si>
  <si>
    <t>1276-1014-1-ND</t>
  </si>
  <si>
    <t>1276-1763-1-ND</t>
  </si>
  <si>
    <t>1276-2714-1-ND</t>
  </si>
  <si>
    <t>1276-1768-1-ND</t>
  </si>
  <si>
    <t>1276-1852-1-ND</t>
  </si>
  <si>
    <t>1276-3009-1-ND</t>
  </si>
  <si>
    <t>1276-2512-1-ND</t>
  </si>
  <si>
    <t>1276-1300-1-ND</t>
  </si>
  <si>
    <t>1276-1047-1-ND</t>
  </si>
  <si>
    <t>553-2272-ND</t>
  </si>
  <si>
    <t>311-60.4KCRCT-ND</t>
  </si>
  <si>
    <t>311-187KCRCT-ND</t>
  </si>
  <si>
    <t>311-33.2KCRCT-ND</t>
  </si>
  <si>
    <t>311-10.2KCRCT-ND</t>
  </si>
  <si>
    <t>311-3.74KCRCT-ND</t>
  </si>
  <si>
    <t>311-10.0KCRCT-ND</t>
  </si>
  <si>
    <t>311-3.90KCRCT-ND</t>
  </si>
  <si>
    <t>311-4.70KCRCT-ND</t>
  </si>
  <si>
    <t>311-51.0CRCT-ND</t>
  </si>
  <si>
    <t>311-4.70CRCT-ND</t>
  </si>
  <si>
    <t>311-1.00KCRCT-ND</t>
  </si>
  <si>
    <t>497-1198-1-ND</t>
  </si>
  <si>
    <t>MC79L15ACDGOS-ND</t>
  </si>
  <si>
    <t>296-38511-1-ND</t>
  </si>
  <si>
    <t>974-1079-1-ND</t>
  </si>
  <si>
    <t>296-26239-1-ND</t>
  </si>
  <si>
    <t>296-37145-1-ND</t>
  </si>
  <si>
    <t>296-39339-1-ND</t>
  </si>
  <si>
    <t>296-1678-1-ND</t>
  </si>
  <si>
    <t>880-1114-ND</t>
  </si>
  <si>
    <t>NCP303LSN09T1GOSCT-ND</t>
  </si>
  <si>
    <t>296-26566-1-ND</t>
  </si>
  <si>
    <t>LM27313XMF/NOPBCT-ND</t>
  </si>
  <si>
    <t>296-40221-1-ND</t>
  </si>
  <si>
    <t>497-1180-1-ND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</si>
</sst>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164" fontId="0" fillId="0" borderId="0" xfId="0" applyNumberFormat="1"/>
    <xf numFmtId="0" fontId="9" fillId="0" borderId="0" xfId="0" applyFont="1" applyAlignment="1">
      <alignment horizontal="right"/>
    </xf>
    <xf numFmtId="0" fontId="10" fillId="0" borderId="0" xfId="1" applyAlignment="1" applyProtection="1"/>
  </cellXfs>
  <cellStyles count="2">
    <cellStyle name="Hyperlink" xfId="1" builtinId="8"/>
    <cellStyle name="Normal" xfId="0" builtinId="0"/>
  </cellStyles>
  <dxfs count="4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samsung-electro-mechanics/CL21B104MBCNNNC/1276-2450-1-ND/3890536" TargetMode="External"/><Relationship Id="rId2" Type="http://schemas.openxmlformats.org/officeDocument/2006/relationships/hyperlink" Target="http://www.digikey.com/product-detail/en/samsung-electro-mechanics/CL21B106KPQNNNE/1276-1764-1-ND/3889850" TargetMode="External"/><Relationship Id="rId3" Type="http://schemas.openxmlformats.org/officeDocument/2006/relationships/hyperlink" Target="http://www.digikey.com/product-detail/en/samsung-electro-mechanics/CL21A106KAFN3NE/1276-2890-1-ND/3890976" TargetMode="External"/><Relationship Id="rId4" Type="http://schemas.openxmlformats.org/officeDocument/2006/relationships/hyperlink" Target="http://www.digikey.com/product-detail/en/samsung-electro-mechanics/CL21C101JBANNNC/1276-1014-1-ND/3889100" TargetMode="External"/><Relationship Id="rId5" Type="http://schemas.openxmlformats.org/officeDocument/2006/relationships/hyperlink" Target="http://www.digikey.com/product-detail/en/samsung-electro-mechanics/CL21A225KAFNNNE/1276-1763-1-ND/3889849" TargetMode="External"/><Relationship Id="rId6" Type="http://schemas.openxmlformats.org/officeDocument/2006/relationships/hyperlink" Target="http://www.digikey.com/product-detail/en/samsung-electro-mechanics/CL21F473ZBANNNC/1276-2714-1-ND/3890800" TargetMode="External"/><Relationship Id="rId7" Type="http://schemas.openxmlformats.org/officeDocument/2006/relationships/hyperlink" Target="http://www.digikey.com/product-detail/en/samsung-electro-mechanics/CL21C121JBANNNC/1276-1768-1-ND/3889854" TargetMode="External"/><Relationship Id="rId8" Type="http://schemas.openxmlformats.org/officeDocument/2006/relationships/hyperlink" Target="http://www.digikey.com/product-detail/en/samsung-electro-mechanics/CL21A476MQYNNNE/1276-1852-1-ND/3889938" TargetMode="External"/><Relationship Id="rId9" Type="http://schemas.openxmlformats.org/officeDocument/2006/relationships/hyperlink" Target="http://www.digikey.com/product-detail/en/samsung-electro-mechanics/CL21F105ZAFNNNE/1276-3009-1-ND/3891095" TargetMode="External"/><Relationship Id="rId10" Type="http://schemas.openxmlformats.org/officeDocument/2006/relationships/hyperlink" Target="http://www.digikey.com/product-detail/en/samsung-electro-mechanics/CL21B392KBANNNC/1276-2512-1-ND/3890598" TargetMode="External"/><Relationship Id="rId11" Type="http://schemas.openxmlformats.org/officeDocument/2006/relationships/hyperlink" Target="http://www.digikey.com/product-detail/en/samsung-electro-mechanics/CL21B471KBANNNC/1276-1300-1-ND/3889386" TargetMode="External"/><Relationship Id="rId12" Type="http://schemas.openxmlformats.org/officeDocument/2006/relationships/hyperlink" Target="http://www.digikey.com/product-detail/en/samsung-electro-mechanics/CL21C220JBANNNC/1276-1047-1-ND/3889133" TargetMode="External"/><Relationship Id="rId13" Type="http://schemas.openxmlformats.org/officeDocument/2006/relationships/hyperlink" Target="http://www.digikey.com/scripts/DkSearch/dksus.dll?WT.z_header=search_go&amp;lang=en&amp;keywords=E8144-B02022-L%20" TargetMode="External"/><Relationship Id="rId14" Type="http://schemas.openxmlformats.org/officeDocument/2006/relationships/hyperlink" Target="http://www.digikey.com/product-detail/en/yageo/RC0805FR-0760K4L/311-60.4KCRCT-ND/731021" TargetMode="External"/><Relationship Id="rId15" Type="http://schemas.openxmlformats.org/officeDocument/2006/relationships/hyperlink" Target="http://www.digikey.com/product-detail/en/yageo/RC0805FR-07187KL/311-187KCRCT-ND/730601" TargetMode="External"/><Relationship Id="rId16" Type="http://schemas.openxmlformats.org/officeDocument/2006/relationships/hyperlink" Target="http://www.digikey.com/product-detail/en/yageo/RC0805FR-0733K2L/311-33.2KCRCT-ND/730812" TargetMode="External"/><Relationship Id="rId17" Type="http://schemas.openxmlformats.org/officeDocument/2006/relationships/hyperlink" Target="http://www.digikey.com/product-detail/en/yageo/RC0805FR-0710K2L/311-10.2KCRCT-ND/730485" TargetMode="External"/><Relationship Id="rId18" Type="http://schemas.openxmlformats.org/officeDocument/2006/relationships/hyperlink" Target="http://www.digikey.com/product-detail/en/yageo/RC0805FR-073K74L/311-3.74KCRCT-ND/730779" TargetMode="External"/><Relationship Id="rId19" Type="http://schemas.openxmlformats.org/officeDocument/2006/relationships/hyperlink" Target="http://www.digikey.com/product-detail/en/yageo/RC0805FR-0710KL/311-10.0KCRCT-ND/730482" TargetMode="External"/><Relationship Id="rId20" Type="http://schemas.openxmlformats.org/officeDocument/2006/relationships/hyperlink" Target="http://www.digikey.com/product-detail/en/yageo/RC0805FR-073K9L/311-3.90KCRCT-ND/730785" TargetMode="External"/><Relationship Id="rId21" Type="http://schemas.openxmlformats.org/officeDocument/2006/relationships/hyperlink" Target="http://www.digikey.com/product-detail/en/yageo/RC0805FR-074K7L/311-4.70KCRCT-ND/730876" TargetMode="External"/><Relationship Id="rId22" Type="http://schemas.openxmlformats.org/officeDocument/2006/relationships/hyperlink" Target="http://www.digikey.com/product-detail/en/yageo/RC0805FR-0751RL/311-51.0CRCT-ND/730959" TargetMode="External"/><Relationship Id="rId23" Type="http://schemas.openxmlformats.org/officeDocument/2006/relationships/hyperlink" Target="http://www.digikey.com/product-detail/en/yageo/RC0805FR-074R7L/311-4.70CRCT-ND/730875" TargetMode="External"/><Relationship Id="rId24" Type="http://schemas.openxmlformats.org/officeDocument/2006/relationships/hyperlink" Target="http://www.digikey.com/product-detail/en/yageo/RC0805FR-071KL/311-1.00KCRCT-ND/730391" TargetMode="External"/><Relationship Id="rId25" Type="http://schemas.openxmlformats.org/officeDocument/2006/relationships/hyperlink" Target="http://www.digikey.com/product-detail/en/stmicroelectronics/L78L15CD-TR/497-1198-1-ND/586198" TargetMode="External"/><Relationship Id="rId26" Type="http://schemas.openxmlformats.org/officeDocument/2006/relationships/hyperlink" Target="http://www.digikey.com/scripts/DkSearch/dksus.dll?WT.z_header=search_go&amp;lang=en&amp;keywords=MC79L15ACDG%20" TargetMode="External"/><Relationship Id="rId27" Type="http://schemas.openxmlformats.org/officeDocument/2006/relationships/hyperlink" Target="http://www.digikey.com/product-detail/en/texas-instruments/TPS563209DDCT/296-38511-1-ND/5031898" TargetMode="External"/><Relationship Id="rId28" Type="http://schemas.openxmlformats.org/officeDocument/2006/relationships/hyperlink" Target="http://www.digikey.com/product-detail/en/akm-semiconductor-inc/AK4452VN/974-1079-1-ND/5287008" TargetMode="External"/><Relationship Id="rId29" Type="http://schemas.openxmlformats.org/officeDocument/2006/relationships/hyperlink" Target="http://www.digikey.com/product-detail/en/texas-instruments/NE5534DR/296-26239-1-ND/2254904" TargetMode="External"/><Relationship Id="rId30" Type="http://schemas.openxmlformats.org/officeDocument/2006/relationships/hyperlink" Target="http://www.digikey.com/product-detail/en/texas-instruments/DRV135UA-2K5/296-37145-1-ND/4505902" TargetMode="External"/><Relationship Id="rId31" Type="http://schemas.openxmlformats.org/officeDocument/2006/relationships/hyperlink" Target="http://www.digikey.com/product-detail/en/texas-instruments/TPA6120A2DWPR/296-39339-1-ND/5143291" TargetMode="External"/><Relationship Id="rId32" Type="http://schemas.openxmlformats.org/officeDocument/2006/relationships/hyperlink" Target="http://www.digikey.com/product-detail/en/texas-instruments/SN74LV14ADR/296-1678-1-ND/404997" TargetMode="External"/><Relationship Id="rId33" Type="http://schemas.openxmlformats.org/officeDocument/2006/relationships/hyperlink" Target="http://www.digikey.com/scripts/DkSearch/dksus.dll?WT.z_header=search_go&amp;lang=en&amp;keywords=XHRA-2HPA-TQ64-C%20" TargetMode="External"/><Relationship Id="rId34" Type="http://schemas.openxmlformats.org/officeDocument/2006/relationships/hyperlink" Target="http://www.digikey.com/product-detail/en/on-semiconductor/NCP303LSN09T1G/NCP303LSN09T1GOSCT-ND/2121413" TargetMode="External"/><Relationship Id="rId35" Type="http://schemas.openxmlformats.org/officeDocument/2006/relationships/hyperlink" Target="http://www.digikey.com/product-detail/en/texas-instruments/SN74LV74ADR/296-26566-1-ND/2255043" TargetMode="External"/><Relationship Id="rId36" Type="http://schemas.openxmlformats.org/officeDocument/2006/relationships/hyperlink" Target="http://www.digikey.com/product-detail/en/texas-instruments/LM27313XMF-NOPB/LM27313XMF-NOPBCT-ND/1590175" TargetMode="External"/><Relationship Id="rId37" Type="http://schemas.openxmlformats.org/officeDocument/2006/relationships/hyperlink" Target="http://www.digikey.com/product-detail/en/texas-instruments/LM43601PWPR/296-40221-1-ND/5178098" TargetMode="External"/><Relationship Id="rId38" Type="http://schemas.openxmlformats.org/officeDocument/2006/relationships/hyperlink" Target="http://www.digikey.com/product-detail/en/stmicroelectronics/L78L05ABD13TR/497-1180-1-ND/586180" TargetMode="External"/><Relationship Id="rId39" Type="http://schemas.openxmlformats.org/officeDocument/2006/relationships/vmlDrawing" Target="../drawings/vmlDrawing1.vml"/><Relationship Id="rId4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8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</cols>
  <sheetData>
    <row r="1" spans="1:14">
      <c r="A1" s="2" t="s">
        <v>193</v>
      </c>
      <c r="B1" s="3" t="s">
        <v>194</v>
      </c>
      <c r="H1" s="4" t="s">
        <v>198</v>
      </c>
      <c r="I1" s="4">
        <v>100</v>
      </c>
    </row>
    <row r="2" spans="1:14">
      <c r="A2" s="2" t="s">
        <v>195</v>
      </c>
      <c r="B2" s="3" t="s">
        <v>194</v>
      </c>
      <c r="H2" s="2" t="s">
        <v>199</v>
      </c>
      <c r="I2" s="5">
        <f>sum(I7:I76)</f>
        <v>0</v>
      </c>
      <c r="M2" s="5">
        <f>sum(M7:M76)</f>
        <v>0</v>
      </c>
    </row>
    <row r="3" spans="1:14">
      <c r="A3" s="2" t="s">
        <v>196</v>
      </c>
      <c r="B3" s="3" t="s">
        <v>197</v>
      </c>
      <c r="H3" s="2" t="s">
        <v>200</v>
      </c>
      <c r="I3" s="6">
        <f>TotalCost/BoardQty</f>
        <v>0</v>
      </c>
      <c r="M3" s="7">
        <f>(ROWS(M7:M76)-COUNTBLANK(M7:M76))&amp;" of "&amp;ROWS(M7:M76)&amp;" parts found"</f>
        <v>0</v>
      </c>
    </row>
    <row r="5" spans="1:14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201</v>
      </c>
      <c r="K5" s="9"/>
      <c r="L5" s="9"/>
      <c r="M5" s="9"/>
      <c r="N5" s="9"/>
    </row>
    <row r="6" spans="1:14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202</v>
      </c>
      <c r="K6" s="10" t="s">
        <v>203</v>
      </c>
      <c r="L6" s="10" t="s">
        <v>3</v>
      </c>
      <c r="M6" s="10" t="s">
        <v>2</v>
      </c>
      <c r="N6" s="10" t="s">
        <v>204</v>
      </c>
    </row>
    <row r="7" spans="1:14">
      <c r="A7" t="s">
        <v>10</v>
      </c>
      <c r="B7" t="s">
        <v>13</v>
      </c>
      <c r="D7" t="s">
        <v>12</v>
      </c>
      <c r="F7" t="s">
        <v>11</v>
      </c>
      <c r="G7">
        <f>BoardQty*26</f>
        <v>0</v>
      </c>
      <c r="H7" s="11">
        <f>MINA(INDIRECT(ADDRESS(ROW(),COLUMN(digikey_part_data)+2)))</f>
        <v>0</v>
      </c>
      <c r="I7" s="11">
        <f>iferror(G7*H7,"")</f>
        <v>0</v>
      </c>
      <c r="J7" s="12" t="s">
        <v>206</v>
      </c>
      <c r="L7" s="11">
        <f>iferror(lookup(if(K7="",G7,K7),{0,1,10,100,500,1000,4000,8000,12000},{0.0,0.1,0.02,0.0089,0.00636,0.00499,0.00418,0.00381,0.00363}),"")</f>
        <v>0</v>
      </c>
      <c r="M7" s="11">
        <f>iferror(if(K7="",G7,K7)*L7,"")</f>
        <v>0</v>
      </c>
      <c r="N7" s="13" t="s">
        <v>205</v>
      </c>
    </row>
    <row r="8" spans="1:14">
      <c r="A8" t="s">
        <v>14</v>
      </c>
      <c r="B8" t="s">
        <v>16</v>
      </c>
      <c r="D8" t="s">
        <v>12</v>
      </c>
      <c r="F8" t="s">
        <v>15</v>
      </c>
      <c r="G8">
        <f>BoardQty*1</f>
        <v>0</v>
      </c>
      <c r="H8" s="11">
        <f>MINA(INDIRECT(ADDRESS(ROW(),COLUMN(digikey_part_data)+2)))</f>
        <v>0</v>
      </c>
      <c r="I8" s="11">
        <f>iferror(G8*H8,"")</f>
        <v>0</v>
      </c>
      <c r="J8">
        <v>33787</v>
      </c>
      <c r="L8" s="11">
        <f>iferror(lookup(if(K8="",G8,K8),{0,1,10,100,500,1000,2000,3000,4000,6000,9000,40000},{0.0,0.29,0.198,0.1122,0.0792,0.0693,0.066,0.05856,0.06105,0.05324,0.05058,0.04525}),"")</f>
        <v>0</v>
      </c>
      <c r="M8" s="11">
        <f>iferror(if(K8="",G8,K8)*L8,"")</f>
        <v>0</v>
      </c>
      <c r="N8" s="13" t="s">
        <v>207</v>
      </c>
    </row>
    <row r="9" spans="1:14">
      <c r="A9" t="s">
        <v>17</v>
      </c>
      <c r="B9" t="s">
        <v>16</v>
      </c>
      <c r="D9" t="s">
        <v>12</v>
      </c>
      <c r="F9" t="s">
        <v>18</v>
      </c>
      <c r="G9">
        <f>BoardQty*5</f>
        <v>0</v>
      </c>
      <c r="H9" s="11">
        <f>MINA(INDIRECT(ADDRESS(ROW(),COLUMN(digikey_part_data)+2)))</f>
        <v>0</v>
      </c>
      <c r="I9" s="11">
        <f>iferror(G9*H9,"")</f>
        <v>0</v>
      </c>
      <c r="J9" s="12" t="s">
        <v>206</v>
      </c>
      <c r="L9" s="11">
        <f>iferror(lookup(if(K9="",G9,K9),{0,1,10,100,500,1000,2000,4000},{0.0,0.22,0.149,0.0752,0.05148,0.04554,0.04356,0.0396}),"")</f>
        <v>0</v>
      </c>
      <c r="M9" s="11">
        <f>iferror(if(K9="",G9,K9)*L9,"")</f>
        <v>0</v>
      </c>
      <c r="N9" s="13" t="s">
        <v>208</v>
      </c>
    </row>
    <row r="10" spans="1:14">
      <c r="A10" t="s">
        <v>19</v>
      </c>
      <c r="B10" t="s">
        <v>21</v>
      </c>
      <c r="D10" t="s">
        <v>12</v>
      </c>
      <c r="F10" t="s">
        <v>20</v>
      </c>
      <c r="G10">
        <f>BoardQty*1</f>
        <v>0</v>
      </c>
      <c r="H10" s="11">
        <f>MINA(INDIRECT(ADDRESS(ROW(),COLUMN(digikey_part_data)+2)))</f>
        <v>0</v>
      </c>
      <c r="I10" s="11">
        <f>iferror(G10*H10,"")</f>
        <v>0</v>
      </c>
      <c r="J10">
        <v>179368</v>
      </c>
      <c r="L10" s="11">
        <f>iferror(lookup(if(K10="",G10,K10),{0,1,10,100,500,1000,4000,8000,12000},{0.0,0.1,0.046,0.0205,0.01464,0.0115,0.00962,0.00878,0.00836}),"")</f>
        <v>0</v>
      </c>
      <c r="M10" s="11">
        <f>iferror(if(K10="",G10,K10)*L10,"")</f>
        <v>0</v>
      </c>
      <c r="N10" s="13" t="s">
        <v>209</v>
      </c>
    </row>
    <row r="11" spans="1:14">
      <c r="A11" t="s">
        <v>22</v>
      </c>
      <c r="B11" t="s">
        <v>24</v>
      </c>
      <c r="D11" t="s">
        <v>12</v>
      </c>
      <c r="F11" t="s">
        <v>23</v>
      </c>
      <c r="G11">
        <f>BoardQty*1</f>
        <v>0</v>
      </c>
      <c r="H11" s="11">
        <f>MINA(INDIRECT(ADDRESS(ROW(),COLUMN(digikey_part_data)+2)))</f>
        <v>0</v>
      </c>
      <c r="I11" s="11">
        <f>iferror(G11*H11,"")</f>
        <v>0</v>
      </c>
      <c r="J11">
        <v>126790</v>
      </c>
      <c r="L11" s="11">
        <f>iferror(lookup(if(K11="",G11,K11),{0,1,10,100,500,1000,2000,3000,4000,6000,9000},{0.0,0.19,0.132,0.0669,0.04576,0.04048,0.03872,0.0213,0.0352,0.01949,0.01813}),"")</f>
        <v>0</v>
      </c>
      <c r="M11" s="11">
        <f>iferror(if(K11="",G11,K11)*L11,"")</f>
        <v>0</v>
      </c>
      <c r="N11" s="13" t="s">
        <v>210</v>
      </c>
    </row>
    <row r="12" spans="1:14">
      <c r="A12" t="s">
        <v>25</v>
      </c>
      <c r="B12" t="s">
        <v>27</v>
      </c>
      <c r="D12" t="s">
        <v>26</v>
      </c>
      <c r="G12">
        <f>BoardQty*1</f>
        <v>0</v>
      </c>
      <c r="H12" s="11">
        <f>MINA(INDIRECT(ADDRESS(ROW(),COLUMN(digikey_part_data)+2)))</f>
        <v>0</v>
      </c>
      <c r="I12" s="11">
        <f>iferror(G12*H12,"")</f>
        <v>0</v>
      </c>
    </row>
    <row r="13" spans="1:14">
      <c r="A13" t="s">
        <v>28</v>
      </c>
      <c r="B13" t="s">
        <v>30</v>
      </c>
      <c r="D13" t="s">
        <v>12</v>
      </c>
      <c r="F13" t="s">
        <v>29</v>
      </c>
      <c r="G13">
        <f>BoardQty*1</f>
        <v>0</v>
      </c>
      <c r="H13" s="11">
        <f>MINA(INDIRECT(ADDRESS(ROW(),COLUMN(digikey_part_data)+2)))</f>
        <v>0</v>
      </c>
      <c r="I13" s="11">
        <f>iferror(G13*H13,"")</f>
        <v>0</v>
      </c>
      <c r="J13">
        <v>8283</v>
      </c>
      <c r="L13" s="11">
        <f>iferror(lookup(if(K13="",G13,K13),{0,1,10,100,500,1000,4000,8000,12000},{0.0,0.1,0.022,0.01,0.00712,0.0056,0.00468,0.00427,0.00407}),"")</f>
        <v>0</v>
      </c>
      <c r="M13" s="11">
        <f>iferror(if(K13="",G13,K13)*L13,"")</f>
        <v>0</v>
      </c>
      <c r="N13" s="13" t="s">
        <v>211</v>
      </c>
    </row>
    <row r="14" spans="1:14">
      <c r="A14" t="s">
        <v>31</v>
      </c>
      <c r="B14" t="s">
        <v>32</v>
      </c>
      <c r="D14" t="s">
        <v>12</v>
      </c>
      <c r="G14">
        <f>BoardQty*1</f>
        <v>0</v>
      </c>
      <c r="H14" s="11">
        <f>MINA(INDIRECT(ADDRESS(ROW(),COLUMN(digikey_part_data)+2)))</f>
        <v>0</v>
      </c>
      <c r="I14" s="11">
        <f>iferror(G14*H14,"")</f>
        <v>0</v>
      </c>
    </row>
    <row r="15" spans="1:14">
      <c r="A15" t="s">
        <v>33</v>
      </c>
      <c r="B15" t="s">
        <v>35</v>
      </c>
      <c r="D15" t="s">
        <v>12</v>
      </c>
      <c r="F15" t="s">
        <v>34</v>
      </c>
      <c r="G15">
        <f>BoardQty*1</f>
        <v>0</v>
      </c>
      <c r="H15" s="11">
        <f>MINA(INDIRECT(ADDRESS(ROW(),COLUMN(digikey_part_data)+2)))</f>
        <v>0</v>
      </c>
      <c r="I15" s="11">
        <f>iferror(G15*H15,"")</f>
        <v>0</v>
      </c>
      <c r="J15">
        <v>4693</v>
      </c>
      <c r="L15" s="11">
        <f>iferror(lookup(if(K15="",G15,K15),{0,1,10,100,500,1000,4000,8000,12000},{0.0,0.1,0.064,0.0286,0.0204,0.01603,0.01341,0.01224,0.01166}),"")</f>
        <v>0</v>
      </c>
      <c r="M15" s="11">
        <f>iferror(if(K15="",G15,K15)*L15,"")</f>
        <v>0</v>
      </c>
      <c r="N15" s="13" t="s">
        <v>212</v>
      </c>
    </row>
    <row r="16" spans="1:14">
      <c r="A16" t="s">
        <v>36</v>
      </c>
      <c r="B16" t="s">
        <v>37</v>
      </c>
      <c r="D16" t="s">
        <v>12</v>
      </c>
      <c r="G16">
        <f>BoardQty*3</f>
        <v>0</v>
      </c>
      <c r="H16" s="11">
        <f>MINA(INDIRECT(ADDRESS(ROW(),COLUMN(digikey_part_data)+2)))</f>
        <v>0</v>
      </c>
      <c r="I16" s="11">
        <f>iferror(G16*H16,"")</f>
        <v>0</v>
      </c>
    </row>
    <row r="17" spans="1:14">
      <c r="A17" t="s">
        <v>38</v>
      </c>
      <c r="B17" t="s">
        <v>16</v>
      </c>
      <c r="D17" t="s">
        <v>12</v>
      </c>
      <c r="G17">
        <f>BoardQty*2</f>
        <v>0</v>
      </c>
      <c r="H17" s="11">
        <f>MINA(INDIRECT(ADDRESS(ROW(),COLUMN(digikey_part_data)+2)))</f>
        <v>0</v>
      </c>
      <c r="I17" s="11">
        <f>iferror(G17*H17,"")</f>
        <v>0</v>
      </c>
    </row>
    <row r="18" spans="1:14">
      <c r="A18" t="s">
        <v>39</v>
      </c>
      <c r="B18" t="s">
        <v>41</v>
      </c>
      <c r="D18" t="s">
        <v>12</v>
      </c>
      <c r="F18" t="s">
        <v>40</v>
      </c>
      <c r="G18">
        <f>BoardQty*4</f>
        <v>0</v>
      </c>
      <c r="H18" s="11">
        <f>MINA(INDIRECT(ADDRESS(ROW(),COLUMN(digikey_part_data)+2)))</f>
        <v>0</v>
      </c>
      <c r="I18" s="11">
        <f>iferror(G18*H18,"")</f>
        <v>0</v>
      </c>
      <c r="J18">
        <v>216348</v>
      </c>
      <c r="L18" s="11">
        <f>iferror(lookup(if(K18="",G18,K18),{0,1,10,100,500,1000,2000,3000,4000,6000,9000},{0.0,0.47,0.33,0.2174,0.16102,0.13687,0.12882,0.12874,0.12076,0.1207,0.11265}),"")</f>
        <v>0</v>
      </c>
      <c r="M18" s="11">
        <f>iferror(if(K18="",G18,K18)*L18,"")</f>
        <v>0</v>
      </c>
      <c r="N18" s="13" t="s">
        <v>213</v>
      </c>
    </row>
    <row r="19" spans="1:14">
      <c r="A19" t="s">
        <v>42</v>
      </c>
      <c r="B19" t="s">
        <v>44</v>
      </c>
      <c r="D19" t="s">
        <v>12</v>
      </c>
      <c r="F19" t="s">
        <v>43</v>
      </c>
      <c r="G19">
        <f>BoardQty*6</f>
        <v>0</v>
      </c>
      <c r="H19" s="11">
        <f>MINA(INDIRECT(ADDRESS(ROW(),COLUMN(digikey_part_data)+2)))</f>
        <v>0</v>
      </c>
      <c r="I19" s="11">
        <f>iferror(G19*H19,"")</f>
        <v>0</v>
      </c>
    </row>
    <row r="20" spans="1:14">
      <c r="A20" t="s">
        <v>45</v>
      </c>
      <c r="B20" t="s">
        <v>47</v>
      </c>
      <c r="D20" t="s">
        <v>12</v>
      </c>
      <c r="F20" t="s">
        <v>46</v>
      </c>
      <c r="G20">
        <f>BoardQty*1</f>
        <v>0</v>
      </c>
      <c r="H20" s="11">
        <f>MINA(INDIRECT(ADDRESS(ROW(),COLUMN(digikey_part_data)+2)))</f>
        <v>0</v>
      </c>
      <c r="I20" s="11">
        <f>iferror(G20*H20,"")</f>
        <v>0</v>
      </c>
      <c r="J20">
        <v>44419</v>
      </c>
      <c r="L20" s="11">
        <f>iferror(lookup(if(K20="",G20,K20),{0,1,10,100,500,1000,2000,3000,4000,6000,9000,40000},{0.0,0.1,0.06,0.0267,0.01906,0.01497,0.01362,0.00822,0.01252,0.00757,0.00691,0.00625}),"")</f>
        <v>0</v>
      </c>
      <c r="M20" s="11">
        <f>iferror(if(K20="",G20,K20)*L20,"")</f>
        <v>0</v>
      </c>
      <c r="N20" s="13" t="s">
        <v>214</v>
      </c>
    </row>
    <row r="21" spans="1:14">
      <c r="A21" t="s">
        <v>48</v>
      </c>
      <c r="B21" t="s">
        <v>50</v>
      </c>
      <c r="D21" t="s">
        <v>12</v>
      </c>
      <c r="F21" t="s">
        <v>49</v>
      </c>
      <c r="G21">
        <f>BoardQty*2</f>
        <v>0</v>
      </c>
      <c r="H21" s="11">
        <f>MINA(INDIRECT(ADDRESS(ROW(),COLUMN(digikey_part_data)+2)))</f>
        <v>0</v>
      </c>
      <c r="I21" s="11">
        <f>iferror(G21*H21,"")</f>
        <v>0</v>
      </c>
      <c r="J21">
        <v>4486</v>
      </c>
      <c r="L21" s="11">
        <f>iferror(lookup(if(K21="",G21,K21),{0,1,10,100,500,1000,4000,8000,12000},{0.0,0.1,0.054,0.0241,0.01724,0.01355,0.01134,0.01035,0.00986}),"")</f>
        <v>0</v>
      </c>
      <c r="M21" s="11">
        <f>iferror(if(K21="",G21,K21)*L21,"")</f>
        <v>0</v>
      </c>
      <c r="N21" s="13" t="s">
        <v>215</v>
      </c>
    </row>
    <row r="22" spans="1:14">
      <c r="A22" t="s">
        <v>51</v>
      </c>
      <c r="B22" t="s">
        <v>53</v>
      </c>
      <c r="D22" t="s">
        <v>12</v>
      </c>
      <c r="F22" t="s">
        <v>52</v>
      </c>
      <c r="G22">
        <f>BoardQty*4</f>
        <v>0</v>
      </c>
      <c r="H22" s="11">
        <f>MINA(INDIRECT(ADDRESS(ROW(),COLUMN(digikey_part_data)+2)))</f>
        <v>0</v>
      </c>
      <c r="I22" s="11">
        <f>iferror(G22*H22,"")</f>
        <v>0</v>
      </c>
      <c r="J22">
        <v>156039</v>
      </c>
      <c r="L22" s="11">
        <f>iferror(lookup(if(K22="",G22,K22),{0,1,10,100,500,1000,4000,8000,12000},{0.0,0.1,0.053,0.0235,0.01678,0.01319,0.01103,0.01007,0.00959}),"")</f>
        <v>0</v>
      </c>
      <c r="M22" s="11">
        <f>iferror(if(K22="",G22,K22)*L22,"")</f>
        <v>0</v>
      </c>
      <c r="N22" s="13" t="s">
        <v>216</v>
      </c>
    </row>
    <row r="23" spans="1:14">
      <c r="A23" t="s">
        <v>54</v>
      </c>
      <c r="B23" t="s">
        <v>56</v>
      </c>
      <c r="D23" t="s">
        <v>12</v>
      </c>
      <c r="F23" t="s">
        <v>55</v>
      </c>
      <c r="G23">
        <f>BoardQty*2</f>
        <v>0</v>
      </c>
      <c r="H23" s="11">
        <f>MINA(INDIRECT(ADDRESS(ROW(),COLUMN(digikey_part_data)+2)))</f>
        <v>0</v>
      </c>
      <c r="I23" s="11">
        <f>iferror(G23*H23,"")</f>
        <v>0</v>
      </c>
      <c r="J23">
        <v>205123</v>
      </c>
      <c r="L23" s="11">
        <f>iferror(lookup(if(K23="",G23,K23),{0,1,10,100,500,1000,4000,8000,12000},{0.0,0.1,0.048,0.0216,0.0154,0.0121,0.01012,0.00924,0.0088}),"")</f>
        <v>0</v>
      </c>
      <c r="M23" s="11">
        <f>iferror(if(K23="",G23,K23)*L23,"")</f>
        <v>0</v>
      </c>
      <c r="N23" s="13" t="s">
        <v>217</v>
      </c>
    </row>
    <row r="24" spans="1:14">
      <c r="A24" t="s">
        <v>57</v>
      </c>
      <c r="B24" t="s">
        <v>58</v>
      </c>
      <c r="D24" t="s">
        <v>12</v>
      </c>
      <c r="G24">
        <f>BoardQty*4</f>
        <v>0</v>
      </c>
      <c r="H24" s="11">
        <f>MINA(INDIRECT(ADDRESS(ROW(),COLUMN(digikey_part_data)+2)))</f>
        <v>0</v>
      </c>
      <c r="I24" s="11">
        <f>iferror(G24*H24,"")</f>
        <v>0</v>
      </c>
    </row>
    <row r="25" spans="1:14">
      <c r="A25" t="s">
        <v>59</v>
      </c>
      <c r="B25" t="s">
        <v>60</v>
      </c>
      <c r="G25">
        <f>BoardQty*1</f>
        <v>0</v>
      </c>
      <c r="H25" s="11">
        <f>MINA(INDIRECT(ADDRESS(ROW(),COLUMN(digikey_part_data)+2)))</f>
        <v>0</v>
      </c>
      <c r="I25" s="11">
        <f>iferror(G25*H25,"")</f>
        <v>0</v>
      </c>
    </row>
    <row r="26" spans="1:14">
      <c r="A26" t="s">
        <v>61</v>
      </c>
      <c r="B26" t="s">
        <v>62</v>
      </c>
      <c r="G26">
        <f>BoardQty*1</f>
        <v>0</v>
      </c>
      <c r="H26" s="11">
        <f>MINA(INDIRECT(ADDRESS(ROW(),COLUMN(digikey_part_data)+2)))</f>
        <v>0</v>
      </c>
      <c r="I26" s="11">
        <f>iferror(G26*H26,"")</f>
        <v>0</v>
      </c>
    </row>
    <row r="27" spans="1:14">
      <c r="A27" t="s">
        <v>63</v>
      </c>
      <c r="B27" t="s">
        <v>64</v>
      </c>
      <c r="G27">
        <f>BoardQty*1</f>
        <v>0</v>
      </c>
      <c r="H27" s="11">
        <f>MINA(INDIRECT(ADDRESS(ROW(),COLUMN(digikey_part_data)+2)))</f>
        <v>0</v>
      </c>
      <c r="I27" s="11">
        <f>iferror(G27*H27,"")</f>
        <v>0</v>
      </c>
    </row>
    <row r="28" spans="1:14">
      <c r="A28" t="s">
        <v>65</v>
      </c>
      <c r="B28" t="s">
        <v>68</v>
      </c>
      <c r="D28" t="s">
        <v>67</v>
      </c>
      <c r="F28" t="s">
        <v>66</v>
      </c>
      <c r="G28">
        <f>BoardQty*1</f>
        <v>0</v>
      </c>
      <c r="H28" s="11">
        <f>MINA(INDIRECT(ADDRESS(ROW(),COLUMN(digikey_part_data)+2)))</f>
        <v>0</v>
      </c>
      <c r="I28" s="11">
        <f>iferror(G28*H28,"")</f>
        <v>0</v>
      </c>
      <c r="J28">
        <v>9497</v>
      </c>
      <c r="L28" s="11">
        <f>iferror(lookup(if(K28="",G28,K28),{0,1,10,25,50,100,250,500,1000,2500},{0.0,0.5,0.465,0.4184,0.372,0.3565,0.32552,0.31,0.25575,0.2325}),"")</f>
        <v>0</v>
      </c>
      <c r="M28" s="11">
        <f>iferror(if(K28="",G28,K28)*L28,"")</f>
        <v>0</v>
      </c>
      <c r="N28" s="13" t="s">
        <v>218</v>
      </c>
    </row>
    <row r="29" spans="1:14">
      <c r="A29" t="s">
        <v>69</v>
      </c>
      <c r="B29" t="s">
        <v>70</v>
      </c>
      <c r="G29">
        <f>BoardQty*1</f>
        <v>0</v>
      </c>
      <c r="H29" s="11">
        <f>MINA(INDIRECT(ADDRESS(ROW(),COLUMN(digikey_part_data)+2)))</f>
        <v>0</v>
      </c>
      <c r="I29" s="11">
        <f>iferror(G29*H29,"")</f>
        <v>0</v>
      </c>
    </row>
    <row r="30" spans="1:14">
      <c r="A30" t="s">
        <v>71</v>
      </c>
      <c r="B30" t="s">
        <v>72</v>
      </c>
      <c r="G30">
        <f>BoardQty*1</f>
        <v>0</v>
      </c>
      <c r="H30" s="11">
        <f>MINA(INDIRECT(ADDRESS(ROW(),COLUMN(digikey_part_data)+2)))</f>
        <v>0</v>
      </c>
      <c r="I30" s="11">
        <f>iferror(G30*H30,"")</f>
        <v>0</v>
      </c>
    </row>
    <row r="31" spans="1:14">
      <c r="A31" t="s">
        <v>73</v>
      </c>
      <c r="B31" t="s">
        <v>74</v>
      </c>
      <c r="G31">
        <f>BoardQty*2</f>
        <v>0</v>
      </c>
      <c r="H31" s="11">
        <f>MINA(INDIRECT(ADDRESS(ROW(),COLUMN(digikey_part_data)+2)))</f>
        <v>0</v>
      </c>
      <c r="I31" s="11">
        <f>iferror(G31*H31,"")</f>
        <v>0</v>
      </c>
    </row>
    <row r="32" spans="1:14">
      <c r="A32" t="s">
        <v>75</v>
      </c>
      <c r="B32" t="s">
        <v>76</v>
      </c>
      <c r="G32">
        <f>BoardQty*1</f>
        <v>0</v>
      </c>
      <c r="H32" s="11">
        <f>MINA(INDIRECT(ADDRESS(ROW(),COLUMN(digikey_part_data)+2)))</f>
        <v>0</v>
      </c>
      <c r="I32" s="11">
        <f>iferror(G32*H32,"")</f>
        <v>0</v>
      </c>
    </row>
    <row r="33" spans="1:14">
      <c r="A33" t="s">
        <v>77</v>
      </c>
      <c r="B33" t="s">
        <v>16</v>
      </c>
      <c r="G33">
        <f>BoardQty*1</f>
        <v>0</v>
      </c>
      <c r="H33" s="11">
        <f>MINA(INDIRECT(ADDRESS(ROW(),COLUMN(digikey_part_data)+2)))</f>
        <v>0</v>
      </c>
      <c r="I33" s="11">
        <f>iferror(G33*H33,"")</f>
        <v>0</v>
      </c>
    </row>
    <row r="34" spans="1:14">
      <c r="A34" t="s">
        <v>78</v>
      </c>
      <c r="B34" t="s">
        <v>79</v>
      </c>
      <c r="G34">
        <f>BoardQty*1</f>
        <v>0</v>
      </c>
      <c r="H34" s="11">
        <f>MINA(INDIRECT(ADDRESS(ROW(),COLUMN(digikey_part_data)+2)))</f>
        <v>0</v>
      </c>
      <c r="I34" s="11">
        <f>iferror(G34*H34,"")</f>
        <v>0</v>
      </c>
    </row>
    <row r="35" spans="1:14">
      <c r="A35" t="s">
        <v>80</v>
      </c>
      <c r="B35" t="s">
        <v>24</v>
      </c>
      <c r="G35">
        <f>BoardQty*2</f>
        <v>0</v>
      </c>
      <c r="H35" s="11">
        <f>MINA(INDIRECT(ADDRESS(ROW(),COLUMN(digikey_part_data)+2)))</f>
        <v>0</v>
      </c>
      <c r="I35" s="11">
        <f>iferror(G35*H35,"")</f>
        <v>0</v>
      </c>
    </row>
    <row r="36" spans="1:14">
      <c r="A36" t="s">
        <v>81</v>
      </c>
      <c r="B36" t="s">
        <v>82</v>
      </c>
      <c r="G36">
        <f>BoardQty*1</f>
        <v>0</v>
      </c>
      <c r="H36" s="11">
        <f>MINA(INDIRECT(ADDRESS(ROW(),COLUMN(digikey_part_data)+2)))</f>
        <v>0</v>
      </c>
      <c r="I36" s="11">
        <f>iferror(G36*H36,"")</f>
        <v>0</v>
      </c>
    </row>
    <row r="37" spans="1:14">
      <c r="A37" t="s">
        <v>83</v>
      </c>
      <c r="B37" t="s">
        <v>86</v>
      </c>
      <c r="D37" t="s">
        <v>85</v>
      </c>
      <c r="F37" t="s">
        <v>84</v>
      </c>
      <c r="G37">
        <f>BoardQty*1</f>
        <v>0</v>
      </c>
      <c r="H37" s="11">
        <f>MINA(INDIRECT(ADDRESS(ROW(),COLUMN(digikey_part_data)+2)))</f>
        <v>0</v>
      </c>
      <c r="I37" s="11">
        <f>iferror(G37*H37,"")</f>
        <v>0</v>
      </c>
      <c r="J37">
        <v>134729</v>
      </c>
      <c r="L37" s="11">
        <f>iferror(lookup(if(K37="",G37,K37),{0,1,10,100,1000,2500,5000,10000,25000,50000,125000},{0.0,0.1,0.022,0.0088,0.00396,0.00344,0.00284,0.00247,0.00217,0.00199,0.00195}),"")</f>
        <v>0</v>
      </c>
      <c r="M37" s="11">
        <f>iferror(if(K37="",G37,K37)*L37,"")</f>
        <v>0</v>
      </c>
      <c r="N37" s="13" t="s">
        <v>219</v>
      </c>
    </row>
    <row r="38" spans="1:14">
      <c r="A38" t="s">
        <v>87</v>
      </c>
      <c r="B38" t="s">
        <v>88</v>
      </c>
      <c r="D38" t="s">
        <v>85</v>
      </c>
      <c r="G38">
        <f>BoardQty*1</f>
        <v>0</v>
      </c>
      <c r="H38" s="11">
        <f>MINA(INDIRECT(ADDRESS(ROW(),COLUMN(digikey_part_data)+2)))</f>
        <v>0</v>
      </c>
      <c r="I38" s="11">
        <f>iferror(G38*H38,"")</f>
        <v>0</v>
      </c>
    </row>
    <row r="39" spans="1:14">
      <c r="A39" t="s">
        <v>89</v>
      </c>
      <c r="B39" t="s">
        <v>91</v>
      </c>
      <c r="D39" t="s">
        <v>85</v>
      </c>
      <c r="F39" t="s">
        <v>90</v>
      </c>
      <c r="G39">
        <f>BoardQty*1</f>
        <v>0</v>
      </c>
      <c r="H39" s="11">
        <f>MINA(INDIRECT(ADDRESS(ROW(),COLUMN(digikey_part_data)+2)))</f>
        <v>0</v>
      </c>
      <c r="I39" s="11">
        <f>iferror(G39*H39,"")</f>
        <v>0</v>
      </c>
      <c r="J39">
        <v>60730</v>
      </c>
      <c r="L39" s="11">
        <f>iferror(lookup(if(K39="",G39,K39),{0,1,10,100,1000,2500,5000,10000,25000,50000,125000},{0.0,0.1,0.022,0.0088,0.00396,0.00344,0.00284,0.00247,0.00217,0.00199,0.00195}),"")</f>
        <v>0</v>
      </c>
      <c r="M39" s="11">
        <f>iferror(if(K39="",G39,K39)*L39,"")</f>
        <v>0</v>
      </c>
      <c r="N39" s="13" t="s">
        <v>220</v>
      </c>
    </row>
    <row r="40" spans="1:14">
      <c r="A40" t="s">
        <v>92</v>
      </c>
      <c r="B40" t="s">
        <v>94</v>
      </c>
      <c r="D40" t="s">
        <v>85</v>
      </c>
      <c r="F40" t="s">
        <v>93</v>
      </c>
      <c r="G40">
        <f>BoardQty*1</f>
        <v>0</v>
      </c>
      <c r="H40" s="11">
        <f>MINA(INDIRECT(ADDRESS(ROW(),COLUMN(digikey_part_data)+2)))</f>
        <v>0</v>
      </c>
      <c r="I40" s="11">
        <f>iferror(G40*H40,"")</f>
        <v>0</v>
      </c>
      <c r="J40">
        <v>384478</v>
      </c>
      <c r="L40" s="11">
        <f>iferror(lookup(if(K40="",G40,K40),{0,1,10,100,1000,2500,5000,10000,25000,50000,125000},{0.0,0.1,0.022,0.0088,0.00396,0.00344,0.00284,0.00247,0.00217,0.00199,0.00195}),"")</f>
        <v>0</v>
      </c>
      <c r="M40" s="11">
        <f>iferror(if(K40="",G40,K40)*L40,"")</f>
        <v>0</v>
      </c>
      <c r="N40" s="13" t="s">
        <v>221</v>
      </c>
    </row>
    <row r="41" spans="1:14">
      <c r="A41" t="s">
        <v>95</v>
      </c>
      <c r="B41" t="s">
        <v>97</v>
      </c>
      <c r="D41" t="s">
        <v>85</v>
      </c>
      <c r="F41" t="s">
        <v>96</v>
      </c>
      <c r="G41">
        <f>BoardQty*1</f>
        <v>0</v>
      </c>
      <c r="H41" s="11">
        <f>MINA(INDIRECT(ADDRESS(ROW(),COLUMN(digikey_part_data)+2)))</f>
        <v>0</v>
      </c>
      <c r="I41" s="11">
        <f>iferror(G41*H41,"")</f>
        <v>0</v>
      </c>
      <c r="J41">
        <v>148633</v>
      </c>
      <c r="L41" s="11">
        <f>iferror(lookup(if(K41="",G41,K41),{0,1,10,100,1000,2500,5000,10000,25000,50000,125000},{0.0,0.1,0.022,0.0088,0.00396,0.00344,0.00284,0.00247,0.00217,0.00199,0.00195}),"")</f>
        <v>0</v>
      </c>
      <c r="M41" s="11">
        <f>iferror(if(K41="",G41,K41)*L41,"")</f>
        <v>0</v>
      </c>
      <c r="N41" s="13" t="s">
        <v>222</v>
      </c>
    </row>
    <row r="42" spans="1:14">
      <c r="A42" t="s">
        <v>98</v>
      </c>
      <c r="B42" t="s">
        <v>99</v>
      </c>
      <c r="G42">
        <f>BoardQty*1</f>
        <v>0</v>
      </c>
      <c r="H42" s="11">
        <f>MINA(INDIRECT(ADDRESS(ROW(),COLUMN(digikey_part_data)+2)))</f>
        <v>0</v>
      </c>
      <c r="I42" s="11">
        <f>iferror(G42*H42,"")</f>
        <v>0</v>
      </c>
    </row>
    <row r="43" spans="1:14">
      <c r="A43" t="s">
        <v>100</v>
      </c>
      <c r="B43" t="s">
        <v>102</v>
      </c>
      <c r="D43" t="s">
        <v>85</v>
      </c>
      <c r="F43" t="s">
        <v>101</v>
      </c>
      <c r="G43">
        <f>BoardQty*1</f>
        <v>0</v>
      </c>
      <c r="H43" s="11">
        <f>MINA(INDIRECT(ADDRESS(ROW(),COLUMN(digikey_part_data)+2)))</f>
        <v>0</v>
      </c>
      <c r="I43" s="11">
        <f>iferror(G43*H43,"")</f>
        <v>0</v>
      </c>
      <c r="J43">
        <v>62202</v>
      </c>
      <c r="L43" s="11">
        <f>iferror(lookup(if(K43="",G43,K43),{0,1,10,100,1000,2500,5000,10000,25000,50000,125000},{0.0,0.1,0.022,0.0088,0.00396,0.00344,0.00284,0.00247,0.00217,0.00199,0.00195}),"")</f>
        <v>0</v>
      </c>
      <c r="M43" s="11">
        <f>iferror(if(K43="",G43,K43)*L43,"")</f>
        <v>0</v>
      </c>
      <c r="N43" s="13" t="s">
        <v>223</v>
      </c>
    </row>
    <row r="44" spans="1:14">
      <c r="A44" t="s">
        <v>103</v>
      </c>
      <c r="B44" t="s">
        <v>82</v>
      </c>
      <c r="D44" t="s">
        <v>85</v>
      </c>
      <c r="F44" t="s">
        <v>104</v>
      </c>
      <c r="G44">
        <f>BoardQty*1</f>
        <v>0</v>
      </c>
      <c r="H44" s="11">
        <f>MINA(INDIRECT(ADDRESS(ROW(),COLUMN(digikey_part_data)+2)))</f>
        <v>0</v>
      </c>
      <c r="I44" s="11">
        <f>iferror(G44*H44,"")</f>
        <v>0</v>
      </c>
      <c r="J44">
        <v>7484118</v>
      </c>
      <c r="L44" s="11">
        <f>iferror(lookup(if(K44="",G44,K44),{0,1,10,100,1000,2500,5000,10000,25000,50000,125000},{0.0,0.1,0.022,0.0088,0.00396,0.00344,0.00284,0.00247,0.00217,0.00199,0.00195}),"")</f>
        <v>0</v>
      </c>
      <c r="M44" s="11">
        <f>iferror(if(K44="",G44,K44)*L44,"")</f>
        <v>0</v>
      </c>
      <c r="N44" s="13" t="s">
        <v>224</v>
      </c>
    </row>
    <row r="45" spans="1:14">
      <c r="A45" t="s">
        <v>105</v>
      </c>
      <c r="B45" t="s">
        <v>107</v>
      </c>
      <c r="D45" t="s">
        <v>85</v>
      </c>
      <c r="F45" t="s">
        <v>106</v>
      </c>
      <c r="G45">
        <f>BoardQty*4</f>
        <v>0</v>
      </c>
      <c r="H45" s="11">
        <f>MINA(INDIRECT(ADDRESS(ROW(),COLUMN(digikey_part_data)+2)))</f>
        <v>0</v>
      </c>
      <c r="I45" s="11">
        <f>iferror(G45*H45,"")</f>
        <v>0</v>
      </c>
      <c r="J45">
        <v>506278</v>
      </c>
      <c r="L45" s="11">
        <f>iferror(lookup(if(K45="",G45,K45),{0,1,10,100,1000,2500,5000,10000,25000,50000,125000},{0.0,0.1,0.022,0.0088,0.00396,0.00344,0.00284,0.00247,0.00217,0.00199,0.00195}),"")</f>
        <v>0</v>
      </c>
      <c r="M45" s="11">
        <f>iferror(if(K45="",G45,K45)*L45,"")</f>
        <v>0</v>
      </c>
      <c r="N45" s="13" t="s">
        <v>225</v>
      </c>
    </row>
    <row r="46" spans="1:14">
      <c r="A46" t="s">
        <v>108</v>
      </c>
      <c r="B46" t="s">
        <v>110</v>
      </c>
      <c r="D46" t="s">
        <v>85</v>
      </c>
      <c r="F46" t="s">
        <v>109</v>
      </c>
      <c r="G46">
        <f>BoardQty*4</f>
        <v>0</v>
      </c>
      <c r="H46" s="11">
        <f>MINA(INDIRECT(ADDRESS(ROW(),COLUMN(digikey_part_data)+2)))</f>
        <v>0</v>
      </c>
      <c r="I46" s="11">
        <f>iferror(G46*H46,"")</f>
        <v>0</v>
      </c>
      <c r="J46">
        <v>2108894</v>
      </c>
      <c r="L46" s="11">
        <f>iferror(lookup(if(K46="",G46,K46),{0,1,10,100,1000,2500,5000,10000,25000,50000,125000},{0.0,0.1,0.022,0.0088,0.00396,0.00344,0.00284,0.00247,0.00217,0.00199,0.00195}),"")</f>
        <v>0</v>
      </c>
      <c r="M46" s="11">
        <f>iferror(if(K46="",G46,K46)*L46,"")</f>
        <v>0</v>
      </c>
      <c r="N46" s="13" t="s">
        <v>226</v>
      </c>
    </row>
    <row r="47" spans="1:14">
      <c r="A47" t="s">
        <v>111</v>
      </c>
      <c r="B47" t="s">
        <v>113</v>
      </c>
      <c r="D47" t="s">
        <v>85</v>
      </c>
      <c r="F47" t="s">
        <v>112</v>
      </c>
      <c r="G47">
        <f>BoardQty*4</f>
        <v>0</v>
      </c>
      <c r="H47" s="11">
        <f>MINA(INDIRECT(ADDRESS(ROW(),COLUMN(digikey_part_data)+2)))</f>
        <v>0</v>
      </c>
      <c r="I47" s="11">
        <f>iferror(G47*H47,"")</f>
        <v>0</v>
      </c>
    </row>
    <row r="48" spans="1:14">
      <c r="A48" t="s">
        <v>114</v>
      </c>
      <c r="B48" t="s">
        <v>115</v>
      </c>
      <c r="G48">
        <f>BoardQty*1</f>
        <v>0</v>
      </c>
      <c r="H48" s="11">
        <f>MINA(INDIRECT(ADDRESS(ROW(),COLUMN(digikey_part_data)+2)))</f>
        <v>0</v>
      </c>
      <c r="I48" s="11">
        <f>iferror(G48*H48,"")</f>
        <v>0</v>
      </c>
    </row>
    <row r="49" spans="1:14">
      <c r="A49" t="s">
        <v>116</v>
      </c>
      <c r="B49" t="s">
        <v>118</v>
      </c>
      <c r="D49" t="s">
        <v>85</v>
      </c>
      <c r="F49" t="s">
        <v>117</v>
      </c>
      <c r="G49">
        <f>BoardQty*1</f>
        <v>0</v>
      </c>
      <c r="H49" s="11">
        <f>MINA(INDIRECT(ADDRESS(ROW(),COLUMN(digikey_part_data)+2)))</f>
        <v>0</v>
      </c>
      <c r="I49" s="11">
        <f>iferror(G49*H49,"")</f>
        <v>0</v>
      </c>
      <c r="J49">
        <v>819164</v>
      </c>
      <c r="L49" s="11">
        <f>iferror(lookup(if(K49="",G49,K49),{0,1,10,100,1000,2500,5000,10000,25000,50000,125000},{0.0,0.1,0.022,0.0088,0.00396,0.00344,0.00284,0.00247,0.00217,0.00199,0.00195}),"")</f>
        <v>0</v>
      </c>
      <c r="M49" s="11">
        <f>iferror(if(K49="",G49,K49)*L49,"")</f>
        <v>0</v>
      </c>
      <c r="N49" s="13" t="s">
        <v>227</v>
      </c>
    </row>
    <row r="50" spans="1:14">
      <c r="A50" t="s">
        <v>119</v>
      </c>
      <c r="B50" t="s">
        <v>120</v>
      </c>
      <c r="D50" t="s">
        <v>85</v>
      </c>
      <c r="G50">
        <f>BoardQty*1</f>
        <v>0</v>
      </c>
      <c r="H50" s="11">
        <f>MINA(INDIRECT(ADDRESS(ROW(),COLUMN(digikey_part_data)+2)))</f>
        <v>0</v>
      </c>
      <c r="I50" s="11">
        <f>iferror(G50*H50,"")</f>
        <v>0</v>
      </c>
    </row>
    <row r="51" spans="1:14">
      <c r="A51" t="s">
        <v>121</v>
      </c>
      <c r="B51" t="s">
        <v>123</v>
      </c>
      <c r="F51" t="s">
        <v>122</v>
      </c>
      <c r="G51">
        <f>BoardQty*1</f>
        <v>0</v>
      </c>
      <c r="H51" s="11">
        <f>MINA(INDIRECT(ADDRESS(ROW(),COLUMN(digikey_part_data)+2)))</f>
        <v>0</v>
      </c>
      <c r="I51" s="11">
        <f>iferror(G51*H51,"")</f>
        <v>0</v>
      </c>
    </row>
    <row r="52" spans="1:14">
      <c r="A52" t="s">
        <v>124</v>
      </c>
      <c r="B52" t="s">
        <v>126</v>
      </c>
      <c r="D52" t="s">
        <v>85</v>
      </c>
      <c r="F52" t="s">
        <v>125</v>
      </c>
      <c r="G52">
        <f>BoardQty*2</f>
        <v>0</v>
      </c>
      <c r="H52" s="11">
        <f>MINA(INDIRECT(ADDRESS(ROW(),COLUMN(digikey_part_data)+2)))</f>
        <v>0</v>
      </c>
      <c r="I52" s="11">
        <f>iferror(G52*H52,"")</f>
        <v>0</v>
      </c>
    </row>
    <row r="53" spans="1:14">
      <c r="A53" t="s">
        <v>127</v>
      </c>
      <c r="B53" t="s">
        <v>129</v>
      </c>
      <c r="F53" t="s">
        <v>128</v>
      </c>
      <c r="G53">
        <f>BoardQty*1</f>
        <v>0</v>
      </c>
      <c r="H53" s="11">
        <f>MINA(INDIRECT(ADDRESS(ROW(),COLUMN(digikey_part_data)+2)))</f>
        <v>0</v>
      </c>
      <c r="I53" s="11">
        <f>iferror(G53*H53,"")</f>
        <v>0</v>
      </c>
      <c r="J53">
        <v>238802</v>
      </c>
      <c r="L53" s="11">
        <f>iferror(lookup(if(K53="",G53,K53),{0,1,10,100,1000,2500,5000,10000,25000,50000,125000},{0.0,0.1,0.035,0.0142,0.0064,0.00556,0.00417,0.00362,0.00318,0.00292,0.00286}),"")</f>
        <v>0</v>
      </c>
      <c r="M53" s="11">
        <f>iferror(if(K53="",G53,K53)*L53,"")</f>
        <v>0</v>
      </c>
      <c r="N53" s="13" t="s">
        <v>228</v>
      </c>
    </row>
    <row r="54" spans="1:14">
      <c r="A54" t="s">
        <v>130</v>
      </c>
      <c r="B54" t="s">
        <v>132</v>
      </c>
      <c r="D54" t="s">
        <v>85</v>
      </c>
      <c r="F54" t="s">
        <v>131</v>
      </c>
      <c r="G54">
        <f>BoardQty*6</f>
        <v>0</v>
      </c>
      <c r="H54" s="11">
        <f>MINA(INDIRECT(ADDRESS(ROW(),COLUMN(digikey_part_data)+2)))</f>
        <v>0</v>
      </c>
      <c r="I54" s="11">
        <f>iferror(G54*H54,"")</f>
        <v>0</v>
      </c>
      <c r="J54">
        <v>3612327</v>
      </c>
      <c r="L54" s="11">
        <f>iferror(lookup(if(K54="",G54,K54),{0,1,10,100,1000,2500,5000,10000,25000,50000,125000},{0.0,0.1,0.022,0.0088,0.00396,0.00344,0.00284,0.00247,0.00217,0.00199,0.00195}),"")</f>
        <v>0</v>
      </c>
      <c r="M54" s="11">
        <f>iferror(if(K54="",G54,K54)*L54,"")</f>
        <v>0</v>
      </c>
      <c r="N54" s="13" t="s">
        <v>229</v>
      </c>
    </row>
    <row r="55" spans="1:14">
      <c r="A55" t="s">
        <v>133</v>
      </c>
      <c r="B55" t="s">
        <v>115</v>
      </c>
      <c r="D55" t="s">
        <v>85</v>
      </c>
      <c r="F55" t="s">
        <v>134</v>
      </c>
      <c r="G55">
        <f>BoardQty*3</f>
        <v>0</v>
      </c>
      <c r="H55" s="11">
        <f>MINA(INDIRECT(ADDRESS(ROW(),COLUMN(digikey_part_data)+2)))</f>
        <v>0</v>
      </c>
      <c r="I55" s="11">
        <f>iferror(G55*H55,"")</f>
        <v>0</v>
      </c>
    </row>
    <row r="56" spans="1:14">
      <c r="A56" t="s">
        <v>135</v>
      </c>
      <c r="B56" t="s">
        <v>123</v>
      </c>
      <c r="D56" t="s">
        <v>85</v>
      </c>
      <c r="G56">
        <f>BoardQty*4</f>
        <v>0</v>
      </c>
      <c r="H56" s="11">
        <f>MINA(INDIRECT(ADDRESS(ROW(),COLUMN(digikey_part_data)+2)))</f>
        <v>0</v>
      </c>
      <c r="I56" s="11">
        <f>iferror(G56*H56,"")</f>
        <v>0</v>
      </c>
    </row>
    <row r="57" spans="1:14">
      <c r="A57" t="s">
        <v>136</v>
      </c>
      <c r="B57" t="s">
        <v>137</v>
      </c>
      <c r="G57">
        <f>BoardQty*1</f>
        <v>0</v>
      </c>
      <c r="H57" s="11">
        <f>MINA(INDIRECT(ADDRESS(ROW(),COLUMN(digikey_part_data)+2)))</f>
        <v>0</v>
      </c>
      <c r="I57" s="11">
        <f>iferror(G57*H57,"")</f>
        <v>0</v>
      </c>
    </row>
    <row r="58" spans="1:14">
      <c r="A58" t="s">
        <v>138</v>
      </c>
      <c r="B58" t="s">
        <v>139</v>
      </c>
      <c r="F58" t="s">
        <v>139</v>
      </c>
      <c r="G58">
        <f>BoardQty*1</f>
        <v>0</v>
      </c>
      <c r="H58" s="11">
        <f>MINA(INDIRECT(ADDRESS(ROW(),COLUMN(digikey_part_data)+2)))</f>
        <v>0</v>
      </c>
      <c r="I58" s="11">
        <f>iferror(G58*H58,"")</f>
        <v>0</v>
      </c>
    </row>
    <row r="59" spans="1:14">
      <c r="A59" t="s">
        <v>140</v>
      </c>
      <c r="B59" t="s">
        <v>143</v>
      </c>
      <c r="D59" t="s">
        <v>142</v>
      </c>
      <c r="F59" t="s">
        <v>141</v>
      </c>
      <c r="G59">
        <f>BoardQty*1</f>
        <v>0</v>
      </c>
      <c r="H59" s="11">
        <f>MINA(INDIRECT(ADDRESS(ROW(),COLUMN(digikey_part_data)+2)))</f>
        <v>0</v>
      </c>
      <c r="I59" s="11">
        <f>iferror(G59*H59,"")</f>
        <v>0</v>
      </c>
      <c r="J59">
        <v>14329</v>
      </c>
      <c r="L59" s="11">
        <f>iferror(lookup(if(K59="",G59,K59),{0,1,10,100,500,1000,2500,5000,12500,25000,62500,125000},{0.0,0.38,0.305,0.2076,0.15574,0.1168,0.10395,0.09765,0.09135,0.08379,0.08064,0.07749}),"")</f>
        <v>0</v>
      </c>
      <c r="M59" s="11">
        <f>iferror(if(K59="",G59,K59)*L59,"")</f>
        <v>0</v>
      </c>
      <c r="N59" s="13" t="s">
        <v>230</v>
      </c>
    </row>
    <row r="60" spans="1:14">
      <c r="A60" t="s">
        <v>144</v>
      </c>
      <c r="B60" t="s">
        <v>146</v>
      </c>
      <c r="D60" t="s">
        <v>142</v>
      </c>
      <c r="F60" t="s">
        <v>145</v>
      </c>
      <c r="G60">
        <f>BoardQty*1</f>
        <v>0</v>
      </c>
      <c r="H60" s="11">
        <f>MINA(INDIRECT(ADDRESS(ROW(),COLUMN(digikey_part_data)+2)))</f>
        <v>0</v>
      </c>
      <c r="I60" s="11">
        <f>iferror(G60*H60,"")</f>
        <v>0</v>
      </c>
      <c r="J60">
        <v>8907</v>
      </c>
      <c r="L60" s="11">
        <f>iferror(lookup(if(K60="",G60,K60),{0,1,10,100,500,1000,2500,5000,12500,25000,62500},{0.0,0.4,0.326,0.2218,0.16632,0.12474,0.11385,0.10695,0.10005,0.09177,0.08832}),"")</f>
        <v>0</v>
      </c>
      <c r="M60" s="11">
        <f>iferror(if(K60="",G60,K60)*L60,"")</f>
        <v>0</v>
      </c>
      <c r="N60" s="13" t="s">
        <v>231</v>
      </c>
    </row>
    <row r="61" spans="1:14">
      <c r="A61" t="s">
        <v>147</v>
      </c>
      <c r="B61" t="s">
        <v>149</v>
      </c>
      <c r="F61" t="s">
        <v>148</v>
      </c>
      <c r="G61">
        <f>BoardQty*2</f>
        <v>0</v>
      </c>
      <c r="H61" s="11">
        <f>MINA(INDIRECT(ADDRESS(ROW(),COLUMN(digikey_part_data)+2)))</f>
        <v>0</v>
      </c>
      <c r="I61" s="11">
        <f>iferror(G61*H61,"")</f>
        <v>0</v>
      </c>
      <c r="J61">
        <v>1399</v>
      </c>
      <c r="L61" s="11">
        <f>iferror(lookup(if(K61="",G61,K61),{0,1,10,100,250,500,1000,1250,3000,6000,15000},{0.0,1.54,1.381,1.1101,1.012,0.86108,0.6798,0.7337,0.616,0.5852,0.5632}),"")</f>
        <v>0</v>
      </c>
      <c r="M61" s="11">
        <f>iferror(if(K61="",G61,K61)*L61,"")</f>
        <v>0</v>
      </c>
      <c r="N61" s="13" t="s">
        <v>232</v>
      </c>
    </row>
    <row r="62" spans="1:14">
      <c r="A62" t="s">
        <v>150</v>
      </c>
      <c r="B62" t="s">
        <v>152</v>
      </c>
      <c r="F62" t="s">
        <v>151</v>
      </c>
      <c r="G62">
        <f>BoardQty*1</f>
        <v>0</v>
      </c>
      <c r="H62" s="11">
        <f>MINA(INDIRECT(ADDRESS(ROW(),COLUMN(digikey_part_data)+2)))</f>
        <v>0</v>
      </c>
      <c r="I62" s="11">
        <f>iferror(G62*H62,"")</f>
        <v>0</v>
      </c>
      <c r="J62">
        <v>16863</v>
      </c>
      <c r="L62" s="11">
        <f>iferror(lookup(if(K62="",G62,K62),{0,1,10,25,100,250,500,1000,2000,5000},{0.0,2.83,2.524,2.2712,2.0693,1.8674,1.6756,1.421,1.323,1.274}),"")</f>
        <v>0</v>
      </c>
      <c r="M62" s="11">
        <f>iferror(if(K62="",G62,K62)*L62,"")</f>
        <v>0</v>
      </c>
      <c r="N62" s="13" t="s">
        <v>233</v>
      </c>
    </row>
    <row r="63" spans="1:14">
      <c r="A63" t="s">
        <v>153</v>
      </c>
      <c r="B63" t="s">
        <v>155</v>
      </c>
      <c r="D63" t="s">
        <v>142</v>
      </c>
      <c r="F63" t="s">
        <v>154</v>
      </c>
      <c r="G63">
        <f>BoardQty*2</f>
        <v>0</v>
      </c>
      <c r="H63" s="11">
        <f>MINA(INDIRECT(ADDRESS(ROW(),COLUMN(digikey_part_data)+2)))</f>
        <v>0</v>
      </c>
      <c r="I63" s="11">
        <f>iferror(G63*H63,"")</f>
        <v>0</v>
      </c>
      <c r="J63">
        <v>4247</v>
      </c>
      <c r="L63" s="11">
        <f>iferror(lookup(if(K63="",G63,K63),{0,1,10,100,500,1000,2500,5000,12500},{0.0,0.88,0.787,0.6136,0.50686,0.40016,0.3626,0.34447,0.33152}),"")</f>
        <v>0</v>
      </c>
      <c r="M63" s="11">
        <f>iferror(if(K63="",G63,K63)*L63,"")</f>
        <v>0</v>
      </c>
      <c r="N63" s="13" t="s">
        <v>234</v>
      </c>
    </row>
    <row r="64" spans="1:14">
      <c r="A64" t="s">
        <v>156</v>
      </c>
      <c r="B64" t="s">
        <v>158</v>
      </c>
      <c r="D64" t="s">
        <v>142</v>
      </c>
      <c r="F64" t="s">
        <v>157</v>
      </c>
      <c r="G64">
        <f>BoardQty*2</f>
        <v>0</v>
      </c>
      <c r="H64" s="11">
        <f>MINA(INDIRECT(ADDRESS(ROW(),COLUMN(digikey_part_data)+2)))</f>
        <v>0</v>
      </c>
      <c r="I64" s="11">
        <f>iferror(G64*H64,"")</f>
        <v>0</v>
      </c>
      <c r="J64">
        <v>5123</v>
      </c>
      <c r="L64" s="11">
        <f>iferror(lookup(if(K64="",G64,K64),{0,1,10,100,500,1000,2500},{0.0,5.03,4.518,3.7017,3.15116,2.65761,2.30375}),"")</f>
        <v>0</v>
      </c>
      <c r="M64" s="11">
        <f>iferror(if(K64="",G64,K64)*L64,"")</f>
        <v>0</v>
      </c>
      <c r="N64" s="13" t="s">
        <v>235</v>
      </c>
    </row>
    <row r="65" spans="1:14">
      <c r="A65" t="s">
        <v>159</v>
      </c>
      <c r="B65" t="s">
        <v>161</v>
      </c>
      <c r="F65" t="s">
        <v>160</v>
      </c>
      <c r="G65">
        <f>BoardQty*1</f>
        <v>0</v>
      </c>
      <c r="H65" s="11">
        <f>MINA(INDIRECT(ADDRESS(ROW(),COLUMN(digikey_part_data)+2)))</f>
        <v>0</v>
      </c>
      <c r="I65" s="11">
        <f>iferror(G65*H65,"")</f>
        <v>0</v>
      </c>
      <c r="J65">
        <v>3836</v>
      </c>
      <c r="L65" s="11">
        <f>iferror(lookup(if(K65="",G65,K65),{0,1,10,100,500,1000,2000},{0.0,5.53,4.964,4.0672,3.46234,2.92005,2.53125}),"")</f>
        <v>0</v>
      </c>
      <c r="M65" s="11">
        <f>iferror(if(K65="",G65,K65)*L65,"")</f>
        <v>0</v>
      </c>
      <c r="N65" s="13" t="s">
        <v>236</v>
      </c>
    </row>
    <row r="66" spans="1:14">
      <c r="A66" t="s">
        <v>162</v>
      </c>
      <c r="B66" t="s">
        <v>164</v>
      </c>
      <c r="F66" t="s">
        <v>163</v>
      </c>
      <c r="G66">
        <f>BoardQty*1</f>
        <v>0</v>
      </c>
      <c r="H66" s="11">
        <f>MINA(INDIRECT(ADDRESS(ROW(),COLUMN(digikey_part_data)+2)))</f>
        <v>0</v>
      </c>
      <c r="I66" s="11">
        <f>iferror(G66*H66,"")</f>
        <v>0</v>
      </c>
      <c r="J66">
        <v>6700</v>
      </c>
      <c r="L66" s="11">
        <f>iferror(lookup(if(K66="",G66,K66),{0,1,10,100,500,1000,2500,5000,12500},{0.0,0.36,0.295,0.2011,0.1508,0.11309,0.10065,0.09455,0.08845}),"")</f>
        <v>0</v>
      </c>
      <c r="M66" s="11">
        <f>iferror(if(K66="",G66,K66)*L66,"")</f>
        <v>0</v>
      </c>
      <c r="N66" s="13" t="s">
        <v>237</v>
      </c>
    </row>
    <row r="67" spans="1:14">
      <c r="A67" t="s">
        <v>165</v>
      </c>
      <c r="B67" t="s">
        <v>168</v>
      </c>
      <c r="D67" t="s">
        <v>167</v>
      </c>
      <c r="F67" t="s">
        <v>166</v>
      </c>
      <c r="G67">
        <f>BoardQty*1</f>
        <v>0</v>
      </c>
      <c r="H67" s="11">
        <f>MINA(INDIRECT(ADDRESS(ROW(),COLUMN(digikey_part_data)+2)))</f>
        <v>0</v>
      </c>
      <c r="I67" s="11">
        <f>iferror(G67*H67,"")</f>
        <v>0</v>
      </c>
      <c r="J67">
        <v>731</v>
      </c>
      <c r="L67" s="11">
        <f>iferror(lookup(if(K67="",G67,K67),{0,1,10,25,100,250,500,1000},{0.0,14.3,13.0,12.0252,11.05,10.075,9.425,8.645}),"")</f>
        <v>0</v>
      </c>
      <c r="M67" s="11">
        <f>iferror(if(K67="",G67,K67)*L67,"")</f>
        <v>0</v>
      </c>
      <c r="N67" s="13" t="s">
        <v>238</v>
      </c>
    </row>
    <row r="68" spans="1:14">
      <c r="A68" t="s">
        <v>169</v>
      </c>
      <c r="B68" t="s">
        <v>170</v>
      </c>
      <c r="F68" t="s">
        <v>170</v>
      </c>
      <c r="G68">
        <f>BoardQty*1</f>
        <v>0</v>
      </c>
      <c r="H68" s="11">
        <f>MINA(INDIRECT(ADDRESS(ROW(),COLUMN(digikey_part_data)+2)))</f>
        <v>0</v>
      </c>
      <c r="I68" s="11">
        <f>iferror(G68*H68,"")</f>
        <v>0</v>
      </c>
      <c r="J68">
        <v>14846</v>
      </c>
      <c r="L68" s="11">
        <f>iferror(lookup(if(K68="",G68,K68),{0,1,10,100,500,1000,3000,6000,15000,30000},{0.0,0.48,0.413,0.3086,0.24246,0.18736,0.16585,0.15515,0.14445,0.13696}),"")</f>
        <v>0</v>
      </c>
      <c r="M68" s="11">
        <f>iferror(if(K68="",G68,K68)*L68,"")</f>
        <v>0</v>
      </c>
      <c r="N68" s="13" t="s">
        <v>239</v>
      </c>
    </row>
    <row r="69" spans="1:14">
      <c r="A69" t="s">
        <v>171</v>
      </c>
      <c r="B69" t="s">
        <v>173</v>
      </c>
      <c r="F69" t="s">
        <v>172</v>
      </c>
      <c r="G69">
        <f>BoardQty*1</f>
        <v>0</v>
      </c>
      <c r="H69" s="11">
        <f>MINA(INDIRECT(ADDRESS(ROW(),COLUMN(digikey_part_data)+2)))</f>
        <v>0</v>
      </c>
      <c r="I69" s="11">
        <f>iferror(G69*H69,"")</f>
        <v>0</v>
      </c>
      <c r="J69">
        <v>6476</v>
      </c>
      <c r="L69" s="11">
        <f>iferror(lookup(if(K69="",G69,K69),{0,1,10,100,500,1000,2500,3150,5000,12500},{0.0,0.4,0.324,0.2208,0.16562,0.12422,0.11055,0.132,0.10385,0.09715}),"")</f>
        <v>0</v>
      </c>
      <c r="M69" s="11">
        <f>iferror(if(K69="",G69,K69)*L69,"")</f>
        <v>0</v>
      </c>
      <c r="N69" s="13" t="s">
        <v>240</v>
      </c>
    </row>
    <row r="70" spans="1:14">
      <c r="A70" t="s">
        <v>174</v>
      </c>
      <c r="B70" t="s">
        <v>176</v>
      </c>
      <c r="F70" t="s">
        <v>175</v>
      </c>
      <c r="G70">
        <f>BoardQty*1</f>
        <v>0</v>
      </c>
      <c r="H70" s="11">
        <f>MINA(INDIRECT(ADDRESS(ROW(),COLUMN(digikey_part_data)+2)))</f>
        <v>0</v>
      </c>
      <c r="I70" s="11">
        <f>iferror(G70*H70,"")</f>
        <v>0</v>
      </c>
    </row>
    <row r="71" spans="1:14">
      <c r="A71" t="s">
        <v>177</v>
      </c>
      <c r="B71" t="s">
        <v>179</v>
      </c>
      <c r="F71" t="s">
        <v>178</v>
      </c>
      <c r="G71">
        <f>BoardQty*1</f>
        <v>0</v>
      </c>
      <c r="H71" s="11">
        <f>MINA(INDIRECT(ADDRESS(ROW(),COLUMN(digikey_part_data)+2)))</f>
        <v>0</v>
      </c>
      <c r="I71" s="11">
        <f>iferror(G71*H71,"")</f>
        <v>0</v>
      </c>
      <c r="J71">
        <v>18103</v>
      </c>
      <c r="L71" s="11">
        <f>iferror(lookup(if(K71="",G71,K71),{0,1,10,100,500,1000,3000},{0.0,1.64,1.474,1.1847,0.97336,0.80649,0.675}),"")</f>
        <v>0</v>
      </c>
      <c r="M71" s="11">
        <f>iferror(if(K71="",G71,K71)*L71,"")</f>
        <v>0</v>
      </c>
      <c r="N71" s="13" t="s">
        <v>241</v>
      </c>
    </row>
    <row r="72" spans="1:14">
      <c r="A72" t="s">
        <v>180</v>
      </c>
      <c r="B72" t="s">
        <v>182</v>
      </c>
      <c r="F72" t="s">
        <v>181</v>
      </c>
      <c r="G72">
        <f>BoardQty*1</f>
        <v>0</v>
      </c>
      <c r="H72" s="11">
        <f>MINA(INDIRECT(ADDRESS(ROW(),COLUMN(digikey_part_data)+2)))</f>
        <v>0</v>
      </c>
      <c r="I72" s="11">
        <f>iferror(G72*H72,"")</f>
        <v>0</v>
      </c>
      <c r="J72">
        <v>2132</v>
      </c>
      <c r="L72" s="11">
        <f>iferror(lookup(if(K72="",G72,K72),{0,1,10,100,180,250,500,1000,1250,2000},{0.0,3.93,3.53,2.8922,3.36961,3.0636,2.46212,2.07648,2.07,1.8}),"")</f>
        <v>0</v>
      </c>
      <c r="M72" s="11">
        <f>iferror(if(K72="",G72,K72)*L72,"")</f>
        <v>0</v>
      </c>
      <c r="N72" s="13" t="s">
        <v>242</v>
      </c>
    </row>
    <row r="73" spans="1:14">
      <c r="A73" t="s">
        <v>183</v>
      </c>
      <c r="B73" t="s">
        <v>185</v>
      </c>
      <c r="D73" t="s">
        <v>142</v>
      </c>
      <c r="F73" t="s">
        <v>184</v>
      </c>
      <c r="G73">
        <f>BoardQty*1</f>
        <v>0</v>
      </c>
      <c r="H73" s="11">
        <f>MINA(INDIRECT(ADDRESS(ROW(),COLUMN(digikey_part_data)+2)))</f>
        <v>0</v>
      </c>
      <c r="I73" s="11">
        <f>iferror(G73*H73,"")</f>
        <v>0</v>
      </c>
      <c r="J73">
        <v>493</v>
      </c>
      <c r="L73" s="11">
        <f>iferror(lookup(if(K73="",G73,K73),{0,1,10,100,500,1000,2500,5000,12500,25000,62500,125000},{0.0,0.36,0.295,0.2011,0.1508,0.11309,0.10065,0.09455,0.08845,0.08113,0.07808,0.07503}),"")</f>
        <v>0</v>
      </c>
      <c r="M73" s="11">
        <f>iferror(if(K73="",G73,K73)*L73,"")</f>
        <v>0</v>
      </c>
      <c r="N73" s="13" t="s">
        <v>243</v>
      </c>
    </row>
    <row r="74" spans="1:14">
      <c r="A74" t="s">
        <v>186</v>
      </c>
      <c r="B74" t="s">
        <v>188</v>
      </c>
      <c r="D74" t="s">
        <v>187</v>
      </c>
      <c r="G74">
        <f>BoardQty*1</f>
        <v>0</v>
      </c>
      <c r="H74" s="11">
        <f>MINA(INDIRECT(ADDRESS(ROW(),COLUMN(digikey_part_data)+2)))</f>
        <v>0</v>
      </c>
      <c r="I74" s="11">
        <f>iferror(G74*H74,"")</f>
        <v>0</v>
      </c>
    </row>
    <row r="75" spans="1:14">
      <c r="A75" t="s">
        <v>189</v>
      </c>
      <c r="B75" t="s">
        <v>190</v>
      </c>
      <c r="D75" t="s">
        <v>187</v>
      </c>
      <c r="G75">
        <f>BoardQty*1</f>
        <v>0</v>
      </c>
      <c r="H75" s="11">
        <f>MINA(INDIRECT(ADDRESS(ROW(),COLUMN(digikey_part_data)+2)))</f>
        <v>0</v>
      </c>
      <c r="I75" s="11">
        <f>iferror(G75*H75,"")</f>
        <v>0</v>
      </c>
    </row>
    <row r="76" spans="1:14">
      <c r="A76" t="s">
        <v>191</v>
      </c>
      <c r="B76" t="s">
        <v>192</v>
      </c>
      <c r="D76" t="s">
        <v>187</v>
      </c>
      <c r="G76">
        <f>BoardQty*1</f>
        <v>0</v>
      </c>
      <c r="H76" s="11">
        <f>MINA(INDIRECT(ADDRESS(ROW(),COLUMN(digikey_part_data)+2)))</f>
        <v>0</v>
      </c>
      <c r="I76" s="11">
        <f>iferror(G76*H76,"")</f>
        <v>0</v>
      </c>
    </row>
    <row r="78" spans="1:14">
      <c r="K78" s="7">
        <f>IFERROR(IF(OR(K7:K76),COUNTIF(K7:K76,"&gt;0")&amp;" of "&amp;ROWS(K7:K76)&amp;" parts purchased",""),"")</f>
        <v>0</v>
      </c>
    </row>
    <row r="79" spans="1:14">
      <c r="K79">
        <f t="array" ref="K79">IFERROR(CONCATENATE(TEXT(INDEX($K$7:$K$76,SMALL(IF($N$7:$N$76&lt;&gt;"",IF($K$7:$K$76&lt;&gt;"",ROW($K$7:$K$76)-MIN(ROW($K$7:$K$76))+1,""),""),ROW()-ROW(A$79)+1)),"##0"),","),"")</f>
        <v>0</v>
      </c>
      <c r="L79">
        <f t="array" ref="L79">IFERROR(CONCATENATE((INDEX($N$7:$N$76,SMALL(IF($N$7:$N$76&lt;&gt;"",IF($K$7:$K$76&lt;&gt;"",ROW($K$7:$K$76)-MIN(ROW($K$7:$K$76))+1,""),""),ROW()-ROW(A$79)+1))),","),"")</f>
        <v>0</v>
      </c>
      <c r="M79">
        <f t="array" ref="M79">IFERROR(CONCATENATE((INDEX($A$7:$A$76,SMALL(IF($N$7:$N$76&lt;&gt;"",IF($K$7:$K$76&lt;&gt;"",ROW($K$7:$K$76)-MIN(ROW($K$7:$K$76))+1,""),""),ROW()-ROW(A$79)+1))),),"")</f>
        <v>0</v>
      </c>
    </row>
    <row r="80" spans="1:14">
      <c r="K80">
        <f t="array" ref="K80">IFERROR(CONCATENATE(TEXT(INDEX($K$7:$K$76,SMALL(IF($N$7:$N$76&lt;&gt;"",IF($K$7:$K$76&lt;&gt;"",ROW($K$7:$K$76)-MIN(ROW($K$7:$K$76))+1,""),""),ROW()-ROW(A$79)+1)),"##0"),","),"")</f>
        <v>0</v>
      </c>
      <c r="L80">
        <f t="array" ref="L80">IFERROR(CONCATENATE((INDEX($N$7:$N$76,SMALL(IF($N$7:$N$76&lt;&gt;"",IF($K$7:$K$76&lt;&gt;"",ROW($K$7:$K$76)-MIN(ROW($K$7:$K$76))+1,""),""),ROW()-ROW(A$79)+1))),","),"")</f>
        <v>0</v>
      </c>
      <c r="M80">
        <f t="array" ref="M80">IFERROR(CONCATENATE((INDEX($A$7:$A$76,SMALL(IF($N$7:$N$76&lt;&gt;"",IF($K$7:$K$76&lt;&gt;"",ROW($K$7:$K$76)-MIN(ROW($K$7:$K$76))+1,""),""),ROW()-ROW(A$79)+1))),),"")</f>
        <v>0</v>
      </c>
    </row>
    <row r="81" spans="11:13">
      <c r="K81">
        <f t="array" ref="K81">IFERROR(CONCATENATE(TEXT(INDEX($K$7:$K$76,SMALL(IF($N$7:$N$76&lt;&gt;"",IF($K$7:$K$76&lt;&gt;"",ROW($K$7:$K$76)-MIN(ROW($K$7:$K$76))+1,""),""),ROW()-ROW(A$79)+1)),"##0"),","),"")</f>
        <v>0</v>
      </c>
      <c r="L81">
        <f t="array" ref="L81">IFERROR(CONCATENATE((INDEX($N$7:$N$76,SMALL(IF($N$7:$N$76&lt;&gt;"",IF($K$7:$K$76&lt;&gt;"",ROW($K$7:$K$76)-MIN(ROW($K$7:$K$76))+1,""),""),ROW()-ROW(A$79)+1))),","),"")</f>
        <v>0</v>
      </c>
      <c r="M81">
        <f t="array" ref="M81">IFERROR(CONCATENATE((INDEX($A$7:$A$76,SMALL(IF($N$7:$N$76&lt;&gt;"",IF($K$7:$K$76&lt;&gt;"",ROW($K$7:$K$76)-MIN(ROW($K$7:$K$76))+1,""),""),ROW()-ROW(A$79)+1))),),"")</f>
        <v>0</v>
      </c>
    </row>
    <row r="82" spans="11:13">
      <c r="K82">
        <f t="array" ref="K82">IFERROR(CONCATENATE(TEXT(INDEX($K$7:$K$76,SMALL(IF($N$7:$N$76&lt;&gt;"",IF($K$7:$K$76&lt;&gt;"",ROW($K$7:$K$76)-MIN(ROW($K$7:$K$76))+1,""),""),ROW()-ROW(A$79)+1)),"##0"),","),"")</f>
        <v>0</v>
      </c>
      <c r="L82">
        <f t="array" ref="L82">IFERROR(CONCATENATE((INDEX($N$7:$N$76,SMALL(IF($N$7:$N$76&lt;&gt;"",IF($K$7:$K$76&lt;&gt;"",ROW($K$7:$K$76)-MIN(ROW($K$7:$K$76))+1,""),""),ROW()-ROW(A$79)+1))),","),"")</f>
        <v>0</v>
      </c>
      <c r="M82">
        <f t="array" ref="M82">IFERROR(CONCATENATE((INDEX($A$7:$A$76,SMALL(IF($N$7:$N$76&lt;&gt;"",IF($K$7:$K$76&lt;&gt;"",ROW($K$7:$K$76)-MIN(ROW($K$7:$K$76))+1,""),""),ROW()-ROW(A$79)+1))),),"")</f>
        <v>0</v>
      </c>
    </row>
    <row r="83" spans="11:13">
      <c r="K83">
        <f t="array" ref="K83">IFERROR(CONCATENATE(TEXT(INDEX($K$7:$K$76,SMALL(IF($N$7:$N$76&lt;&gt;"",IF($K$7:$K$76&lt;&gt;"",ROW($K$7:$K$76)-MIN(ROW($K$7:$K$76))+1,""),""),ROW()-ROW(A$79)+1)),"##0"),","),"")</f>
        <v>0</v>
      </c>
      <c r="L83">
        <f t="array" ref="L83">IFERROR(CONCATENATE((INDEX($N$7:$N$76,SMALL(IF($N$7:$N$76&lt;&gt;"",IF($K$7:$K$76&lt;&gt;"",ROW($K$7:$K$76)-MIN(ROW($K$7:$K$76))+1,""),""),ROW()-ROW(A$79)+1))),","),"")</f>
        <v>0</v>
      </c>
      <c r="M83">
        <f t="array" ref="M83">IFERROR(CONCATENATE((INDEX($A$7:$A$76,SMALL(IF($N$7:$N$76&lt;&gt;"",IF($K$7:$K$76&lt;&gt;"",ROW($K$7:$K$76)-MIN(ROW($K$7:$K$76))+1,""),""),ROW()-ROW(A$79)+1))),),"")</f>
        <v>0</v>
      </c>
    </row>
    <row r="84" spans="11:13">
      <c r="K84">
        <f t="array" ref="K84">IFERROR(CONCATENATE(TEXT(INDEX($K$7:$K$76,SMALL(IF($N$7:$N$76&lt;&gt;"",IF($K$7:$K$76&lt;&gt;"",ROW($K$7:$K$76)-MIN(ROW($K$7:$K$76))+1,""),""),ROW()-ROW(A$79)+1)),"##0"),","),"")</f>
        <v>0</v>
      </c>
      <c r="L84">
        <f t="array" ref="L84">IFERROR(CONCATENATE((INDEX($N$7:$N$76,SMALL(IF($N$7:$N$76&lt;&gt;"",IF($K$7:$K$76&lt;&gt;"",ROW($K$7:$K$76)-MIN(ROW($K$7:$K$76))+1,""),""),ROW()-ROW(A$79)+1))),","),"")</f>
        <v>0</v>
      </c>
      <c r="M84">
        <f t="array" ref="M84">IFERROR(CONCATENATE((INDEX($A$7:$A$76,SMALL(IF($N$7:$N$76&lt;&gt;"",IF($K$7:$K$76&lt;&gt;"",ROW($K$7:$K$76)-MIN(ROW($K$7:$K$76))+1,""),""),ROW()-ROW(A$79)+1))),),"")</f>
        <v>0</v>
      </c>
    </row>
    <row r="85" spans="11:13">
      <c r="K85">
        <f t="array" ref="K85">IFERROR(CONCATENATE(TEXT(INDEX($K$7:$K$76,SMALL(IF($N$7:$N$76&lt;&gt;"",IF($K$7:$K$76&lt;&gt;"",ROW($K$7:$K$76)-MIN(ROW($K$7:$K$76))+1,""),""),ROW()-ROW(A$79)+1)),"##0"),","),"")</f>
        <v>0</v>
      </c>
      <c r="L85">
        <f t="array" ref="L85">IFERROR(CONCATENATE((INDEX($N$7:$N$76,SMALL(IF($N$7:$N$76&lt;&gt;"",IF($K$7:$K$76&lt;&gt;"",ROW($K$7:$K$76)-MIN(ROW($K$7:$K$76))+1,""),""),ROW()-ROW(A$79)+1))),","),"")</f>
        <v>0</v>
      </c>
      <c r="M85">
        <f t="array" ref="M85">IFERROR(CONCATENATE((INDEX($A$7:$A$76,SMALL(IF($N$7:$N$76&lt;&gt;"",IF($K$7:$K$76&lt;&gt;"",ROW($K$7:$K$76)-MIN(ROW($K$7:$K$76))+1,""),""),ROW()-ROW(A$79)+1))),),"")</f>
        <v>0</v>
      </c>
    </row>
    <row r="86" spans="11:13">
      <c r="K86">
        <f t="array" ref="K86">IFERROR(CONCATENATE(TEXT(INDEX($K$7:$K$76,SMALL(IF($N$7:$N$76&lt;&gt;"",IF($K$7:$K$76&lt;&gt;"",ROW($K$7:$K$76)-MIN(ROW($K$7:$K$76))+1,""),""),ROW()-ROW(A$79)+1)),"##0"),","),"")</f>
        <v>0</v>
      </c>
      <c r="L86">
        <f t="array" ref="L86">IFERROR(CONCATENATE((INDEX($N$7:$N$76,SMALL(IF($N$7:$N$76&lt;&gt;"",IF($K$7:$K$76&lt;&gt;"",ROW($K$7:$K$76)-MIN(ROW($K$7:$K$76))+1,""),""),ROW()-ROW(A$79)+1))),","),"")</f>
        <v>0</v>
      </c>
      <c r="M86">
        <f t="array" ref="M86">IFERROR(CONCATENATE((INDEX($A$7:$A$76,SMALL(IF($N$7:$N$76&lt;&gt;"",IF($K$7:$K$76&lt;&gt;"",ROW($K$7:$K$76)-MIN(ROW($K$7:$K$76))+1,""),""),ROW()-ROW(A$79)+1))),),"")</f>
        <v>0</v>
      </c>
    </row>
    <row r="87" spans="11:13">
      <c r="K87">
        <f t="array" ref="K87">IFERROR(CONCATENATE(TEXT(INDEX($K$7:$K$76,SMALL(IF($N$7:$N$76&lt;&gt;"",IF($K$7:$K$76&lt;&gt;"",ROW($K$7:$K$76)-MIN(ROW($K$7:$K$76))+1,""),""),ROW()-ROW(A$79)+1)),"##0"),","),"")</f>
        <v>0</v>
      </c>
      <c r="L87">
        <f t="array" ref="L87">IFERROR(CONCATENATE((INDEX($N$7:$N$76,SMALL(IF($N$7:$N$76&lt;&gt;"",IF($K$7:$K$76&lt;&gt;"",ROW($K$7:$K$76)-MIN(ROW($K$7:$K$76))+1,""),""),ROW()-ROW(A$79)+1))),","),"")</f>
        <v>0</v>
      </c>
      <c r="M87">
        <f t="array" ref="M87">IFERROR(CONCATENATE((INDEX($A$7:$A$76,SMALL(IF($N$7:$N$76&lt;&gt;"",IF($K$7:$K$76&lt;&gt;"",ROW($K$7:$K$76)-MIN(ROW($K$7:$K$76))+1,""),""),ROW()-ROW(A$79)+1))),),"")</f>
        <v>0</v>
      </c>
    </row>
    <row r="88" spans="11:13">
      <c r="K88">
        <f t="array" ref="K88">IFERROR(CONCATENATE(TEXT(INDEX($K$7:$K$76,SMALL(IF($N$7:$N$76&lt;&gt;"",IF($K$7:$K$76&lt;&gt;"",ROW($K$7:$K$76)-MIN(ROW($K$7:$K$76))+1,""),""),ROW()-ROW(A$79)+1)),"##0"),","),"")</f>
        <v>0</v>
      </c>
      <c r="L88">
        <f t="array" ref="L88">IFERROR(CONCATENATE((INDEX($N$7:$N$76,SMALL(IF($N$7:$N$76&lt;&gt;"",IF($K$7:$K$76&lt;&gt;"",ROW($K$7:$K$76)-MIN(ROW($K$7:$K$76))+1,""),""),ROW()-ROW(A$79)+1))),","),"")</f>
        <v>0</v>
      </c>
      <c r="M88">
        <f t="array" ref="M88">IFERROR(CONCATENATE((INDEX($A$7:$A$76,SMALL(IF($N$7:$N$76&lt;&gt;"",IF($K$7:$K$76&lt;&gt;"",ROW($K$7:$K$76)-MIN(ROW($K$7:$K$76))+1,""),""),ROW()-ROW(A$79)+1))),),"")</f>
        <v>0</v>
      </c>
    </row>
    <row r="89" spans="11:13">
      <c r="K89">
        <f t="array" ref="K89">IFERROR(CONCATENATE(TEXT(INDEX($K$7:$K$76,SMALL(IF($N$7:$N$76&lt;&gt;"",IF($K$7:$K$76&lt;&gt;"",ROW($K$7:$K$76)-MIN(ROW($K$7:$K$76))+1,""),""),ROW()-ROW(A$79)+1)),"##0"),","),"")</f>
        <v>0</v>
      </c>
      <c r="L89">
        <f t="array" ref="L89">IFERROR(CONCATENATE((INDEX($N$7:$N$76,SMALL(IF($N$7:$N$76&lt;&gt;"",IF($K$7:$K$76&lt;&gt;"",ROW($K$7:$K$76)-MIN(ROW($K$7:$K$76))+1,""),""),ROW()-ROW(A$79)+1))),","),"")</f>
        <v>0</v>
      </c>
      <c r="M89">
        <f t="array" ref="M89">IFERROR(CONCATENATE((INDEX($A$7:$A$76,SMALL(IF($N$7:$N$76&lt;&gt;"",IF($K$7:$K$76&lt;&gt;"",ROW($K$7:$K$76)-MIN(ROW($K$7:$K$76))+1,""),""),ROW()-ROW(A$79)+1))),),"")</f>
        <v>0</v>
      </c>
    </row>
    <row r="90" spans="11:13">
      <c r="K90">
        <f t="array" ref="K90">IFERROR(CONCATENATE(TEXT(INDEX($K$7:$K$76,SMALL(IF($N$7:$N$76&lt;&gt;"",IF($K$7:$K$76&lt;&gt;"",ROW($K$7:$K$76)-MIN(ROW($K$7:$K$76))+1,""),""),ROW()-ROW(A$79)+1)),"##0"),","),"")</f>
        <v>0</v>
      </c>
      <c r="L90">
        <f t="array" ref="L90">IFERROR(CONCATENATE((INDEX($N$7:$N$76,SMALL(IF($N$7:$N$76&lt;&gt;"",IF($K$7:$K$76&lt;&gt;"",ROW($K$7:$K$76)-MIN(ROW($K$7:$K$76))+1,""),""),ROW()-ROW(A$79)+1))),","),"")</f>
        <v>0</v>
      </c>
      <c r="M90">
        <f t="array" ref="M90">IFERROR(CONCATENATE((INDEX($A$7:$A$76,SMALL(IF($N$7:$N$76&lt;&gt;"",IF($K$7:$K$76&lt;&gt;"",ROW($K$7:$K$76)-MIN(ROW($K$7:$K$76))+1,""),""),ROW()-ROW(A$79)+1))),),"")</f>
        <v>0</v>
      </c>
    </row>
    <row r="91" spans="11:13">
      <c r="K91">
        <f t="array" ref="K91">IFERROR(CONCATENATE(TEXT(INDEX($K$7:$K$76,SMALL(IF($N$7:$N$76&lt;&gt;"",IF($K$7:$K$76&lt;&gt;"",ROW($K$7:$K$76)-MIN(ROW($K$7:$K$76))+1,""),""),ROW()-ROW(A$79)+1)),"##0"),","),"")</f>
        <v>0</v>
      </c>
      <c r="L91">
        <f t="array" ref="L91">IFERROR(CONCATENATE((INDEX($N$7:$N$76,SMALL(IF($N$7:$N$76&lt;&gt;"",IF($K$7:$K$76&lt;&gt;"",ROW($K$7:$K$76)-MIN(ROW($K$7:$K$76))+1,""),""),ROW()-ROW(A$79)+1))),","),"")</f>
        <v>0</v>
      </c>
      <c r="M91">
        <f t="array" ref="M91">IFERROR(CONCATENATE((INDEX($A$7:$A$76,SMALL(IF($N$7:$N$76&lt;&gt;"",IF($K$7:$K$76&lt;&gt;"",ROW($K$7:$K$76)-MIN(ROW($K$7:$K$76))+1,""),""),ROW()-ROW(A$79)+1))),),"")</f>
        <v>0</v>
      </c>
    </row>
    <row r="92" spans="11:13">
      <c r="K92">
        <f t="array" ref="K92">IFERROR(CONCATENATE(TEXT(INDEX($K$7:$K$76,SMALL(IF($N$7:$N$76&lt;&gt;"",IF($K$7:$K$76&lt;&gt;"",ROW($K$7:$K$76)-MIN(ROW($K$7:$K$76))+1,""),""),ROW()-ROW(A$79)+1)),"##0"),","),"")</f>
        <v>0</v>
      </c>
      <c r="L92">
        <f t="array" ref="L92">IFERROR(CONCATENATE((INDEX($N$7:$N$76,SMALL(IF($N$7:$N$76&lt;&gt;"",IF($K$7:$K$76&lt;&gt;"",ROW($K$7:$K$76)-MIN(ROW($K$7:$K$76))+1,""),""),ROW()-ROW(A$79)+1))),","),"")</f>
        <v>0</v>
      </c>
      <c r="M92">
        <f t="array" ref="M92">IFERROR(CONCATENATE((INDEX($A$7:$A$76,SMALL(IF($N$7:$N$76&lt;&gt;"",IF($K$7:$K$76&lt;&gt;"",ROW($K$7:$K$76)-MIN(ROW($K$7:$K$76))+1,""),""),ROW()-ROW(A$79)+1))),),"")</f>
        <v>0</v>
      </c>
    </row>
    <row r="93" spans="11:13">
      <c r="K93">
        <f t="array" ref="K93">IFERROR(CONCATENATE(TEXT(INDEX($K$7:$K$76,SMALL(IF($N$7:$N$76&lt;&gt;"",IF($K$7:$K$76&lt;&gt;"",ROW($K$7:$K$76)-MIN(ROW($K$7:$K$76))+1,""),""),ROW()-ROW(A$79)+1)),"##0"),","),"")</f>
        <v>0</v>
      </c>
      <c r="L93">
        <f t="array" ref="L93">IFERROR(CONCATENATE((INDEX($N$7:$N$76,SMALL(IF($N$7:$N$76&lt;&gt;"",IF($K$7:$K$76&lt;&gt;"",ROW($K$7:$K$76)-MIN(ROW($K$7:$K$76))+1,""),""),ROW()-ROW(A$79)+1))),","),"")</f>
        <v>0</v>
      </c>
      <c r="M93">
        <f t="array" ref="M93">IFERROR(CONCATENATE((INDEX($A$7:$A$76,SMALL(IF($N$7:$N$76&lt;&gt;"",IF($K$7:$K$76&lt;&gt;"",ROW($K$7:$K$76)-MIN(ROW($K$7:$K$76))+1,""),""),ROW()-ROW(A$79)+1))),),"")</f>
        <v>0</v>
      </c>
    </row>
    <row r="94" spans="11:13">
      <c r="K94">
        <f t="array" ref="K94">IFERROR(CONCATENATE(TEXT(INDEX($K$7:$K$76,SMALL(IF($N$7:$N$76&lt;&gt;"",IF($K$7:$K$76&lt;&gt;"",ROW($K$7:$K$76)-MIN(ROW($K$7:$K$76))+1,""),""),ROW()-ROW(A$79)+1)),"##0"),","),"")</f>
        <v>0</v>
      </c>
      <c r="L94">
        <f t="array" ref="L94">IFERROR(CONCATENATE((INDEX($N$7:$N$76,SMALL(IF($N$7:$N$76&lt;&gt;"",IF($K$7:$K$76&lt;&gt;"",ROW($K$7:$K$76)-MIN(ROW($K$7:$K$76))+1,""),""),ROW()-ROW(A$79)+1))),","),"")</f>
        <v>0</v>
      </c>
      <c r="M94">
        <f t="array" ref="M94">IFERROR(CONCATENATE((INDEX($A$7:$A$76,SMALL(IF($N$7:$N$76&lt;&gt;"",IF($K$7:$K$76&lt;&gt;"",ROW($K$7:$K$76)-MIN(ROW($K$7:$K$76))+1,""),""),ROW()-ROW(A$79)+1))),),"")</f>
        <v>0</v>
      </c>
    </row>
    <row r="95" spans="11:13">
      <c r="K95">
        <f t="array" ref="K95">IFERROR(CONCATENATE(TEXT(INDEX($K$7:$K$76,SMALL(IF($N$7:$N$76&lt;&gt;"",IF($K$7:$K$76&lt;&gt;"",ROW($K$7:$K$76)-MIN(ROW($K$7:$K$76))+1,""),""),ROW()-ROW(A$79)+1)),"##0"),","),"")</f>
        <v>0</v>
      </c>
      <c r="L95">
        <f t="array" ref="L95">IFERROR(CONCATENATE((INDEX($N$7:$N$76,SMALL(IF($N$7:$N$76&lt;&gt;"",IF($K$7:$K$76&lt;&gt;"",ROW($K$7:$K$76)-MIN(ROW($K$7:$K$76))+1,""),""),ROW()-ROW(A$79)+1))),","),"")</f>
        <v>0</v>
      </c>
      <c r="M95">
        <f t="array" ref="M95">IFERROR(CONCATENATE((INDEX($A$7:$A$76,SMALL(IF($N$7:$N$76&lt;&gt;"",IF($K$7:$K$76&lt;&gt;"",ROW($K$7:$K$76)-MIN(ROW($K$7:$K$76))+1,""),""),ROW()-ROW(A$79)+1))),),"")</f>
        <v>0</v>
      </c>
    </row>
    <row r="96" spans="11:13">
      <c r="K96">
        <f t="array" ref="K96">IFERROR(CONCATENATE(TEXT(INDEX($K$7:$K$76,SMALL(IF($N$7:$N$76&lt;&gt;"",IF($K$7:$K$76&lt;&gt;"",ROW($K$7:$K$76)-MIN(ROW($K$7:$K$76))+1,""),""),ROW()-ROW(A$79)+1)),"##0"),","),"")</f>
        <v>0</v>
      </c>
      <c r="L96">
        <f t="array" ref="L96">IFERROR(CONCATENATE((INDEX($N$7:$N$76,SMALL(IF($N$7:$N$76&lt;&gt;"",IF($K$7:$K$76&lt;&gt;"",ROW($K$7:$K$76)-MIN(ROW($K$7:$K$76))+1,""),""),ROW()-ROW(A$79)+1))),","),"")</f>
        <v>0</v>
      </c>
      <c r="M96">
        <f t="array" ref="M96">IFERROR(CONCATENATE((INDEX($A$7:$A$76,SMALL(IF($N$7:$N$76&lt;&gt;"",IF($K$7:$K$76&lt;&gt;"",ROW($K$7:$K$76)-MIN(ROW($K$7:$K$76))+1,""),""),ROW()-ROW(A$79)+1))),),"")</f>
        <v>0</v>
      </c>
    </row>
    <row r="97" spans="11:13">
      <c r="K97">
        <f t="array" ref="K97">IFERROR(CONCATENATE(TEXT(INDEX($K$7:$K$76,SMALL(IF($N$7:$N$76&lt;&gt;"",IF($K$7:$K$76&lt;&gt;"",ROW($K$7:$K$76)-MIN(ROW($K$7:$K$76))+1,""),""),ROW()-ROW(A$79)+1)),"##0"),","),"")</f>
        <v>0</v>
      </c>
      <c r="L97">
        <f t="array" ref="L97">IFERROR(CONCATENATE((INDEX($N$7:$N$76,SMALL(IF($N$7:$N$76&lt;&gt;"",IF($K$7:$K$76&lt;&gt;"",ROW($K$7:$K$76)-MIN(ROW($K$7:$K$76))+1,""),""),ROW()-ROW(A$79)+1))),","),"")</f>
        <v>0</v>
      </c>
      <c r="M97">
        <f t="array" ref="M97">IFERROR(CONCATENATE((INDEX($A$7:$A$76,SMALL(IF($N$7:$N$76&lt;&gt;"",IF($K$7:$K$76&lt;&gt;"",ROW($K$7:$K$76)-MIN(ROW($K$7:$K$76))+1,""),""),ROW()-ROW(A$79)+1))),),"")</f>
        <v>0</v>
      </c>
    </row>
    <row r="98" spans="11:13">
      <c r="K98">
        <f t="array" ref="K98">IFERROR(CONCATENATE(TEXT(INDEX($K$7:$K$76,SMALL(IF($N$7:$N$76&lt;&gt;"",IF($K$7:$K$76&lt;&gt;"",ROW($K$7:$K$76)-MIN(ROW($K$7:$K$76))+1,""),""),ROW()-ROW(A$79)+1)),"##0"),","),"")</f>
        <v>0</v>
      </c>
      <c r="L98">
        <f t="array" ref="L98">IFERROR(CONCATENATE((INDEX($N$7:$N$76,SMALL(IF($N$7:$N$76&lt;&gt;"",IF($K$7:$K$76&lt;&gt;"",ROW($K$7:$K$76)-MIN(ROW($K$7:$K$76))+1,""),""),ROW()-ROW(A$79)+1))),","),"")</f>
        <v>0</v>
      </c>
      <c r="M98">
        <f t="array" ref="M98">IFERROR(CONCATENATE((INDEX($A$7:$A$76,SMALL(IF($N$7:$N$76&lt;&gt;"",IF($K$7:$K$76&lt;&gt;"",ROW($K$7:$K$76)-MIN(ROW($K$7:$K$76))+1,""),""),ROW()-ROW(A$79)+1))),),"")</f>
        <v>0</v>
      </c>
    </row>
    <row r="99" spans="11:13">
      <c r="K99">
        <f t="array" ref="K99">IFERROR(CONCATENATE(TEXT(INDEX($K$7:$K$76,SMALL(IF($N$7:$N$76&lt;&gt;"",IF($K$7:$K$76&lt;&gt;"",ROW($K$7:$K$76)-MIN(ROW($K$7:$K$76))+1,""),""),ROW()-ROW(A$79)+1)),"##0"),","),"")</f>
        <v>0</v>
      </c>
      <c r="L99">
        <f t="array" ref="L99">IFERROR(CONCATENATE((INDEX($N$7:$N$76,SMALL(IF($N$7:$N$76&lt;&gt;"",IF($K$7:$K$76&lt;&gt;"",ROW($K$7:$K$76)-MIN(ROW($K$7:$K$76))+1,""),""),ROW()-ROW(A$79)+1))),","),"")</f>
        <v>0</v>
      </c>
      <c r="M99">
        <f t="array" ref="M99">IFERROR(CONCATENATE((INDEX($A$7:$A$76,SMALL(IF($N$7:$N$76&lt;&gt;"",IF($K$7:$K$76&lt;&gt;"",ROW($K$7:$K$76)-MIN(ROW($K$7:$K$76))+1,""),""),ROW()-ROW(A$79)+1))),),"")</f>
        <v>0</v>
      </c>
    </row>
    <row r="100" spans="11:13">
      <c r="K100">
        <f t="array" ref="K100">IFERROR(CONCATENATE(TEXT(INDEX($K$7:$K$76,SMALL(IF($N$7:$N$76&lt;&gt;"",IF($K$7:$K$76&lt;&gt;"",ROW($K$7:$K$76)-MIN(ROW($K$7:$K$76))+1,""),""),ROW()-ROW(A$79)+1)),"##0"),","),"")</f>
        <v>0</v>
      </c>
      <c r="L100">
        <f t="array" ref="L100">IFERROR(CONCATENATE((INDEX($N$7:$N$76,SMALL(IF($N$7:$N$76&lt;&gt;"",IF($K$7:$K$76&lt;&gt;"",ROW($K$7:$K$76)-MIN(ROW($K$7:$K$76))+1,""),""),ROW()-ROW(A$79)+1))),","),"")</f>
        <v>0</v>
      </c>
      <c r="M100">
        <f t="array" ref="M100">IFERROR(CONCATENATE((INDEX($A$7:$A$76,SMALL(IF($N$7:$N$76&lt;&gt;"",IF($K$7:$K$76&lt;&gt;"",ROW($K$7:$K$76)-MIN(ROW($K$7:$K$76))+1,""),""),ROW()-ROW(A$79)+1))),),"")</f>
        <v>0</v>
      </c>
    </row>
    <row r="101" spans="11:13">
      <c r="K101">
        <f t="array" ref="K101">IFERROR(CONCATENATE(TEXT(INDEX($K$7:$K$76,SMALL(IF($N$7:$N$76&lt;&gt;"",IF($K$7:$K$76&lt;&gt;"",ROW($K$7:$K$76)-MIN(ROW($K$7:$K$76))+1,""),""),ROW()-ROW(A$79)+1)),"##0"),","),"")</f>
        <v>0</v>
      </c>
      <c r="L101">
        <f t="array" ref="L101">IFERROR(CONCATENATE((INDEX($N$7:$N$76,SMALL(IF($N$7:$N$76&lt;&gt;"",IF($K$7:$K$76&lt;&gt;"",ROW($K$7:$K$76)-MIN(ROW($K$7:$K$76))+1,""),""),ROW()-ROW(A$79)+1))),","),"")</f>
        <v>0</v>
      </c>
      <c r="M101">
        <f t="array" ref="M101">IFERROR(CONCATENATE((INDEX($A$7:$A$76,SMALL(IF($N$7:$N$76&lt;&gt;"",IF($K$7:$K$76&lt;&gt;"",ROW($K$7:$K$76)-MIN(ROW($K$7:$K$76))+1,""),""),ROW()-ROW(A$79)+1))),),"")</f>
        <v>0</v>
      </c>
    </row>
    <row r="102" spans="11:13">
      <c r="K102">
        <f t="array" ref="K102">IFERROR(CONCATENATE(TEXT(INDEX($K$7:$K$76,SMALL(IF($N$7:$N$76&lt;&gt;"",IF($K$7:$K$76&lt;&gt;"",ROW($K$7:$K$76)-MIN(ROW($K$7:$K$76))+1,""),""),ROW()-ROW(A$79)+1)),"##0"),","),"")</f>
        <v>0</v>
      </c>
      <c r="L102">
        <f t="array" ref="L102">IFERROR(CONCATENATE((INDEX($N$7:$N$76,SMALL(IF($N$7:$N$76&lt;&gt;"",IF($K$7:$K$76&lt;&gt;"",ROW($K$7:$K$76)-MIN(ROW($K$7:$K$76))+1,""),""),ROW()-ROW(A$79)+1))),","),"")</f>
        <v>0</v>
      </c>
      <c r="M102">
        <f t="array" ref="M102">IFERROR(CONCATENATE((INDEX($A$7:$A$76,SMALL(IF($N$7:$N$76&lt;&gt;"",IF($K$7:$K$76&lt;&gt;"",ROW($K$7:$K$76)-MIN(ROW($K$7:$K$76))+1,""),""),ROW()-ROW(A$79)+1))),),"")</f>
        <v>0</v>
      </c>
    </row>
    <row r="103" spans="11:13">
      <c r="K103">
        <f t="array" ref="K103">IFERROR(CONCATENATE(TEXT(INDEX($K$7:$K$76,SMALL(IF($N$7:$N$76&lt;&gt;"",IF($K$7:$K$76&lt;&gt;"",ROW($K$7:$K$76)-MIN(ROW($K$7:$K$76))+1,""),""),ROW()-ROW(A$79)+1)),"##0"),","),"")</f>
        <v>0</v>
      </c>
      <c r="L103">
        <f t="array" ref="L103">IFERROR(CONCATENATE((INDEX($N$7:$N$76,SMALL(IF($N$7:$N$76&lt;&gt;"",IF($K$7:$K$76&lt;&gt;"",ROW($K$7:$K$76)-MIN(ROW($K$7:$K$76))+1,""),""),ROW()-ROW(A$79)+1))),","),"")</f>
        <v>0</v>
      </c>
      <c r="M103">
        <f t="array" ref="M103">IFERROR(CONCATENATE((INDEX($A$7:$A$76,SMALL(IF($N$7:$N$76&lt;&gt;"",IF($K$7:$K$76&lt;&gt;"",ROW($K$7:$K$76)-MIN(ROW($K$7:$K$76))+1,""),""),ROW()-ROW(A$79)+1))),),"")</f>
        <v>0</v>
      </c>
    </row>
    <row r="104" spans="11:13">
      <c r="K104">
        <f t="array" ref="K104">IFERROR(CONCATENATE(TEXT(INDEX($K$7:$K$76,SMALL(IF($N$7:$N$76&lt;&gt;"",IF($K$7:$K$76&lt;&gt;"",ROW($K$7:$K$76)-MIN(ROW($K$7:$K$76))+1,""),""),ROW()-ROW(A$79)+1)),"##0"),","),"")</f>
        <v>0</v>
      </c>
      <c r="L104">
        <f t="array" ref="L104">IFERROR(CONCATENATE((INDEX($N$7:$N$76,SMALL(IF($N$7:$N$76&lt;&gt;"",IF($K$7:$K$76&lt;&gt;"",ROW($K$7:$K$76)-MIN(ROW($K$7:$K$76))+1,""),""),ROW()-ROW(A$79)+1))),","),"")</f>
        <v>0</v>
      </c>
      <c r="M104">
        <f t="array" ref="M104">IFERROR(CONCATENATE((INDEX($A$7:$A$76,SMALL(IF($N$7:$N$76&lt;&gt;"",IF($K$7:$K$76&lt;&gt;"",ROW($K$7:$K$76)-MIN(ROW($K$7:$K$76))+1,""),""),ROW()-ROW(A$79)+1))),),"")</f>
        <v>0</v>
      </c>
    </row>
    <row r="105" spans="11:13">
      <c r="K105">
        <f t="array" ref="K105">IFERROR(CONCATENATE(TEXT(INDEX($K$7:$K$76,SMALL(IF($N$7:$N$76&lt;&gt;"",IF($K$7:$K$76&lt;&gt;"",ROW($K$7:$K$76)-MIN(ROW($K$7:$K$76))+1,""),""),ROW()-ROW(A$79)+1)),"##0"),","),"")</f>
        <v>0</v>
      </c>
      <c r="L105">
        <f t="array" ref="L105">IFERROR(CONCATENATE((INDEX($N$7:$N$76,SMALL(IF($N$7:$N$76&lt;&gt;"",IF($K$7:$K$76&lt;&gt;"",ROW($K$7:$K$76)-MIN(ROW($K$7:$K$76))+1,""),""),ROW()-ROW(A$79)+1))),","),"")</f>
        <v>0</v>
      </c>
      <c r="M105">
        <f t="array" ref="M105">IFERROR(CONCATENATE((INDEX($A$7:$A$76,SMALL(IF($N$7:$N$76&lt;&gt;"",IF($K$7:$K$76&lt;&gt;"",ROW($K$7:$K$76)-MIN(ROW($K$7:$K$76))+1,""),""),ROW()-ROW(A$79)+1))),),"")</f>
        <v>0</v>
      </c>
    </row>
    <row r="106" spans="11:13">
      <c r="K106">
        <f t="array" ref="K106">IFERROR(CONCATENATE(TEXT(INDEX($K$7:$K$76,SMALL(IF($N$7:$N$76&lt;&gt;"",IF($K$7:$K$76&lt;&gt;"",ROW($K$7:$K$76)-MIN(ROW($K$7:$K$76))+1,""),""),ROW()-ROW(A$79)+1)),"##0"),","),"")</f>
        <v>0</v>
      </c>
      <c r="L106">
        <f t="array" ref="L106">IFERROR(CONCATENATE((INDEX($N$7:$N$76,SMALL(IF($N$7:$N$76&lt;&gt;"",IF($K$7:$K$76&lt;&gt;"",ROW($K$7:$K$76)-MIN(ROW($K$7:$K$76))+1,""),""),ROW()-ROW(A$79)+1))),","),"")</f>
        <v>0</v>
      </c>
      <c r="M106">
        <f t="array" ref="M106">IFERROR(CONCATENATE((INDEX($A$7:$A$76,SMALL(IF($N$7:$N$76&lt;&gt;"",IF($K$7:$K$76&lt;&gt;"",ROW($K$7:$K$76)-MIN(ROW($K$7:$K$76))+1,""),""),ROW()-ROW(A$79)+1))),),"")</f>
        <v>0</v>
      </c>
    </row>
    <row r="107" spans="11:13">
      <c r="K107">
        <f t="array" ref="K107">IFERROR(CONCATENATE(TEXT(INDEX($K$7:$K$76,SMALL(IF($N$7:$N$76&lt;&gt;"",IF($K$7:$K$76&lt;&gt;"",ROW($K$7:$K$76)-MIN(ROW($K$7:$K$76))+1,""),""),ROW()-ROW(A$79)+1)),"##0"),","),"")</f>
        <v>0</v>
      </c>
      <c r="L107">
        <f t="array" ref="L107">IFERROR(CONCATENATE((INDEX($N$7:$N$76,SMALL(IF($N$7:$N$76&lt;&gt;"",IF($K$7:$K$76&lt;&gt;"",ROW($K$7:$K$76)-MIN(ROW($K$7:$K$76))+1,""),""),ROW()-ROW(A$79)+1))),","),"")</f>
        <v>0</v>
      </c>
      <c r="M107">
        <f t="array" ref="M107">IFERROR(CONCATENATE((INDEX($A$7:$A$76,SMALL(IF($N$7:$N$76&lt;&gt;"",IF($K$7:$K$76&lt;&gt;"",ROW($K$7:$K$76)-MIN(ROW($K$7:$K$76))+1,""),""),ROW()-ROW(A$79)+1))),),"")</f>
        <v>0</v>
      </c>
    </row>
    <row r="108" spans="11:13">
      <c r="K108">
        <f t="array" ref="K108">IFERROR(CONCATENATE(TEXT(INDEX($K$7:$K$76,SMALL(IF($N$7:$N$76&lt;&gt;"",IF($K$7:$K$76&lt;&gt;"",ROW($K$7:$K$76)-MIN(ROW($K$7:$K$76))+1,""),""),ROW()-ROW(A$79)+1)),"##0"),","),"")</f>
        <v>0</v>
      </c>
      <c r="L108">
        <f t="array" ref="L108">IFERROR(CONCATENATE((INDEX($N$7:$N$76,SMALL(IF($N$7:$N$76&lt;&gt;"",IF($K$7:$K$76&lt;&gt;"",ROW($K$7:$K$76)-MIN(ROW($K$7:$K$76))+1,""),""),ROW()-ROW(A$79)+1))),","),"")</f>
        <v>0</v>
      </c>
      <c r="M108">
        <f t="array" ref="M108">IFERROR(CONCATENATE((INDEX($A$7:$A$76,SMALL(IF($N$7:$N$76&lt;&gt;"",IF($K$7:$K$76&lt;&gt;"",ROW($K$7:$K$76)-MIN(ROW($K$7:$K$76))+1,""),""),ROW()-ROW(A$79)+1))),),"")</f>
        <v>0</v>
      </c>
    </row>
    <row r="109" spans="11:13">
      <c r="K109">
        <f t="array" ref="K109">IFERROR(CONCATENATE(TEXT(INDEX($K$7:$K$76,SMALL(IF($N$7:$N$76&lt;&gt;"",IF($K$7:$K$76&lt;&gt;"",ROW($K$7:$K$76)-MIN(ROW($K$7:$K$76))+1,""),""),ROW()-ROW(A$79)+1)),"##0"),","),"")</f>
        <v>0</v>
      </c>
      <c r="L109">
        <f t="array" ref="L109">IFERROR(CONCATENATE((INDEX($N$7:$N$76,SMALL(IF($N$7:$N$76&lt;&gt;"",IF($K$7:$K$76&lt;&gt;"",ROW($K$7:$K$76)-MIN(ROW($K$7:$K$76))+1,""),""),ROW()-ROW(A$79)+1))),","),"")</f>
        <v>0</v>
      </c>
      <c r="M109">
        <f t="array" ref="M109">IFERROR(CONCATENATE((INDEX($A$7:$A$76,SMALL(IF($N$7:$N$76&lt;&gt;"",IF($K$7:$K$76&lt;&gt;"",ROW($K$7:$K$76)-MIN(ROW($K$7:$K$76))+1,""),""),ROW()-ROW(A$79)+1))),),"")</f>
        <v>0</v>
      </c>
    </row>
    <row r="110" spans="11:13">
      <c r="K110">
        <f t="array" ref="K110">IFERROR(CONCATENATE(TEXT(INDEX($K$7:$K$76,SMALL(IF($N$7:$N$76&lt;&gt;"",IF($K$7:$K$76&lt;&gt;"",ROW($K$7:$K$76)-MIN(ROW($K$7:$K$76))+1,""),""),ROW()-ROW(A$79)+1)),"##0"),","),"")</f>
        <v>0</v>
      </c>
      <c r="L110">
        <f t="array" ref="L110">IFERROR(CONCATENATE((INDEX($N$7:$N$76,SMALL(IF($N$7:$N$76&lt;&gt;"",IF($K$7:$K$76&lt;&gt;"",ROW($K$7:$K$76)-MIN(ROW($K$7:$K$76))+1,""),""),ROW()-ROW(A$79)+1))),","),"")</f>
        <v>0</v>
      </c>
      <c r="M110">
        <f t="array" ref="M110">IFERROR(CONCATENATE((INDEX($A$7:$A$76,SMALL(IF($N$7:$N$76&lt;&gt;"",IF($K$7:$K$76&lt;&gt;"",ROW($K$7:$K$76)-MIN(ROW($K$7:$K$76))+1,""),""),ROW()-ROW(A$79)+1))),),"")</f>
        <v>0</v>
      </c>
    </row>
    <row r="111" spans="11:13">
      <c r="K111">
        <f t="array" ref="K111">IFERROR(CONCATENATE(TEXT(INDEX($K$7:$K$76,SMALL(IF($N$7:$N$76&lt;&gt;"",IF($K$7:$K$76&lt;&gt;"",ROW($K$7:$K$76)-MIN(ROW($K$7:$K$76))+1,""),""),ROW()-ROW(A$79)+1)),"##0"),","),"")</f>
        <v>0</v>
      </c>
      <c r="L111">
        <f t="array" ref="L111">IFERROR(CONCATENATE((INDEX($N$7:$N$76,SMALL(IF($N$7:$N$76&lt;&gt;"",IF($K$7:$K$76&lt;&gt;"",ROW($K$7:$K$76)-MIN(ROW($K$7:$K$76))+1,""),""),ROW()-ROW(A$79)+1))),","),"")</f>
        <v>0</v>
      </c>
      <c r="M111">
        <f t="array" ref="M111">IFERROR(CONCATENATE((INDEX($A$7:$A$76,SMALL(IF($N$7:$N$76&lt;&gt;"",IF($K$7:$K$76&lt;&gt;"",ROW($K$7:$K$76)-MIN(ROW($K$7:$K$76))+1,""),""),ROW()-ROW(A$79)+1))),),"")</f>
        <v>0</v>
      </c>
    </row>
    <row r="112" spans="11:13">
      <c r="K112">
        <f t="array" ref="K112">IFERROR(CONCATENATE(TEXT(INDEX($K$7:$K$76,SMALL(IF($N$7:$N$76&lt;&gt;"",IF($K$7:$K$76&lt;&gt;"",ROW($K$7:$K$76)-MIN(ROW($K$7:$K$76))+1,""),""),ROW()-ROW(A$79)+1)),"##0"),","),"")</f>
        <v>0</v>
      </c>
      <c r="L112">
        <f t="array" ref="L112">IFERROR(CONCATENATE((INDEX($N$7:$N$76,SMALL(IF($N$7:$N$76&lt;&gt;"",IF($K$7:$K$76&lt;&gt;"",ROW($K$7:$K$76)-MIN(ROW($K$7:$K$76))+1,""),""),ROW()-ROW(A$79)+1))),","),"")</f>
        <v>0</v>
      </c>
      <c r="M112">
        <f t="array" ref="M112">IFERROR(CONCATENATE((INDEX($A$7:$A$76,SMALL(IF($N$7:$N$76&lt;&gt;"",IF($K$7:$K$76&lt;&gt;"",ROW($K$7:$K$76)-MIN(ROW($K$7:$K$76))+1,""),""),ROW()-ROW(A$79)+1))),),"")</f>
        <v>0</v>
      </c>
    </row>
    <row r="113" spans="11:13">
      <c r="K113">
        <f t="array" ref="K113">IFERROR(CONCATENATE(TEXT(INDEX($K$7:$K$76,SMALL(IF($N$7:$N$76&lt;&gt;"",IF($K$7:$K$76&lt;&gt;"",ROW($K$7:$K$76)-MIN(ROW($K$7:$K$76))+1,""),""),ROW()-ROW(A$79)+1)),"##0"),","),"")</f>
        <v>0</v>
      </c>
      <c r="L113">
        <f t="array" ref="L113">IFERROR(CONCATENATE((INDEX($N$7:$N$76,SMALL(IF($N$7:$N$76&lt;&gt;"",IF($K$7:$K$76&lt;&gt;"",ROW($K$7:$K$76)-MIN(ROW($K$7:$K$76))+1,""),""),ROW()-ROW(A$79)+1))),","),"")</f>
        <v>0</v>
      </c>
      <c r="M113">
        <f t="array" ref="M113">IFERROR(CONCATENATE((INDEX($A$7:$A$76,SMALL(IF($N$7:$N$76&lt;&gt;"",IF($K$7:$K$76&lt;&gt;"",ROW($K$7:$K$76)-MIN(ROW($K$7:$K$76))+1,""),""),ROW()-ROW(A$79)+1))),),"")</f>
        <v>0</v>
      </c>
    </row>
    <row r="114" spans="11:13">
      <c r="K114">
        <f t="array" ref="K114">IFERROR(CONCATENATE(TEXT(INDEX($K$7:$K$76,SMALL(IF($N$7:$N$76&lt;&gt;"",IF($K$7:$K$76&lt;&gt;"",ROW($K$7:$K$76)-MIN(ROW($K$7:$K$76))+1,""),""),ROW()-ROW(A$79)+1)),"##0"),","),"")</f>
        <v>0</v>
      </c>
      <c r="L114">
        <f t="array" ref="L114">IFERROR(CONCATENATE((INDEX($N$7:$N$76,SMALL(IF($N$7:$N$76&lt;&gt;"",IF($K$7:$K$76&lt;&gt;"",ROW($K$7:$K$76)-MIN(ROW($K$7:$K$76))+1,""),""),ROW()-ROW(A$79)+1))),","),"")</f>
        <v>0</v>
      </c>
      <c r="M114">
        <f t="array" ref="M114">IFERROR(CONCATENATE((INDEX($A$7:$A$76,SMALL(IF($N$7:$N$76&lt;&gt;"",IF($K$7:$K$76&lt;&gt;"",ROW($K$7:$K$76)-MIN(ROW($K$7:$K$76))+1,""),""),ROW()-ROW(A$79)+1))),),"")</f>
        <v>0</v>
      </c>
    </row>
    <row r="115" spans="11:13">
      <c r="K115">
        <f t="array" ref="K115">IFERROR(CONCATENATE(TEXT(INDEX($K$7:$K$76,SMALL(IF($N$7:$N$76&lt;&gt;"",IF($K$7:$K$76&lt;&gt;"",ROW($K$7:$K$76)-MIN(ROW($K$7:$K$76))+1,""),""),ROW()-ROW(A$79)+1)),"##0"),","),"")</f>
        <v>0</v>
      </c>
      <c r="L115">
        <f t="array" ref="L115">IFERROR(CONCATENATE((INDEX($N$7:$N$76,SMALL(IF($N$7:$N$76&lt;&gt;"",IF($K$7:$K$76&lt;&gt;"",ROW($K$7:$K$76)-MIN(ROW($K$7:$K$76))+1,""),""),ROW()-ROW(A$79)+1))),","),"")</f>
        <v>0</v>
      </c>
      <c r="M115">
        <f t="array" ref="M115">IFERROR(CONCATENATE((INDEX($A$7:$A$76,SMALL(IF($N$7:$N$76&lt;&gt;"",IF($K$7:$K$76&lt;&gt;"",ROW($K$7:$K$76)-MIN(ROW($K$7:$K$76))+1,""),""),ROW()-ROW(A$79)+1))),),"")</f>
        <v>0</v>
      </c>
    </row>
    <row r="116" spans="11:13">
      <c r="K116">
        <f t="array" ref="K116">IFERROR(CONCATENATE(TEXT(INDEX($K$7:$K$76,SMALL(IF($N$7:$N$76&lt;&gt;"",IF($K$7:$K$76&lt;&gt;"",ROW($K$7:$K$76)-MIN(ROW($K$7:$K$76))+1,""),""),ROW()-ROW(A$79)+1)),"##0"),","),"")</f>
        <v>0</v>
      </c>
      <c r="L116">
        <f t="array" ref="L116">IFERROR(CONCATENATE((INDEX($N$7:$N$76,SMALL(IF($N$7:$N$76&lt;&gt;"",IF($K$7:$K$76&lt;&gt;"",ROW($K$7:$K$76)-MIN(ROW($K$7:$K$76))+1,""),""),ROW()-ROW(A$79)+1))),","),"")</f>
        <v>0</v>
      </c>
      <c r="M116">
        <f t="array" ref="M116">IFERROR(CONCATENATE((INDEX($A$7:$A$76,SMALL(IF($N$7:$N$76&lt;&gt;"",IF($K$7:$K$76&lt;&gt;"",ROW($K$7:$K$76)-MIN(ROW($K$7:$K$76))+1,""),""),ROW()-ROW(A$79)+1))),),"")</f>
        <v>0</v>
      </c>
    </row>
    <row r="117" spans="11:13">
      <c r="K117">
        <f t="array" ref="K117">IFERROR(CONCATENATE(TEXT(INDEX($K$7:$K$76,SMALL(IF($N$7:$N$76&lt;&gt;"",IF($K$7:$K$76&lt;&gt;"",ROW($K$7:$K$76)-MIN(ROW($K$7:$K$76))+1,""),""),ROW()-ROW(A$79)+1)),"##0"),","),"")</f>
        <v>0</v>
      </c>
      <c r="L117">
        <f t="array" ref="L117">IFERROR(CONCATENATE((INDEX($N$7:$N$76,SMALL(IF($N$7:$N$76&lt;&gt;"",IF($K$7:$K$76&lt;&gt;"",ROW($K$7:$K$76)-MIN(ROW($K$7:$K$76))+1,""),""),ROW()-ROW(A$79)+1))),","),"")</f>
        <v>0</v>
      </c>
      <c r="M117">
        <f t="array" ref="M117">IFERROR(CONCATENATE((INDEX($A$7:$A$76,SMALL(IF($N$7:$N$76&lt;&gt;"",IF($K$7:$K$76&lt;&gt;"",ROW($K$7:$K$76)-MIN(ROW($K$7:$K$76))+1,""),""),ROW()-ROW(A$79)+1))),),"")</f>
        <v>0</v>
      </c>
    </row>
    <row r="118" spans="11:13">
      <c r="K118">
        <f t="array" ref="K118">IFERROR(CONCATENATE(TEXT(INDEX($K$7:$K$76,SMALL(IF($N$7:$N$76&lt;&gt;"",IF($K$7:$K$76&lt;&gt;"",ROW($K$7:$K$76)-MIN(ROW($K$7:$K$76))+1,""),""),ROW()-ROW(A$79)+1)),"##0"),","),"")</f>
        <v>0</v>
      </c>
      <c r="L118">
        <f t="array" ref="L118">IFERROR(CONCATENATE((INDEX($N$7:$N$76,SMALL(IF($N$7:$N$76&lt;&gt;"",IF($K$7:$K$76&lt;&gt;"",ROW($K$7:$K$76)-MIN(ROW($K$7:$K$76))+1,""),""),ROW()-ROW(A$79)+1))),","),"")</f>
        <v>0</v>
      </c>
      <c r="M118">
        <f t="array" ref="M118">IFERROR(CONCATENATE((INDEX($A$7:$A$76,SMALL(IF($N$7:$N$76&lt;&gt;"",IF($K$7:$K$76&lt;&gt;"",ROW($K$7:$K$76)-MIN(ROW($K$7:$K$76))+1,""),""),ROW()-ROW(A$79)+1))),),"")</f>
        <v>0</v>
      </c>
    </row>
    <row r="119" spans="11:13">
      <c r="K119">
        <f t="array" ref="K119">IFERROR(CONCATENATE(TEXT(INDEX($K$7:$K$76,SMALL(IF($N$7:$N$76&lt;&gt;"",IF($K$7:$K$76&lt;&gt;"",ROW($K$7:$K$76)-MIN(ROW($K$7:$K$76))+1,""),""),ROW()-ROW(A$79)+1)),"##0"),","),"")</f>
        <v>0</v>
      </c>
      <c r="L119">
        <f t="array" ref="L119">IFERROR(CONCATENATE((INDEX($N$7:$N$76,SMALL(IF($N$7:$N$76&lt;&gt;"",IF($K$7:$K$76&lt;&gt;"",ROW($K$7:$K$76)-MIN(ROW($K$7:$K$76))+1,""),""),ROW()-ROW(A$79)+1))),","),"")</f>
        <v>0</v>
      </c>
      <c r="M119">
        <f t="array" ref="M119">IFERROR(CONCATENATE((INDEX($A$7:$A$76,SMALL(IF($N$7:$N$76&lt;&gt;"",IF($K$7:$K$76&lt;&gt;"",ROW($K$7:$K$76)-MIN(ROW($K$7:$K$76))+1,""),""),ROW()-ROW(A$79)+1))),),"")</f>
        <v>0</v>
      </c>
    </row>
    <row r="120" spans="11:13">
      <c r="K120">
        <f t="array" ref="K120">IFERROR(CONCATENATE(TEXT(INDEX($K$7:$K$76,SMALL(IF($N$7:$N$76&lt;&gt;"",IF($K$7:$K$76&lt;&gt;"",ROW($K$7:$K$76)-MIN(ROW($K$7:$K$76))+1,""),""),ROW()-ROW(A$79)+1)),"##0"),","),"")</f>
        <v>0</v>
      </c>
      <c r="L120">
        <f t="array" ref="L120">IFERROR(CONCATENATE((INDEX($N$7:$N$76,SMALL(IF($N$7:$N$76&lt;&gt;"",IF($K$7:$K$76&lt;&gt;"",ROW($K$7:$K$76)-MIN(ROW($K$7:$K$76))+1,""),""),ROW()-ROW(A$79)+1))),","),"")</f>
        <v>0</v>
      </c>
      <c r="M120">
        <f t="array" ref="M120">IFERROR(CONCATENATE((INDEX($A$7:$A$76,SMALL(IF($N$7:$N$76&lt;&gt;"",IF($K$7:$K$76&lt;&gt;"",ROW($K$7:$K$76)-MIN(ROW($K$7:$K$76))+1,""),""),ROW()-ROW(A$79)+1))),),"")</f>
        <v>0</v>
      </c>
    </row>
    <row r="121" spans="11:13">
      <c r="K121">
        <f t="array" ref="K121">IFERROR(CONCATENATE(TEXT(INDEX($K$7:$K$76,SMALL(IF($N$7:$N$76&lt;&gt;"",IF($K$7:$K$76&lt;&gt;"",ROW($K$7:$K$76)-MIN(ROW($K$7:$K$76))+1,""),""),ROW()-ROW(A$79)+1)),"##0"),","),"")</f>
        <v>0</v>
      </c>
      <c r="L121">
        <f t="array" ref="L121">IFERROR(CONCATENATE((INDEX($N$7:$N$76,SMALL(IF($N$7:$N$76&lt;&gt;"",IF($K$7:$K$76&lt;&gt;"",ROW($K$7:$K$76)-MIN(ROW($K$7:$K$76))+1,""),""),ROW()-ROW(A$79)+1))),","),"")</f>
        <v>0</v>
      </c>
      <c r="M121">
        <f t="array" ref="M121">IFERROR(CONCATENATE((INDEX($A$7:$A$76,SMALL(IF($N$7:$N$76&lt;&gt;"",IF($K$7:$K$76&lt;&gt;"",ROW($K$7:$K$76)-MIN(ROW($K$7:$K$76))+1,""),""),ROW()-ROW(A$79)+1))),),"")</f>
        <v>0</v>
      </c>
    </row>
    <row r="122" spans="11:13">
      <c r="K122">
        <f t="array" ref="K122">IFERROR(CONCATENATE(TEXT(INDEX($K$7:$K$76,SMALL(IF($N$7:$N$76&lt;&gt;"",IF($K$7:$K$76&lt;&gt;"",ROW($K$7:$K$76)-MIN(ROW($K$7:$K$76))+1,""),""),ROW()-ROW(A$79)+1)),"##0"),","),"")</f>
        <v>0</v>
      </c>
      <c r="L122">
        <f t="array" ref="L122">IFERROR(CONCATENATE((INDEX($N$7:$N$76,SMALL(IF($N$7:$N$76&lt;&gt;"",IF($K$7:$K$76&lt;&gt;"",ROW($K$7:$K$76)-MIN(ROW($K$7:$K$76))+1,""),""),ROW()-ROW(A$79)+1))),","),"")</f>
        <v>0</v>
      </c>
      <c r="M122">
        <f t="array" ref="M122">IFERROR(CONCATENATE((INDEX($A$7:$A$76,SMALL(IF($N$7:$N$76&lt;&gt;"",IF($K$7:$K$76&lt;&gt;"",ROW($K$7:$K$76)-MIN(ROW($K$7:$K$76))+1,""),""),ROW()-ROW(A$79)+1))),),"")</f>
        <v>0</v>
      </c>
    </row>
    <row r="123" spans="11:13">
      <c r="K123">
        <f t="array" ref="K123">IFERROR(CONCATENATE(TEXT(INDEX($K$7:$K$76,SMALL(IF($N$7:$N$76&lt;&gt;"",IF($K$7:$K$76&lt;&gt;"",ROW($K$7:$K$76)-MIN(ROW($K$7:$K$76))+1,""),""),ROW()-ROW(A$79)+1)),"##0"),","),"")</f>
        <v>0</v>
      </c>
      <c r="L123">
        <f t="array" ref="L123">IFERROR(CONCATENATE((INDEX($N$7:$N$76,SMALL(IF($N$7:$N$76&lt;&gt;"",IF($K$7:$K$76&lt;&gt;"",ROW($K$7:$K$76)-MIN(ROW($K$7:$K$76))+1,""),""),ROW()-ROW(A$79)+1))),","),"")</f>
        <v>0</v>
      </c>
      <c r="M123">
        <f t="array" ref="M123">IFERROR(CONCATENATE((INDEX($A$7:$A$76,SMALL(IF($N$7:$N$76&lt;&gt;"",IF($K$7:$K$76&lt;&gt;"",ROW($K$7:$K$76)-MIN(ROW($K$7:$K$76))+1,""),""),ROW()-ROW(A$79)+1))),),"")</f>
        <v>0</v>
      </c>
    </row>
    <row r="124" spans="11:13">
      <c r="K124">
        <f t="array" ref="K124">IFERROR(CONCATENATE(TEXT(INDEX($K$7:$K$76,SMALL(IF($N$7:$N$76&lt;&gt;"",IF($K$7:$K$76&lt;&gt;"",ROW($K$7:$K$76)-MIN(ROW($K$7:$K$76))+1,""),""),ROW()-ROW(A$79)+1)),"##0"),","),"")</f>
        <v>0</v>
      </c>
      <c r="L124">
        <f t="array" ref="L124">IFERROR(CONCATENATE((INDEX($N$7:$N$76,SMALL(IF($N$7:$N$76&lt;&gt;"",IF($K$7:$K$76&lt;&gt;"",ROW($K$7:$K$76)-MIN(ROW($K$7:$K$76))+1,""),""),ROW()-ROW(A$79)+1))),","),"")</f>
        <v>0</v>
      </c>
      <c r="M124">
        <f t="array" ref="M124">IFERROR(CONCATENATE((INDEX($A$7:$A$76,SMALL(IF($N$7:$N$76&lt;&gt;"",IF($K$7:$K$76&lt;&gt;"",ROW($K$7:$K$76)-MIN(ROW($K$7:$K$76))+1,""),""),ROW()-ROW(A$79)+1))),),"")</f>
        <v>0</v>
      </c>
    </row>
    <row r="125" spans="11:13">
      <c r="K125">
        <f t="array" ref="K125">IFERROR(CONCATENATE(TEXT(INDEX($K$7:$K$76,SMALL(IF($N$7:$N$76&lt;&gt;"",IF($K$7:$K$76&lt;&gt;"",ROW($K$7:$K$76)-MIN(ROW($K$7:$K$76))+1,""),""),ROW()-ROW(A$79)+1)),"##0"),","),"")</f>
        <v>0</v>
      </c>
      <c r="L125">
        <f t="array" ref="L125">IFERROR(CONCATENATE((INDEX($N$7:$N$76,SMALL(IF($N$7:$N$76&lt;&gt;"",IF($K$7:$K$76&lt;&gt;"",ROW($K$7:$K$76)-MIN(ROW($K$7:$K$76))+1,""),""),ROW()-ROW(A$79)+1))),","),"")</f>
        <v>0</v>
      </c>
      <c r="M125">
        <f t="array" ref="M125">IFERROR(CONCATENATE((INDEX($A$7:$A$76,SMALL(IF($N$7:$N$76&lt;&gt;"",IF($K$7:$K$76&lt;&gt;"",ROW($K$7:$K$76)-MIN(ROW($K$7:$K$76))+1,""),""),ROW()-ROW(A$79)+1))),),"")</f>
        <v>0</v>
      </c>
    </row>
    <row r="126" spans="11:13">
      <c r="K126">
        <f t="array" ref="K126">IFERROR(CONCATENATE(TEXT(INDEX($K$7:$K$76,SMALL(IF($N$7:$N$76&lt;&gt;"",IF($K$7:$K$76&lt;&gt;"",ROW($K$7:$K$76)-MIN(ROW($K$7:$K$76))+1,""),""),ROW()-ROW(A$79)+1)),"##0"),","),"")</f>
        <v>0</v>
      </c>
      <c r="L126">
        <f t="array" ref="L126">IFERROR(CONCATENATE((INDEX($N$7:$N$76,SMALL(IF($N$7:$N$76&lt;&gt;"",IF($K$7:$K$76&lt;&gt;"",ROW($K$7:$K$76)-MIN(ROW($K$7:$K$76))+1,""),""),ROW()-ROW(A$79)+1))),","),"")</f>
        <v>0</v>
      </c>
      <c r="M126">
        <f t="array" ref="M126">IFERROR(CONCATENATE((INDEX($A$7:$A$76,SMALL(IF($N$7:$N$76&lt;&gt;"",IF($K$7:$K$76&lt;&gt;"",ROW($K$7:$K$76)-MIN(ROW($K$7:$K$76))+1,""),""),ROW()-ROW(A$79)+1))),),"")</f>
        <v>0</v>
      </c>
    </row>
    <row r="127" spans="11:13">
      <c r="K127">
        <f t="array" ref="K127">IFERROR(CONCATENATE(TEXT(INDEX($K$7:$K$76,SMALL(IF($N$7:$N$76&lt;&gt;"",IF($K$7:$K$76&lt;&gt;"",ROW($K$7:$K$76)-MIN(ROW($K$7:$K$76))+1,""),""),ROW()-ROW(A$79)+1)),"##0"),","),"")</f>
        <v>0</v>
      </c>
      <c r="L127">
        <f t="array" ref="L127">IFERROR(CONCATENATE((INDEX($N$7:$N$76,SMALL(IF($N$7:$N$76&lt;&gt;"",IF($K$7:$K$76&lt;&gt;"",ROW($K$7:$K$76)-MIN(ROW($K$7:$K$76))+1,""),""),ROW()-ROW(A$79)+1))),","),"")</f>
        <v>0</v>
      </c>
      <c r="M127">
        <f t="array" ref="M127">IFERROR(CONCATENATE((INDEX($A$7:$A$76,SMALL(IF($N$7:$N$76&lt;&gt;"",IF($K$7:$K$76&lt;&gt;"",ROW($K$7:$K$76)-MIN(ROW($K$7:$K$76))+1,""),""),ROW()-ROW(A$79)+1))),),"")</f>
        <v>0</v>
      </c>
    </row>
    <row r="128" spans="11:13">
      <c r="K128">
        <f t="array" ref="K128">IFERROR(CONCATENATE(TEXT(INDEX($K$7:$K$76,SMALL(IF($N$7:$N$76&lt;&gt;"",IF($K$7:$K$76&lt;&gt;"",ROW($K$7:$K$76)-MIN(ROW($K$7:$K$76))+1,""),""),ROW()-ROW(A$79)+1)),"##0"),","),"")</f>
        <v>0</v>
      </c>
      <c r="L128">
        <f t="array" ref="L128">IFERROR(CONCATENATE((INDEX($N$7:$N$76,SMALL(IF($N$7:$N$76&lt;&gt;"",IF($K$7:$K$76&lt;&gt;"",ROW($K$7:$K$76)-MIN(ROW($K$7:$K$76))+1,""),""),ROW()-ROW(A$79)+1))),","),"")</f>
        <v>0</v>
      </c>
      <c r="M128">
        <f t="array" ref="M128">IFERROR(CONCATENATE((INDEX($A$7:$A$76,SMALL(IF($N$7:$N$76&lt;&gt;"",IF($K$7:$K$76&lt;&gt;"",ROW($K$7:$K$76)-MIN(ROW($K$7:$K$76))+1,""),""),ROW()-ROW(A$79)+1))),),"")</f>
        <v>0</v>
      </c>
    </row>
    <row r="129" spans="11:13">
      <c r="K129">
        <f t="array" ref="K129">IFERROR(CONCATENATE(TEXT(INDEX($K$7:$K$76,SMALL(IF($N$7:$N$76&lt;&gt;"",IF($K$7:$K$76&lt;&gt;"",ROW($K$7:$K$76)-MIN(ROW($K$7:$K$76))+1,""),""),ROW()-ROW(A$79)+1)),"##0"),","),"")</f>
        <v>0</v>
      </c>
      <c r="L129">
        <f t="array" ref="L129">IFERROR(CONCATENATE((INDEX($N$7:$N$76,SMALL(IF($N$7:$N$76&lt;&gt;"",IF($K$7:$K$76&lt;&gt;"",ROW($K$7:$K$76)-MIN(ROW($K$7:$K$76))+1,""),""),ROW()-ROW(A$79)+1))),","),"")</f>
        <v>0</v>
      </c>
      <c r="M129">
        <f t="array" ref="M129">IFERROR(CONCATENATE((INDEX($A$7:$A$76,SMALL(IF($N$7:$N$76&lt;&gt;"",IF($K$7:$K$76&lt;&gt;"",ROW($K$7:$K$76)-MIN(ROW($K$7:$K$76))+1,""),""),ROW()-ROW(A$79)+1))),),"")</f>
        <v>0</v>
      </c>
    </row>
    <row r="130" spans="11:13">
      <c r="K130">
        <f t="array" ref="K130">IFERROR(CONCATENATE(TEXT(INDEX($K$7:$K$76,SMALL(IF($N$7:$N$76&lt;&gt;"",IF($K$7:$K$76&lt;&gt;"",ROW($K$7:$K$76)-MIN(ROW($K$7:$K$76))+1,""),""),ROW()-ROW(A$79)+1)),"##0"),","),"")</f>
        <v>0</v>
      </c>
      <c r="L130">
        <f t="array" ref="L130">IFERROR(CONCATENATE((INDEX($N$7:$N$76,SMALL(IF($N$7:$N$76&lt;&gt;"",IF($K$7:$K$76&lt;&gt;"",ROW($K$7:$K$76)-MIN(ROW($K$7:$K$76))+1,""),""),ROW()-ROW(A$79)+1))),","),"")</f>
        <v>0</v>
      </c>
      <c r="M130">
        <f t="array" ref="M130">IFERROR(CONCATENATE((INDEX($A$7:$A$76,SMALL(IF($N$7:$N$76&lt;&gt;"",IF($K$7:$K$76&lt;&gt;"",ROW($K$7:$K$76)-MIN(ROW($K$7:$K$76))+1,""),""),ROW()-ROW(A$79)+1))),),"")</f>
        <v>0</v>
      </c>
    </row>
    <row r="131" spans="11:13">
      <c r="K131">
        <f t="array" ref="K131">IFERROR(CONCATENATE(TEXT(INDEX($K$7:$K$76,SMALL(IF($N$7:$N$76&lt;&gt;"",IF($K$7:$K$76&lt;&gt;"",ROW($K$7:$K$76)-MIN(ROW($K$7:$K$76))+1,""),""),ROW()-ROW(A$79)+1)),"##0"),","),"")</f>
        <v>0</v>
      </c>
      <c r="L131">
        <f t="array" ref="L131">IFERROR(CONCATENATE((INDEX($N$7:$N$76,SMALL(IF($N$7:$N$76&lt;&gt;"",IF($K$7:$K$76&lt;&gt;"",ROW($K$7:$K$76)-MIN(ROW($K$7:$K$76))+1,""),""),ROW()-ROW(A$79)+1))),","),"")</f>
        <v>0</v>
      </c>
      <c r="M131">
        <f t="array" ref="M131">IFERROR(CONCATENATE((INDEX($A$7:$A$76,SMALL(IF($N$7:$N$76&lt;&gt;"",IF($K$7:$K$76&lt;&gt;"",ROW($K$7:$K$76)-MIN(ROW($K$7:$K$76))+1,""),""),ROW()-ROW(A$79)+1))),),"")</f>
        <v>0</v>
      </c>
    </row>
    <row r="132" spans="11:13">
      <c r="K132">
        <f t="array" ref="K132">IFERROR(CONCATENATE(TEXT(INDEX($K$7:$K$76,SMALL(IF($N$7:$N$76&lt;&gt;"",IF($K$7:$K$76&lt;&gt;"",ROW($K$7:$K$76)-MIN(ROW($K$7:$K$76))+1,""),""),ROW()-ROW(A$79)+1)),"##0"),","),"")</f>
        <v>0</v>
      </c>
      <c r="L132">
        <f t="array" ref="L132">IFERROR(CONCATENATE((INDEX($N$7:$N$76,SMALL(IF($N$7:$N$76&lt;&gt;"",IF($K$7:$K$76&lt;&gt;"",ROW($K$7:$K$76)-MIN(ROW($K$7:$K$76))+1,""),""),ROW()-ROW(A$79)+1))),","),"")</f>
        <v>0</v>
      </c>
      <c r="M132">
        <f t="array" ref="M132">IFERROR(CONCATENATE((INDEX($A$7:$A$76,SMALL(IF($N$7:$N$76&lt;&gt;"",IF($K$7:$K$76&lt;&gt;"",ROW($K$7:$K$76)-MIN(ROW($K$7:$K$76))+1,""),""),ROW()-ROW(A$79)+1))),),"")</f>
        <v>0</v>
      </c>
    </row>
    <row r="133" spans="11:13">
      <c r="K133">
        <f t="array" ref="K133">IFERROR(CONCATENATE(TEXT(INDEX($K$7:$K$76,SMALL(IF($N$7:$N$76&lt;&gt;"",IF($K$7:$K$76&lt;&gt;"",ROW($K$7:$K$76)-MIN(ROW($K$7:$K$76))+1,""),""),ROW()-ROW(A$79)+1)),"##0"),","),"")</f>
        <v>0</v>
      </c>
      <c r="L133">
        <f t="array" ref="L133">IFERROR(CONCATENATE((INDEX($N$7:$N$76,SMALL(IF($N$7:$N$76&lt;&gt;"",IF($K$7:$K$76&lt;&gt;"",ROW($K$7:$K$76)-MIN(ROW($K$7:$K$76))+1,""),""),ROW()-ROW(A$79)+1))),","),"")</f>
        <v>0</v>
      </c>
      <c r="M133">
        <f t="array" ref="M133">IFERROR(CONCATENATE((INDEX($A$7:$A$76,SMALL(IF($N$7:$N$76&lt;&gt;"",IF($K$7:$K$76&lt;&gt;"",ROW($K$7:$K$76)-MIN(ROW($K$7:$K$76))+1,""),""),ROW()-ROW(A$79)+1))),),"")</f>
        <v>0</v>
      </c>
    </row>
    <row r="134" spans="11:13">
      <c r="K134">
        <f t="array" ref="K134">IFERROR(CONCATENATE(TEXT(INDEX($K$7:$K$76,SMALL(IF($N$7:$N$76&lt;&gt;"",IF($K$7:$K$76&lt;&gt;"",ROW($K$7:$K$76)-MIN(ROW($K$7:$K$76))+1,""),""),ROW()-ROW(A$79)+1)),"##0"),","),"")</f>
        <v>0</v>
      </c>
      <c r="L134">
        <f t="array" ref="L134">IFERROR(CONCATENATE((INDEX($N$7:$N$76,SMALL(IF($N$7:$N$76&lt;&gt;"",IF($K$7:$K$76&lt;&gt;"",ROW($K$7:$K$76)-MIN(ROW($K$7:$K$76))+1,""),""),ROW()-ROW(A$79)+1))),","),"")</f>
        <v>0</v>
      </c>
      <c r="M134">
        <f t="array" ref="M134">IFERROR(CONCATENATE((INDEX($A$7:$A$76,SMALL(IF($N$7:$N$76&lt;&gt;"",IF($K$7:$K$76&lt;&gt;"",ROW($K$7:$K$76)-MIN(ROW($K$7:$K$76))+1,""),""),ROW()-ROW(A$79)+1))),),"")</f>
        <v>0</v>
      </c>
    </row>
    <row r="135" spans="11:13">
      <c r="K135">
        <f t="array" ref="K135">IFERROR(CONCATENATE(TEXT(INDEX($K$7:$K$76,SMALL(IF($N$7:$N$76&lt;&gt;"",IF($K$7:$K$76&lt;&gt;"",ROW($K$7:$K$76)-MIN(ROW($K$7:$K$76))+1,""),""),ROW()-ROW(A$79)+1)),"##0"),","),"")</f>
        <v>0</v>
      </c>
      <c r="L135">
        <f t="array" ref="L135">IFERROR(CONCATENATE((INDEX($N$7:$N$76,SMALL(IF($N$7:$N$76&lt;&gt;"",IF($K$7:$K$76&lt;&gt;"",ROW($K$7:$K$76)-MIN(ROW($K$7:$K$76))+1,""),""),ROW()-ROW(A$79)+1))),","),"")</f>
        <v>0</v>
      </c>
      <c r="M135">
        <f t="array" ref="M135">IFERROR(CONCATENATE((INDEX($A$7:$A$76,SMALL(IF($N$7:$N$76&lt;&gt;"",IF($K$7:$K$76&lt;&gt;"",ROW($K$7:$K$76)-MIN(ROW($K$7:$K$76))+1,""),""),ROW()-ROW(A$79)+1))),),"")</f>
        <v>0</v>
      </c>
    </row>
    <row r="136" spans="11:13">
      <c r="K136">
        <f t="array" ref="K136">IFERROR(CONCATENATE(TEXT(INDEX($K$7:$K$76,SMALL(IF($N$7:$N$76&lt;&gt;"",IF($K$7:$K$76&lt;&gt;"",ROW($K$7:$K$76)-MIN(ROW($K$7:$K$76))+1,""),""),ROW()-ROW(A$79)+1)),"##0"),","),"")</f>
        <v>0</v>
      </c>
      <c r="L136">
        <f t="array" ref="L136">IFERROR(CONCATENATE((INDEX($N$7:$N$76,SMALL(IF($N$7:$N$76&lt;&gt;"",IF($K$7:$K$76&lt;&gt;"",ROW($K$7:$K$76)-MIN(ROW($K$7:$K$76))+1,""),""),ROW()-ROW(A$79)+1))),","),"")</f>
        <v>0</v>
      </c>
      <c r="M136">
        <f t="array" ref="M136">IFERROR(CONCATENATE((INDEX($A$7:$A$76,SMALL(IF($N$7:$N$76&lt;&gt;"",IF($K$7:$K$76&lt;&gt;"",ROW($K$7:$K$76)-MIN(ROW($K$7:$K$76))+1,""),""),ROW()-ROW(A$79)+1))),),"")</f>
        <v>0</v>
      </c>
    </row>
    <row r="137" spans="11:13">
      <c r="K137">
        <f t="array" ref="K137">IFERROR(CONCATENATE(TEXT(INDEX($K$7:$K$76,SMALL(IF($N$7:$N$76&lt;&gt;"",IF($K$7:$K$76&lt;&gt;"",ROW($K$7:$K$76)-MIN(ROW($K$7:$K$76))+1,""),""),ROW()-ROW(A$79)+1)),"##0"),","),"")</f>
        <v>0</v>
      </c>
      <c r="L137">
        <f t="array" ref="L137">IFERROR(CONCATENATE((INDEX($N$7:$N$76,SMALL(IF($N$7:$N$76&lt;&gt;"",IF($K$7:$K$76&lt;&gt;"",ROW($K$7:$K$76)-MIN(ROW($K$7:$K$76))+1,""),""),ROW()-ROW(A$79)+1))),","),"")</f>
        <v>0</v>
      </c>
      <c r="M137">
        <f t="array" ref="M137">IFERROR(CONCATENATE((INDEX($A$7:$A$76,SMALL(IF($N$7:$N$76&lt;&gt;"",IF($K$7:$K$76&lt;&gt;"",ROW($K$7:$K$76)-MIN(ROW($K$7:$K$76))+1,""),""),ROW()-ROW(A$79)+1))),),"")</f>
        <v>0</v>
      </c>
    </row>
    <row r="138" spans="11:13">
      <c r="K138">
        <f t="array" ref="K138">IFERROR(CONCATENATE(TEXT(INDEX($K$7:$K$76,SMALL(IF($N$7:$N$76&lt;&gt;"",IF($K$7:$K$76&lt;&gt;"",ROW($K$7:$K$76)-MIN(ROW($K$7:$K$76))+1,""),""),ROW()-ROW(A$79)+1)),"##0"),","),"")</f>
        <v>0</v>
      </c>
      <c r="L138">
        <f t="array" ref="L138">IFERROR(CONCATENATE((INDEX($N$7:$N$76,SMALL(IF($N$7:$N$76&lt;&gt;"",IF($K$7:$K$76&lt;&gt;"",ROW($K$7:$K$76)-MIN(ROW($K$7:$K$76))+1,""),""),ROW()-ROW(A$79)+1))),","),"")</f>
        <v>0</v>
      </c>
      <c r="M138">
        <f t="array" ref="M138">IFERROR(CONCATENATE((INDEX($A$7:$A$76,SMALL(IF($N$7:$N$76&lt;&gt;"",IF($K$7:$K$76&lt;&gt;"",ROW($K$7:$K$76)-MIN(ROW($K$7:$K$76))+1,""),""),ROW()-ROW(A$79)+1))),),"")</f>
        <v>0</v>
      </c>
    </row>
    <row r="139" spans="11:13">
      <c r="K139">
        <f t="array" ref="K139">IFERROR(CONCATENATE(TEXT(INDEX($K$7:$K$76,SMALL(IF($N$7:$N$76&lt;&gt;"",IF($K$7:$K$76&lt;&gt;"",ROW($K$7:$K$76)-MIN(ROW($K$7:$K$76))+1,""),""),ROW()-ROW(A$79)+1)),"##0"),","),"")</f>
        <v>0</v>
      </c>
      <c r="L139">
        <f t="array" ref="L139">IFERROR(CONCATENATE((INDEX($N$7:$N$76,SMALL(IF($N$7:$N$76&lt;&gt;"",IF($K$7:$K$76&lt;&gt;"",ROW($K$7:$K$76)-MIN(ROW($K$7:$K$76))+1,""),""),ROW()-ROW(A$79)+1))),","),"")</f>
        <v>0</v>
      </c>
      <c r="M139">
        <f t="array" ref="M139">IFERROR(CONCATENATE((INDEX($A$7:$A$76,SMALL(IF($N$7:$N$76&lt;&gt;"",IF($K$7:$K$76&lt;&gt;"",ROW($K$7:$K$76)-MIN(ROW($K$7:$K$76))+1,""),""),ROW()-ROW(A$79)+1))),),"")</f>
        <v>0</v>
      </c>
    </row>
    <row r="140" spans="11:13">
      <c r="K140">
        <f t="array" ref="K140">IFERROR(CONCATENATE(TEXT(INDEX($K$7:$K$76,SMALL(IF($N$7:$N$76&lt;&gt;"",IF($K$7:$K$76&lt;&gt;"",ROW($K$7:$K$76)-MIN(ROW($K$7:$K$76))+1,""),""),ROW()-ROW(A$79)+1)),"##0"),","),"")</f>
        <v>0</v>
      </c>
      <c r="L140">
        <f t="array" ref="L140">IFERROR(CONCATENATE((INDEX($N$7:$N$76,SMALL(IF($N$7:$N$76&lt;&gt;"",IF($K$7:$K$76&lt;&gt;"",ROW($K$7:$K$76)-MIN(ROW($K$7:$K$76))+1,""),""),ROW()-ROW(A$79)+1))),","),"")</f>
        <v>0</v>
      </c>
      <c r="M140">
        <f t="array" ref="M140">IFERROR(CONCATENATE((INDEX($A$7:$A$76,SMALL(IF($N$7:$N$76&lt;&gt;"",IF($K$7:$K$76&lt;&gt;"",ROW($K$7:$K$76)-MIN(ROW($K$7:$K$76))+1,""),""),ROW()-ROW(A$79)+1))),),"")</f>
        <v>0</v>
      </c>
    </row>
    <row r="141" spans="11:13">
      <c r="K141">
        <f t="array" ref="K141">IFERROR(CONCATENATE(TEXT(INDEX($K$7:$K$76,SMALL(IF($N$7:$N$76&lt;&gt;"",IF($K$7:$K$76&lt;&gt;"",ROW($K$7:$K$76)-MIN(ROW($K$7:$K$76))+1,""),""),ROW()-ROW(A$79)+1)),"##0"),","),"")</f>
        <v>0</v>
      </c>
      <c r="L141">
        <f t="array" ref="L141">IFERROR(CONCATENATE((INDEX($N$7:$N$76,SMALL(IF($N$7:$N$76&lt;&gt;"",IF($K$7:$K$76&lt;&gt;"",ROW($K$7:$K$76)-MIN(ROW($K$7:$K$76))+1,""),""),ROW()-ROW(A$79)+1))),","),"")</f>
        <v>0</v>
      </c>
      <c r="M141">
        <f t="array" ref="M141">IFERROR(CONCATENATE((INDEX($A$7:$A$76,SMALL(IF($N$7:$N$76&lt;&gt;"",IF($K$7:$K$76&lt;&gt;"",ROW($K$7:$K$76)-MIN(ROW($K$7:$K$76))+1,""),""),ROW()-ROW(A$79)+1))),),"")</f>
        <v>0</v>
      </c>
    </row>
    <row r="142" spans="11:13">
      <c r="K142">
        <f t="array" ref="K142">IFERROR(CONCATENATE(TEXT(INDEX($K$7:$K$76,SMALL(IF($N$7:$N$76&lt;&gt;"",IF($K$7:$K$76&lt;&gt;"",ROW($K$7:$K$76)-MIN(ROW($K$7:$K$76))+1,""),""),ROW()-ROW(A$79)+1)),"##0"),","),"")</f>
        <v>0</v>
      </c>
      <c r="L142">
        <f t="array" ref="L142">IFERROR(CONCATENATE((INDEX($N$7:$N$76,SMALL(IF($N$7:$N$76&lt;&gt;"",IF($K$7:$K$76&lt;&gt;"",ROW($K$7:$K$76)-MIN(ROW($K$7:$K$76))+1,""),""),ROW()-ROW(A$79)+1))),","),"")</f>
        <v>0</v>
      </c>
      <c r="M142">
        <f t="array" ref="M142">IFERROR(CONCATENATE((INDEX($A$7:$A$76,SMALL(IF($N$7:$N$76&lt;&gt;"",IF($K$7:$K$76&lt;&gt;"",ROW($K$7:$K$76)-MIN(ROW($K$7:$K$76))+1,""),""),ROW()-ROW(A$79)+1))),),"")</f>
        <v>0</v>
      </c>
    </row>
    <row r="143" spans="11:13">
      <c r="K143">
        <f t="array" ref="K143">IFERROR(CONCATENATE(TEXT(INDEX($K$7:$K$76,SMALL(IF($N$7:$N$76&lt;&gt;"",IF($K$7:$K$76&lt;&gt;"",ROW($K$7:$K$76)-MIN(ROW($K$7:$K$76))+1,""),""),ROW()-ROW(A$79)+1)),"##0"),","),"")</f>
        <v>0</v>
      </c>
      <c r="L143">
        <f t="array" ref="L143">IFERROR(CONCATENATE((INDEX($N$7:$N$76,SMALL(IF($N$7:$N$76&lt;&gt;"",IF($K$7:$K$76&lt;&gt;"",ROW($K$7:$K$76)-MIN(ROW($K$7:$K$76))+1,""),""),ROW()-ROW(A$79)+1))),","),"")</f>
        <v>0</v>
      </c>
      <c r="M143">
        <f t="array" ref="M143">IFERROR(CONCATENATE((INDEX($A$7:$A$76,SMALL(IF($N$7:$N$76&lt;&gt;"",IF($K$7:$K$76&lt;&gt;"",ROW($K$7:$K$76)-MIN(ROW($K$7:$K$76))+1,""),""),ROW()-ROW(A$79)+1))),),"")</f>
        <v>0</v>
      </c>
    </row>
    <row r="144" spans="11:13">
      <c r="K144">
        <f t="array" ref="K144">IFERROR(CONCATENATE(TEXT(INDEX($K$7:$K$76,SMALL(IF($N$7:$N$76&lt;&gt;"",IF($K$7:$K$76&lt;&gt;"",ROW($K$7:$K$76)-MIN(ROW($K$7:$K$76))+1,""),""),ROW()-ROW(A$79)+1)),"##0"),","),"")</f>
        <v>0</v>
      </c>
      <c r="L144">
        <f t="array" ref="L144">IFERROR(CONCATENATE((INDEX($N$7:$N$76,SMALL(IF($N$7:$N$76&lt;&gt;"",IF($K$7:$K$76&lt;&gt;"",ROW($K$7:$K$76)-MIN(ROW($K$7:$K$76))+1,""),""),ROW()-ROW(A$79)+1))),","),"")</f>
        <v>0</v>
      </c>
      <c r="M144">
        <f t="array" ref="M144">IFERROR(CONCATENATE((INDEX($A$7:$A$76,SMALL(IF($N$7:$N$76&lt;&gt;"",IF($K$7:$K$76&lt;&gt;"",ROW($K$7:$K$76)-MIN(ROW($K$7:$K$76))+1,""),""),ROW()-ROW(A$79)+1))),),"")</f>
        <v>0</v>
      </c>
    </row>
    <row r="145" spans="11:13">
      <c r="K145">
        <f t="array" ref="K145">IFERROR(CONCATENATE(TEXT(INDEX($K$7:$K$76,SMALL(IF($N$7:$N$76&lt;&gt;"",IF($K$7:$K$76&lt;&gt;"",ROW($K$7:$K$76)-MIN(ROW($K$7:$K$76))+1,""),""),ROW()-ROW(A$79)+1)),"##0"),","),"")</f>
        <v>0</v>
      </c>
      <c r="L145">
        <f t="array" ref="L145">IFERROR(CONCATENATE((INDEX($N$7:$N$76,SMALL(IF($N$7:$N$76&lt;&gt;"",IF($K$7:$K$76&lt;&gt;"",ROW($K$7:$K$76)-MIN(ROW($K$7:$K$76))+1,""),""),ROW()-ROW(A$79)+1))),","),"")</f>
        <v>0</v>
      </c>
      <c r="M145">
        <f t="array" ref="M145">IFERROR(CONCATENATE((INDEX($A$7:$A$76,SMALL(IF($N$7:$N$76&lt;&gt;"",IF($K$7:$K$76&lt;&gt;"",ROW($K$7:$K$76)-MIN(ROW($K$7:$K$76))+1,""),""),ROW()-ROW(A$79)+1))),),"")</f>
        <v>0</v>
      </c>
    </row>
    <row r="146" spans="11:13">
      <c r="K146">
        <f t="array" ref="K146">IFERROR(CONCATENATE(TEXT(INDEX($K$7:$K$76,SMALL(IF($N$7:$N$76&lt;&gt;"",IF($K$7:$K$76&lt;&gt;"",ROW($K$7:$K$76)-MIN(ROW($K$7:$K$76))+1,""),""),ROW()-ROW(A$79)+1)),"##0"),","),"")</f>
        <v>0</v>
      </c>
      <c r="L146">
        <f t="array" ref="L146">IFERROR(CONCATENATE((INDEX($N$7:$N$76,SMALL(IF($N$7:$N$76&lt;&gt;"",IF($K$7:$K$76&lt;&gt;"",ROW($K$7:$K$76)-MIN(ROW($K$7:$K$76))+1,""),""),ROW()-ROW(A$79)+1))),","),"")</f>
        <v>0</v>
      </c>
      <c r="M146">
        <f t="array" ref="M146">IFERROR(CONCATENATE((INDEX($A$7:$A$76,SMALL(IF($N$7:$N$76&lt;&gt;"",IF($K$7:$K$76&lt;&gt;"",ROW($K$7:$K$76)-MIN(ROW($K$7:$K$76))+1,""),""),ROW()-ROW(A$79)+1))),),"")</f>
        <v>0</v>
      </c>
    </row>
    <row r="147" spans="11:13">
      <c r="K147">
        <f t="array" ref="K147">IFERROR(CONCATENATE(TEXT(INDEX($K$7:$K$76,SMALL(IF($N$7:$N$76&lt;&gt;"",IF($K$7:$K$76&lt;&gt;"",ROW($K$7:$K$76)-MIN(ROW($K$7:$K$76))+1,""),""),ROW()-ROW(A$79)+1)),"##0"),","),"")</f>
        <v>0</v>
      </c>
      <c r="L147">
        <f t="array" ref="L147">IFERROR(CONCATENATE((INDEX($N$7:$N$76,SMALL(IF($N$7:$N$76&lt;&gt;"",IF($K$7:$K$76&lt;&gt;"",ROW($K$7:$K$76)-MIN(ROW($K$7:$K$76))+1,""),""),ROW()-ROW(A$79)+1))),","),"")</f>
        <v>0</v>
      </c>
      <c r="M147">
        <f t="array" ref="M147">IFERROR(CONCATENATE((INDEX($A$7:$A$76,SMALL(IF($N$7:$N$76&lt;&gt;"",IF($K$7:$K$76&lt;&gt;"",ROW($K$7:$K$76)-MIN(ROW($K$7:$K$76))+1,""),""),ROW()-ROW(A$79)+1))),),"")</f>
        <v>0</v>
      </c>
    </row>
    <row r="148" spans="11:13">
      <c r="K148">
        <f t="array" ref="K148">IFERROR(CONCATENATE(TEXT(INDEX($K$7:$K$76,SMALL(IF($N$7:$N$76&lt;&gt;"",IF($K$7:$K$76&lt;&gt;"",ROW($K$7:$K$76)-MIN(ROW($K$7:$K$76))+1,""),""),ROW()-ROW(A$79)+1)),"##0"),","),"")</f>
        <v>0</v>
      </c>
      <c r="L148">
        <f t="array" ref="L148">IFERROR(CONCATENATE((INDEX($N$7:$N$76,SMALL(IF($N$7:$N$76&lt;&gt;"",IF($K$7:$K$76&lt;&gt;"",ROW($K$7:$K$76)-MIN(ROW($K$7:$K$76))+1,""),""),ROW()-ROW(A$79)+1))),","),"")</f>
        <v>0</v>
      </c>
      <c r="M148">
        <f t="array" ref="M148">IFERROR(CONCATENATE((INDEX($A$7:$A$76,SMALL(IF($N$7:$N$76&lt;&gt;"",IF($K$7:$K$76&lt;&gt;"",ROW($K$7:$K$76)-MIN(ROW($K$7:$K$76))+1,""),""),ROW()-ROW(A$79)+1))),),"")</f>
        <v>0</v>
      </c>
    </row>
  </sheetData>
  <mergeCells count="2">
    <mergeCell ref="A5:I5"/>
    <mergeCell ref="J5:N5"/>
  </mergeCells>
  <conditionalFormatting sqref="G10">
    <cfRule type="expression" dxfId="0" priority="10">
      <formula>IF(SUM(INDIRECT(ADDRESS(ROW(),COLUMN(digikey_part_data)+0)))=0,1,0)</formula>
    </cfRule>
    <cfRule type="cellIs" dxfId="1" priority="11" operator="greaterThan">
      <formula>SUM(INDIRECT(ADDRESS(ROW(),COLUMN(digikey_part_data)+0)))</formula>
    </cfRule>
    <cfRule type="cellIs" dxfId="2" priority="12" operator="greaterThan">
      <formula>SUM(IF(ISNUMBER(INDIRECT(ADDRESS(ROW(),COLUMN(digikey_part_data)+2))),INDIRECT(ADDRESS(ROW(),COLUMN(digikey_part_data)+1)),0))</formula>
    </cfRule>
  </conditionalFormatting>
  <conditionalFormatting sqref="G11">
    <cfRule type="expression" dxfId="0" priority="13">
      <formula>IF(SUM(INDIRECT(ADDRESS(ROW(),COLUMN(digikey_part_data)+0)))=0,1,0)</formula>
    </cfRule>
    <cfRule type="cellIs" dxfId="1" priority="14" operator="greaterThan">
      <formula>SUM(INDIRECT(ADDRESS(ROW(),COLUMN(digikey_part_data)+0)))</formula>
    </cfRule>
    <cfRule type="cellIs" dxfId="2" priority="15" operator="greaterThan">
      <formula>SUM(IF(ISNUMBER(INDIRECT(ADDRESS(ROW(),COLUMN(digikey_part_data)+2))),INDIRECT(ADDRESS(ROW(),COLUMN(digikey_part_data)+1)),0))</formula>
    </cfRule>
  </conditionalFormatting>
  <conditionalFormatting sqref="G12">
    <cfRule type="expression" dxfId="0" priority="16">
      <formula>IF(SUM(INDIRECT(ADDRESS(ROW(),COLUMN(digikey_part_data)+0)))=0,1,0)</formula>
    </cfRule>
    <cfRule type="cellIs" dxfId="1" priority="17" operator="greaterThan">
      <formula>SUM(INDIRECT(ADDRESS(ROW(),COLUMN(digikey_part_data)+0)))</formula>
    </cfRule>
    <cfRule type="cellIs" dxfId="2" priority="18" operator="greaterThan">
      <formula>SUM(IF(ISNUMBER(INDIRECT(ADDRESS(ROW(),COLUMN(digikey_part_data)+2))),INDIRECT(ADDRESS(ROW(),COLUMN(digikey_part_data)+1)),0))</formula>
    </cfRule>
  </conditionalFormatting>
  <conditionalFormatting sqref="G13">
    <cfRule type="expression" dxfId="0" priority="19">
      <formula>IF(SUM(INDIRECT(ADDRESS(ROW(),COLUMN(digikey_part_data)+0)))=0,1,0)</formula>
    </cfRule>
    <cfRule type="cellIs" dxfId="1" priority="20" operator="greaterThan">
      <formula>SUM(INDIRECT(ADDRESS(ROW(),COLUMN(digikey_part_data)+0)))</formula>
    </cfRule>
    <cfRule type="cellIs" dxfId="2" priority="21" operator="greaterThan">
      <formula>SUM(IF(ISNUMBER(INDIRECT(ADDRESS(ROW(),COLUMN(digikey_part_data)+2))),INDIRECT(ADDRESS(ROW(),COLUMN(digikey_part_data)+1)),0))</formula>
    </cfRule>
  </conditionalFormatting>
  <conditionalFormatting sqref="G14">
    <cfRule type="expression" dxfId="0" priority="22">
      <formula>IF(SUM(INDIRECT(ADDRESS(ROW(),COLUMN(digikey_part_data)+0)))=0,1,0)</formula>
    </cfRule>
    <cfRule type="cellIs" dxfId="1" priority="23" operator="greaterThan">
      <formula>SUM(INDIRECT(ADDRESS(ROW(),COLUMN(digikey_part_data)+0)))</formula>
    </cfRule>
    <cfRule type="cellIs" dxfId="2" priority="24" operator="greaterThan">
      <formula>SUM(IF(ISNUMBER(INDIRECT(ADDRESS(ROW(),COLUMN(digikey_part_data)+2))),INDIRECT(ADDRESS(ROW(),COLUMN(digikey_part_data)+1)),0))</formula>
    </cfRule>
  </conditionalFormatting>
  <conditionalFormatting sqref="G15">
    <cfRule type="expression" dxfId="0" priority="25">
      <formula>IF(SUM(INDIRECT(ADDRESS(ROW(),COLUMN(digikey_part_data)+0)))=0,1,0)</formula>
    </cfRule>
    <cfRule type="cellIs" dxfId="1" priority="26" operator="greaterThan">
      <formula>SUM(INDIRECT(ADDRESS(ROW(),COLUMN(digikey_part_data)+0)))</formula>
    </cfRule>
    <cfRule type="cellIs" dxfId="2" priority="27" operator="greaterThan">
      <formula>SUM(IF(ISNUMBER(INDIRECT(ADDRESS(ROW(),COLUMN(digikey_part_data)+2))),INDIRECT(ADDRESS(ROW(),COLUMN(digikey_part_data)+1)),0))</formula>
    </cfRule>
  </conditionalFormatting>
  <conditionalFormatting sqref="G16">
    <cfRule type="expression" dxfId="0" priority="28">
      <formula>IF(SUM(INDIRECT(ADDRESS(ROW(),COLUMN(digikey_part_data)+0)))=0,1,0)</formula>
    </cfRule>
    <cfRule type="cellIs" dxfId="1" priority="29" operator="greaterThan">
      <formula>SUM(INDIRECT(ADDRESS(ROW(),COLUMN(digikey_part_data)+0)))</formula>
    </cfRule>
    <cfRule type="cellIs" dxfId="2" priority="30" operator="greaterThan">
      <formula>SUM(IF(ISNUMBER(INDIRECT(ADDRESS(ROW(),COLUMN(digikey_part_data)+2))),INDIRECT(ADDRESS(ROW(),COLUMN(digikey_part_data)+1)),0))</formula>
    </cfRule>
  </conditionalFormatting>
  <conditionalFormatting sqref="G17">
    <cfRule type="expression" dxfId="0" priority="31">
      <formula>IF(SUM(INDIRECT(ADDRESS(ROW(),COLUMN(digikey_part_data)+0)))=0,1,0)</formula>
    </cfRule>
    <cfRule type="cellIs" dxfId="1" priority="32" operator="greaterThan">
      <formula>SUM(INDIRECT(ADDRESS(ROW(),COLUMN(digikey_part_data)+0)))</formula>
    </cfRule>
    <cfRule type="cellIs" dxfId="2" priority="33" operator="greaterThan">
      <formula>SUM(IF(ISNUMBER(INDIRECT(ADDRESS(ROW(),COLUMN(digikey_part_data)+2))),INDIRECT(ADDRESS(ROW(),COLUMN(digikey_part_data)+1)),0))</formula>
    </cfRule>
  </conditionalFormatting>
  <conditionalFormatting sqref="G18">
    <cfRule type="expression" dxfId="0" priority="34">
      <formula>IF(SUM(INDIRECT(ADDRESS(ROW(),COLUMN(digikey_part_data)+0)))=0,1,0)</formula>
    </cfRule>
    <cfRule type="cellIs" dxfId="1" priority="35" operator="greaterThan">
      <formula>SUM(INDIRECT(ADDRESS(ROW(),COLUMN(digikey_part_data)+0)))</formula>
    </cfRule>
    <cfRule type="cellIs" dxfId="2" priority="36" operator="greaterThan">
      <formula>SUM(IF(ISNUMBER(INDIRECT(ADDRESS(ROW(),COLUMN(digikey_part_data)+2))),INDIRECT(ADDRESS(ROW(),COLUMN(digikey_part_data)+1)),0))</formula>
    </cfRule>
  </conditionalFormatting>
  <conditionalFormatting sqref="G19">
    <cfRule type="expression" dxfId="0" priority="37">
      <formula>IF(SUM(INDIRECT(ADDRESS(ROW(),COLUMN(digikey_part_data)+0)))=0,1,0)</formula>
    </cfRule>
    <cfRule type="cellIs" dxfId="1" priority="38" operator="greaterThan">
      <formula>SUM(INDIRECT(ADDRESS(ROW(),COLUMN(digikey_part_data)+0)))</formula>
    </cfRule>
    <cfRule type="cellIs" dxfId="2" priority="39" operator="greaterThan">
      <formula>SUM(IF(ISNUMBER(INDIRECT(ADDRESS(ROW(),COLUMN(digikey_part_data)+2))),INDIRECT(ADDRESS(ROW(),COLUMN(digikey_part_data)+1)),0))</formula>
    </cfRule>
  </conditionalFormatting>
  <conditionalFormatting sqref="G20">
    <cfRule type="expression" dxfId="0" priority="40">
      <formula>IF(SUM(INDIRECT(ADDRESS(ROW(),COLUMN(digikey_part_data)+0)))=0,1,0)</formula>
    </cfRule>
    <cfRule type="cellIs" dxfId="1" priority="41" operator="greaterThan">
      <formula>SUM(INDIRECT(ADDRESS(ROW(),COLUMN(digikey_part_data)+0)))</formula>
    </cfRule>
    <cfRule type="cellIs" dxfId="2" priority="42" operator="greaterThan">
      <formula>SUM(IF(ISNUMBER(INDIRECT(ADDRESS(ROW(),COLUMN(digikey_part_data)+2))),INDIRECT(ADDRESS(ROW(),COLUMN(digikey_part_data)+1)),0))</formula>
    </cfRule>
  </conditionalFormatting>
  <conditionalFormatting sqref="G21">
    <cfRule type="expression" dxfId="0" priority="43">
      <formula>IF(SUM(INDIRECT(ADDRESS(ROW(),COLUMN(digikey_part_data)+0)))=0,1,0)</formula>
    </cfRule>
    <cfRule type="cellIs" dxfId="1" priority="44" operator="greaterThan">
      <formula>SUM(INDIRECT(ADDRESS(ROW(),COLUMN(digikey_part_data)+0)))</formula>
    </cfRule>
    <cfRule type="cellIs" dxfId="2" priority="45" operator="greaterThan">
      <formula>SUM(IF(ISNUMBER(INDIRECT(ADDRESS(ROW(),COLUMN(digikey_part_data)+2))),INDIRECT(ADDRESS(ROW(),COLUMN(digikey_part_data)+1)),0))</formula>
    </cfRule>
  </conditionalFormatting>
  <conditionalFormatting sqref="G22">
    <cfRule type="expression" dxfId="0" priority="46">
      <formula>IF(SUM(INDIRECT(ADDRESS(ROW(),COLUMN(digikey_part_data)+0)))=0,1,0)</formula>
    </cfRule>
    <cfRule type="cellIs" dxfId="1" priority="47" operator="greaterThan">
      <formula>SUM(INDIRECT(ADDRESS(ROW(),COLUMN(digikey_part_data)+0)))</formula>
    </cfRule>
    <cfRule type="cellIs" dxfId="2" priority="48" operator="greaterThan">
      <formula>SUM(IF(ISNUMBER(INDIRECT(ADDRESS(ROW(),COLUMN(digikey_part_data)+2))),INDIRECT(ADDRESS(ROW(),COLUMN(digikey_part_data)+1)),0))</formula>
    </cfRule>
  </conditionalFormatting>
  <conditionalFormatting sqref="G23">
    <cfRule type="expression" dxfId="0" priority="49">
      <formula>IF(SUM(INDIRECT(ADDRESS(ROW(),COLUMN(digikey_part_data)+0)))=0,1,0)</formula>
    </cfRule>
    <cfRule type="cellIs" dxfId="1" priority="50" operator="greaterThan">
      <formula>SUM(INDIRECT(ADDRESS(ROW(),COLUMN(digikey_part_data)+0)))</formula>
    </cfRule>
    <cfRule type="cellIs" dxfId="2" priority="51" operator="greaterThan">
      <formula>SUM(IF(ISNUMBER(INDIRECT(ADDRESS(ROW(),COLUMN(digikey_part_data)+2))),INDIRECT(ADDRESS(ROW(),COLUMN(digikey_part_data)+1)),0))</formula>
    </cfRule>
  </conditionalFormatting>
  <conditionalFormatting sqref="G24">
    <cfRule type="expression" dxfId="0" priority="52">
      <formula>IF(SUM(INDIRECT(ADDRESS(ROW(),COLUMN(digikey_part_data)+0)))=0,1,0)</formula>
    </cfRule>
    <cfRule type="cellIs" dxfId="1" priority="53" operator="greaterThan">
      <formula>SUM(INDIRECT(ADDRESS(ROW(),COLUMN(digikey_part_data)+0)))</formula>
    </cfRule>
    <cfRule type="cellIs" dxfId="2" priority="54" operator="greaterThan">
      <formula>SUM(IF(ISNUMBER(INDIRECT(ADDRESS(ROW(),COLUMN(digikey_part_data)+2))),INDIRECT(ADDRESS(ROW(),COLUMN(digikey_part_data)+1)),0))</formula>
    </cfRule>
  </conditionalFormatting>
  <conditionalFormatting sqref="G25">
    <cfRule type="expression" dxfId="0" priority="55">
      <formula>IF(SUM(INDIRECT(ADDRESS(ROW(),COLUMN(digikey_part_data)+0)))=0,1,0)</formula>
    </cfRule>
    <cfRule type="cellIs" dxfId="1" priority="56" operator="greaterThan">
      <formula>SUM(INDIRECT(ADDRESS(ROW(),COLUMN(digikey_part_data)+0)))</formula>
    </cfRule>
    <cfRule type="cellIs" dxfId="2" priority="57" operator="greaterThan">
      <formula>SUM(IF(ISNUMBER(INDIRECT(ADDRESS(ROW(),COLUMN(digikey_part_data)+2))),INDIRECT(ADDRESS(ROW(),COLUMN(digikey_part_data)+1)),0))</formula>
    </cfRule>
  </conditionalFormatting>
  <conditionalFormatting sqref="G26">
    <cfRule type="expression" dxfId="0" priority="58">
      <formula>IF(SUM(INDIRECT(ADDRESS(ROW(),COLUMN(digikey_part_data)+0)))=0,1,0)</formula>
    </cfRule>
    <cfRule type="cellIs" dxfId="1" priority="59" operator="greaterThan">
      <formula>SUM(INDIRECT(ADDRESS(ROW(),COLUMN(digikey_part_data)+0)))</formula>
    </cfRule>
    <cfRule type="cellIs" dxfId="2" priority="60" operator="greaterThan">
      <formula>SUM(IF(ISNUMBER(INDIRECT(ADDRESS(ROW(),COLUMN(digikey_part_data)+2))),INDIRECT(ADDRESS(ROW(),COLUMN(digikey_part_data)+1)),0))</formula>
    </cfRule>
  </conditionalFormatting>
  <conditionalFormatting sqref="G27">
    <cfRule type="expression" dxfId="0" priority="61">
      <formula>IF(SUM(INDIRECT(ADDRESS(ROW(),COLUMN(digikey_part_data)+0)))=0,1,0)</formula>
    </cfRule>
    <cfRule type="cellIs" dxfId="1" priority="62" operator="greaterThan">
      <formula>SUM(INDIRECT(ADDRESS(ROW(),COLUMN(digikey_part_data)+0)))</formula>
    </cfRule>
    <cfRule type="cellIs" dxfId="2" priority="63" operator="greaterThan">
      <formula>SUM(IF(ISNUMBER(INDIRECT(ADDRESS(ROW(),COLUMN(digikey_part_data)+2))),INDIRECT(ADDRESS(ROW(),COLUMN(digikey_part_data)+1)),0))</formula>
    </cfRule>
  </conditionalFormatting>
  <conditionalFormatting sqref="G28">
    <cfRule type="expression" dxfId="0" priority="64">
      <formula>IF(SUM(INDIRECT(ADDRESS(ROW(),COLUMN(digikey_part_data)+0)))=0,1,0)</formula>
    </cfRule>
    <cfRule type="cellIs" dxfId="1" priority="65" operator="greaterThan">
      <formula>SUM(INDIRECT(ADDRESS(ROW(),COLUMN(digikey_part_data)+0)))</formula>
    </cfRule>
    <cfRule type="cellIs" dxfId="2" priority="66" operator="greaterThan">
      <formula>SUM(IF(ISNUMBER(INDIRECT(ADDRESS(ROW(),COLUMN(digikey_part_data)+2))),INDIRECT(ADDRESS(ROW(),COLUMN(digikey_part_data)+1)),0))</formula>
    </cfRule>
  </conditionalFormatting>
  <conditionalFormatting sqref="G29">
    <cfRule type="expression" dxfId="0" priority="67">
      <formula>IF(SUM(INDIRECT(ADDRESS(ROW(),COLUMN(digikey_part_data)+0)))=0,1,0)</formula>
    </cfRule>
    <cfRule type="cellIs" dxfId="1" priority="68" operator="greaterThan">
      <formula>SUM(INDIRECT(ADDRESS(ROW(),COLUMN(digikey_part_data)+0)))</formula>
    </cfRule>
    <cfRule type="cellIs" dxfId="2" priority="69" operator="greaterThan">
      <formula>SUM(IF(ISNUMBER(INDIRECT(ADDRESS(ROW(),COLUMN(digikey_part_data)+2))),INDIRECT(ADDRESS(ROW(),COLUMN(digikey_part_data)+1)),0))</formula>
    </cfRule>
  </conditionalFormatting>
  <conditionalFormatting sqref="G30">
    <cfRule type="expression" dxfId="0" priority="70">
      <formula>IF(SUM(INDIRECT(ADDRESS(ROW(),COLUMN(digikey_part_data)+0)))=0,1,0)</formula>
    </cfRule>
    <cfRule type="cellIs" dxfId="1" priority="71" operator="greaterThan">
      <formula>SUM(INDIRECT(ADDRESS(ROW(),COLUMN(digikey_part_data)+0)))</formula>
    </cfRule>
    <cfRule type="cellIs" dxfId="2" priority="72" operator="greaterThan">
      <formula>SUM(IF(ISNUMBER(INDIRECT(ADDRESS(ROW(),COLUMN(digikey_part_data)+2))),INDIRECT(ADDRESS(ROW(),COLUMN(digikey_part_data)+1)),0))</formula>
    </cfRule>
  </conditionalFormatting>
  <conditionalFormatting sqref="G31">
    <cfRule type="expression" dxfId="0" priority="73">
      <formula>IF(SUM(INDIRECT(ADDRESS(ROW(),COLUMN(digikey_part_data)+0)))=0,1,0)</formula>
    </cfRule>
    <cfRule type="cellIs" dxfId="1" priority="74" operator="greaterThan">
      <formula>SUM(INDIRECT(ADDRESS(ROW(),COLUMN(digikey_part_data)+0)))</formula>
    </cfRule>
    <cfRule type="cellIs" dxfId="2" priority="75" operator="greaterThan">
      <formula>SUM(IF(ISNUMBER(INDIRECT(ADDRESS(ROW(),COLUMN(digikey_part_data)+2))),INDIRECT(ADDRESS(ROW(),COLUMN(digikey_part_data)+1)),0))</formula>
    </cfRule>
  </conditionalFormatting>
  <conditionalFormatting sqref="G32">
    <cfRule type="expression" dxfId="0" priority="76">
      <formula>IF(SUM(INDIRECT(ADDRESS(ROW(),COLUMN(digikey_part_data)+0)))=0,1,0)</formula>
    </cfRule>
    <cfRule type="cellIs" dxfId="1" priority="77" operator="greaterThan">
      <formula>SUM(INDIRECT(ADDRESS(ROW(),COLUMN(digikey_part_data)+0)))</formula>
    </cfRule>
    <cfRule type="cellIs" dxfId="2" priority="78" operator="greaterThan">
      <formula>SUM(IF(ISNUMBER(INDIRECT(ADDRESS(ROW(),COLUMN(digikey_part_data)+2))),INDIRECT(ADDRESS(ROW(),COLUMN(digikey_part_data)+1)),0))</formula>
    </cfRule>
  </conditionalFormatting>
  <conditionalFormatting sqref="G33">
    <cfRule type="expression" dxfId="0" priority="79">
      <formula>IF(SUM(INDIRECT(ADDRESS(ROW(),COLUMN(digikey_part_data)+0)))=0,1,0)</formula>
    </cfRule>
    <cfRule type="cellIs" dxfId="1" priority="80" operator="greaterThan">
      <formula>SUM(INDIRECT(ADDRESS(ROW(),COLUMN(digikey_part_data)+0)))</formula>
    </cfRule>
    <cfRule type="cellIs" dxfId="2" priority="81" operator="greaterThan">
      <formula>SUM(IF(ISNUMBER(INDIRECT(ADDRESS(ROW(),COLUMN(digikey_part_data)+2))),INDIRECT(ADDRESS(ROW(),COLUMN(digikey_part_data)+1)),0))</formula>
    </cfRule>
  </conditionalFormatting>
  <conditionalFormatting sqref="G34">
    <cfRule type="expression" dxfId="0" priority="82">
      <formula>IF(SUM(INDIRECT(ADDRESS(ROW(),COLUMN(digikey_part_data)+0)))=0,1,0)</formula>
    </cfRule>
    <cfRule type="cellIs" dxfId="1" priority="83" operator="greaterThan">
      <formula>SUM(INDIRECT(ADDRESS(ROW(),COLUMN(digikey_part_data)+0)))</formula>
    </cfRule>
    <cfRule type="cellIs" dxfId="2" priority="84" operator="greaterThan">
      <formula>SUM(IF(ISNUMBER(INDIRECT(ADDRESS(ROW(),COLUMN(digikey_part_data)+2))),INDIRECT(ADDRESS(ROW(),COLUMN(digikey_part_data)+1)),0))</formula>
    </cfRule>
  </conditionalFormatting>
  <conditionalFormatting sqref="G35">
    <cfRule type="expression" dxfId="0" priority="85">
      <formula>IF(SUM(INDIRECT(ADDRESS(ROW(),COLUMN(digikey_part_data)+0)))=0,1,0)</formula>
    </cfRule>
    <cfRule type="cellIs" dxfId="1" priority="86" operator="greaterThan">
      <formula>SUM(INDIRECT(ADDRESS(ROW(),COLUMN(digikey_part_data)+0)))</formula>
    </cfRule>
    <cfRule type="cellIs" dxfId="2" priority="87" operator="greaterThan">
      <formula>SUM(IF(ISNUMBER(INDIRECT(ADDRESS(ROW(),COLUMN(digikey_part_data)+2))),INDIRECT(ADDRESS(ROW(),COLUMN(digikey_part_data)+1)),0))</formula>
    </cfRule>
  </conditionalFormatting>
  <conditionalFormatting sqref="G36">
    <cfRule type="expression" dxfId="0" priority="88">
      <formula>IF(SUM(INDIRECT(ADDRESS(ROW(),COLUMN(digikey_part_data)+0)))=0,1,0)</formula>
    </cfRule>
    <cfRule type="cellIs" dxfId="1" priority="89" operator="greaterThan">
      <formula>SUM(INDIRECT(ADDRESS(ROW(),COLUMN(digikey_part_data)+0)))</formula>
    </cfRule>
    <cfRule type="cellIs" dxfId="2" priority="90" operator="greaterThan">
      <formula>SUM(IF(ISNUMBER(INDIRECT(ADDRESS(ROW(),COLUMN(digikey_part_data)+2))),INDIRECT(ADDRESS(ROW(),COLUMN(digikey_part_data)+1)),0))</formula>
    </cfRule>
  </conditionalFormatting>
  <conditionalFormatting sqref="G37">
    <cfRule type="expression" dxfId="0" priority="91">
      <formula>IF(SUM(INDIRECT(ADDRESS(ROW(),COLUMN(digikey_part_data)+0)))=0,1,0)</formula>
    </cfRule>
    <cfRule type="cellIs" dxfId="1" priority="92" operator="greaterThan">
      <formula>SUM(INDIRECT(ADDRESS(ROW(),COLUMN(digikey_part_data)+0)))</formula>
    </cfRule>
    <cfRule type="cellIs" dxfId="2" priority="93" operator="greaterThan">
      <formula>SUM(IF(ISNUMBER(INDIRECT(ADDRESS(ROW(),COLUMN(digikey_part_data)+2))),INDIRECT(ADDRESS(ROW(),COLUMN(digikey_part_data)+1)),0))</formula>
    </cfRule>
  </conditionalFormatting>
  <conditionalFormatting sqref="G38">
    <cfRule type="expression" dxfId="0" priority="94">
      <formula>IF(SUM(INDIRECT(ADDRESS(ROW(),COLUMN(digikey_part_data)+0)))=0,1,0)</formula>
    </cfRule>
    <cfRule type="cellIs" dxfId="1" priority="95" operator="greaterThan">
      <formula>SUM(INDIRECT(ADDRESS(ROW(),COLUMN(digikey_part_data)+0)))</formula>
    </cfRule>
    <cfRule type="cellIs" dxfId="2" priority="96" operator="greaterThan">
      <formula>SUM(IF(ISNUMBER(INDIRECT(ADDRESS(ROW(),COLUMN(digikey_part_data)+2))),INDIRECT(ADDRESS(ROW(),COLUMN(digikey_part_data)+1)),0))</formula>
    </cfRule>
  </conditionalFormatting>
  <conditionalFormatting sqref="G39">
    <cfRule type="expression" dxfId="0" priority="97">
      <formula>IF(SUM(INDIRECT(ADDRESS(ROW(),COLUMN(digikey_part_data)+0)))=0,1,0)</formula>
    </cfRule>
    <cfRule type="cellIs" dxfId="1" priority="98" operator="greaterThan">
      <formula>SUM(INDIRECT(ADDRESS(ROW(),COLUMN(digikey_part_data)+0)))</formula>
    </cfRule>
    <cfRule type="cellIs" dxfId="2" priority="99" operator="greaterThan">
      <formula>SUM(IF(ISNUMBER(INDIRECT(ADDRESS(ROW(),COLUMN(digikey_part_data)+2))),INDIRECT(ADDRESS(ROW(),COLUMN(digikey_part_data)+1)),0))</formula>
    </cfRule>
  </conditionalFormatting>
  <conditionalFormatting sqref="G40">
    <cfRule type="expression" dxfId="0" priority="100">
      <formula>IF(SUM(INDIRECT(ADDRESS(ROW(),COLUMN(digikey_part_data)+0)))=0,1,0)</formula>
    </cfRule>
    <cfRule type="cellIs" dxfId="1" priority="101" operator="greaterThan">
      <formula>SUM(INDIRECT(ADDRESS(ROW(),COLUMN(digikey_part_data)+0)))</formula>
    </cfRule>
    <cfRule type="cellIs" dxfId="2" priority="102" operator="greaterThan">
      <formula>SUM(IF(ISNUMBER(INDIRECT(ADDRESS(ROW(),COLUMN(digikey_part_data)+2))),INDIRECT(ADDRESS(ROW(),COLUMN(digikey_part_data)+1)),0))</formula>
    </cfRule>
  </conditionalFormatting>
  <conditionalFormatting sqref="G41">
    <cfRule type="expression" dxfId="0" priority="103">
      <formula>IF(SUM(INDIRECT(ADDRESS(ROW(),COLUMN(digikey_part_data)+0)))=0,1,0)</formula>
    </cfRule>
    <cfRule type="cellIs" dxfId="1" priority="104" operator="greaterThan">
      <formula>SUM(INDIRECT(ADDRESS(ROW(),COLUMN(digikey_part_data)+0)))</formula>
    </cfRule>
    <cfRule type="cellIs" dxfId="2" priority="105" operator="greaterThan">
      <formula>SUM(IF(ISNUMBER(INDIRECT(ADDRESS(ROW(),COLUMN(digikey_part_data)+2))),INDIRECT(ADDRESS(ROW(),COLUMN(digikey_part_data)+1)),0))</formula>
    </cfRule>
  </conditionalFormatting>
  <conditionalFormatting sqref="G42">
    <cfRule type="expression" dxfId="0" priority="106">
      <formula>IF(SUM(INDIRECT(ADDRESS(ROW(),COLUMN(digikey_part_data)+0)))=0,1,0)</formula>
    </cfRule>
    <cfRule type="cellIs" dxfId="1" priority="107" operator="greaterThan">
      <formula>SUM(INDIRECT(ADDRESS(ROW(),COLUMN(digikey_part_data)+0)))</formula>
    </cfRule>
    <cfRule type="cellIs" dxfId="2" priority="108" operator="greaterThan">
      <formula>SUM(IF(ISNUMBER(INDIRECT(ADDRESS(ROW(),COLUMN(digikey_part_data)+2))),INDIRECT(ADDRESS(ROW(),COLUMN(digikey_part_data)+1)),0))</formula>
    </cfRule>
  </conditionalFormatting>
  <conditionalFormatting sqref="G43">
    <cfRule type="expression" dxfId="0" priority="109">
      <formula>IF(SUM(INDIRECT(ADDRESS(ROW(),COLUMN(digikey_part_data)+0)))=0,1,0)</formula>
    </cfRule>
    <cfRule type="cellIs" dxfId="1" priority="110" operator="greaterThan">
      <formula>SUM(INDIRECT(ADDRESS(ROW(),COLUMN(digikey_part_data)+0)))</formula>
    </cfRule>
    <cfRule type="cellIs" dxfId="2" priority="111" operator="greaterThan">
      <formula>SUM(IF(ISNUMBER(INDIRECT(ADDRESS(ROW(),COLUMN(digikey_part_data)+2))),INDIRECT(ADDRESS(ROW(),COLUMN(digikey_part_data)+1)),0))</formula>
    </cfRule>
  </conditionalFormatting>
  <conditionalFormatting sqref="G44">
    <cfRule type="expression" dxfId="0" priority="112">
      <formula>IF(SUM(INDIRECT(ADDRESS(ROW(),COLUMN(digikey_part_data)+0)))=0,1,0)</formula>
    </cfRule>
    <cfRule type="cellIs" dxfId="1" priority="113" operator="greaterThan">
      <formula>SUM(INDIRECT(ADDRESS(ROW(),COLUMN(digikey_part_data)+0)))</formula>
    </cfRule>
    <cfRule type="cellIs" dxfId="2" priority="114" operator="greaterThan">
      <formula>SUM(IF(ISNUMBER(INDIRECT(ADDRESS(ROW(),COLUMN(digikey_part_data)+2))),INDIRECT(ADDRESS(ROW(),COLUMN(digikey_part_data)+1)),0))</formula>
    </cfRule>
  </conditionalFormatting>
  <conditionalFormatting sqref="G45">
    <cfRule type="expression" dxfId="0" priority="115">
      <formula>IF(SUM(INDIRECT(ADDRESS(ROW(),COLUMN(digikey_part_data)+0)))=0,1,0)</formula>
    </cfRule>
    <cfRule type="cellIs" dxfId="1" priority="116" operator="greaterThan">
      <formula>SUM(INDIRECT(ADDRESS(ROW(),COLUMN(digikey_part_data)+0)))</formula>
    </cfRule>
    <cfRule type="cellIs" dxfId="2" priority="117" operator="greaterThan">
      <formula>SUM(IF(ISNUMBER(INDIRECT(ADDRESS(ROW(),COLUMN(digikey_part_data)+2))),INDIRECT(ADDRESS(ROW(),COLUMN(digikey_part_data)+1)),0))</formula>
    </cfRule>
  </conditionalFormatting>
  <conditionalFormatting sqref="G46">
    <cfRule type="expression" dxfId="0" priority="118">
      <formula>IF(SUM(INDIRECT(ADDRESS(ROW(),COLUMN(digikey_part_data)+0)))=0,1,0)</formula>
    </cfRule>
    <cfRule type="cellIs" dxfId="1" priority="119" operator="greaterThan">
      <formula>SUM(INDIRECT(ADDRESS(ROW(),COLUMN(digikey_part_data)+0)))</formula>
    </cfRule>
    <cfRule type="cellIs" dxfId="2" priority="120" operator="greaterThan">
      <formula>SUM(IF(ISNUMBER(INDIRECT(ADDRESS(ROW(),COLUMN(digikey_part_data)+2))),INDIRECT(ADDRESS(ROW(),COLUMN(digikey_part_data)+1)),0))</formula>
    </cfRule>
  </conditionalFormatting>
  <conditionalFormatting sqref="G47">
    <cfRule type="expression" dxfId="0" priority="121">
      <formula>IF(SUM(INDIRECT(ADDRESS(ROW(),COLUMN(digikey_part_data)+0)))=0,1,0)</formula>
    </cfRule>
    <cfRule type="cellIs" dxfId="1" priority="122" operator="greaterThan">
      <formula>SUM(INDIRECT(ADDRESS(ROW(),COLUMN(digikey_part_data)+0)))</formula>
    </cfRule>
    <cfRule type="cellIs" dxfId="2" priority="123" operator="greaterThan">
      <formula>SUM(IF(ISNUMBER(INDIRECT(ADDRESS(ROW(),COLUMN(digikey_part_data)+2))),INDIRECT(ADDRESS(ROW(),COLUMN(digikey_part_data)+1)),0))</formula>
    </cfRule>
  </conditionalFormatting>
  <conditionalFormatting sqref="G48">
    <cfRule type="expression" dxfId="0" priority="124">
      <formula>IF(SUM(INDIRECT(ADDRESS(ROW(),COLUMN(digikey_part_data)+0)))=0,1,0)</formula>
    </cfRule>
    <cfRule type="cellIs" dxfId="1" priority="125" operator="greaterThan">
      <formula>SUM(INDIRECT(ADDRESS(ROW(),COLUMN(digikey_part_data)+0)))</formula>
    </cfRule>
    <cfRule type="cellIs" dxfId="2" priority="126" operator="greaterThan">
      <formula>SUM(IF(ISNUMBER(INDIRECT(ADDRESS(ROW(),COLUMN(digikey_part_data)+2))),INDIRECT(ADDRESS(ROW(),COLUMN(digikey_part_data)+1)),0))</formula>
    </cfRule>
  </conditionalFormatting>
  <conditionalFormatting sqref="G49">
    <cfRule type="expression" dxfId="0" priority="127">
      <formula>IF(SUM(INDIRECT(ADDRESS(ROW(),COLUMN(digikey_part_data)+0)))=0,1,0)</formula>
    </cfRule>
    <cfRule type="cellIs" dxfId="1" priority="128" operator="greaterThan">
      <formula>SUM(INDIRECT(ADDRESS(ROW(),COLUMN(digikey_part_data)+0)))</formula>
    </cfRule>
    <cfRule type="cellIs" dxfId="2" priority="129" operator="greaterThan">
      <formula>SUM(IF(ISNUMBER(INDIRECT(ADDRESS(ROW(),COLUMN(digikey_part_data)+2))),INDIRECT(ADDRESS(ROW(),COLUMN(digikey_part_data)+1)),0))</formula>
    </cfRule>
  </conditionalFormatting>
  <conditionalFormatting sqref="G50">
    <cfRule type="expression" dxfId="0" priority="130">
      <formula>IF(SUM(INDIRECT(ADDRESS(ROW(),COLUMN(digikey_part_data)+0)))=0,1,0)</formula>
    </cfRule>
    <cfRule type="cellIs" dxfId="1" priority="131" operator="greaterThan">
      <formula>SUM(INDIRECT(ADDRESS(ROW(),COLUMN(digikey_part_data)+0)))</formula>
    </cfRule>
    <cfRule type="cellIs" dxfId="2" priority="132" operator="greaterThan">
      <formula>SUM(IF(ISNUMBER(INDIRECT(ADDRESS(ROW(),COLUMN(digikey_part_data)+2))),INDIRECT(ADDRESS(ROW(),COLUMN(digikey_part_data)+1)),0))</formula>
    </cfRule>
  </conditionalFormatting>
  <conditionalFormatting sqref="G51">
    <cfRule type="expression" dxfId="0" priority="133">
      <formula>IF(SUM(INDIRECT(ADDRESS(ROW(),COLUMN(digikey_part_data)+0)))=0,1,0)</formula>
    </cfRule>
    <cfRule type="cellIs" dxfId="1" priority="134" operator="greaterThan">
      <formula>SUM(INDIRECT(ADDRESS(ROW(),COLUMN(digikey_part_data)+0)))</formula>
    </cfRule>
    <cfRule type="cellIs" dxfId="2" priority="135" operator="greaterThan">
      <formula>SUM(IF(ISNUMBER(INDIRECT(ADDRESS(ROW(),COLUMN(digikey_part_data)+2))),INDIRECT(ADDRESS(ROW(),COLUMN(digikey_part_data)+1)),0))</formula>
    </cfRule>
  </conditionalFormatting>
  <conditionalFormatting sqref="G52">
    <cfRule type="expression" dxfId="0" priority="136">
      <formula>IF(SUM(INDIRECT(ADDRESS(ROW(),COLUMN(digikey_part_data)+0)))=0,1,0)</formula>
    </cfRule>
    <cfRule type="cellIs" dxfId="1" priority="137" operator="greaterThan">
      <formula>SUM(INDIRECT(ADDRESS(ROW(),COLUMN(digikey_part_data)+0)))</formula>
    </cfRule>
    <cfRule type="cellIs" dxfId="2" priority="138" operator="greaterThan">
      <formula>SUM(IF(ISNUMBER(INDIRECT(ADDRESS(ROW(),COLUMN(digikey_part_data)+2))),INDIRECT(ADDRESS(ROW(),COLUMN(digikey_part_data)+1)),0))</formula>
    </cfRule>
  </conditionalFormatting>
  <conditionalFormatting sqref="G53">
    <cfRule type="expression" dxfId="0" priority="139">
      <formula>IF(SUM(INDIRECT(ADDRESS(ROW(),COLUMN(digikey_part_data)+0)))=0,1,0)</formula>
    </cfRule>
    <cfRule type="cellIs" dxfId="1" priority="140" operator="greaterThan">
      <formula>SUM(INDIRECT(ADDRESS(ROW(),COLUMN(digikey_part_data)+0)))</formula>
    </cfRule>
    <cfRule type="cellIs" dxfId="2" priority="141" operator="greaterThan">
      <formula>SUM(IF(ISNUMBER(INDIRECT(ADDRESS(ROW(),COLUMN(digikey_part_data)+2))),INDIRECT(ADDRESS(ROW(),COLUMN(digikey_part_data)+1)),0))</formula>
    </cfRule>
  </conditionalFormatting>
  <conditionalFormatting sqref="G54">
    <cfRule type="expression" dxfId="0" priority="142">
      <formula>IF(SUM(INDIRECT(ADDRESS(ROW(),COLUMN(digikey_part_data)+0)))=0,1,0)</formula>
    </cfRule>
    <cfRule type="cellIs" dxfId="1" priority="143" operator="greaterThan">
      <formula>SUM(INDIRECT(ADDRESS(ROW(),COLUMN(digikey_part_data)+0)))</formula>
    </cfRule>
    <cfRule type="cellIs" dxfId="2" priority="144" operator="greaterThan">
      <formula>SUM(IF(ISNUMBER(INDIRECT(ADDRESS(ROW(),COLUMN(digikey_part_data)+2))),INDIRECT(ADDRESS(ROW(),COLUMN(digikey_part_data)+1)),0))</formula>
    </cfRule>
  </conditionalFormatting>
  <conditionalFormatting sqref="G55">
    <cfRule type="expression" dxfId="0" priority="145">
      <formula>IF(SUM(INDIRECT(ADDRESS(ROW(),COLUMN(digikey_part_data)+0)))=0,1,0)</formula>
    </cfRule>
    <cfRule type="cellIs" dxfId="1" priority="146" operator="greaterThan">
      <formula>SUM(INDIRECT(ADDRESS(ROW(),COLUMN(digikey_part_data)+0)))</formula>
    </cfRule>
    <cfRule type="cellIs" dxfId="2" priority="147" operator="greaterThan">
      <formula>SUM(IF(ISNUMBER(INDIRECT(ADDRESS(ROW(),COLUMN(digikey_part_data)+2))),INDIRECT(ADDRESS(ROW(),COLUMN(digikey_part_data)+1)),0))</formula>
    </cfRule>
  </conditionalFormatting>
  <conditionalFormatting sqref="G56">
    <cfRule type="expression" dxfId="0" priority="148">
      <formula>IF(SUM(INDIRECT(ADDRESS(ROW(),COLUMN(digikey_part_data)+0)))=0,1,0)</formula>
    </cfRule>
    <cfRule type="cellIs" dxfId="1" priority="149" operator="greaterThan">
      <formula>SUM(INDIRECT(ADDRESS(ROW(),COLUMN(digikey_part_data)+0)))</formula>
    </cfRule>
    <cfRule type="cellIs" dxfId="2" priority="150" operator="greaterThan">
      <formula>SUM(IF(ISNUMBER(INDIRECT(ADDRESS(ROW(),COLUMN(digikey_part_data)+2))),INDIRECT(ADDRESS(ROW(),COLUMN(digikey_part_data)+1)),0))</formula>
    </cfRule>
  </conditionalFormatting>
  <conditionalFormatting sqref="G57">
    <cfRule type="expression" dxfId="0" priority="151">
      <formula>IF(SUM(INDIRECT(ADDRESS(ROW(),COLUMN(digikey_part_data)+0)))=0,1,0)</formula>
    </cfRule>
    <cfRule type="cellIs" dxfId="1" priority="152" operator="greaterThan">
      <formula>SUM(INDIRECT(ADDRESS(ROW(),COLUMN(digikey_part_data)+0)))</formula>
    </cfRule>
    <cfRule type="cellIs" dxfId="2" priority="153" operator="greaterThan">
      <formula>SUM(IF(ISNUMBER(INDIRECT(ADDRESS(ROW(),COLUMN(digikey_part_data)+2))),INDIRECT(ADDRESS(ROW(),COLUMN(digikey_part_data)+1)),0))</formula>
    </cfRule>
  </conditionalFormatting>
  <conditionalFormatting sqref="G58">
    <cfRule type="expression" dxfId="0" priority="154">
      <formula>IF(SUM(INDIRECT(ADDRESS(ROW(),COLUMN(digikey_part_data)+0)))=0,1,0)</formula>
    </cfRule>
    <cfRule type="cellIs" dxfId="1" priority="155" operator="greaterThan">
      <formula>SUM(INDIRECT(ADDRESS(ROW(),COLUMN(digikey_part_data)+0)))</formula>
    </cfRule>
    <cfRule type="cellIs" dxfId="2" priority="156" operator="greaterThan">
      <formula>SUM(IF(ISNUMBER(INDIRECT(ADDRESS(ROW(),COLUMN(digikey_part_data)+2))),INDIRECT(ADDRESS(ROW(),COLUMN(digikey_part_data)+1)),0))</formula>
    </cfRule>
  </conditionalFormatting>
  <conditionalFormatting sqref="G59">
    <cfRule type="expression" dxfId="0" priority="157">
      <formula>IF(SUM(INDIRECT(ADDRESS(ROW(),COLUMN(digikey_part_data)+0)))=0,1,0)</formula>
    </cfRule>
    <cfRule type="cellIs" dxfId="1" priority="158" operator="greaterThan">
      <formula>SUM(INDIRECT(ADDRESS(ROW(),COLUMN(digikey_part_data)+0)))</formula>
    </cfRule>
    <cfRule type="cellIs" dxfId="2" priority="159" operator="greaterThan">
      <formula>SUM(IF(ISNUMBER(INDIRECT(ADDRESS(ROW(),COLUMN(digikey_part_data)+2))),INDIRECT(ADDRESS(ROW(),COLUMN(digikey_part_data)+1)),0))</formula>
    </cfRule>
  </conditionalFormatting>
  <conditionalFormatting sqref="G60">
    <cfRule type="expression" dxfId="0" priority="160">
      <formula>IF(SUM(INDIRECT(ADDRESS(ROW(),COLUMN(digikey_part_data)+0)))=0,1,0)</formula>
    </cfRule>
    <cfRule type="cellIs" dxfId="1" priority="161" operator="greaterThan">
      <formula>SUM(INDIRECT(ADDRESS(ROW(),COLUMN(digikey_part_data)+0)))</formula>
    </cfRule>
    <cfRule type="cellIs" dxfId="2" priority="162" operator="greaterThan">
      <formula>SUM(IF(ISNUMBER(INDIRECT(ADDRESS(ROW(),COLUMN(digikey_part_data)+2))),INDIRECT(ADDRESS(ROW(),COLUMN(digikey_part_data)+1)),0))</formula>
    </cfRule>
  </conditionalFormatting>
  <conditionalFormatting sqref="G61">
    <cfRule type="expression" dxfId="0" priority="163">
      <formula>IF(SUM(INDIRECT(ADDRESS(ROW(),COLUMN(digikey_part_data)+0)))=0,1,0)</formula>
    </cfRule>
    <cfRule type="cellIs" dxfId="1" priority="164" operator="greaterThan">
      <formula>SUM(INDIRECT(ADDRESS(ROW(),COLUMN(digikey_part_data)+0)))</formula>
    </cfRule>
    <cfRule type="cellIs" dxfId="2" priority="165" operator="greaterThan">
      <formula>SUM(IF(ISNUMBER(INDIRECT(ADDRESS(ROW(),COLUMN(digikey_part_data)+2))),INDIRECT(ADDRESS(ROW(),COLUMN(digikey_part_data)+1)),0))</formula>
    </cfRule>
  </conditionalFormatting>
  <conditionalFormatting sqref="G62">
    <cfRule type="expression" dxfId="0" priority="166">
      <formula>IF(SUM(INDIRECT(ADDRESS(ROW(),COLUMN(digikey_part_data)+0)))=0,1,0)</formula>
    </cfRule>
    <cfRule type="cellIs" dxfId="1" priority="167" operator="greaterThan">
      <formula>SUM(INDIRECT(ADDRESS(ROW(),COLUMN(digikey_part_data)+0)))</formula>
    </cfRule>
    <cfRule type="cellIs" dxfId="2" priority="168" operator="greaterThan">
      <formula>SUM(IF(ISNUMBER(INDIRECT(ADDRESS(ROW(),COLUMN(digikey_part_data)+2))),INDIRECT(ADDRESS(ROW(),COLUMN(digikey_part_data)+1)),0))</formula>
    </cfRule>
  </conditionalFormatting>
  <conditionalFormatting sqref="G63">
    <cfRule type="expression" dxfId="0" priority="169">
      <formula>IF(SUM(INDIRECT(ADDRESS(ROW(),COLUMN(digikey_part_data)+0)))=0,1,0)</formula>
    </cfRule>
    <cfRule type="cellIs" dxfId="1" priority="170" operator="greaterThan">
      <formula>SUM(INDIRECT(ADDRESS(ROW(),COLUMN(digikey_part_data)+0)))</formula>
    </cfRule>
    <cfRule type="cellIs" dxfId="2" priority="171" operator="greaterThan">
      <formula>SUM(IF(ISNUMBER(INDIRECT(ADDRESS(ROW(),COLUMN(digikey_part_data)+2))),INDIRECT(ADDRESS(ROW(),COLUMN(digikey_part_data)+1)),0))</formula>
    </cfRule>
  </conditionalFormatting>
  <conditionalFormatting sqref="G64">
    <cfRule type="expression" dxfId="0" priority="172">
      <formula>IF(SUM(INDIRECT(ADDRESS(ROW(),COLUMN(digikey_part_data)+0)))=0,1,0)</formula>
    </cfRule>
    <cfRule type="cellIs" dxfId="1" priority="173" operator="greaterThan">
      <formula>SUM(INDIRECT(ADDRESS(ROW(),COLUMN(digikey_part_data)+0)))</formula>
    </cfRule>
    <cfRule type="cellIs" dxfId="2" priority="174" operator="greaterThan">
      <formula>SUM(IF(ISNUMBER(INDIRECT(ADDRESS(ROW(),COLUMN(digikey_part_data)+2))),INDIRECT(ADDRESS(ROW(),COLUMN(digikey_part_data)+1)),0))</formula>
    </cfRule>
  </conditionalFormatting>
  <conditionalFormatting sqref="G65">
    <cfRule type="expression" dxfId="0" priority="175">
      <formula>IF(SUM(INDIRECT(ADDRESS(ROW(),COLUMN(digikey_part_data)+0)))=0,1,0)</formula>
    </cfRule>
    <cfRule type="cellIs" dxfId="1" priority="176" operator="greaterThan">
      <formula>SUM(INDIRECT(ADDRESS(ROW(),COLUMN(digikey_part_data)+0)))</formula>
    </cfRule>
    <cfRule type="cellIs" dxfId="2" priority="177" operator="greaterThan">
      <formula>SUM(IF(ISNUMBER(INDIRECT(ADDRESS(ROW(),COLUMN(digikey_part_data)+2))),INDIRECT(ADDRESS(ROW(),COLUMN(digikey_part_data)+1)),0))</formula>
    </cfRule>
  </conditionalFormatting>
  <conditionalFormatting sqref="G66">
    <cfRule type="expression" dxfId="0" priority="178">
      <formula>IF(SUM(INDIRECT(ADDRESS(ROW(),COLUMN(digikey_part_data)+0)))=0,1,0)</formula>
    </cfRule>
    <cfRule type="cellIs" dxfId="1" priority="179" operator="greaterThan">
      <formula>SUM(INDIRECT(ADDRESS(ROW(),COLUMN(digikey_part_data)+0)))</formula>
    </cfRule>
    <cfRule type="cellIs" dxfId="2" priority="180" operator="greaterThan">
      <formula>SUM(IF(ISNUMBER(INDIRECT(ADDRESS(ROW(),COLUMN(digikey_part_data)+2))),INDIRECT(ADDRESS(ROW(),COLUMN(digikey_part_data)+1)),0))</formula>
    </cfRule>
  </conditionalFormatting>
  <conditionalFormatting sqref="G67">
    <cfRule type="expression" dxfId="0" priority="181">
      <formula>IF(SUM(INDIRECT(ADDRESS(ROW(),COLUMN(digikey_part_data)+0)))=0,1,0)</formula>
    </cfRule>
    <cfRule type="cellIs" dxfId="1" priority="182" operator="greaterThan">
      <formula>SUM(INDIRECT(ADDRESS(ROW(),COLUMN(digikey_part_data)+0)))</formula>
    </cfRule>
    <cfRule type="cellIs" dxfId="2" priority="183" operator="greaterThan">
      <formula>SUM(IF(ISNUMBER(INDIRECT(ADDRESS(ROW(),COLUMN(digikey_part_data)+2))),INDIRECT(ADDRESS(ROW(),COLUMN(digikey_part_data)+1)),0))</formula>
    </cfRule>
  </conditionalFormatting>
  <conditionalFormatting sqref="G68">
    <cfRule type="expression" dxfId="0" priority="184">
      <formula>IF(SUM(INDIRECT(ADDRESS(ROW(),COLUMN(digikey_part_data)+0)))=0,1,0)</formula>
    </cfRule>
    <cfRule type="cellIs" dxfId="1" priority="185" operator="greaterThan">
      <formula>SUM(INDIRECT(ADDRESS(ROW(),COLUMN(digikey_part_data)+0)))</formula>
    </cfRule>
    <cfRule type="cellIs" dxfId="2" priority="186" operator="greaterThan">
      <formula>SUM(IF(ISNUMBER(INDIRECT(ADDRESS(ROW(),COLUMN(digikey_part_data)+2))),INDIRECT(ADDRESS(ROW(),COLUMN(digikey_part_data)+1)),0))</formula>
    </cfRule>
  </conditionalFormatting>
  <conditionalFormatting sqref="G69">
    <cfRule type="expression" dxfId="0" priority="187">
      <formula>IF(SUM(INDIRECT(ADDRESS(ROW(),COLUMN(digikey_part_data)+0)))=0,1,0)</formula>
    </cfRule>
    <cfRule type="cellIs" dxfId="1" priority="188" operator="greaterThan">
      <formula>SUM(INDIRECT(ADDRESS(ROW(),COLUMN(digikey_part_data)+0)))</formula>
    </cfRule>
    <cfRule type="cellIs" dxfId="2" priority="189" operator="greaterThan">
      <formula>SUM(IF(ISNUMBER(INDIRECT(ADDRESS(ROW(),COLUMN(digikey_part_data)+2))),INDIRECT(ADDRESS(ROW(),COLUMN(digikey_part_data)+1)),0))</formula>
    </cfRule>
  </conditionalFormatting>
  <conditionalFormatting sqref="G7">
    <cfRule type="expression" dxfId="0" priority="1">
      <formula>IF(SUM(INDIRECT(ADDRESS(ROW(),COLUMN(digikey_part_data)+0)))=0,1,0)</formula>
    </cfRule>
    <cfRule type="cellIs" dxfId="1" priority="2" operator="greaterThan">
      <formula>SUM(INDIRECT(ADDRESS(ROW(),COLUMN(digikey_part_data)+0)))</formula>
    </cfRule>
    <cfRule type="cellIs" dxfId="2" priority="3" operator="greaterThan">
      <formula>SUM(IF(ISNUMBER(INDIRECT(ADDRESS(ROW(),COLUMN(digikey_part_data)+2))),INDIRECT(ADDRESS(ROW(),COLUMN(digikey_part_data)+1)),0))</formula>
    </cfRule>
  </conditionalFormatting>
  <conditionalFormatting sqref="G70">
    <cfRule type="expression" dxfId="0" priority="190">
      <formula>IF(SUM(INDIRECT(ADDRESS(ROW(),COLUMN(digikey_part_data)+0)))=0,1,0)</formula>
    </cfRule>
    <cfRule type="cellIs" dxfId="1" priority="191" operator="greaterThan">
      <formula>SUM(INDIRECT(ADDRESS(ROW(),COLUMN(digikey_part_data)+0)))</formula>
    </cfRule>
    <cfRule type="cellIs" dxfId="2" priority="192" operator="greaterThan">
      <formula>SUM(IF(ISNUMBER(INDIRECT(ADDRESS(ROW(),COLUMN(digikey_part_data)+2))),INDIRECT(ADDRESS(ROW(),COLUMN(digikey_part_data)+1)),0))</formula>
    </cfRule>
  </conditionalFormatting>
  <conditionalFormatting sqref="G71">
    <cfRule type="expression" dxfId="0" priority="193">
      <formula>IF(SUM(INDIRECT(ADDRESS(ROW(),COLUMN(digikey_part_data)+0)))=0,1,0)</formula>
    </cfRule>
    <cfRule type="cellIs" dxfId="1" priority="194" operator="greaterThan">
      <formula>SUM(INDIRECT(ADDRESS(ROW(),COLUMN(digikey_part_data)+0)))</formula>
    </cfRule>
    <cfRule type="cellIs" dxfId="2" priority="195" operator="greaterThan">
      <formula>SUM(IF(ISNUMBER(INDIRECT(ADDRESS(ROW(),COLUMN(digikey_part_data)+2))),INDIRECT(ADDRESS(ROW(),COLUMN(digikey_part_data)+1)),0))</formula>
    </cfRule>
  </conditionalFormatting>
  <conditionalFormatting sqref="G72">
    <cfRule type="expression" dxfId="0" priority="196">
      <formula>IF(SUM(INDIRECT(ADDRESS(ROW(),COLUMN(digikey_part_data)+0)))=0,1,0)</formula>
    </cfRule>
    <cfRule type="cellIs" dxfId="1" priority="197" operator="greaterThan">
      <formula>SUM(INDIRECT(ADDRESS(ROW(),COLUMN(digikey_part_data)+0)))</formula>
    </cfRule>
    <cfRule type="cellIs" dxfId="2" priority="198" operator="greaterThan">
      <formula>SUM(IF(ISNUMBER(INDIRECT(ADDRESS(ROW(),COLUMN(digikey_part_data)+2))),INDIRECT(ADDRESS(ROW(),COLUMN(digikey_part_data)+1)),0))</formula>
    </cfRule>
  </conditionalFormatting>
  <conditionalFormatting sqref="G73">
    <cfRule type="expression" dxfId="0" priority="199">
      <formula>IF(SUM(INDIRECT(ADDRESS(ROW(),COLUMN(digikey_part_data)+0)))=0,1,0)</formula>
    </cfRule>
    <cfRule type="cellIs" dxfId="1" priority="200" operator="greaterThan">
      <formula>SUM(INDIRECT(ADDRESS(ROW(),COLUMN(digikey_part_data)+0)))</formula>
    </cfRule>
    <cfRule type="cellIs" dxfId="2" priority="201" operator="greaterThan">
      <formula>SUM(IF(ISNUMBER(INDIRECT(ADDRESS(ROW(),COLUMN(digikey_part_data)+2))),INDIRECT(ADDRESS(ROW(),COLUMN(digikey_part_data)+1)),0))</formula>
    </cfRule>
  </conditionalFormatting>
  <conditionalFormatting sqref="G74">
    <cfRule type="expression" dxfId="0" priority="202">
      <formula>IF(SUM(INDIRECT(ADDRESS(ROW(),COLUMN(digikey_part_data)+0)))=0,1,0)</formula>
    </cfRule>
    <cfRule type="cellIs" dxfId="1" priority="203" operator="greaterThan">
      <formula>SUM(INDIRECT(ADDRESS(ROW(),COLUMN(digikey_part_data)+0)))</formula>
    </cfRule>
    <cfRule type="cellIs" dxfId="2" priority="204" operator="greaterThan">
      <formula>SUM(IF(ISNUMBER(INDIRECT(ADDRESS(ROW(),COLUMN(digikey_part_data)+2))),INDIRECT(ADDRESS(ROW(),COLUMN(digikey_part_data)+1)),0))</formula>
    </cfRule>
  </conditionalFormatting>
  <conditionalFormatting sqref="G75">
    <cfRule type="expression" dxfId="0" priority="205">
      <formula>IF(SUM(INDIRECT(ADDRESS(ROW(),COLUMN(digikey_part_data)+0)))=0,1,0)</formula>
    </cfRule>
    <cfRule type="cellIs" dxfId="1" priority="206" operator="greaterThan">
      <formula>SUM(INDIRECT(ADDRESS(ROW(),COLUMN(digikey_part_data)+0)))</formula>
    </cfRule>
    <cfRule type="cellIs" dxfId="2" priority="207" operator="greaterThan">
      <formula>SUM(IF(ISNUMBER(INDIRECT(ADDRESS(ROW(),COLUMN(digikey_part_data)+2))),INDIRECT(ADDRESS(ROW(),COLUMN(digikey_part_data)+1)),0))</formula>
    </cfRule>
  </conditionalFormatting>
  <conditionalFormatting sqref="G76">
    <cfRule type="expression" dxfId="0" priority="208">
      <formula>IF(SUM(INDIRECT(ADDRESS(ROW(),COLUMN(digikey_part_data)+0)))=0,1,0)</formula>
    </cfRule>
    <cfRule type="cellIs" dxfId="1" priority="209" operator="greaterThan">
      <formula>SUM(INDIRECT(ADDRESS(ROW(),COLUMN(digikey_part_data)+0)))</formula>
    </cfRule>
    <cfRule type="cellIs" dxfId="2" priority="210" operator="greaterThan">
      <formula>SUM(IF(ISNUMBER(INDIRECT(ADDRESS(ROW(),COLUMN(digikey_part_data)+2))),INDIRECT(ADDRESS(ROW(),COLUMN(digikey_part_data)+1)),0))</formula>
    </cfRule>
  </conditionalFormatting>
  <conditionalFormatting sqref="G8">
    <cfRule type="expression" dxfId="0" priority="4">
      <formula>IF(SUM(INDIRECT(ADDRESS(ROW(),COLUMN(digikey_part_data)+0)))=0,1,0)</formula>
    </cfRule>
    <cfRule type="cellIs" dxfId="1" priority="5" operator="greaterThan">
      <formula>SUM(INDIRECT(ADDRESS(ROW(),COLUMN(digikey_part_data)+0)))</formula>
    </cfRule>
    <cfRule type="cellIs" dxfId="2" priority="6" operator="greaterThan">
      <formula>SUM(IF(ISNUMBER(INDIRECT(ADDRESS(ROW(),COLUMN(digikey_part_data)+2))),INDIRECT(ADDRESS(ROW(),COLUMN(digikey_part_data)+1)),0))</formula>
    </cfRule>
  </conditionalFormatting>
  <conditionalFormatting sqref="G9">
    <cfRule type="expression" dxfId="0" priority="7">
      <formula>IF(SUM(INDIRECT(ADDRESS(ROW(),COLUMN(digikey_part_data)+0)))=0,1,0)</formula>
    </cfRule>
    <cfRule type="cellIs" dxfId="1" priority="8" operator="greaterThan">
      <formula>SUM(INDIRECT(ADDRESS(ROW(),COLUMN(digikey_part_data)+0)))</formula>
    </cfRule>
    <cfRule type="cellIs" dxfId="2" priority="9" operator="greaterThan">
      <formula>SUM(IF(ISNUMBER(INDIRECT(ADDRESS(ROW(),COLUMN(digikey_part_data)+2))),INDIRECT(ADDRESS(ROW(),COLUMN(digikey_part_data)+1)),0))</formula>
    </cfRule>
  </conditionalFormatting>
  <conditionalFormatting sqref="J10">
    <cfRule type="cellIs" dxfId="0" priority="226" operator="equal">
      <formula>0</formula>
    </cfRule>
    <cfRule type="cellIs" dxfId="1" priority="227" operator="lessThan">
      <formula>G10</formula>
    </cfRule>
  </conditionalFormatting>
  <conditionalFormatting sqref="J11">
    <cfRule type="cellIs" dxfId="0" priority="231" operator="equal">
      <formula>0</formula>
    </cfRule>
    <cfRule type="cellIs" dxfId="1" priority="232" operator="lessThan">
      <formula>G11</formula>
    </cfRule>
  </conditionalFormatting>
  <conditionalFormatting sqref="J13">
    <cfRule type="cellIs" dxfId="0" priority="236" operator="equal">
      <formula>0</formula>
    </cfRule>
    <cfRule type="cellIs" dxfId="1" priority="237" operator="lessThan">
      <formula>G13</formula>
    </cfRule>
  </conditionalFormatting>
  <conditionalFormatting sqref="J15">
    <cfRule type="cellIs" dxfId="0" priority="241" operator="equal">
      <formula>0</formula>
    </cfRule>
    <cfRule type="cellIs" dxfId="1" priority="242" operator="lessThan">
      <formula>G15</formula>
    </cfRule>
  </conditionalFormatting>
  <conditionalFormatting sqref="J18">
    <cfRule type="cellIs" dxfId="0" priority="246" operator="equal">
      <formula>0</formula>
    </cfRule>
    <cfRule type="cellIs" dxfId="1" priority="247" operator="lessThan">
      <formula>G18</formula>
    </cfRule>
  </conditionalFormatting>
  <conditionalFormatting sqref="J20">
    <cfRule type="cellIs" dxfId="0" priority="251" operator="equal">
      <formula>0</formula>
    </cfRule>
    <cfRule type="cellIs" dxfId="1" priority="252" operator="lessThan">
      <formula>G20</formula>
    </cfRule>
  </conditionalFormatting>
  <conditionalFormatting sqref="J21">
    <cfRule type="cellIs" dxfId="0" priority="256" operator="equal">
      <formula>0</formula>
    </cfRule>
    <cfRule type="cellIs" dxfId="1" priority="257" operator="lessThan">
      <formula>G21</formula>
    </cfRule>
  </conditionalFormatting>
  <conditionalFormatting sqref="J22">
    <cfRule type="cellIs" dxfId="0" priority="261" operator="equal">
      <formula>0</formula>
    </cfRule>
    <cfRule type="cellIs" dxfId="1" priority="262" operator="lessThan">
      <formula>G22</formula>
    </cfRule>
  </conditionalFormatting>
  <conditionalFormatting sqref="J23">
    <cfRule type="cellIs" dxfId="0" priority="266" operator="equal">
      <formula>0</formula>
    </cfRule>
    <cfRule type="cellIs" dxfId="1" priority="267" operator="lessThan">
      <formula>G23</formula>
    </cfRule>
  </conditionalFormatting>
  <conditionalFormatting sqref="J28">
    <cfRule type="cellIs" dxfId="0" priority="271" operator="equal">
      <formula>0</formula>
    </cfRule>
    <cfRule type="cellIs" dxfId="1" priority="272" operator="lessThan">
      <formula>G28</formula>
    </cfRule>
  </conditionalFormatting>
  <conditionalFormatting sqref="J37">
    <cfRule type="cellIs" dxfId="0" priority="276" operator="equal">
      <formula>0</formula>
    </cfRule>
    <cfRule type="cellIs" dxfId="1" priority="277" operator="lessThan">
      <formula>G37</formula>
    </cfRule>
  </conditionalFormatting>
  <conditionalFormatting sqref="J39">
    <cfRule type="cellIs" dxfId="0" priority="281" operator="equal">
      <formula>0</formula>
    </cfRule>
    <cfRule type="cellIs" dxfId="1" priority="282" operator="lessThan">
      <formula>G39</formula>
    </cfRule>
  </conditionalFormatting>
  <conditionalFormatting sqref="J40">
    <cfRule type="cellIs" dxfId="0" priority="286" operator="equal">
      <formula>0</formula>
    </cfRule>
    <cfRule type="cellIs" dxfId="1" priority="287" operator="lessThan">
      <formula>G40</formula>
    </cfRule>
  </conditionalFormatting>
  <conditionalFormatting sqref="J41">
    <cfRule type="cellIs" dxfId="0" priority="291" operator="equal">
      <formula>0</formula>
    </cfRule>
    <cfRule type="cellIs" dxfId="1" priority="292" operator="lessThan">
      <formula>G41</formula>
    </cfRule>
  </conditionalFormatting>
  <conditionalFormatting sqref="J43">
    <cfRule type="cellIs" dxfId="0" priority="296" operator="equal">
      <formula>0</formula>
    </cfRule>
    <cfRule type="cellIs" dxfId="1" priority="297" operator="lessThan">
      <formula>G43</formula>
    </cfRule>
  </conditionalFormatting>
  <conditionalFormatting sqref="J44">
    <cfRule type="cellIs" dxfId="0" priority="301" operator="equal">
      <formula>0</formula>
    </cfRule>
    <cfRule type="cellIs" dxfId="1" priority="302" operator="lessThan">
      <formula>G44</formula>
    </cfRule>
  </conditionalFormatting>
  <conditionalFormatting sqref="J45">
    <cfRule type="cellIs" dxfId="0" priority="306" operator="equal">
      <formula>0</formula>
    </cfRule>
    <cfRule type="cellIs" dxfId="1" priority="307" operator="lessThan">
      <formula>G45</formula>
    </cfRule>
  </conditionalFormatting>
  <conditionalFormatting sqref="J46">
    <cfRule type="cellIs" dxfId="0" priority="311" operator="equal">
      <formula>0</formula>
    </cfRule>
    <cfRule type="cellIs" dxfId="1" priority="312" operator="lessThan">
      <formula>G46</formula>
    </cfRule>
  </conditionalFormatting>
  <conditionalFormatting sqref="J49">
    <cfRule type="cellIs" dxfId="0" priority="316" operator="equal">
      <formula>0</formula>
    </cfRule>
    <cfRule type="cellIs" dxfId="1" priority="317" operator="lessThan">
      <formula>G49</formula>
    </cfRule>
  </conditionalFormatting>
  <conditionalFormatting sqref="J53">
    <cfRule type="cellIs" dxfId="0" priority="321" operator="equal">
      <formula>0</formula>
    </cfRule>
    <cfRule type="cellIs" dxfId="1" priority="322" operator="lessThan">
      <formula>G53</formula>
    </cfRule>
  </conditionalFormatting>
  <conditionalFormatting sqref="J54">
    <cfRule type="cellIs" dxfId="0" priority="326" operator="equal">
      <formula>0</formula>
    </cfRule>
    <cfRule type="cellIs" dxfId="1" priority="327" operator="lessThan">
      <formula>G54</formula>
    </cfRule>
  </conditionalFormatting>
  <conditionalFormatting sqref="J59">
    <cfRule type="cellIs" dxfId="0" priority="331" operator="equal">
      <formula>0</formula>
    </cfRule>
    <cfRule type="cellIs" dxfId="1" priority="332" operator="lessThan">
      <formula>G59</formula>
    </cfRule>
  </conditionalFormatting>
  <conditionalFormatting sqref="J60">
    <cfRule type="cellIs" dxfId="0" priority="336" operator="equal">
      <formula>0</formula>
    </cfRule>
    <cfRule type="cellIs" dxfId="1" priority="337" operator="lessThan">
      <formula>G60</formula>
    </cfRule>
  </conditionalFormatting>
  <conditionalFormatting sqref="J61">
    <cfRule type="cellIs" dxfId="0" priority="341" operator="equal">
      <formula>0</formula>
    </cfRule>
    <cfRule type="cellIs" dxfId="1" priority="342" operator="lessThan">
      <formula>G61</formula>
    </cfRule>
  </conditionalFormatting>
  <conditionalFormatting sqref="J62">
    <cfRule type="cellIs" dxfId="0" priority="346" operator="equal">
      <formula>0</formula>
    </cfRule>
    <cfRule type="cellIs" dxfId="1" priority="347" operator="lessThan">
      <formula>G62</formula>
    </cfRule>
  </conditionalFormatting>
  <conditionalFormatting sqref="J63">
    <cfRule type="cellIs" dxfId="0" priority="351" operator="equal">
      <formula>0</formula>
    </cfRule>
    <cfRule type="cellIs" dxfId="1" priority="352" operator="lessThan">
      <formula>G63</formula>
    </cfRule>
  </conditionalFormatting>
  <conditionalFormatting sqref="J64">
    <cfRule type="cellIs" dxfId="0" priority="356" operator="equal">
      <formula>0</formula>
    </cfRule>
    <cfRule type="cellIs" dxfId="1" priority="357" operator="lessThan">
      <formula>G64</formula>
    </cfRule>
  </conditionalFormatting>
  <conditionalFormatting sqref="J65">
    <cfRule type="cellIs" dxfId="0" priority="361" operator="equal">
      <formula>0</formula>
    </cfRule>
    <cfRule type="cellIs" dxfId="1" priority="362" operator="lessThan">
      <formula>G65</formula>
    </cfRule>
  </conditionalFormatting>
  <conditionalFormatting sqref="J66">
    <cfRule type="cellIs" dxfId="0" priority="366" operator="equal">
      <formula>0</formula>
    </cfRule>
    <cfRule type="cellIs" dxfId="1" priority="367" operator="lessThan">
      <formula>G66</formula>
    </cfRule>
  </conditionalFormatting>
  <conditionalFormatting sqref="J67">
    <cfRule type="cellIs" dxfId="0" priority="371" operator="equal">
      <formula>0</formula>
    </cfRule>
    <cfRule type="cellIs" dxfId="1" priority="372" operator="lessThan">
      <formula>G67</formula>
    </cfRule>
  </conditionalFormatting>
  <conditionalFormatting sqref="J68">
    <cfRule type="cellIs" dxfId="0" priority="376" operator="equal">
      <formula>0</formula>
    </cfRule>
    <cfRule type="cellIs" dxfId="1" priority="377" operator="lessThan">
      <formula>G68</formula>
    </cfRule>
  </conditionalFormatting>
  <conditionalFormatting sqref="J69">
    <cfRule type="cellIs" dxfId="0" priority="381" operator="equal">
      <formula>0</formula>
    </cfRule>
    <cfRule type="cellIs" dxfId="1" priority="382" operator="lessThan">
      <formula>G69</formula>
    </cfRule>
  </conditionalFormatting>
  <conditionalFormatting sqref="J7">
    <cfRule type="cellIs" dxfId="0" priority="211" operator="equal">
      <formula>0</formula>
    </cfRule>
    <cfRule type="cellIs" dxfId="1" priority="212" operator="lessThan">
      <formula>G7</formula>
    </cfRule>
  </conditionalFormatting>
  <conditionalFormatting sqref="J71">
    <cfRule type="cellIs" dxfId="0" priority="386" operator="equal">
      <formula>0</formula>
    </cfRule>
    <cfRule type="cellIs" dxfId="1" priority="387" operator="lessThan">
      <formula>G71</formula>
    </cfRule>
  </conditionalFormatting>
  <conditionalFormatting sqref="J72">
    <cfRule type="cellIs" dxfId="0" priority="391" operator="equal">
      <formula>0</formula>
    </cfRule>
    <cfRule type="cellIs" dxfId="1" priority="392" operator="lessThan">
      <formula>G72</formula>
    </cfRule>
  </conditionalFormatting>
  <conditionalFormatting sqref="J73">
    <cfRule type="cellIs" dxfId="0" priority="396" operator="equal">
      <formula>0</formula>
    </cfRule>
    <cfRule type="cellIs" dxfId="1" priority="397" operator="lessThan">
      <formula>G73</formula>
    </cfRule>
  </conditionalFormatting>
  <conditionalFormatting sqref="J8">
    <cfRule type="cellIs" dxfId="0" priority="216" operator="equal">
      <formula>0</formula>
    </cfRule>
    <cfRule type="cellIs" dxfId="1" priority="217" operator="lessThan">
      <formula>G8</formula>
    </cfRule>
  </conditionalFormatting>
  <conditionalFormatting sqref="J9">
    <cfRule type="cellIs" dxfId="0" priority="221" operator="equal">
      <formula>0</formula>
    </cfRule>
    <cfRule type="cellIs" dxfId="1" priority="222" operator="lessThan">
      <formula>G9</formula>
    </cfRule>
  </conditionalFormatting>
  <conditionalFormatting sqref="K10">
    <cfRule type="cellIs" dxfId="0" priority="228" operator="greaterThan">
      <formula>J10</formula>
    </cfRule>
  </conditionalFormatting>
  <conditionalFormatting sqref="K11">
    <cfRule type="cellIs" dxfId="0" priority="233" operator="greaterThan">
      <formula>J11</formula>
    </cfRule>
  </conditionalFormatting>
  <conditionalFormatting sqref="K13">
    <cfRule type="cellIs" dxfId="0" priority="238" operator="greaterThan">
      <formula>J13</formula>
    </cfRule>
  </conditionalFormatting>
  <conditionalFormatting sqref="K15">
    <cfRule type="cellIs" dxfId="0" priority="243" operator="greaterThan">
      <formula>J15</formula>
    </cfRule>
  </conditionalFormatting>
  <conditionalFormatting sqref="K18">
    <cfRule type="cellIs" dxfId="0" priority="248" operator="greaterThan">
      <formula>J18</formula>
    </cfRule>
  </conditionalFormatting>
  <conditionalFormatting sqref="K20">
    <cfRule type="cellIs" dxfId="0" priority="253" operator="greaterThan">
      <formula>J20</formula>
    </cfRule>
  </conditionalFormatting>
  <conditionalFormatting sqref="K21">
    <cfRule type="cellIs" dxfId="0" priority="258" operator="greaterThan">
      <formula>J21</formula>
    </cfRule>
  </conditionalFormatting>
  <conditionalFormatting sqref="K22">
    <cfRule type="cellIs" dxfId="0" priority="263" operator="greaterThan">
      <formula>J22</formula>
    </cfRule>
  </conditionalFormatting>
  <conditionalFormatting sqref="K23">
    <cfRule type="cellIs" dxfId="0" priority="268" operator="greaterThan">
      <formula>J23</formula>
    </cfRule>
  </conditionalFormatting>
  <conditionalFormatting sqref="K28">
    <cfRule type="cellIs" dxfId="0" priority="273" operator="greaterThan">
      <formula>J28</formula>
    </cfRule>
  </conditionalFormatting>
  <conditionalFormatting sqref="K37">
    <cfRule type="cellIs" dxfId="0" priority="278" operator="greaterThan">
      <formula>J37</formula>
    </cfRule>
  </conditionalFormatting>
  <conditionalFormatting sqref="K39">
    <cfRule type="cellIs" dxfId="0" priority="283" operator="greaterThan">
      <formula>J39</formula>
    </cfRule>
  </conditionalFormatting>
  <conditionalFormatting sqref="K40">
    <cfRule type="cellIs" dxfId="0" priority="288" operator="greaterThan">
      <formula>J40</formula>
    </cfRule>
  </conditionalFormatting>
  <conditionalFormatting sqref="K41">
    <cfRule type="cellIs" dxfId="0" priority="293" operator="greaterThan">
      <formula>J41</formula>
    </cfRule>
  </conditionalFormatting>
  <conditionalFormatting sqref="K43">
    <cfRule type="cellIs" dxfId="0" priority="298" operator="greaterThan">
      <formula>J43</formula>
    </cfRule>
  </conditionalFormatting>
  <conditionalFormatting sqref="K44">
    <cfRule type="cellIs" dxfId="0" priority="303" operator="greaterThan">
      <formula>J44</formula>
    </cfRule>
  </conditionalFormatting>
  <conditionalFormatting sqref="K45">
    <cfRule type="cellIs" dxfId="0" priority="308" operator="greaterThan">
      <formula>J45</formula>
    </cfRule>
  </conditionalFormatting>
  <conditionalFormatting sqref="K46">
    <cfRule type="cellIs" dxfId="0" priority="313" operator="greaterThan">
      <formula>J46</formula>
    </cfRule>
  </conditionalFormatting>
  <conditionalFormatting sqref="K49">
    <cfRule type="cellIs" dxfId="0" priority="318" operator="greaterThan">
      <formula>J49</formula>
    </cfRule>
  </conditionalFormatting>
  <conditionalFormatting sqref="K53">
    <cfRule type="cellIs" dxfId="0" priority="323" operator="greaterThan">
      <formula>J53</formula>
    </cfRule>
  </conditionalFormatting>
  <conditionalFormatting sqref="K54">
    <cfRule type="cellIs" dxfId="0" priority="328" operator="greaterThan">
      <formula>J54</formula>
    </cfRule>
  </conditionalFormatting>
  <conditionalFormatting sqref="K59">
    <cfRule type="cellIs" dxfId="0" priority="333" operator="greaterThan">
      <formula>J59</formula>
    </cfRule>
  </conditionalFormatting>
  <conditionalFormatting sqref="K60">
    <cfRule type="cellIs" dxfId="0" priority="338" operator="greaterThan">
      <formula>J60</formula>
    </cfRule>
  </conditionalFormatting>
  <conditionalFormatting sqref="K61">
    <cfRule type="cellIs" dxfId="0" priority="343" operator="greaterThan">
      <formula>J61</formula>
    </cfRule>
  </conditionalFormatting>
  <conditionalFormatting sqref="K62">
    <cfRule type="cellIs" dxfId="0" priority="348" operator="greaterThan">
      <formula>J62</formula>
    </cfRule>
  </conditionalFormatting>
  <conditionalFormatting sqref="K63">
    <cfRule type="cellIs" dxfId="0" priority="353" operator="greaterThan">
      <formula>J63</formula>
    </cfRule>
  </conditionalFormatting>
  <conditionalFormatting sqref="K64">
    <cfRule type="cellIs" dxfId="0" priority="358" operator="greaterThan">
      <formula>J64</formula>
    </cfRule>
  </conditionalFormatting>
  <conditionalFormatting sqref="K65">
    <cfRule type="cellIs" dxfId="0" priority="363" operator="greaterThan">
      <formula>J65</formula>
    </cfRule>
  </conditionalFormatting>
  <conditionalFormatting sqref="K66">
    <cfRule type="cellIs" dxfId="0" priority="368" operator="greaterThan">
      <formula>J66</formula>
    </cfRule>
  </conditionalFormatting>
  <conditionalFormatting sqref="K67">
    <cfRule type="cellIs" dxfId="0" priority="373" operator="greaterThan">
      <formula>J67</formula>
    </cfRule>
  </conditionalFormatting>
  <conditionalFormatting sqref="K68">
    <cfRule type="cellIs" dxfId="0" priority="378" operator="greaterThan">
      <formula>J68</formula>
    </cfRule>
  </conditionalFormatting>
  <conditionalFormatting sqref="K69">
    <cfRule type="cellIs" dxfId="0" priority="383" operator="greaterThan">
      <formula>J69</formula>
    </cfRule>
  </conditionalFormatting>
  <conditionalFormatting sqref="K7">
    <cfRule type="cellIs" dxfId="0" priority="213" operator="greaterThan">
      <formula>J7</formula>
    </cfRule>
  </conditionalFormatting>
  <conditionalFormatting sqref="K71">
    <cfRule type="cellIs" dxfId="0" priority="388" operator="greaterThan">
      <formula>J71</formula>
    </cfRule>
  </conditionalFormatting>
  <conditionalFormatting sqref="K72">
    <cfRule type="cellIs" dxfId="0" priority="393" operator="greaterThan">
      <formula>J72</formula>
    </cfRule>
  </conditionalFormatting>
  <conditionalFormatting sqref="K73">
    <cfRule type="cellIs" dxfId="0" priority="398" operator="greaterThan">
      <formula>J73</formula>
    </cfRule>
  </conditionalFormatting>
  <conditionalFormatting sqref="K8">
    <cfRule type="cellIs" dxfId="0" priority="218" operator="greaterThan">
      <formula>J8</formula>
    </cfRule>
  </conditionalFormatting>
  <conditionalFormatting sqref="K9">
    <cfRule type="cellIs" dxfId="0" priority="223" operator="greaterThan">
      <formula>J9</formula>
    </cfRule>
  </conditionalFormatting>
  <conditionalFormatting sqref="L10">
    <cfRule type="cellIs" dxfId="3" priority="229" operator="lessThanOrEqual">
      <formula>H10</formula>
    </cfRule>
  </conditionalFormatting>
  <conditionalFormatting sqref="L11">
    <cfRule type="cellIs" dxfId="3" priority="234" operator="lessThanOrEqual">
      <formula>H11</formula>
    </cfRule>
  </conditionalFormatting>
  <conditionalFormatting sqref="L13">
    <cfRule type="cellIs" dxfId="3" priority="239" operator="lessThanOrEqual">
      <formula>H13</formula>
    </cfRule>
  </conditionalFormatting>
  <conditionalFormatting sqref="L15">
    <cfRule type="cellIs" dxfId="3" priority="244" operator="lessThanOrEqual">
      <formula>H15</formula>
    </cfRule>
  </conditionalFormatting>
  <conditionalFormatting sqref="L18">
    <cfRule type="cellIs" dxfId="3" priority="249" operator="lessThanOrEqual">
      <formula>H18</formula>
    </cfRule>
  </conditionalFormatting>
  <conditionalFormatting sqref="L20">
    <cfRule type="cellIs" dxfId="3" priority="254" operator="lessThanOrEqual">
      <formula>H20</formula>
    </cfRule>
  </conditionalFormatting>
  <conditionalFormatting sqref="L21">
    <cfRule type="cellIs" dxfId="3" priority="259" operator="lessThanOrEqual">
      <formula>H21</formula>
    </cfRule>
  </conditionalFormatting>
  <conditionalFormatting sqref="L22">
    <cfRule type="cellIs" dxfId="3" priority="264" operator="lessThanOrEqual">
      <formula>H22</formula>
    </cfRule>
  </conditionalFormatting>
  <conditionalFormatting sqref="L23">
    <cfRule type="cellIs" dxfId="3" priority="269" operator="lessThanOrEqual">
      <formula>H23</formula>
    </cfRule>
  </conditionalFormatting>
  <conditionalFormatting sqref="L28">
    <cfRule type="cellIs" dxfId="3" priority="274" operator="lessThanOrEqual">
      <formula>H28</formula>
    </cfRule>
  </conditionalFormatting>
  <conditionalFormatting sqref="L37">
    <cfRule type="cellIs" dxfId="3" priority="279" operator="lessThanOrEqual">
      <formula>H37</formula>
    </cfRule>
  </conditionalFormatting>
  <conditionalFormatting sqref="L39">
    <cfRule type="cellIs" dxfId="3" priority="284" operator="lessThanOrEqual">
      <formula>H39</formula>
    </cfRule>
  </conditionalFormatting>
  <conditionalFormatting sqref="L40">
    <cfRule type="cellIs" dxfId="3" priority="289" operator="lessThanOrEqual">
      <formula>H40</formula>
    </cfRule>
  </conditionalFormatting>
  <conditionalFormatting sqref="L41">
    <cfRule type="cellIs" dxfId="3" priority="294" operator="lessThanOrEqual">
      <formula>H41</formula>
    </cfRule>
  </conditionalFormatting>
  <conditionalFormatting sqref="L43">
    <cfRule type="cellIs" dxfId="3" priority="299" operator="lessThanOrEqual">
      <formula>H43</formula>
    </cfRule>
  </conditionalFormatting>
  <conditionalFormatting sqref="L44">
    <cfRule type="cellIs" dxfId="3" priority="304" operator="lessThanOrEqual">
      <formula>H44</formula>
    </cfRule>
  </conditionalFormatting>
  <conditionalFormatting sqref="L45">
    <cfRule type="cellIs" dxfId="3" priority="309" operator="lessThanOrEqual">
      <formula>H45</formula>
    </cfRule>
  </conditionalFormatting>
  <conditionalFormatting sqref="L46">
    <cfRule type="cellIs" dxfId="3" priority="314" operator="lessThanOrEqual">
      <formula>H46</formula>
    </cfRule>
  </conditionalFormatting>
  <conditionalFormatting sqref="L49">
    <cfRule type="cellIs" dxfId="3" priority="319" operator="lessThanOrEqual">
      <formula>H49</formula>
    </cfRule>
  </conditionalFormatting>
  <conditionalFormatting sqref="L53">
    <cfRule type="cellIs" dxfId="3" priority="324" operator="lessThanOrEqual">
      <formula>H53</formula>
    </cfRule>
  </conditionalFormatting>
  <conditionalFormatting sqref="L54">
    <cfRule type="cellIs" dxfId="3" priority="329" operator="lessThanOrEqual">
      <formula>H54</formula>
    </cfRule>
  </conditionalFormatting>
  <conditionalFormatting sqref="L59">
    <cfRule type="cellIs" dxfId="3" priority="334" operator="lessThanOrEqual">
      <formula>H59</formula>
    </cfRule>
  </conditionalFormatting>
  <conditionalFormatting sqref="L60">
    <cfRule type="cellIs" dxfId="3" priority="339" operator="lessThanOrEqual">
      <formula>H60</formula>
    </cfRule>
  </conditionalFormatting>
  <conditionalFormatting sqref="L61">
    <cfRule type="cellIs" dxfId="3" priority="344" operator="lessThanOrEqual">
      <formula>H61</formula>
    </cfRule>
  </conditionalFormatting>
  <conditionalFormatting sqref="L62">
    <cfRule type="cellIs" dxfId="3" priority="349" operator="lessThanOrEqual">
      <formula>H62</formula>
    </cfRule>
  </conditionalFormatting>
  <conditionalFormatting sqref="L63">
    <cfRule type="cellIs" dxfId="3" priority="354" operator="lessThanOrEqual">
      <formula>H63</formula>
    </cfRule>
  </conditionalFormatting>
  <conditionalFormatting sqref="L64">
    <cfRule type="cellIs" dxfId="3" priority="359" operator="lessThanOrEqual">
      <formula>H64</formula>
    </cfRule>
  </conditionalFormatting>
  <conditionalFormatting sqref="L65">
    <cfRule type="cellIs" dxfId="3" priority="364" operator="lessThanOrEqual">
      <formula>H65</formula>
    </cfRule>
  </conditionalFormatting>
  <conditionalFormatting sqref="L66">
    <cfRule type="cellIs" dxfId="3" priority="369" operator="lessThanOrEqual">
      <formula>H66</formula>
    </cfRule>
  </conditionalFormatting>
  <conditionalFormatting sqref="L67">
    <cfRule type="cellIs" dxfId="3" priority="374" operator="lessThanOrEqual">
      <formula>H67</formula>
    </cfRule>
  </conditionalFormatting>
  <conditionalFormatting sqref="L68">
    <cfRule type="cellIs" dxfId="3" priority="379" operator="lessThanOrEqual">
      <formula>H68</formula>
    </cfRule>
  </conditionalFormatting>
  <conditionalFormatting sqref="L69">
    <cfRule type="cellIs" dxfId="3" priority="384" operator="lessThanOrEqual">
      <formula>H69</formula>
    </cfRule>
  </conditionalFormatting>
  <conditionalFormatting sqref="L7">
    <cfRule type="cellIs" dxfId="3" priority="214" operator="lessThanOrEqual">
      <formula>H7</formula>
    </cfRule>
  </conditionalFormatting>
  <conditionalFormatting sqref="L71">
    <cfRule type="cellIs" dxfId="3" priority="389" operator="lessThanOrEqual">
      <formula>H71</formula>
    </cfRule>
  </conditionalFormatting>
  <conditionalFormatting sqref="L72">
    <cfRule type="cellIs" dxfId="3" priority="394" operator="lessThanOrEqual">
      <formula>H72</formula>
    </cfRule>
  </conditionalFormatting>
  <conditionalFormatting sqref="L73">
    <cfRule type="cellIs" dxfId="3" priority="399" operator="lessThanOrEqual">
      <formula>H73</formula>
    </cfRule>
  </conditionalFormatting>
  <conditionalFormatting sqref="L8">
    <cfRule type="cellIs" dxfId="3" priority="219" operator="lessThanOrEqual">
      <formula>H8</formula>
    </cfRule>
  </conditionalFormatting>
  <conditionalFormatting sqref="L9">
    <cfRule type="cellIs" dxfId="3" priority="224" operator="lessThanOrEqual">
      <formula>H9</formula>
    </cfRule>
  </conditionalFormatting>
  <conditionalFormatting sqref="M10">
    <cfRule type="cellIs" dxfId="3" priority="230" operator="lessThanOrEqual">
      <formula>I10</formula>
    </cfRule>
  </conditionalFormatting>
  <conditionalFormatting sqref="M11">
    <cfRule type="cellIs" dxfId="3" priority="235" operator="lessThanOrEqual">
      <formula>I11</formula>
    </cfRule>
  </conditionalFormatting>
  <conditionalFormatting sqref="M13">
    <cfRule type="cellIs" dxfId="3" priority="240" operator="lessThanOrEqual">
      <formula>I13</formula>
    </cfRule>
  </conditionalFormatting>
  <conditionalFormatting sqref="M15">
    <cfRule type="cellIs" dxfId="3" priority="245" operator="lessThanOrEqual">
      <formula>I15</formula>
    </cfRule>
  </conditionalFormatting>
  <conditionalFormatting sqref="M18">
    <cfRule type="cellIs" dxfId="3" priority="250" operator="lessThanOrEqual">
      <formula>I18</formula>
    </cfRule>
  </conditionalFormatting>
  <conditionalFormatting sqref="M20">
    <cfRule type="cellIs" dxfId="3" priority="255" operator="lessThanOrEqual">
      <formula>I20</formula>
    </cfRule>
  </conditionalFormatting>
  <conditionalFormatting sqref="M21">
    <cfRule type="cellIs" dxfId="3" priority="260" operator="lessThanOrEqual">
      <formula>I21</formula>
    </cfRule>
  </conditionalFormatting>
  <conditionalFormatting sqref="M22">
    <cfRule type="cellIs" dxfId="3" priority="265" operator="lessThanOrEqual">
      <formula>I22</formula>
    </cfRule>
  </conditionalFormatting>
  <conditionalFormatting sqref="M23">
    <cfRule type="cellIs" dxfId="3" priority="270" operator="lessThanOrEqual">
      <formula>I23</formula>
    </cfRule>
  </conditionalFormatting>
  <conditionalFormatting sqref="M28">
    <cfRule type="cellIs" dxfId="3" priority="275" operator="lessThanOrEqual">
      <formula>I28</formula>
    </cfRule>
  </conditionalFormatting>
  <conditionalFormatting sqref="M37">
    <cfRule type="cellIs" dxfId="3" priority="280" operator="lessThanOrEqual">
      <formula>I37</formula>
    </cfRule>
  </conditionalFormatting>
  <conditionalFormatting sqref="M39">
    <cfRule type="cellIs" dxfId="3" priority="285" operator="lessThanOrEqual">
      <formula>I39</formula>
    </cfRule>
  </conditionalFormatting>
  <conditionalFormatting sqref="M40">
    <cfRule type="cellIs" dxfId="3" priority="290" operator="lessThanOrEqual">
      <formula>I40</formula>
    </cfRule>
  </conditionalFormatting>
  <conditionalFormatting sqref="M41">
    <cfRule type="cellIs" dxfId="3" priority="295" operator="lessThanOrEqual">
      <formula>I41</formula>
    </cfRule>
  </conditionalFormatting>
  <conditionalFormatting sqref="M43">
    <cfRule type="cellIs" dxfId="3" priority="300" operator="lessThanOrEqual">
      <formula>I43</formula>
    </cfRule>
  </conditionalFormatting>
  <conditionalFormatting sqref="M44">
    <cfRule type="cellIs" dxfId="3" priority="305" operator="lessThanOrEqual">
      <formula>I44</formula>
    </cfRule>
  </conditionalFormatting>
  <conditionalFormatting sqref="M45">
    <cfRule type="cellIs" dxfId="3" priority="310" operator="lessThanOrEqual">
      <formula>I45</formula>
    </cfRule>
  </conditionalFormatting>
  <conditionalFormatting sqref="M46">
    <cfRule type="cellIs" dxfId="3" priority="315" operator="lessThanOrEqual">
      <formula>I46</formula>
    </cfRule>
  </conditionalFormatting>
  <conditionalFormatting sqref="M49">
    <cfRule type="cellIs" dxfId="3" priority="320" operator="lessThanOrEqual">
      <formula>I49</formula>
    </cfRule>
  </conditionalFormatting>
  <conditionalFormatting sqref="M53">
    <cfRule type="cellIs" dxfId="3" priority="325" operator="lessThanOrEqual">
      <formula>I53</formula>
    </cfRule>
  </conditionalFormatting>
  <conditionalFormatting sqref="M54">
    <cfRule type="cellIs" dxfId="3" priority="330" operator="lessThanOrEqual">
      <formula>I54</formula>
    </cfRule>
  </conditionalFormatting>
  <conditionalFormatting sqref="M59">
    <cfRule type="cellIs" dxfId="3" priority="335" operator="lessThanOrEqual">
      <formula>I59</formula>
    </cfRule>
  </conditionalFormatting>
  <conditionalFormatting sqref="M60">
    <cfRule type="cellIs" dxfId="3" priority="340" operator="lessThanOrEqual">
      <formula>I60</formula>
    </cfRule>
  </conditionalFormatting>
  <conditionalFormatting sqref="M61">
    <cfRule type="cellIs" dxfId="3" priority="345" operator="lessThanOrEqual">
      <formula>I61</formula>
    </cfRule>
  </conditionalFormatting>
  <conditionalFormatting sqref="M62">
    <cfRule type="cellIs" dxfId="3" priority="350" operator="lessThanOrEqual">
      <formula>I62</formula>
    </cfRule>
  </conditionalFormatting>
  <conditionalFormatting sqref="M63">
    <cfRule type="cellIs" dxfId="3" priority="355" operator="lessThanOrEqual">
      <formula>I63</formula>
    </cfRule>
  </conditionalFormatting>
  <conditionalFormatting sqref="M64">
    <cfRule type="cellIs" dxfId="3" priority="360" operator="lessThanOrEqual">
      <formula>I64</formula>
    </cfRule>
  </conditionalFormatting>
  <conditionalFormatting sqref="M65">
    <cfRule type="cellIs" dxfId="3" priority="365" operator="lessThanOrEqual">
      <formula>I65</formula>
    </cfRule>
  </conditionalFormatting>
  <conditionalFormatting sqref="M66">
    <cfRule type="cellIs" dxfId="3" priority="370" operator="lessThanOrEqual">
      <formula>I66</formula>
    </cfRule>
  </conditionalFormatting>
  <conditionalFormatting sqref="M67">
    <cfRule type="cellIs" dxfId="3" priority="375" operator="lessThanOrEqual">
      <formula>I67</formula>
    </cfRule>
  </conditionalFormatting>
  <conditionalFormatting sqref="M68">
    <cfRule type="cellIs" dxfId="3" priority="380" operator="lessThanOrEqual">
      <formula>I68</formula>
    </cfRule>
  </conditionalFormatting>
  <conditionalFormatting sqref="M69">
    <cfRule type="cellIs" dxfId="3" priority="385" operator="lessThanOrEqual">
      <formula>I69</formula>
    </cfRule>
  </conditionalFormatting>
  <conditionalFormatting sqref="M7">
    <cfRule type="cellIs" dxfId="3" priority="215" operator="lessThanOrEqual">
      <formula>I7</formula>
    </cfRule>
  </conditionalFormatting>
  <conditionalFormatting sqref="M71">
    <cfRule type="cellIs" dxfId="3" priority="390" operator="lessThanOrEqual">
      <formula>I71</formula>
    </cfRule>
  </conditionalFormatting>
  <conditionalFormatting sqref="M72">
    <cfRule type="cellIs" dxfId="3" priority="395" operator="lessThanOrEqual">
      <formula>I72</formula>
    </cfRule>
  </conditionalFormatting>
  <conditionalFormatting sqref="M73">
    <cfRule type="cellIs" dxfId="3" priority="400" operator="lessThanOrEqual">
      <formula>I73</formula>
    </cfRule>
  </conditionalFormatting>
  <conditionalFormatting sqref="M8">
    <cfRule type="cellIs" dxfId="3" priority="220" operator="lessThanOrEqual">
      <formula>I8</formula>
    </cfRule>
  </conditionalFormatting>
  <conditionalFormatting sqref="M9">
    <cfRule type="cellIs" dxfId="3" priority="225" operator="lessThanOrEqual">
      <formula>I9</formula>
    </cfRule>
  </conditionalFormatting>
  <hyperlinks>
    <hyperlink ref="N7" r:id="rId1"/>
    <hyperlink ref="N8" r:id="rId2"/>
    <hyperlink ref="N9" r:id="rId3"/>
    <hyperlink ref="N10" r:id="rId4"/>
    <hyperlink ref="N11" r:id="rId5"/>
    <hyperlink ref="N13" r:id="rId6"/>
    <hyperlink ref="N15" r:id="rId7"/>
    <hyperlink ref="N18" r:id="rId8"/>
    <hyperlink ref="N20" r:id="rId9"/>
    <hyperlink ref="N21" r:id="rId10"/>
    <hyperlink ref="N22" r:id="rId11"/>
    <hyperlink ref="N23" r:id="rId12"/>
    <hyperlink ref="N28" r:id="rId13"/>
    <hyperlink ref="N37" r:id="rId14"/>
    <hyperlink ref="N39" r:id="rId15"/>
    <hyperlink ref="N40" r:id="rId16"/>
    <hyperlink ref="N41" r:id="rId17"/>
    <hyperlink ref="N43" r:id="rId18"/>
    <hyperlink ref="N44" r:id="rId19"/>
    <hyperlink ref="N45" r:id="rId20"/>
    <hyperlink ref="N46" r:id="rId21"/>
    <hyperlink ref="N49" r:id="rId22"/>
    <hyperlink ref="N53" r:id="rId23"/>
    <hyperlink ref="N54" r:id="rId24"/>
    <hyperlink ref="N59" r:id="rId25"/>
    <hyperlink ref="N60" r:id="rId26"/>
    <hyperlink ref="N61" r:id="rId27"/>
    <hyperlink ref="N62" r:id="rId28"/>
    <hyperlink ref="N63" r:id="rId29"/>
    <hyperlink ref="N64" r:id="rId30"/>
    <hyperlink ref="N65" r:id="rId31"/>
    <hyperlink ref="N66" r:id="rId32"/>
    <hyperlink ref="N67" r:id="rId33"/>
    <hyperlink ref="N68" r:id="rId34"/>
    <hyperlink ref="N69" r:id="rId35"/>
    <hyperlink ref="N71" r:id="rId36"/>
    <hyperlink ref="N72" r:id="rId37"/>
    <hyperlink ref="N73" r:id="rId38"/>
  </hyperlinks>
  <pageMargins left="0.7" right="0.7" top="0.75" bottom="0.75" header="0.3" footer="0.3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dac. </vt:lpstr>
      <vt:lpstr>BoardQty</vt:lpstr>
      <vt:lpstr>digikey_part_data</vt:lpstr>
      <vt:lpstr>global_part_data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2017-12-06T15:43:47Z</dcterms:created>
  <dcterms:modified xsi:type="dcterms:W3CDTF">2017-12-06T15:43:47Z</dcterms:modified>
</cp:coreProperties>
</file>