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\excel_reader\"/>
    </mc:Choice>
  </mc:AlternateContent>
  <bookViews>
    <workbookView xWindow="0" yWindow="0" windowWidth="15615" windowHeight="9570"/>
  </bookViews>
  <sheets>
    <sheet name="0011 (2)" sheetId="2" r:id="rId1"/>
  </sheets>
  <definedNames>
    <definedName name="_xlnm._FilterDatabase" localSheetId="0" hidden="1">'0011 (2)'!$AC$1:$AC$53</definedName>
    <definedName name="_xlnm.Print_Area" localSheetId="0">'0011 (2)'!$A$1:$AD$27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" l="1"/>
  <c r="L27" i="2"/>
  <c r="M27" i="2"/>
  <c r="N27" i="2"/>
  <c r="O27" i="2"/>
  <c r="P27" i="2"/>
  <c r="Q27" i="2"/>
  <c r="S27" i="2"/>
  <c r="W27" i="2"/>
  <c r="X27" i="2"/>
  <c r="Y27" i="2"/>
  <c r="Z27" i="2"/>
  <c r="AA27" i="2"/>
  <c r="AB27" i="2"/>
  <c r="H27" i="2"/>
  <c r="E27" i="2" l="1"/>
  <c r="C27" i="2"/>
  <c r="I26" i="2"/>
  <c r="R26" i="2" s="1"/>
  <c r="G26" i="2"/>
  <c r="D26" i="2"/>
  <c r="I25" i="2"/>
  <c r="R25" i="2" s="1"/>
  <c r="D25" i="2"/>
  <c r="J24" i="2"/>
  <c r="I24" i="2"/>
  <c r="D24" i="2"/>
  <c r="I23" i="2"/>
  <c r="R23" i="2" s="1"/>
  <c r="G23" i="2"/>
  <c r="D23" i="2"/>
  <c r="J22" i="2"/>
  <c r="I22" i="2"/>
  <c r="D22" i="2"/>
  <c r="J20" i="2"/>
  <c r="I20" i="2"/>
  <c r="D20" i="2"/>
  <c r="J19" i="2"/>
  <c r="I19" i="2"/>
  <c r="D19" i="2"/>
  <c r="G17" i="2"/>
  <c r="D17" i="2"/>
  <c r="I17" i="2" s="1"/>
  <c r="R17" i="2" s="1"/>
  <c r="G16" i="2"/>
  <c r="J16" i="2" s="1"/>
  <c r="D16" i="2"/>
  <c r="I16" i="2" s="1"/>
  <c r="G15" i="2"/>
  <c r="D15" i="2"/>
  <c r="I15" i="2" s="1"/>
  <c r="R15" i="2" s="1"/>
  <c r="G13" i="2"/>
  <c r="J13" i="2" s="1"/>
  <c r="D13" i="2"/>
  <c r="I13" i="2" s="1"/>
  <c r="G12" i="2"/>
  <c r="J12" i="2" s="1"/>
  <c r="D12" i="2"/>
  <c r="I12" i="2" s="1"/>
  <c r="G10" i="2"/>
  <c r="J10" i="2" s="1"/>
  <c r="D10" i="2"/>
  <c r="I10" i="2" s="1"/>
  <c r="G9" i="2"/>
  <c r="J9" i="2" s="1"/>
  <c r="D9" i="2"/>
  <c r="I9" i="2" s="1"/>
  <c r="G8" i="2"/>
  <c r="J8" i="2" s="1"/>
  <c r="D8" i="2"/>
  <c r="I8" i="2" s="1"/>
  <c r="G7" i="2"/>
  <c r="J7" i="2" s="1"/>
  <c r="D7" i="2"/>
  <c r="I7" i="2" s="1"/>
  <c r="G6" i="2"/>
  <c r="J6" i="2" s="1"/>
  <c r="D6" i="2"/>
  <c r="I6" i="2" s="1"/>
  <c r="G5" i="2"/>
  <c r="J5" i="2" s="1"/>
  <c r="D5" i="2"/>
  <c r="I5" i="2" s="1"/>
  <c r="G4" i="2"/>
  <c r="J4" i="2" s="1"/>
  <c r="D4" i="2"/>
  <c r="I4" i="2" s="1"/>
  <c r="G3" i="2"/>
  <c r="J3" i="2" s="1"/>
  <c r="D3" i="2"/>
  <c r="I3" i="2" s="1"/>
  <c r="F27" i="2"/>
  <c r="R4" i="2" l="1"/>
  <c r="T4" i="2" s="1"/>
  <c r="U4" i="2" s="1"/>
  <c r="V4" i="2" s="1"/>
  <c r="AC4" i="2" s="1"/>
  <c r="I27" i="2"/>
  <c r="J27" i="2"/>
  <c r="R8" i="2"/>
  <c r="T8" i="2" s="1"/>
  <c r="U8" i="2" s="1"/>
  <c r="V8" i="2" s="1"/>
  <c r="AC8" i="2" s="1"/>
  <c r="R24" i="2"/>
  <c r="T24" i="2" s="1"/>
  <c r="U24" i="2" s="1"/>
  <c r="V24" i="2" s="1"/>
  <c r="AC24" i="2" s="1"/>
  <c r="R22" i="2"/>
  <c r="R19" i="2"/>
  <c r="T19" i="2" s="1"/>
  <c r="U19" i="2" s="1"/>
  <c r="T25" i="2"/>
  <c r="U25" i="2" s="1"/>
  <c r="V25" i="2" s="1"/>
  <c r="AC25" i="2" s="1"/>
  <c r="R9" i="2"/>
  <c r="T9" i="2" s="1"/>
  <c r="U9" i="2" s="1"/>
  <c r="V9" i="2" s="1"/>
  <c r="AC9" i="2" s="1"/>
  <c r="R20" i="2"/>
  <c r="T20" i="2" s="1"/>
  <c r="U20" i="2" s="1"/>
  <c r="V20" i="2" s="1"/>
  <c r="AC20" i="2" s="1"/>
  <c r="R5" i="2"/>
  <c r="T5" i="2" s="1"/>
  <c r="U5" i="2" s="1"/>
  <c r="V5" i="2" s="1"/>
  <c r="AC5" i="2" s="1"/>
  <c r="R12" i="2"/>
  <c r="T26" i="2"/>
  <c r="U26" i="2" s="1"/>
  <c r="V26" i="2" s="1"/>
  <c r="AC26" i="2" s="1"/>
  <c r="G27" i="2"/>
  <c r="D27" i="2"/>
  <c r="T23" i="2"/>
  <c r="U23" i="2" s="1"/>
  <c r="V23" i="2" s="1"/>
  <c r="AC23" i="2" s="1"/>
  <c r="R7" i="2"/>
  <c r="R13" i="2"/>
  <c r="R6" i="2"/>
  <c r="T17" i="2"/>
  <c r="U17" i="2" s="1"/>
  <c r="V17" i="2" s="1"/>
  <c r="AC17" i="2" s="1"/>
  <c r="R3" i="2"/>
  <c r="R10" i="2"/>
  <c r="T15" i="2"/>
  <c r="U15" i="2" s="1"/>
  <c r="V15" i="2" s="1"/>
  <c r="AC15" i="2" s="1"/>
  <c r="R16" i="2"/>
  <c r="T22" i="2"/>
  <c r="U22" i="2" s="1"/>
  <c r="V22" i="2" s="1"/>
  <c r="AC22" i="2" s="1"/>
  <c r="R27" i="2" l="1"/>
  <c r="V19" i="2"/>
  <c r="AC19" i="2" s="1"/>
  <c r="T12" i="2"/>
  <c r="U12" i="2" s="1"/>
  <c r="V12" i="2" s="1"/>
  <c r="AC12" i="2" s="1"/>
  <c r="AC18" i="2"/>
  <c r="T7" i="2"/>
  <c r="U7" i="2" s="1"/>
  <c r="V7" i="2" s="1"/>
  <c r="AC7" i="2" s="1"/>
  <c r="T10" i="2"/>
  <c r="U10" i="2" s="1"/>
  <c r="V10" i="2" s="1"/>
  <c r="AC10" i="2" s="1"/>
  <c r="T13" i="2"/>
  <c r="U13" i="2" s="1"/>
  <c r="V13" i="2" s="1"/>
  <c r="AC13" i="2" s="1"/>
  <c r="T16" i="2"/>
  <c r="U16" i="2" s="1"/>
  <c r="V16" i="2" s="1"/>
  <c r="AC21" i="2"/>
  <c r="T3" i="2"/>
  <c r="T6" i="2"/>
  <c r="U6" i="2" s="1"/>
  <c r="V6" i="2" s="1"/>
  <c r="AC6" i="2" s="1"/>
  <c r="U3" i="2" l="1"/>
  <c r="T27" i="2"/>
  <c r="AC14" i="2"/>
  <c r="V3" i="2" l="1"/>
  <c r="U27" i="2"/>
  <c r="AC3" i="2" l="1"/>
  <c r="V27" i="2"/>
  <c r="AC11" i="2" l="1"/>
  <c r="AC27" i="2" l="1"/>
  <c r="AD30" i="2" s="1"/>
</calcChain>
</file>

<file path=xl/comments1.xml><?xml version="1.0" encoding="utf-8"?>
<comments xmlns="http://schemas.openxmlformats.org/spreadsheetml/2006/main">
  <authors>
    <author>behnaz hadidi</author>
    <author>aa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بابت اضافه کار حقوق مرداد 97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همه تا 98/9/30 قرارداد تمدیدشده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b/>
            <sz val="8"/>
            <color indexed="81"/>
            <rFont val="Tahoma"/>
            <family val="2"/>
          </rPr>
          <t>10000000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<sst xmlns="http://schemas.openxmlformats.org/spreadsheetml/2006/main" count="76" uniqueCount="57">
  <si>
    <t>ردیف</t>
  </si>
  <si>
    <t>نام ونام خانوادگی</t>
  </si>
  <si>
    <t>روز کارکرد</t>
  </si>
  <si>
    <t>دستمزد روزانه</t>
  </si>
  <si>
    <t>نرخ ماموریت روزانه</t>
  </si>
  <si>
    <t>نرخ اضافه کار</t>
  </si>
  <si>
    <t xml:space="preserve">مبلغ کارکرد </t>
  </si>
  <si>
    <t>مبلغ اضافه کار</t>
  </si>
  <si>
    <t xml:space="preserve">کمک هزینه اقلام مصرفی </t>
  </si>
  <si>
    <t>حق اولاد</t>
  </si>
  <si>
    <t xml:space="preserve">ایاب وذهاب </t>
  </si>
  <si>
    <t xml:space="preserve">  مزایای  غیرمستمر</t>
  </si>
  <si>
    <t>سایر</t>
  </si>
  <si>
    <t>حقوق ناخالص</t>
  </si>
  <si>
    <t>خالص حقوق ومزایا</t>
  </si>
  <si>
    <t xml:space="preserve">ســایــــر مطـــا لبــــــــــات </t>
  </si>
  <si>
    <t>قابل پرداخت (ریال )</t>
  </si>
  <si>
    <t xml:space="preserve">7درصد بیمه </t>
  </si>
  <si>
    <t>مشمول مالیات</t>
  </si>
  <si>
    <t>مالیات</t>
  </si>
  <si>
    <t>علی الحساب</t>
  </si>
  <si>
    <t>قسط وام قرض الحسنه</t>
  </si>
  <si>
    <t>سایر(بیمه تکمیلی)</t>
  </si>
  <si>
    <t>ماموریت</t>
  </si>
  <si>
    <t>ساعت اضافه کار</t>
  </si>
  <si>
    <t>حق مسکن</t>
  </si>
  <si>
    <t xml:space="preserve">فوق العاده شغل </t>
  </si>
  <si>
    <t>سایر مزایا</t>
  </si>
  <si>
    <t>مهدی تقی پور معصومی</t>
  </si>
  <si>
    <t>ناصراکبرزاده</t>
  </si>
  <si>
    <t xml:space="preserve">احمد علیپور </t>
  </si>
  <si>
    <t xml:space="preserve">یاسر محمد زاده </t>
  </si>
  <si>
    <t>رضا افشاری فر</t>
  </si>
  <si>
    <t>طه بادپر</t>
  </si>
  <si>
    <t>لقمان مصطفی پور</t>
  </si>
  <si>
    <t xml:space="preserve">حامد امینی </t>
  </si>
  <si>
    <t>جمع کل (ریال ) epc جلدیان</t>
  </si>
  <si>
    <t xml:space="preserve">علی حاجی آبادی </t>
  </si>
  <si>
    <t xml:space="preserve">صبریه مرادی </t>
  </si>
  <si>
    <t>صبریه مرادی</t>
  </si>
  <si>
    <t>جمع کل (ریال ) نظارت کرمانشاه</t>
  </si>
  <si>
    <t>مهدی صیدیان</t>
  </si>
  <si>
    <t xml:space="preserve">عباس سهرابیان </t>
  </si>
  <si>
    <t>سعید میرزا بیگی</t>
  </si>
  <si>
    <t>جمع کل (ریال ) نظارت میمه و سیروان</t>
  </si>
  <si>
    <t>حمید اسعدی</t>
  </si>
  <si>
    <t>نوید خواجه</t>
  </si>
  <si>
    <t>جمع کل (ریال ) نظارت قلعه چای</t>
  </si>
  <si>
    <t xml:space="preserve">شاهین شفائی </t>
  </si>
  <si>
    <t>حمید لطف یاسوری</t>
  </si>
  <si>
    <t xml:space="preserve">حمید رضا ارادی </t>
  </si>
  <si>
    <t>حمیدرضا اردای</t>
  </si>
  <si>
    <t xml:space="preserve">یداله صدقی </t>
  </si>
  <si>
    <t xml:space="preserve">محمد عنبری </t>
  </si>
  <si>
    <t>جمع منطقه</t>
  </si>
  <si>
    <t xml:space="preserve"> </t>
  </si>
  <si>
    <t>پایه حقوق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</si>
</sst>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_-* #,##0.00\-;_-* &quot;-&quot;??_-;_-@_-"/>
    <numFmt numFmtId="165" formatCode="0.0"/>
  </numFmts>
  <fonts count="18" x14ac:knownFonts="1">
    <font>
      <sz val="10"/>
      <name val="Arial"/>
      <charset val="178"/>
    </font>
    <font>
      <sz val="10"/>
      <name val="Arial"/>
      <charset val="178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 readingOrder="1"/>
    </xf>
    <xf numFmtId="2" fontId="4" fillId="0" borderId="8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 wrapText="1"/>
    </xf>
    <xf numFmtId="1" fontId="4" fillId="0" borderId="8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3" fontId="6" fillId="2" borderId="8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 readingOrder="2"/>
    </xf>
    <xf numFmtId="0" fontId="6" fillId="0" borderId="4" xfId="0" applyFont="1" applyFill="1" applyBorder="1" applyAlignment="1">
      <alignment vertical="center" wrapText="1"/>
    </xf>
    <xf numFmtId="0" fontId="4" fillId="0" borderId="8" xfId="0" applyFont="1" applyFill="1" applyBorder="1"/>
    <xf numFmtId="3" fontId="4" fillId="4" borderId="8" xfId="0" applyNumberFormat="1" applyFont="1" applyFill="1" applyBorder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/>
    <xf numFmtId="0" fontId="3" fillId="0" borderId="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 readingOrder="1"/>
    </xf>
    <xf numFmtId="3" fontId="8" fillId="6" borderId="8" xfId="0" applyNumberFormat="1" applyFont="1" applyFill="1" applyBorder="1" applyAlignment="1">
      <alignment horizontal="center" vertical="center" wrapText="1"/>
    </xf>
    <xf numFmtId="3" fontId="9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 readingOrder="1"/>
    </xf>
    <xf numFmtId="0" fontId="3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 readingOrder="1"/>
    </xf>
    <xf numFmtId="0" fontId="6" fillId="0" borderId="9" xfId="0" applyFont="1" applyFill="1" applyBorder="1" applyAlignment="1">
      <alignment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 wrapText="1"/>
    </xf>
    <xf numFmtId="3" fontId="4" fillId="0" borderId="12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 wrapText="1" readingOrder="2"/>
    </xf>
    <xf numFmtId="3" fontId="3" fillId="0" borderId="8" xfId="1" applyNumberFormat="1" applyFont="1" applyFill="1" applyBorder="1" applyAlignment="1">
      <alignment horizontal="center" vertical="center" wrapText="1" readingOrder="1"/>
    </xf>
    <xf numFmtId="3" fontId="7" fillId="8" borderId="8" xfId="0" applyNumberFormat="1" applyFont="1" applyFill="1" applyBorder="1" applyAlignment="1">
      <alignment horizontal="center" vertical="center" wrapText="1"/>
    </xf>
    <xf numFmtId="3" fontId="4" fillId="8" borderId="8" xfId="0" applyNumberFormat="1" applyFont="1" applyFill="1" applyBorder="1"/>
    <xf numFmtId="0" fontId="6" fillId="0" borderId="6" xfId="0" applyFont="1" applyFill="1" applyBorder="1" applyAlignment="1">
      <alignment horizontal="center" vertical="center" wrapText="1"/>
    </xf>
    <xf numFmtId="3" fontId="7" fillId="7" borderId="8" xfId="0" applyNumberFormat="1" applyFont="1" applyFill="1" applyBorder="1" applyAlignment="1">
      <alignment horizontal="center" vertical="center" wrapText="1"/>
    </xf>
    <xf numFmtId="3" fontId="10" fillId="2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/>
    <xf numFmtId="0" fontId="0" fillId="0" borderId="0" xfId="0" applyFill="1" applyAlignment="1">
      <alignment readingOrder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 readingOrder="2"/>
    </xf>
    <xf numFmtId="0" fontId="3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13" fillId="0" borderId="0" xfId="0" applyFont="1" applyFill="1" applyAlignment="1">
      <alignment vertical="center"/>
    </xf>
    <xf numFmtId="3" fontId="3" fillId="0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  <xf numFmtId="3" fontId="8" fillId="0" borderId="8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7" xfId="0" applyFill="1" applyBorder="1"/>
    <xf numFmtId="3" fontId="9" fillId="0" borderId="8" xfId="0" applyNumberFormat="1" applyFont="1" applyFill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vertical="center" textRotation="90" wrapText="1" readingOrder="1"/>
    </xf>
    <xf numFmtId="0" fontId="4" fillId="0" borderId="1" xfId="0" applyFont="1" applyFill="1" applyBorder="1" applyAlignment="1">
      <alignment vertical="center" wrapText="1"/>
    </xf>
    <xf numFmtId="0" fontId="0" fillId="0" borderId="7" xfId="0" applyFill="1" applyBorder="1" applyAlignment="1"/>
    <xf numFmtId="3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3" fontId="5" fillId="2" borderId="1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3" fillId="0" borderId="8" xfId="0" applyFont="1" applyFill="1" applyBorder="1" applyAlignment="1">
      <alignment horizontal="center" vertical="center" wrapText="1"/>
    </xf>
    <xf numFmtId="3" fontId="0" fillId="0" borderId="7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7" xfId="0" applyFill="1" applyBorder="1"/>
    <xf numFmtId="0" fontId="2" fillId="0" borderId="8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 readingOrder="2"/>
    </xf>
    <xf numFmtId="0" fontId="2" fillId="0" borderId="14" xfId="0" applyFont="1" applyFill="1" applyBorder="1" applyAlignment="1">
      <alignment horizontal="center" vertical="center" wrapText="1" readingOrder="2"/>
    </xf>
    <xf numFmtId="0" fontId="2" fillId="0" borderId="6" xfId="0" applyFont="1" applyFill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center" vertical="center" wrapText="1" readingOrder="2"/>
    </xf>
    <xf numFmtId="0" fontId="2" fillId="3" borderId="5" xfId="0" applyFont="1" applyFill="1" applyBorder="1" applyAlignment="1">
      <alignment horizontal="center" vertical="center" wrapText="1" readingOrder="2"/>
    </xf>
    <xf numFmtId="0" fontId="2" fillId="3" borderId="15" xfId="0" applyFont="1" applyFill="1" applyBorder="1" applyAlignment="1">
      <alignment horizontal="center" vertical="center" wrapText="1" readingOrder="2"/>
    </xf>
    <xf numFmtId="0" fontId="4" fillId="0" borderId="7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AJ43"/>
  <sheetViews>
    <sheetView rightToLeft="1" tabSelected="1" view="pageBreakPreview" zoomScaleNormal="100" zoomScaleSheetLayoutView="100" workbookViewId="0">
      <selection activeCell="B3" sqref="B3"/>
    </sheetView>
  </sheetViews>
  <sheetFormatPr defaultRowHeight="20.25" x14ac:dyDescent="0.2"/>
  <cols>
    <col min="1" max="1" width="8" style="63" customWidth="1"/>
    <col min="2" max="2" width="32" style="64" customWidth="1"/>
    <col min="3" max="3" width="6.85546875" style="65" customWidth="1"/>
    <col min="4" max="4" width="12.42578125" style="66" customWidth="1"/>
    <col min="5" max="5" width="10.28515625" style="67" customWidth="1"/>
    <col min="6" max="6" width="12.7109375" style="66" customWidth="1"/>
    <col min="7" max="7" width="13.85546875" style="65" customWidth="1"/>
    <col min="8" max="8" width="20.7109375" style="68" customWidth="1"/>
    <col min="9" max="9" width="19.85546875" style="68" customWidth="1"/>
    <col min="10" max="10" width="14" style="66" customWidth="1"/>
    <col min="11" max="11" width="15.140625" style="65" customWidth="1"/>
    <col min="12" max="12" width="17.140625" style="66" customWidth="1"/>
    <col min="13" max="13" width="15.42578125" style="66" customWidth="1"/>
    <col min="14" max="14" width="17.140625" style="65" customWidth="1"/>
    <col min="15" max="15" width="17.7109375" style="65" customWidth="1"/>
    <col min="16" max="16" width="13.28515625" style="65" customWidth="1"/>
    <col min="17" max="17" width="15.42578125" style="65" customWidth="1"/>
    <col min="18" max="18" width="17.140625" style="69" customWidth="1"/>
    <col min="19" max="19" width="13.85546875" style="70" customWidth="1"/>
    <col min="20" max="20" width="21" style="65" customWidth="1"/>
    <col min="21" max="21" width="17.85546875" style="66" customWidth="1"/>
    <col min="22" max="22" width="19.42578125" style="65" customWidth="1"/>
    <col min="23" max="23" width="17.28515625" style="65" customWidth="1"/>
    <col min="24" max="24" width="13.5703125" style="65" customWidth="1"/>
    <col min="25" max="25" width="14.5703125" style="66" customWidth="1"/>
    <col min="26" max="26" width="12.7109375" style="71" customWidth="1"/>
    <col min="27" max="27" width="14.28515625" style="66" customWidth="1"/>
    <col min="28" max="28" width="13.42578125" style="60" customWidth="1"/>
    <col min="29" max="29" width="28.28515625" style="65" customWidth="1"/>
    <col min="30" max="30" width="24.5703125" style="72" customWidth="1"/>
    <col min="31" max="31" width="18.7109375" style="74" bestFit="1" customWidth="1"/>
    <col min="32" max="32" width="9.140625" style="74"/>
    <col min="33" max="33" width="16.5703125" style="74" customWidth="1"/>
    <col min="34" max="16384" width="9.140625" style="74"/>
  </cols>
  <sheetData>
    <row r="1" spans="1:31" s="2" customFormat="1" ht="36.75" customHeight="1" x14ac:dyDescent="0.2">
      <c r="A1" s="88" t="s">
        <v>0</v>
      </c>
      <c r="B1" s="89" t="s">
        <v>1</v>
      </c>
      <c r="C1" s="85" t="s">
        <v>2</v>
      </c>
      <c r="D1" s="91" t="s">
        <v>3</v>
      </c>
      <c r="E1" s="92" t="s">
        <v>24</v>
      </c>
      <c r="F1" s="91" t="s">
        <v>4</v>
      </c>
      <c r="G1" s="85" t="s">
        <v>5</v>
      </c>
      <c r="H1" s="93" t="s">
        <v>56</v>
      </c>
      <c r="I1" s="95" t="s">
        <v>6</v>
      </c>
      <c r="J1" s="91" t="s">
        <v>7</v>
      </c>
      <c r="K1" s="85" t="s">
        <v>25</v>
      </c>
      <c r="L1" s="91" t="s">
        <v>8</v>
      </c>
      <c r="M1" s="91" t="s">
        <v>9</v>
      </c>
      <c r="N1" s="85" t="s">
        <v>10</v>
      </c>
      <c r="O1" s="85" t="s">
        <v>11</v>
      </c>
      <c r="P1" s="100" t="s">
        <v>26</v>
      </c>
      <c r="Q1" s="100" t="s">
        <v>27</v>
      </c>
      <c r="R1" s="93" t="s">
        <v>13</v>
      </c>
      <c r="S1" s="110" t="s">
        <v>17</v>
      </c>
      <c r="T1" s="106" t="s">
        <v>18</v>
      </c>
      <c r="U1" s="108" t="s">
        <v>19</v>
      </c>
      <c r="V1" s="102" t="s">
        <v>14</v>
      </c>
      <c r="W1" s="85" t="s">
        <v>20</v>
      </c>
      <c r="X1" s="85" t="s">
        <v>21</v>
      </c>
      <c r="Y1" s="85" t="s">
        <v>22</v>
      </c>
      <c r="Z1" s="85" t="s">
        <v>15</v>
      </c>
      <c r="AA1" s="91" t="s">
        <v>23</v>
      </c>
      <c r="AB1" s="85" t="s">
        <v>12</v>
      </c>
      <c r="AC1" s="96" t="s">
        <v>16</v>
      </c>
      <c r="AD1" s="98" t="s">
        <v>1</v>
      </c>
    </row>
    <row r="2" spans="1:31" s="2" customFormat="1" ht="33.75" customHeight="1" x14ac:dyDescent="0.2">
      <c r="A2" s="86"/>
      <c r="B2" s="90"/>
      <c r="C2" s="86"/>
      <c r="D2" s="86"/>
      <c r="E2" s="86"/>
      <c r="F2" s="86"/>
      <c r="G2" s="86"/>
      <c r="H2" s="94"/>
      <c r="I2" s="94"/>
      <c r="J2" s="86"/>
      <c r="K2" s="86"/>
      <c r="L2" s="86"/>
      <c r="M2" s="99"/>
      <c r="N2" s="86"/>
      <c r="O2" s="86"/>
      <c r="P2" s="86"/>
      <c r="Q2" s="86"/>
      <c r="R2" s="101"/>
      <c r="S2" s="111"/>
      <c r="T2" s="107"/>
      <c r="U2" s="109"/>
      <c r="V2" s="97"/>
      <c r="W2" s="112"/>
      <c r="X2" s="112"/>
      <c r="Y2" s="112"/>
      <c r="Z2" s="112"/>
      <c r="AA2" s="113"/>
      <c r="AB2" s="112"/>
      <c r="AC2" s="96"/>
      <c r="AD2" s="98"/>
    </row>
    <row r="3" spans="1:31" s="15" customFormat="1" ht="23.25" customHeight="1" x14ac:dyDescent="0.2">
      <c r="A3" s="3">
        <v>1</v>
      </c>
      <c r="B3" s="18" t="s">
        <v>28</v>
      </c>
      <c r="C3" s="5">
        <v>30</v>
      </c>
      <c r="D3" s="11">
        <f>H3/30+ROUND(0,1)</f>
        <v>1000000</v>
      </c>
      <c r="E3" s="6"/>
      <c r="F3" s="82"/>
      <c r="G3" s="7">
        <f>H3*1.4/220*1.2+ROUND(0,1)</f>
        <v>229090.90909090909</v>
      </c>
      <c r="H3" s="16">
        <v>30000000</v>
      </c>
      <c r="I3" s="16">
        <f>D3*C3+ROUND(0,1)</f>
        <v>30000000</v>
      </c>
      <c r="J3" s="82">
        <f>G3*E3+ROUND(0,1)</f>
        <v>0</v>
      </c>
      <c r="K3" s="82">
        <v>1000000</v>
      </c>
      <c r="L3" s="82">
        <v>1900000</v>
      </c>
      <c r="M3" s="82"/>
      <c r="N3" s="82">
        <v>8000000</v>
      </c>
      <c r="O3" s="82">
        <v>7100000</v>
      </c>
      <c r="P3" s="82"/>
      <c r="Q3" s="82"/>
      <c r="R3" s="8">
        <f>SUM(I3:P3)</f>
        <v>48000000</v>
      </c>
      <c r="S3" s="20">
        <v>2253563</v>
      </c>
      <c r="T3" s="12">
        <f>R3-(K3+L3+M3)</f>
        <v>45100000</v>
      </c>
      <c r="U3" s="9">
        <f>IF(T3&lt;=27500000,0,(IF(AND(T3&gt;27500000,T3&lt;=130000000),(T3-27500000)*0.1,(IF(AND(T3&gt;80000000,T3&lt;=90000000),(T3-80000000)*0.2,IF(AND(T3&gt;17500000,T3&lt;=35000000),(T3-17500000)*0.25+1316667,(IF(AND(T3&gt;91666667),(T3-35000000)*0.3+4441667))))))))</f>
        <v>1760000</v>
      </c>
      <c r="V3" s="81">
        <f>R3-(S3+U3)</f>
        <v>43986437</v>
      </c>
      <c r="W3" s="82"/>
      <c r="X3" s="82"/>
      <c r="Y3" s="21">
        <v>600000</v>
      </c>
      <c r="Z3" s="17"/>
      <c r="AA3" s="82"/>
      <c r="AB3" s="32"/>
      <c r="AC3" s="10">
        <f>(V3+AA3+AB3)-(W3+X3+Y3)</f>
        <v>43386437</v>
      </c>
      <c r="AD3" s="34" t="s">
        <v>28</v>
      </c>
    </row>
    <row r="4" spans="1:31" s="15" customFormat="1" ht="19.5" customHeight="1" x14ac:dyDescent="0.2">
      <c r="A4" s="3">
        <v>2</v>
      </c>
      <c r="B4" s="38" t="s">
        <v>29</v>
      </c>
      <c r="C4" s="5">
        <v>30</v>
      </c>
      <c r="D4" s="11">
        <f t="shared" ref="D4:D6" si="0">H4/30+ROUND(0,1)</f>
        <v>543333.33333333337</v>
      </c>
      <c r="E4" s="6"/>
      <c r="F4" s="82"/>
      <c r="G4" s="7">
        <f t="shared" ref="G4:G6" si="1">H4*1.4/220*1.2+ROUND(0,1)</f>
        <v>124472.72727272726</v>
      </c>
      <c r="H4" s="16">
        <v>16300000</v>
      </c>
      <c r="I4" s="16">
        <f t="shared" ref="I4:I6" si="2">D4*C4+ROUND(0,1)</f>
        <v>16300000.000000002</v>
      </c>
      <c r="J4" s="82">
        <f t="shared" ref="J4:J9" si="3">G4*E4+ROUND(0,1)</f>
        <v>0</v>
      </c>
      <c r="K4" s="82">
        <v>1000000</v>
      </c>
      <c r="L4" s="82">
        <v>1900000</v>
      </c>
      <c r="M4" s="82"/>
      <c r="N4" s="82">
        <v>1800000</v>
      </c>
      <c r="O4" s="82">
        <v>3000000</v>
      </c>
      <c r="P4" s="82"/>
      <c r="Q4" s="81"/>
      <c r="R4" s="8">
        <f>SUM(I4:P4)</f>
        <v>24000000</v>
      </c>
      <c r="S4" s="20">
        <v>0</v>
      </c>
      <c r="T4" s="12">
        <f>R4-(K4+L4+M4)</f>
        <v>21100000</v>
      </c>
      <c r="U4" s="9">
        <f t="shared" ref="U4:U10" si="4">IF(T4&lt;=27500000,0,(IF(AND(T4&gt;27500000,T4&lt;=130000000),(T4-27500000)*0.1,(IF(AND(T4&gt;80000000,T4&lt;=90000000),(T4-80000000)*0.2,IF(AND(T4&gt;17500000,T4&lt;=35000000),(T4-17500000)*0.25+1316667,(IF(AND(T4&gt;91666667),(T4-35000000)*0.3+4441667))))))))</f>
        <v>0</v>
      </c>
      <c r="V4" s="81">
        <f>R4-(S4+U4)</f>
        <v>24000000</v>
      </c>
      <c r="W4" s="82"/>
      <c r="X4" s="82"/>
      <c r="Y4" s="21">
        <v>600000</v>
      </c>
      <c r="Z4" s="17"/>
      <c r="AA4" s="82"/>
      <c r="AB4" s="82"/>
      <c r="AC4" s="10">
        <f>(V4+AA4+AB4)-(W4+X4+Y4)</f>
        <v>23400000</v>
      </c>
      <c r="AD4" s="35" t="s">
        <v>29</v>
      </c>
      <c r="AE4" s="23"/>
    </row>
    <row r="5" spans="1:31" s="15" customFormat="1" ht="19.5" customHeight="1" x14ac:dyDescent="0.2">
      <c r="A5" s="3">
        <v>3</v>
      </c>
      <c r="B5" s="33" t="s">
        <v>30</v>
      </c>
      <c r="C5" s="5">
        <v>30</v>
      </c>
      <c r="D5" s="11">
        <f t="shared" si="0"/>
        <v>626648</v>
      </c>
      <c r="E5" s="6"/>
      <c r="F5" s="82"/>
      <c r="G5" s="7">
        <f t="shared" si="1"/>
        <v>143559.35999999999</v>
      </c>
      <c r="H5" s="16">
        <v>18799440</v>
      </c>
      <c r="I5" s="16">
        <f t="shared" si="2"/>
        <v>18799440</v>
      </c>
      <c r="J5" s="82">
        <f t="shared" si="3"/>
        <v>0</v>
      </c>
      <c r="K5" s="82">
        <v>1000000</v>
      </c>
      <c r="L5" s="82">
        <v>1900000</v>
      </c>
      <c r="M5" s="81">
        <v>1516882</v>
      </c>
      <c r="N5" s="82">
        <v>1194386</v>
      </c>
      <c r="O5" s="82">
        <v>3589292</v>
      </c>
      <c r="P5" s="82"/>
      <c r="Q5" s="82"/>
      <c r="R5" s="16">
        <f t="shared" ref="R5:R6" si="5">SUM(I5:Q5)</f>
        <v>28000000</v>
      </c>
      <c r="S5" s="20">
        <v>0</v>
      </c>
      <c r="T5" s="82">
        <f>R5-(K5+L5+M5)</f>
        <v>23583118</v>
      </c>
      <c r="U5" s="9">
        <f t="shared" si="4"/>
        <v>0</v>
      </c>
      <c r="V5" s="82">
        <f>R5-(S5+U5)</f>
        <v>28000000</v>
      </c>
      <c r="W5" s="82"/>
      <c r="X5" s="82"/>
      <c r="Y5" s="21"/>
      <c r="Z5" s="17"/>
      <c r="AA5" s="82"/>
      <c r="AB5" s="82"/>
      <c r="AC5" s="10">
        <f>(V5+AA5+AB5)-(W5+X5+Y5)</f>
        <v>28000000</v>
      </c>
      <c r="AD5" s="80" t="s">
        <v>30</v>
      </c>
      <c r="AE5" s="23"/>
    </row>
    <row r="6" spans="1:31" s="15" customFormat="1" ht="19.5" customHeight="1" x14ac:dyDescent="0.2">
      <c r="A6" s="3">
        <v>4</v>
      </c>
      <c r="B6" s="39" t="s">
        <v>31</v>
      </c>
      <c r="C6" s="5">
        <v>30</v>
      </c>
      <c r="D6" s="11">
        <f t="shared" si="0"/>
        <v>505666.66666666669</v>
      </c>
      <c r="E6" s="40"/>
      <c r="F6" s="6"/>
      <c r="G6" s="7">
        <f t="shared" si="1"/>
        <v>115843.63636363635</v>
      </c>
      <c r="H6" s="16">
        <v>15170000</v>
      </c>
      <c r="I6" s="16">
        <f t="shared" si="2"/>
        <v>15170000</v>
      </c>
      <c r="J6" s="82">
        <f t="shared" si="3"/>
        <v>0</v>
      </c>
      <c r="K6" s="82">
        <v>1000000</v>
      </c>
      <c r="L6" s="82">
        <v>1900000</v>
      </c>
      <c r="M6" s="82"/>
      <c r="N6" s="82">
        <v>2600000</v>
      </c>
      <c r="O6" s="82">
        <v>2330000</v>
      </c>
      <c r="P6" s="82"/>
      <c r="Q6" s="81"/>
      <c r="R6" s="16">
        <f t="shared" si="5"/>
        <v>23000000</v>
      </c>
      <c r="S6" s="20">
        <v>0</v>
      </c>
      <c r="T6" s="82">
        <f>R6-(K6+L6+M6)</f>
        <v>20100000</v>
      </c>
      <c r="U6" s="9">
        <f t="shared" si="4"/>
        <v>0</v>
      </c>
      <c r="V6" s="82">
        <f>R6-(S6+U6)</f>
        <v>23000000</v>
      </c>
      <c r="W6" s="82"/>
      <c r="X6" s="82"/>
      <c r="Y6" s="21"/>
      <c r="Z6" s="17"/>
      <c r="AA6" s="82"/>
      <c r="AB6" s="82"/>
      <c r="AC6" s="10">
        <f>V6</f>
        <v>23000000</v>
      </c>
      <c r="AD6" s="41" t="s">
        <v>31</v>
      </c>
      <c r="AE6" s="23"/>
    </row>
    <row r="7" spans="1:31" s="15" customFormat="1" ht="19.5" customHeight="1" x14ac:dyDescent="0.2">
      <c r="A7" s="3">
        <v>5</v>
      </c>
      <c r="B7" s="18" t="s">
        <v>32</v>
      </c>
      <c r="C7" s="5">
        <v>30</v>
      </c>
      <c r="D7" s="11">
        <f>H7/30+ROUND(0,1)</f>
        <v>757034.8</v>
      </c>
      <c r="E7" s="6"/>
      <c r="F7" s="82"/>
      <c r="G7" s="7">
        <f>H7*1.4/220*1.5+ROUND(0,1)</f>
        <v>216787.23818181816</v>
      </c>
      <c r="H7" s="16">
        <v>22711044</v>
      </c>
      <c r="I7" s="16">
        <f>D7*C7+ROUND(0,1)</f>
        <v>22711044</v>
      </c>
      <c r="J7" s="82">
        <f t="shared" si="3"/>
        <v>0</v>
      </c>
      <c r="K7" s="82">
        <v>1000000</v>
      </c>
      <c r="L7" s="82">
        <v>1900000</v>
      </c>
      <c r="M7" s="81">
        <v>1516882</v>
      </c>
      <c r="N7" s="82">
        <v>6994386</v>
      </c>
      <c r="O7" s="82">
        <v>7954732</v>
      </c>
      <c r="P7" s="82"/>
      <c r="Q7" s="81"/>
      <c r="R7" s="8">
        <f>SUM(I7:P7)</f>
        <v>42077044</v>
      </c>
      <c r="S7" s="20">
        <v>0</v>
      </c>
      <c r="T7" s="12">
        <f>R7-(K7+L7+M7)</f>
        <v>37660162</v>
      </c>
      <c r="U7" s="9">
        <f t="shared" si="4"/>
        <v>1016016.2000000001</v>
      </c>
      <c r="V7" s="82">
        <f>R7-(S7+U7)</f>
        <v>41061027.799999997</v>
      </c>
      <c r="W7" s="82"/>
      <c r="X7" s="82"/>
      <c r="Y7" s="21">
        <v>1200000</v>
      </c>
      <c r="Z7" s="17"/>
      <c r="AA7" s="82"/>
      <c r="AB7" s="82"/>
      <c r="AC7" s="10">
        <f>(V7+AA7+AB7)-(W7+X7+Y7)</f>
        <v>39861027.799999997</v>
      </c>
      <c r="AD7" s="34" t="s">
        <v>32</v>
      </c>
    </row>
    <row r="8" spans="1:31" s="15" customFormat="1" ht="19.5" customHeight="1" x14ac:dyDescent="0.2">
      <c r="A8" s="3">
        <v>6</v>
      </c>
      <c r="B8" s="42" t="s">
        <v>33</v>
      </c>
      <c r="C8" s="5">
        <v>30</v>
      </c>
      <c r="D8" s="11">
        <f>H8/30+ROUND(0,1)</f>
        <v>589285.69999999995</v>
      </c>
      <c r="E8" s="6"/>
      <c r="F8" s="82"/>
      <c r="G8" s="7">
        <f>H8*1.4/220*1.2+ROUND(0,1)</f>
        <v>134999.99672727272</v>
      </c>
      <c r="H8" s="16">
        <v>17678571</v>
      </c>
      <c r="I8" s="16">
        <f>D8*C8+ROUND(0,1)</f>
        <v>17678571</v>
      </c>
      <c r="J8" s="82">
        <f t="shared" si="3"/>
        <v>0</v>
      </c>
      <c r="K8" s="82">
        <v>1000000</v>
      </c>
      <c r="L8" s="82">
        <v>1900000</v>
      </c>
      <c r="M8" s="82">
        <v>0</v>
      </c>
      <c r="N8" s="82">
        <v>1600000</v>
      </c>
      <c r="O8" s="82">
        <v>2240000</v>
      </c>
      <c r="P8" s="82"/>
      <c r="Q8" s="82"/>
      <c r="R8" s="16">
        <f>SUM(I8:P8)</f>
        <v>24418571</v>
      </c>
      <c r="S8" s="20">
        <v>0</v>
      </c>
      <c r="T8" s="82">
        <f>R8-(K8+L8+M8)</f>
        <v>21518571</v>
      </c>
      <c r="U8" s="9">
        <f t="shared" si="4"/>
        <v>0</v>
      </c>
      <c r="V8" s="82">
        <f>R8-(S8+U8)</f>
        <v>24418571</v>
      </c>
      <c r="W8" s="82"/>
      <c r="X8" s="82"/>
      <c r="Y8" s="21">
        <v>1200000</v>
      </c>
      <c r="Z8" s="17"/>
      <c r="AA8" s="82"/>
      <c r="AB8" s="32"/>
      <c r="AC8" s="10">
        <f>(V8+AA8+AB8)-(W8+X8+Y8)</f>
        <v>23218571</v>
      </c>
      <c r="AD8" s="22" t="s">
        <v>33</v>
      </c>
    </row>
    <row r="9" spans="1:31" s="15" customFormat="1" ht="19.5" customHeight="1" x14ac:dyDescent="0.2">
      <c r="A9" s="3">
        <v>7</v>
      </c>
      <c r="B9" s="42" t="s">
        <v>34</v>
      </c>
      <c r="C9" s="5">
        <v>30</v>
      </c>
      <c r="D9" s="11">
        <f>H9/30+ROUND(0,1)</f>
        <v>589285.69999999995</v>
      </c>
      <c r="E9" s="6"/>
      <c r="F9" s="82"/>
      <c r="G9" s="7">
        <f>H9*1.4/220*1.2+ROUND(0,1)</f>
        <v>134999.99672727272</v>
      </c>
      <c r="H9" s="16">
        <v>17678571</v>
      </c>
      <c r="I9" s="16">
        <f>D9*C9+ROUND(0,1)</f>
        <v>17678571</v>
      </c>
      <c r="J9" s="82">
        <f t="shared" si="3"/>
        <v>0</v>
      </c>
      <c r="K9" s="82">
        <v>1000000</v>
      </c>
      <c r="L9" s="82">
        <v>1900000</v>
      </c>
      <c r="M9" s="82">
        <v>0</v>
      </c>
      <c r="N9" s="82">
        <v>1600000</v>
      </c>
      <c r="O9" s="82">
        <v>2240000</v>
      </c>
      <c r="P9" s="82"/>
      <c r="Q9" s="82"/>
      <c r="R9" s="16">
        <f>SUM(I9:P9)</f>
        <v>24418571</v>
      </c>
      <c r="S9" s="20">
        <v>0</v>
      </c>
      <c r="T9" s="82">
        <f>R9-(K9+L9+M9)</f>
        <v>21518571</v>
      </c>
      <c r="U9" s="9">
        <f t="shared" si="4"/>
        <v>0</v>
      </c>
      <c r="V9" s="82">
        <f>R9-(S9+U9)</f>
        <v>24418571</v>
      </c>
      <c r="W9" s="82"/>
      <c r="X9" s="82"/>
      <c r="Y9" s="21">
        <v>600000</v>
      </c>
      <c r="Z9" s="17"/>
      <c r="AA9" s="82"/>
      <c r="AB9" s="32"/>
      <c r="AC9" s="10">
        <f>(V9+AA9+AB9)-(W9+X9+Y9)</f>
        <v>23818571</v>
      </c>
      <c r="AD9" s="22" t="s">
        <v>34</v>
      </c>
    </row>
    <row r="10" spans="1:31" s="15" customFormat="1" ht="19.5" customHeight="1" x14ac:dyDescent="0.2">
      <c r="A10" s="3">
        <v>8</v>
      </c>
      <c r="B10" s="38" t="s">
        <v>35</v>
      </c>
      <c r="C10" s="5">
        <v>30</v>
      </c>
      <c r="D10" s="11">
        <f>H10/30+ROUND(0,1)</f>
        <v>505666.66666666669</v>
      </c>
      <c r="E10" s="11"/>
      <c r="F10" s="82"/>
      <c r="G10" s="7">
        <f>H10*1.4/220*1.2+ROUND(0,1)</f>
        <v>115843.63636363635</v>
      </c>
      <c r="H10" s="16">
        <v>15170000</v>
      </c>
      <c r="I10" s="16">
        <f>D10*C10+ROUND(0,1)</f>
        <v>15170000</v>
      </c>
      <c r="J10" s="82">
        <f>G10*E10+ROUND(0,1)</f>
        <v>0</v>
      </c>
      <c r="K10" s="82">
        <v>1000000</v>
      </c>
      <c r="L10" s="82">
        <v>1900000</v>
      </c>
      <c r="M10" s="82"/>
      <c r="N10" s="82">
        <v>3930000</v>
      </c>
      <c r="O10" s="82">
        <v>3000000</v>
      </c>
      <c r="P10" s="82"/>
      <c r="Q10" s="82"/>
      <c r="R10" s="16">
        <f>SUM(I10:P10)</f>
        <v>25000000</v>
      </c>
      <c r="S10" s="20">
        <v>0</v>
      </c>
      <c r="T10" s="82">
        <f>R10-(K10+L10+M10)</f>
        <v>22100000</v>
      </c>
      <c r="U10" s="9">
        <f t="shared" si="4"/>
        <v>0</v>
      </c>
      <c r="V10" s="82">
        <f>R10-(S10+U10)</f>
        <v>25000000</v>
      </c>
      <c r="W10" s="82"/>
      <c r="X10" s="82"/>
      <c r="Y10" s="21"/>
      <c r="Z10" s="17"/>
      <c r="AA10" s="82"/>
      <c r="AB10" s="82"/>
      <c r="AC10" s="10">
        <f>(V10+AA10+AB10)-(W10+X10+Y10)</f>
        <v>25000000</v>
      </c>
      <c r="AD10" s="22" t="s">
        <v>35</v>
      </c>
    </row>
    <row r="11" spans="1:31" s="15" customFormat="1" ht="25.5" customHeight="1" x14ac:dyDescent="0.2">
      <c r="A11" s="30"/>
      <c r="B11" s="103" t="s">
        <v>36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5"/>
      <c r="AC11" s="31">
        <f>SUM(AC3:AC10)</f>
        <v>229684606.80000001</v>
      </c>
      <c r="AD11" s="84"/>
      <c r="AE11" s="27"/>
    </row>
    <row r="12" spans="1:31" s="15" customFormat="1" ht="19.5" customHeight="1" x14ac:dyDescent="0.2">
      <c r="A12" s="43">
        <v>9</v>
      </c>
      <c r="B12" s="44" t="s">
        <v>37</v>
      </c>
      <c r="C12" s="5">
        <v>30</v>
      </c>
      <c r="D12" s="45">
        <f t="shared" ref="D12:D16" si="6">H12/30+ROUND(0,1)</f>
        <v>633333.33333333337</v>
      </c>
      <c r="E12" s="46"/>
      <c r="F12" s="83"/>
      <c r="G12" s="47">
        <f t="shared" ref="G12:G17" si="7">H12*1.4/220*1.2+ROUND(0,1)</f>
        <v>145090.90909090909</v>
      </c>
      <c r="H12" s="48">
        <v>19000000</v>
      </c>
      <c r="I12" s="48">
        <f>D12*C12+ROUND(0,1)</f>
        <v>19000000</v>
      </c>
      <c r="J12" s="82">
        <f>G12*E12+ROUND(0,1)</f>
        <v>0</v>
      </c>
      <c r="K12" s="82">
        <v>1000000</v>
      </c>
      <c r="L12" s="82">
        <v>1900000</v>
      </c>
      <c r="M12" s="82">
        <v>1516882</v>
      </c>
      <c r="N12" s="83">
        <v>9000000</v>
      </c>
      <c r="O12" s="83">
        <v>9178630</v>
      </c>
      <c r="P12" s="83"/>
      <c r="Q12" s="49"/>
      <c r="R12" s="48">
        <f t="shared" ref="R12" si="8">SUM(I12:Q12)</f>
        <v>41595512</v>
      </c>
      <c r="S12" s="50">
        <v>1785800</v>
      </c>
      <c r="T12" s="51">
        <f>R12-(K12+L12+M12)</f>
        <v>37178630</v>
      </c>
      <c r="U12" s="9">
        <f>IF(T12&lt;=27500000,0,(IF(AND(T12&gt;27500000,T12&lt;=130000000),(T12-27500000)*0.1,(IF(AND(T12&gt;80000000,T12&lt;=90000000),(T12-80000000)*0.2,IF(AND(T12&gt;17500000,T12&lt;=35000000),(T12-17500000)*0.25+1316667,(IF(AND(T12&gt;91666667),(T12-35000000)*0.3+4441667))))))))</f>
        <v>967863</v>
      </c>
      <c r="V12" s="83">
        <f>R12-(S12+U12)</f>
        <v>38841849</v>
      </c>
      <c r="W12" s="83"/>
      <c r="X12" s="83"/>
      <c r="Y12" s="52">
        <v>600000</v>
      </c>
      <c r="Z12" s="53"/>
      <c r="AA12" s="83"/>
      <c r="AB12" s="83"/>
      <c r="AC12" s="10">
        <f>(V12+AA12+AB12)-(W12+X12+Y12)</f>
        <v>38241849</v>
      </c>
      <c r="AD12" s="34" t="s">
        <v>37</v>
      </c>
    </row>
    <row r="13" spans="1:31" s="15" customFormat="1" ht="19.5" customHeight="1" thickBot="1" x14ac:dyDescent="0.25">
      <c r="A13" s="3">
        <v>10</v>
      </c>
      <c r="B13" s="38" t="s">
        <v>38</v>
      </c>
      <c r="C13" s="5">
        <v>30</v>
      </c>
      <c r="D13" s="11">
        <f t="shared" si="6"/>
        <v>589285.69999999995</v>
      </c>
      <c r="E13" s="6"/>
      <c r="F13" s="82"/>
      <c r="G13" s="7">
        <f>H13*1.4/220+ROUND(0,1)</f>
        <v>112499.99727272727</v>
      </c>
      <c r="H13" s="16">
        <v>17678571</v>
      </c>
      <c r="I13" s="16">
        <f>D13*C13+ROUND(0,1)</f>
        <v>17678571</v>
      </c>
      <c r="J13" s="82">
        <f>G13*E13+ROUND(0,1)</f>
        <v>0</v>
      </c>
      <c r="K13" s="82">
        <v>1000000</v>
      </c>
      <c r="L13" s="82">
        <v>1900000</v>
      </c>
      <c r="M13" s="82"/>
      <c r="N13" s="82">
        <v>2000000</v>
      </c>
      <c r="O13" s="82">
        <v>1840000</v>
      </c>
      <c r="P13" s="82"/>
      <c r="Q13" s="82"/>
      <c r="R13" s="16">
        <f>SUM(I13:Q13)</f>
        <v>24418571</v>
      </c>
      <c r="S13" s="20">
        <v>0</v>
      </c>
      <c r="T13" s="12">
        <f>R13-(K13+L13+M13)</f>
        <v>21518571</v>
      </c>
      <c r="U13" s="9">
        <f>IF(T13&lt;=27500000,0,(IF(AND(T13&gt;27500000,T13&lt;=130000000),(T13-27500000)*0.1,(IF(AND(T13&gt;80000000,T13&lt;=90000000),(T13-80000000)*0.2,IF(AND(T13&gt;17500000,T13&lt;=35000000),(T13-17500000)*0.25+1316667,(IF(AND(T13&gt;91666667),(T13-35000000)*0.3+4441667))))))))</f>
        <v>0</v>
      </c>
      <c r="V13" s="82">
        <f>R13-(S13+U13)</f>
        <v>24418571</v>
      </c>
      <c r="W13" s="82"/>
      <c r="X13" s="82"/>
      <c r="Y13" s="21">
        <v>600000</v>
      </c>
      <c r="Z13" s="17"/>
      <c r="AA13" s="82"/>
      <c r="AB13" s="82"/>
      <c r="AC13" s="10">
        <f>(V13+AA13+AB13)-(W13+X13+Y13)</f>
        <v>23818571</v>
      </c>
      <c r="AD13" s="22" t="s">
        <v>39</v>
      </c>
      <c r="AE13" s="23"/>
    </row>
    <row r="14" spans="1:31" s="15" customFormat="1" ht="25.5" customHeight="1" thickBot="1" x14ac:dyDescent="0.25">
      <c r="A14" s="36"/>
      <c r="B14" s="103" t="s">
        <v>40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5"/>
      <c r="AC14" s="31">
        <f>SUM(AC12:AC13)</f>
        <v>62060420</v>
      </c>
      <c r="AD14" s="84"/>
      <c r="AE14" s="27"/>
    </row>
    <row r="15" spans="1:31" s="15" customFormat="1" ht="19.5" customHeight="1" x14ac:dyDescent="0.2">
      <c r="A15" s="3">
        <v>11</v>
      </c>
      <c r="B15" s="37" t="s">
        <v>41</v>
      </c>
      <c r="C15" s="5">
        <v>30</v>
      </c>
      <c r="D15" s="11">
        <f>H15/30+ROUND(0,1)</f>
        <v>860401.6</v>
      </c>
      <c r="E15" s="6"/>
      <c r="F15" s="82"/>
      <c r="G15" s="7">
        <f t="shared" si="7"/>
        <v>197110.18472727269</v>
      </c>
      <c r="H15" s="16">
        <v>25812048</v>
      </c>
      <c r="I15" s="16">
        <f t="shared" ref="I15:I17" si="9">D15*C15+ROUND(0,1)</f>
        <v>25812048</v>
      </c>
      <c r="J15" s="82"/>
      <c r="K15" s="82">
        <v>1000000</v>
      </c>
      <c r="L15" s="82">
        <v>1900000</v>
      </c>
      <c r="M15" s="82">
        <v>1516882</v>
      </c>
      <c r="N15" s="82">
        <v>14000000</v>
      </c>
      <c r="O15" s="82">
        <v>15771070</v>
      </c>
      <c r="P15" s="82"/>
      <c r="Q15" s="82"/>
      <c r="R15" s="8">
        <f t="shared" ref="R15:R17" si="10">SUM(I15:P15)</f>
        <v>60000000</v>
      </c>
      <c r="S15" s="20">
        <v>2483255</v>
      </c>
      <c r="T15" s="12">
        <f>R15-(K15+L15+M15)</f>
        <v>55583118</v>
      </c>
      <c r="U15" s="9">
        <f t="shared" ref="U15:U17" si="11">IF(T15&lt;=27500000,0,(IF(AND(T15&gt;27500000,T15&lt;=130000000),(T15-27500000)*0.1,(IF(AND(T15&gt;80000000,T15&lt;=90000000),(T15-80000000)*0.2,IF(AND(T15&gt;17500000,T15&lt;=35000000),(T15-17500000)*0.25+1316667,(IF(AND(T15&gt;91666667),(T15-35000000)*0.3+4441667))))))))</f>
        <v>2808311.8000000003</v>
      </c>
      <c r="V15" s="82">
        <f>R15-(S15+U15)</f>
        <v>54708433.200000003</v>
      </c>
      <c r="W15" s="82"/>
      <c r="X15" s="82"/>
      <c r="Y15" s="21"/>
      <c r="Z15" s="17"/>
      <c r="AA15" s="82"/>
      <c r="AB15" s="82"/>
      <c r="AC15" s="54">
        <f>V15-Y15</f>
        <v>54708433.200000003</v>
      </c>
      <c r="AD15" s="29" t="s">
        <v>41</v>
      </c>
      <c r="AE15" s="23"/>
    </row>
    <row r="16" spans="1:31" s="15" customFormat="1" ht="19.5" customHeight="1" x14ac:dyDescent="0.2">
      <c r="A16" s="3">
        <v>12</v>
      </c>
      <c r="B16" s="38" t="s">
        <v>42</v>
      </c>
      <c r="C16" s="5">
        <v>30</v>
      </c>
      <c r="D16" s="11">
        <f t="shared" si="6"/>
        <v>778671.33333333337</v>
      </c>
      <c r="E16" s="6"/>
      <c r="F16" s="82"/>
      <c r="G16" s="7">
        <f t="shared" si="7"/>
        <v>178386.52363636359</v>
      </c>
      <c r="H16" s="16">
        <v>23360140</v>
      </c>
      <c r="I16" s="16">
        <f t="shared" si="9"/>
        <v>23360140</v>
      </c>
      <c r="J16" s="82">
        <f>G16*E16+ROUND(0,1)</f>
        <v>0</v>
      </c>
      <c r="K16" s="82">
        <v>1000000</v>
      </c>
      <c r="L16" s="82">
        <v>4000000</v>
      </c>
      <c r="M16" s="82">
        <v>3670854</v>
      </c>
      <c r="N16" s="82">
        <v>7100000</v>
      </c>
      <c r="O16" s="82">
        <v>4966236</v>
      </c>
      <c r="Q16" s="82"/>
      <c r="R16" s="8">
        <f>SUM(I16:O16)</f>
        <v>44097230</v>
      </c>
      <c r="S16" s="20">
        <v>1704880</v>
      </c>
      <c r="T16" s="12">
        <f>R16-(K16+L16+M16)</f>
        <v>35426376</v>
      </c>
      <c r="U16" s="9">
        <f t="shared" si="11"/>
        <v>792637.60000000009</v>
      </c>
      <c r="V16" s="82">
        <f>R16-(S16+U16)</f>
        <v>41599712.399999999</v>
      </c>
      <c r="W16" s="82">
        <v>33735120</v>
      </c>
      <c r="X16" s="82"/>
      <c r="Y16" s="21"/>
      <c r="Z16" s="17"/>
      <c r="AA16" s="82"/>
      <c r="AB16" s="82"/>
      <c r="AC16" s="54">
        <v>7864592</v>
      </c>
      <c r="AD16" s="22" t="s">
        <v>42</v>
      </c>
      <c r="AE16" s="23"/>
    </row>
    <row r="17" spans="1:32" s="15" customFormat="1" ht="20.25" customHeight="1" thickBot="1" x14ac:dyDescent="0.25">
      <c r="A17" s="3">
        <v>13</v>
      </c>
      <c r="B17" s="38" t="s">
        <v>43</v>
      </c>
      <c r="C17" s="5">
        <v>30</v>
      </c>
      <c r="D17" s="11">
        <f>H17/30+ROUND(0,1)</f>
        <v>506666.66666666669</v>
      </c>
      <c r="E17" s="6"/>
      <c r="F17" s="82"/>
      <c r="G17" s="7">
        <f t="shared" si="7"/>
        <v>116072.72727272726</v>
      </c>
      <c r="H17" s="16">
        <v>15200000</v>
      </c>
      <c r="I17" s="16">
        <f t="shared" si="9"/>
        <v>15200000</v>
      </c>
      <c r="J17" s="82"/>
      <c r="K17" s="82">
        <v>1000000</v>
      </c>
      <c r="L17" s="82">
        <v>1900000</v>
      </c>
      <c r="M17" s="82">
        <v>1516882</v>
      </c>
      <c r="N17" s="82">
        <v>8383118</v>
      </c>
      <c r="O17" s="82">
        <v>0</v>
      </c>
      <c r="P17" s="82"/>
      <c r="Q17" s="82"/>
      <c r="R17" s="8">
        <f t="shared" si="10"/>
        <v>28000000</v>
      </c>
      <c r="S17" s="20">
        <v>1231020</v>
      </c>
      <c r="T17" s="12">
        <f>R17-(K17+L17+M17)</f>
        <v>23583118</v>
      </c>
      <c r="U17" s="9">
        <f t="shared" si="11"/>
        <v>0</v>
      </c>
      <c r="V17" s="82">
        <f>R17-(S17+U17)</f>
        <v>26768980</v>
      </c>
      <c r="W17" s="82"/>
      <c r="X17" s="82"/>
      <c r="Y17" s="21">
        <v>600000</v>
      </c>
      <c r="Z17" s="17"/>
      <c r="AA17" s="82"/>
      <c r="AB17" s="82"/>
      <c r="AC17" s="54">
        <f>V17-Y17</f>
        <v>26168980</v>
      </c>
      <c r="AD17" s="22" t="s">
        <v>43</v>
      </c>
      <c r="AE17" s="23"/>
    </row>
    <row r="18" spans="1:32" s="15" customFormat="1" ht="26.25" customHeight="1" thickBot="1" x14ac:dyDescent="0.25">
      <c r="A18" s="36"/>
      <c r="B18" s="103" t="s">
        <v>44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5"/>
      <c r="AC18" s="31">
        <f>SUM(AC15:AC17)</f>
        <v>88742005.200000003</v>
      </c>
      <c r="AD18" s="84"/>
      <c r="AE18" s="27"/>
    </row>
    <row r="19" spans="1:32" s="1" customFormat="1" ht="18" customHeight="1" x14ac:dyDescent="0.2">
      <c r="A19" s="3">
        <v>14</v>
      </c>
      <c r="B19" s="4" t="s">
        <v>45</v>
      </c>
      <c r="C19" s="5">
        <v>30</v>
      </c>
      <c r="D19" s="11">
        <f>H19/30+ROUND(0,1)</f>
        <v>989813.33333333337</v>
      </c>
      <c r="E19" s="14"/>
      <c r="F19" s="82"/>
      <c r="G19" s="7">
        <v>300000</v>
      </c>
      <c r="H19" s="8">
        <v>29694400</v>
      </c>
      <c r="I19" s="8">
        <f>H19</f>
        <v>29694400</v>
      </c>
      <c r="J19" s="82">
        <f>G19*E19+ROUND(0,1)</f>
        <v>0</v>
      </c>
      <c r="K19" s="82">
        <v>1000000</v>
      </c>
      <c r="L19" s="82">
        <v>1900000</v>
      </c>
      <c r="M19" s="82">
        <v>1516882</v>
      </c>
      <c r="N19" s="82">
        <v>10000000</v>
      </c>
      <c r="O19" s="82">
        <v>10543488</v>
      </c>
      <c r="P19" s="82"/>
      <c r="Q19" s="82"/>
      <c r="R19" s="16">
        <f>SUM(I19:Q19)</f>
        <v>54654770</v>
      </c>
      <c r="S19" s="20">
        <v>1791967</v>
      </c>
      <c r="T19" s="12">
        <f>R19-(K19+L19+M19)</f>
        <v>50237888</v>
      </c>
      <c r="U19" s="9">
        <f>IF(T19&lt;=27500000,0,(IF(AND(T19&gt;27500000,T19&lt;=130000000),(T19-27500000)*0.1,(IF(AND(T19&gt;80000000,T19&lt;=90000000),(T19-80000000)*0.2,IF(AND(T19&gt;17500000,T19&lt;=35000000),(T19-17500000)*0.25+1316667,(IF(AND(T19&gt;91666667),(T19-35000000)*0.3+4441667))))))))</f>
        <v>2273788.8000000003</v>
      </c>
      <c r="V19" s="82">
        <f>R19-(S19+U19)</f>
        <v>50589014.200000003</v>
      </c>
      <c r="W19" s="82"/>
      <c r="X19" s="82"/>
      <c r="Y19" s="21">
        <v>1200000</v>
      </c>
      <c r="Z19" s="17"/>
      <c r="AA19" s="82"/>
      <c r="AB19" s="82"/>
      <c r="AC19" s="54">
        <f t="shared" ref="AC19:AC20" si="12">V19-Y19</f>
        <v>49389014.200000003</v>
      </c>
      <c r="AD19" s="26" t="s">
        <v>45</v>
      </c>
    </row>
    <row r="20" spans="1:32" s="15" customFormat="1" ht="19.5" customHeight="1" thickBot="1" x14ac:dyDescent="0.25">
      <c r="A20" s="3">
        <v>15</v>
      </c>
      <c r="B20" s="18" t="s">
        <v>46</v>
      </c>
      <c r="C20" s="5">
        <v>30</v>
      </c>
      <c r="D20" s="11">
        <f>H20/30+ROUND(0,1)</f>
        <v>747840</v>
      </c>
      <c r="E20" s="6"/>
      <c r="F20" s="82"/>
      <c r="G20" s="7">
        <v>245000</v>
      </c>
      <c r="H20" s="16">
        <v>22435200</v>
      </c>
      <c r="I20" s="16">
        <f>H20</f>
        <v>22435200</v>
      </c>
      <c r="J20" s="82">
        <f>G20*E20+ROUND(0,1)</f>
        <v>0</v>
      </c>
      <c r="K20" s="82">
        <v>1000000</v>
      </c>
      <c r="L20" s="82">
        <v>1900000</v>
      </c>
      <c r="M20" s="82"/>
      <c r="N20" s="82">
        <v>9000000</v>
      </c>
      <c r="O20" s="82">
        <v>10364132</v>
      </c>
      <c r="P20" s="82"/>
      <c r="Q20" s="81"/>
      <c r="R20" s="16">
        <f>SUM(I20:Q20)</f>
        <v>44699332</v>
      </c>
      <c r="S20" s="20">
        <v>1258338</v>
      </c>
      <c r="T20" s="12">
        <f>R20-(K20+L20+M20)</f>
        <v>41799332</v>
      </c>
      <c r="U20" s="9">
        <f>IF(T20&lt;=27500000,0,(IF(AND(T20&gt;27500000,T20&lt;=130000000),(T20-27500000)*0.1,(IF(AND(T20&gt;80000000,T20&lt;=90000000),(T20-80000000)*0.2,IF(AND(T20&gt;17500000,T20&lt;=35000000),(T20-17500000)*0.25+1316667,(IF(AND(T20&gt;91666667),(T20-35000000)*0.3+4441667))))))))</f>
        <v>1429933.2000000002</v>
      </c>
      <c r="V20" s="82">
        <f>R20-(S20+U20)</f>
        <v>42011060.799999997</v>
      </c>
      <c r="W20" s="82"/>
      <c r="X20" s="82"/>
      <c r="Y20" s="21"/>
      <c r="Z20" s="17"/>
      <c r="AA20" s="82"/>
      <c r="AB20" s="82"/>
      <c r="AC20" s="54">
        <f t="shared" si="12"/>
        <v>42011060.799999997</v>
      </c>
      <c r="AD20" s="34" t="s">
        <v>46</v>
      </c>
    </row>
    <row r="21" spans="1:32" s="15" customFormat="1" ht="26.25" customHeight="1" thickBot="1" x14ac:dyDescent="0.25">
      <c r="A21" s="36"/>
      <c r="B21" s="103" t="s">
        <v>47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5"/>
      <c r="AC21" s="31">
        <f>SUM(AC19:AC20)</f>
        <v>91400075</v>
      </c>
      <c r="AD21" s="84"/>
      <c r="AE21" s="27"/>
    </row>
    <row r="22" spans="1:32" s="1" customFormat="1" ht="17.25" customHeight="1" x14ac:dyDescent="0.2">
      <c r="A22" s="3">
        <v>16</v>
      </c>
      <c r="B22" s="13" t="s">
        <v>48</v>
      </c>
      <c r="C22" s="5">
        <v>30</v>
      </c>
      <c r="D22" s="11">
        <f>H22/30+ROUND(0,1)</f>
        <v>850066.66666666663</v>
      </c>
      <c r="E22" s="14"/>
      <c r="F22" s="82"/>
      <c r="G22" s="55">
        <v>300000</v>
      </c>
      <c r="H22" s="16">
        <v>25502000</v>
      </c>
      <c r="I22" s="16">
        <f>H22</f>
        <v>25502000</v>
      </c>
      <c r="J22" s="82">
        <f>G22*E22+ROUND(0,1)</f>
        <v>0</v>
      </c>
      <c r="K22" s="82">
        <v>1000000</v>
      </c>
      <c r="L22" s="82">
        <v>1900000</v>
      </c>
      <c r="M22" s="81"/>
      <c r="N22" s="81">
        <v>12000000</v>
      </c>
      <c r="O22" s="81">
        <v>13598000</v>
      </c>
      <c r="P22" s="82"/>
      <c r="Q22" s="19"/>
      <c r="R22" s="8">
        <f>SUM(I22:P22)</f>
        <v>54000000</v>
      </c>
      <c r="S22" s="24">
        <v>2316434</v>
      </c>
      <c r="T22" s="12">
        <f>R22-(K22+L22+M22)</f>
        <v>51100000</v>
      </c>
      <c r="U22" s="9">
        <f>IF(T22&lt;=27500000,0,(IF(AND(T22&gt;27500000,T22&lt;=130000000),(T22-27500000)*0.1,(IF(AND(T22&gt;80000000,T22&lt;=90000000),(T22-80000000)*0.2,IF(AND(T22&gt;17500000,T22&lt;=35000000),(T22-17500000)*0.25+1316667,(IF(AND(T22&gt;91666667),(T22-35000000)*0.3+4441667))))))))</f>
        <v>2360000</v>
      </c>
      <c r="V22" s="82">
        <f>R22-(S22+U22)</f>
        <v>49323566</v>
      </c>
      <c r="W22" s="82"/>
      <c r="X22" s="82"/>
      <c r="Y22" s="21"/>
      <c r="Z22" s="17"/>
      <c r="AA22" s="82"/>
      <c r="AB22" s="56"/>
      <c r="AC22" s="25">
        <f t="shared" ref="AC22:AC26" si="13">(V22+AA22+AB22)-(W22+X22+Y22)</f>
        <v>49323566</v>
      </c>
      <c r="AD22" s="57" t="s">
        <v>48</v>
      </c>
    </row>
    <row r="23" spans="1:32" s="15" customFormat="1" ht="19.5" customHeight="1" x14ac:dyDescent="0.2">
      <c r="A23" s="3">
        <v>17</v>
      </c>
      <c r="B23" s="18" t="s">
        <v>49</v>
      </c>
      <c r="C23" s="5">
        <v>30</v>
      </c>
      <c r="D23" s="11">
        <f>H23/30+ROUND(0,1)</f>
        <v>551433.33333333337</v>
      </c>
      <c r="E23" s="6"/>
      <c r="F23" s="82"/>
      <c r="G23" s="7">
        <f>H23*1.4/220+ROUND(0,1)</f>
        <v>105273.63636363637</v>
      </c>
      <c r="H23" s="16">
        <v>16543000</v>
      </c>
      <c r="I23" s="16">
        <f>H23</f>
        <v>16543000</v>
      </c>
      <c r="J23" s="82"/>
      <c r="K23" s="82">
        <v>1000000</v>
      </c>
      <c r="L23" s="82">
        <v>1900000</v>
      </c>
      <c r="M23" s="82">
        <v>1516882</v>
      </c>
      <c r="N23" s="81">
        <v>11000000</v>
      </c>
      <c r="O23" s="81">
        <v>12040118</v>
      </c>
      <c r="P23" s="82"/>
      <c r="Q23" s="81"/>
      <c r="R23" s="8">
        <f>SUM(I23:P23)</f>
        <v>44000000</v>
      </c>
      <c r="S23" s="24">
        <v>1302736</v>
      </c>
      <c r="T23" s="12">
        <f>R23-(K23+L23+M23)</f>
        <v>39583118</v>
      </c>
      <c r="U23" s="9">
        <f>IF(T23&lt;=27500000,0,(IF(AND(T23&gt;27500000,T23&lt;=130000000),(T23-27500000)*0.1,(IF(AND(T23&gt;80000000,T23&lt;=90000000),(T23-80000000)*0.2,IF(AND(T23&gt;17500000,T23&lt;=35000000),(T23-17500000)*0.25+1316667,(IF(AND(T23&gt;91666667),(T23-35000000)*0.3+4441667))))))))</f>
        <v>1208311.8</v>
      </c>
      <c r="V23" s="82">
        <f>R23-(S23+U23)</f>
        <v>41488952.200000003</v>
      </c>
      <c r="W23" s="82"/>
      <c r="X23" s="82"/>
      <c r="Y23" s="21">
        <v>2400000</v>
      </c>
      <c r="Z23" s="17"/>
      <c r="AA23" s="82"/>
      <c r="AB23" s="32"/>
      <c r="AC23" s="25">
        <f t="shared" si="13"/>
        <v>39088952.200000003</v>
      </c>
      <c r="AD23" s="34" t="s">
        <v>49</v>
      </c>
    </row>
    <row r="24" spans="1:32" s="15" customFormat="1" ht="19.5" customHeight="1" x14ac:dyDescent="0.2">
      <c r="A24" s="3">
        <v>18</v>
      </c>
      <c r="B24" s="28" t="s">
        <v>50</v>
      </c>
      <c r="C24" s="5">
        <v>30</v>
      </c>
      <c r="D24" s="11">
        <f>H24/30+ROUND(0,1)</f>
        <v>664266.66666666663</v>
      </c>
      <c r="E24" s="6"/>
      <c r="F24" s="82"/>
      <c r="G24" s="58">
        <v>285000</v>
      </c>
      <c r="H24" s="16">
        <v>19928000</v>
      </c>
      <c r="I24" s="16">
        <f>H24</f>
        <v>19928000</v>
      </c>
      <c r="J24" s="82">
        <f>G24*E24+ROUND(0,1)</f>
        <v>0</v>
      </c>
      <c r="K24" s="82">
        <v>1000000</v>
      </c>
      <c r="L24" s="82">
        <v>1900000</v>
      </c>
      <c r="M24" s="82">
        <v>1516882</v>
      </c>
      <c r="N24" s="82">
        <v>12214000</v>
      </c>
      <c r="O24" s="82">
        <v>10941118</v>
      </c>
      <c r="P24" s="82"/>
      <c r="Q24" s="82"/>
      <c r="R24" s="16">
        <f>SUM(I24:Q24)</f>
        <v>47500000</v>
      </c>
      <c r="S24" s="20">
        <v>1859363</v>
      </c>
      <c r="T24" s="82">
        <f>R24-(K24+L24+M24)</f>
        <v>43083118</v>
      </c>
      <c r="U24" s="9">
        <f>IF(T24&lt;=27500000,0,(IF(AND(T24&gt;27500000,T24&lt;=130000000),(T24-27500000)*0.1,(IF(AND(T24&gt;80000000,T24&lt;=90000000),(T24-80000000)*0.2,IF(AND(T24&gt;17500000,T24&lt;=35000000),(T24-17500000)*0.25+1316667,(IF(AND(T24&gt;91666667),(T24-35000000)*0.3+4441667))))))))</f>
        <v>1558311.8</v>
      </c>
      <c r="V24" s="82">
        <f>R24-(S24+U24)</f>
        <v>44082325.200000003</v>
      </c>
      <c r="W24" s="82"/>
      <c r="X24" s="82"/>
      <c r="Y24" s="21">
        <v>1200000</v>
      </c>
      <c r="Z24" s="17"/>
      <c r="AA24" s="82"/>
      <c r="AB24" s="82"/>
      <c r="AC24" s="25">
        <f t="shared" si="13"/>
        <v>42882325.200000003</v>
      </c>
      <c r="AD24" s="25" t="s">
        <v>51</v>
      </c>
      <c r="AE24" s="29"/>
      <c r="AF24" s="23"/>
    </row>
    <row r="25" spans="1:32" s="15" customFormat="1" ht="19.5" customHeight="1" x14ac:dyDescent="0.2">
      <c r="A25" s="3">
        <v>19</v>
      </c>
      <c r="B25" s="4" t="s">
        <v>52</v>
      </c>
      <c r="C25" s="5">
        <v>30</v>
      </c>
      <c r="D25" s="11">
        <f>H25/30+ROUND(0,1)</f>
        <v>551433.33333333337</v>
      </c>
      <c r="E25" s="6"/>
      <c r="F25" s="82"/>
      <c r="G25" s="58">
        <v>242000</v>
      </c>
      <c r="H25" s="16">
        <v>16543000</v>
      </c>
      <c r="I25" s="16">
        <f>H25</f>
        <v>16543000</v>
      </c>
      <c r="J25" s="82"/>
      <c r="K25" s="82">
        <v>1000000</v>
      </c>
      <c r="L25" s="82">
        <v>1900000</v>
      </c>
      <c r="M25" s="82">
        <v>1516882</v>
      </c>
      <c r="N25" s="82">
        <v>9040118</v>
      </c>
      <c r="O25" s="82">
        <v>12000000</v>
      </c>
      <c r="P25" s="82"/>
      <c r="Q25" s="81"/>
      <c r="R25" s="16">
        <f>SUM(I25:Q25)</f>
        <v>42000000</v>
      </c>
      <c r="S25" s="20">
        <v>1669778</v>
      </c>
      <c r="T25" s="12">
        <f>R25-(K25+L25+M25)</f>
        <v>37583118</v>
      </c>
      <c r="U25" s="9">
        <f>IF(T25&lt;=27500000,0,(IF(AND(T25&gt;27500000,T25&lt;=130000000),(T25-27500000)*0.1,(IF(AND(T25&gt;80000000,T25&lt;=90000000),(T25-80000000)*0.2,IF(AND(T25&gt;17500000,T25&lt;=35000000),(T25-17500000)*0.25+1316667,(IF(AND(T25&gt;91666667),(T25-35000000)*0.3+4441667))))))))</f>
        <v>1008311.8</v>
      </c>
      <c r="V25" s="82">
        <f>R25-(S25+U25)</f>
        <v>39321910.200000003</v>
      </c>
      <c r="W25" s="82"/>
      <c r="X25" s="82"/>
      <c r="Y25" s="21">
        <v>1200000</v>
      </c>
      <c r="Z25" s="17"/>
      <c r="AA25" s="82"/>
      <c r="AB25" s="82"/>
      <c r="AC25" s="25">
        <f t="shared" si="13"/>
        <v>38121910.200000003</v>
      </c>
      <c r="AD25" s="34" t="s">
        <v>52</v>
      </c>
    </row>
    <row r="26" spans="1:32" s="15" customFormat="1" ht="19.5" customHeight="1" x14ac:dyDescent="0.2">
      <c r="A26" s="3">
        <v>20</v>
      </c>
      <c r="B26" s="4" t="s">
        <v>53</v>
      </c>
      <c r="C26" s="5">
        <v>30</v>
      </c>
      <c r="D26" s="11">
        <f>H26/30+ROUND(0,1)</f>
        <v>533333.33333333337</v>
      </c>
      <c r="E26" s="6"/>
      <c r="F26" s="82"/>
      <c r="G26" s="7">
        <f>H26*1.4/220+ROUND(0,1)</f>
        <v>101818.18181818182</v>
      </c>
      <c r="H26" s="16">
        <v>16000000</v>
      </c>
      <c r="I26" s="16">
        <f>H26</f>
        <v>16000000</v>
      </c>
      <c r="J26" s="82"/>
      <c r="K26" s="82">
        <v>1000000</v>
      </c>
      <c r="L26" s="82">
        <v>1900000</v>
      </c>
      <c r="M26" s="82"/>
      <c r="N26" s="82">
        <v>9100000</v>
      </c>
      <c r="O26" s="82">
        <v>9000000</v>
      </c>
      <c r="P26" s="82"/>
      <c r="Q26" s="81"/>
      <c r="R26" s="16">
        <f>SUM(I26:Q26)</f>
        <v>37000000</v>
      </c>
      <c r="S26" s="20">
        <v>1334613</v>
      </c>
      <c r="T26" s="12">
        <f>R26-(K26+L26+M26)</f>
        <v>34100000</v>
      </c>
      <c r="U26" s="9">
        <f>IF(T26&lt;=27500000,0,(IF(AND(T26&gt;27500000,T26&lt;=130000000),(T26-27500000)*0.1,(IF(AND(T26&gt;80000000,T26&lt;=90000000),(T26-80000000)*0.2,IF(AND(T26&gt;17500000,T26&lt;=35000000),(T26-17500000)*0.25+1316667,(IF(AND(T26&gt;91666667),(T26-35000000)*0.3+4441667))))))))</f>
        <v>660000</v>
      </c>
      <c r="V26" s="82">
        <f>R26-(S26+U26)</f>
        <v>35005387</v>
      </c>
      <c r="W26" s="82"/>
      <c r="X26" s="82"/>
      <c r="Y26" s="21">
        <v>600000</v>
      </c>
      <c r="Z26" s="17"/>
      <c r="AA26" s="82"/>
      <c r="AB26" s="82"/>
      <c r="AC26" s="25">
        <f t="shared" si="13"/>
        <v>34405387</v>
      </c>
      <c r="AD26" s="34" t="s">
        <v>53</v>
      </c>
    </row>
    <row r="27" spans="1:32" s="62" customFormat="1" ht="36.75" customHeight="1" x14ac:dyDescent="0.2">
      <c r="A27" s="87" t="s">
        <v>54</v>
      </c>
      <c r="B27" s="87"/>
      <c r="C27" s="32">
        <f>SUM(C1:C23)</f>
        <v>510</v>
      </c>
      <c r="D27" s="32">
        <f>SUM(D1:D23)</f>
        <v>11624432.833333334</v>
      </c>
      <c r="E27" s="32">
        <f>SUM(E1:E23)</f>
        <v>0</v>
      </c>
      <c r="F27" s="32">
        <f>SUM(F1:F23)</f>
        <v>0</v>
      </c>
      <c r="G27" s="32">
        <f>SUM(G1:G23)</f>
        <v>2915031.479090909</v>
      </c>
      <c r="H27" s="59">
        <f>SUM(H3:H23)</f>
        <v>348732985</v>
      </c>
      <c r="I27" s="59">
        <f t="shared" ref="I27:AC27" si="14">SUM(I3:I23)</f>
        <v>348732985</v>
      </c>
      <c r="J27" s="59">
        <f t="shared" si="14"/>
        <v>0</v>
      </c>
      <c r="K27" s="59">
        <f t="shared" si="14"/>
        <v>17000000</v>
      </c>
      <c r="L27" s="59">
        <f t="shared" si="14"/>
        <v>34400000</v>
      </c>
      <c r="M27" s="59">
        <f t="shared" si="14"/>
        <v>14289028</v>
      </c>
      <c r="N27" s="59">
        <f t="shared" si="14"/>
        <v>110201890</v>
      </c>
      <c r="O27" s="59">
        <f t="shared" si="14"/>
        <v>109755698</v>
      </c>
      <c r="P27" s="59">
        <f t="shared" si="14"/>
        <v>0</v>
      </c>
      <c r="Q27" s="59">
        <f t="shared" si="14"/>
        <v>0</v>
      </c>
      <c r="R27" s="59">
        <f t="shared" si="14"/>
        <v>634379601</v>
      </c>
      <c r="S27" s="59">
        <f t="shared" si="14"/>
        <v>16127993</v>
      </c>
      <c r="T27" s="59">
        <f t="shared" si="14"/>
        <v>568690573</v>
      </c>
      <c r="U27" s="59">
        <f t="shared" si="14"/>
        <v>14616862.400000002</v>
      </c>
      <c r="V27" s="59">
        <f t="shared" si="14"/>
        <v>603634745.60000002</v>
      </c>
      <c r="W27" s="59">
        <f t="shared" si="14"/>
        <v>33735120</v>
      </c>
      <c r="X27" s="59">
        <f t="shared" si="14"/>
        <v>0</v>
      </c>
      <c r="Y27" s="59">
        <f t="shared" si="14"/>
        <v>9600000</v>
      </c>
      <c r="Z27" s="59">
        <f t="shared" si="14"/>
        <v>0</v>
      </c>
      <c r="AA27" s="59">
        <f t="shared" si="14"/>
        <v>0</v>
      </c>
      <c r="AB27" s="59">
        <f t="shared" si="14"/>
        <v>0</v>
      </c>
      <c r="AC27" s="59">
        <f t="shared" si="14"/>
        <v>1032186732.2000002</v>
      </c>
      <c r="AD27" s="61"/>
    </row>
    <row r="28" spans="1:32" x14ac:dyDescent="0.2">
      <c r="AE28" s="73"/>
    </row>
    <row r="29" spans="1:32" x14ac:dyDescent="0.2">
      <c r="AC29" s="66"/>
      <c r="AE29" s="75"/>
    </row>
    <row r="30" spans="1:32" x14ac:dyDescent="0.2">
      <c r="B30" s="76"/>
      <c r="AC30" s="66"/>
      <c r="AD30" s="77">
        <f>AE28-AC27</f>
        <v>-1032186732.2000002</v>
      </c>
      <c r="AE30" s="75"/>
    </row>
    <row r="31" spans="1:32" x14ac:dyDescent="0.2">
      <c r="O31" s="66"/>
      <c r="AC31" s="66"/>
    </row>
    <row r="32" spans="1:32" x14ac:dyDescent="0.2">
      <c r="AC32" s="66"/>
      <c r="AD32" s="77"/>
    </row>
    <row r="33" spans="6:36" x14ac:dyDescent="0.2">
      <c r="F33" s="78"/>
      <c r="AB33" s="79"/>
      <c r="AC33" s="66"/>
      <c r="AD33" s="77"/>
    </row>
    <row r="35" spans="6:36" x14ac:dyDescent="0.2">
      <c r="AC35" s="66"/>
      <c r="AD35" s="77"/>
    </row>
    <row r="36" spans="6:36" x14ac:dyDescent="0.2">
      <c r="AC36" s="66"/>
      <c r="AD36" s="77"/>
    </row>
    <row r="37" spans="6:36" x14ac:dyDescent="0.2">
      <c r="AC37" s="66"/>
    </row>
    <row r="39" spans="6:36" x14ac:dyDescent="0.2">
      <c r="AD39" s="77"/>
    </row>
    <row r="43" spans="6:36" x14ac:dyDescent="0.2">
      <c r="AC43" s="66"/>
      <c r="AJ43" s="74" t="s">
        <v>55</v>
      </c>
    </row>
  </sheetData>
  <mergeCells count="35">
    <mergeCell ref="AB1:AB2"/>
    <mergeCell ref="X1:X2"/>
    <mergeCell ref="W1:W2"/>
    <mergeCell ref="Y1:Y2"/>
    <mergeCell ref="AA1:AA2"/>
    <mergeCell ref="Z1:Z2"/>
    <mergeCell ref="AC1:AC2"/>
    <mergeCell ref="AD1:AD2"/>
    <mergeCell ref="L1:L2"/>
    <mergeCell ref="M1:M2"/>
    <mergeCell ref="N1:N2"/>
    <mergeCell ref="O1:O2"/>
    <mergeCell ref="P1:P2"/>
    <mergeCell ref="Q1:Q2"/>
    <mergeCell ref="R1:R2"/>
    <mergeCell ref="V1:V2"/>
    <mergeCell ref="T1:T2"/>
    <mergeCell ref="U1:U2"/>
    <mergeCell ref="S1:S2"/>
    <mergeCell ref="K1:K2"/>
    <mergeCell ref="A27:B27"/>
    <mergeCell ref="B18:AB18"/>
    <mergeCell ref="B21:AB21"/>
    <mergeCell ref="B11:AB11"/>
    <mergeCell ref="B14:AB14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rintOptions horizontalCentered="1"/>
  <pageMargins left="0" right="0" top="0.78740157480314965" bottom="0" header="0" footer="0"/>
  <pageSetup paperSize="9" scale="56" orientation="landscape" r:id="rId1"/>
  <headerFooter alignWithMargins="0"/>
  <rowBreaks count="1" manualBreakCount="1">
    <brk id="11" max="2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0011 (2)</vt:lpstr>
      <vt:lpstr>'0011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hadidi</dc:creator>
  <cp:lastModifiedBy>Mehrdad moridnejad</cp:lastModifiedBy>
  <dcterms:created xsi:type="dcterms:W3CDTF">2020-09-28T12:43:50Z</dcterms:created>
  <dcterms:modified xsi:type="dcterms:W3CDTF">2020-09-29T08:56:37Z</dcterms:modified>
</cp:coreProperties>
</file>