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hextiles\working\"/>
    </mc:Choice>
  </mc:AlternateContent>
  <xr:revisionPtr revIDLastSave="0" documentId="13_ncr:1_{9D65BC91-591D-4C18-B72F-F2F7EC202628}" xr6:coauthVersionLast="47" xr6:coauthVersionMax="47" xr10:uidLastSave="{00000000-0000-0000-0000-000000000000}"/>
  <bookViews>
    <workbookView xWindow="21480" yWindow="-14625" windowWidth="21600" windowHeight="11595" xr2:uid="{FF1B99F7-F5AF-49B6-8EDD-976A31B15329}"/>
  </bookViews>
  <sheets>
    <sheet name="Connections" sheetId="3" r:id="rId1"/>
    <sheet name="Bricks" sheetId="4" r:id="rId2"/>
    <sheet name="Main Geomorph" sheetId="1" r:id="rId3"/>
    <sheet name="Geo 15mm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3" l="1"/>
  <c r="F72" i="3"/>
  <c r="D72" i="3"/>
  <c r="D57" i="3"/>
  <c r="F16" i="3"/>
  <c r="F17" i="3" s="1"/>
  <c r="D69" i="3"/>
  <c r="D70" i="3"/>
  <c r="F50" i="3"/>
  <c r="F55" i="3" s="1"/>
  <c r="F52" i="3" s="1"/>
  <c r="F49" i="3"/>
  <c r="F54" i="3" s="1"/>
  <c r="F53" i="3" s="1"/>
  <c r="D15" i="3"/>
  <c r="D27" i="3"/>
  <c r="D26" i="3"/>
  <c r="D25" i="3"/>
  <c r="D24" i="3"/>
  <c r="D23" i="3"/>
  <c r="D22" i="3"/>
  <c r="D31" i="3" s="1"/>
  <c r="D36" i="3" s="1"/>
  <c r="AA27" i="3"/>
  <c r="N27" i="3" s="1"/>
  <c r="Z27" i="3"/>
  <c r="AA26" i="3"/>
  <c r="N26" i="3" s="1"/>
  <c r="Z26" i="3"/>
  <c r="AA25" i="3"/>
  <c r="N25" i="3" s="1"/>
  <c r="Z25" i="3"/>
  <c r="AA24" i="3"/>
  <c r="N24" i="3" s="1"/>
  <c r="Z24" i="3"/>
  <c r="AA23" i="3"/>
  <c r="N23" i="3" s="1"/>
  <c r="Z23" i="3"/>
  <c r="AA22" i="3"/>
  <c r="N22" i="3" s="1"/>
  <c r="Z22" i="3"/>
  <c r="Y27" i="3"/>
  <c r="L27" i="3" s="1"/>
  <c r="X27" i="3"/>
  <c r="Y26" i="3"/>
  <c r="L26" i="3" s="1"/>
  <c r="X26" i="3"/>
  <c r="Y25" i="3"/>
  <c r="L25" i="3" s="1"/>
  <c r="X25" i="3"/>
  <c r="Y24" i="3"/>
  <c r="L24" i="3" s="1"/>
  <c r="X24" i="3"/>
  <c r="Y23" i="3"/>
  <c r="L23" i="3" s="1"/>
  <c r="X23" i="3"/>
  <c r="Y22" i="3"/>
  <c r="L22" i="3" s="1"/>
  <c r="X22" i="3"/>
  <c r="W27" i="3"/>
  <c r="J27" i="3" s="1"/>
  <c r="V27" i="3"/>
  <c r="W26" i="3"/>
  <c r="J26" i="3" s="1"/>
  <c r="V26" i="3"/>
  <c r="W25" i="3"/>
  <c r="J25" i="3" s="1"/>
  <c r="V25" i="3"/>
  <c r="W24" i="3"/>
  <c r="J24" i="3" s="1"/>
  <c r="V24" i="3"/>
  <c r="W23" i="3"/>
  <c r="J23" i="3" s="1"/>
  <c r="V23" i="3"/>
  <c r="W22" i="3"/>
  <c r="J22" i="3" s="1"/>
  <c r="V22" i="3"/>
  <c r="U27" i="3"/>
  <c r="H27" i="3" s="1"/>
  <c r="D61" i="3" s="1"/>
  <c r="D55" i="3" s="1"/>
  <c r="T27" i="3"/>
  <c r="U26" i="3"/>
  <c r="H26" i="3" s="1"/>
  <c r="D66" i="3" s="1"/>
  <c r="D53" i="3" s="1"/>
  <c r="T26" i="3"/>
  <c r="U25" i="3"/>
  <c r="H25" i="3" s="1"/>
  <c r="T25" i="3"/>
  <c r="U24" i="3"/>
  <c r="H24" i="3" s="1"/>
  <c r="T24" i="3"/>
  <c r="U23" i="3"/>
  <c r="H23" i="3" s="1"/>
  <c r="T23" i="3"/>
  <c r="U22" i="3"/>
  <c r="H22" i="3" s="1"/>
  <c r="T22" i="3"/>
  <c r="S27" i="3"/>
  <c r="F27" i="3" s="1"/>
  <c r="R27" i="3"/>
  <c r="S26" i="3"/>
  <c r="F26" i="3" s="1"/>
  <c r="R26" i="3"/>
  <c r="S25" i="3"/>
  <c r="F25" i="3" s="1"/>
  <c r="R25" i="3"/>
  <c r="S24" i="3"/>
  <c r="F24" i="3" s="1"/>
  <c r="R24" i="3"/>
  <c r="S23" i="3"/>
  <c r="F23" i="3" s="1"/>
  <c r="R23" i="3"/>
  <c r="S22" i="3"/>
  <c r="F22" i="3" s="1"/>
  <c r="R22" i="3"/>
  <c r="C8" i="3"/>
  <c r="C10" i="3" s="1"/>
  <c r="C11" i="3" s="1"/>
  <c r="D6" i="3"/>
  <c r="D5" i="3" s="1"/>
  <c r="Z59" i="1"/>
  <c r="M59" i="1"/>
  <c r="L59" i="1"/>
  <c r="U59" i="1"/>
  <c r="S59" i="1"/>
  <c r="O59" i="1"/>
  <c r="V59" i="1" s="1"/>
  <c r="N59" i="1"/>
  <c r="AA59" i="1"/>
  <c r="L60" i="1"/>
  <c r="L79" i="1"/>
  <c r="M79" i="1"/>
  <c r="M78" i="1"/>
  <c r="O57" i="1"/>
  <c r="O55" i="1"/>
  <c r="O65" i="1"/>
  <c r="M43" i="1"/>
  <c r="M49" i="1"/>
  <c r="N43" i="1"/>
  <c r="O68" i="1"/>
  <c r="N68" i="1"/>
  <c r="M68" i="1"/>
  <c r="L68" i="1"/>
  <c r="G5" i="1"/>
  <c r="L35" i="1"/>
  <c r="V57" i="1" s="1"/>
  <c r="O61" i="1"/>
  <c r="O69" i="1" s="1"/>
  <c r="N49" i="1"/>
  <c r="L34" i="1"/>
  <c r="O16" i="1"/>
  <c r="L18" i="1"/>
  <c r="D16" i="1"/>
  <c r="F18" i="1" s="1"/>
  <c r="C16" i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C5" i="1"/>
  <c r="E15" i="1" s="1"/>
  <c r="L9" i="1"/>
  <c r="C9" i="1"/>
  <c r="F10" i="1" s="1"/>
  <c r="C12" i="1"/>
  <c r="M3" i="1"/>
  <c r="L5" i="1" s="1"/>
  <c r="R15" i="1" s="1"/>
  <c r="D5" i="1"/>
  <c r="D4" i="1" s="1"/>
  <c r="M4" i="1" s="1"/>
  <c r="E69" i="3" l="1"/>
  <c r="D16" i="3"/>
  <c r="E68" i="3"/>
  <c r="E70" i="3" s="1"/>
  <c r="D68" i="3"/>
  <c r="D73" i="3" s="1"/>
  <c r="F68" i="3"/>
  <c r="D64" i="3"/>
  <c r="D60" i="3"/>
  <c r="D63" i="3" s="1"/>
  <c r="D40" i="3"/>
  <c r="D41" i="3"/>
  <c r="D42" i="3"/>
  <c r="D43" i="3"/>
  <c r="F39" i="3"/>
  <c r="E39" i="3"/>
  <c r="F60" i="3"/>
  <c r="E40" i="3"/>
  <c r="E43" i="3" s="1"/>
  <c r="D17" i="3"/>
  <c r="D44" i="3"/>
  <c r="E60" i="3"/>
  <c r="D39" i="3"/>
  <c r="E61" i="3"/>
  <c r="C15" i="3"/>
  <c r="D32" i="3"/>
  <c r="D49" i="3" s="1"/>
  <c r="D52" i="3" s="1"/>
  <c r="D35" i="3"/>
  <c r="D50" i="3" s="1"/>
  <c r="D54" i="3" s="1"/>
  <c r="D34" i="3"/>
  <c r="D33" i="3"/>
  <c r="E26" i="3"/>
  <c r="M24" i="3"/>
  <c r="M25" i="3"/>
  <c r="I22" i="3"/>
  <c r="E25" i="3"/>
  <c r="I25" i="3"/>
  <c r="E27" i="3"/>
  <c r="E23" i="3"/>
  <c r="E24" i="3"/>
  <c r="I26" i="3"/>
  <c r="G22" i="3"/>
  <c r="I27" i="3"/>
  <c r="M26" i="3"/>
  <c r="I23" i="3"/>
  <c r="G23" i="3"/>
  <c r="K22" i="3"/>
  <c r="M27" i="3"/>
  <c r="I24" i="3"/>
  <c r="G24" i="3"/>
  <c r="K23" i="3"/>
  <c r="G25" i="3"/>
  <c r="K24" i="3"/>
  <c r="E22" i="3"/>
  <c r="K26" i="3"/>
  <c r="M22" i="3"/>
  <c r="M23" i="3"/>
  <c r="G26" i="3"/>
  <c r="K25" i="3"/>
  <c r="K27" i="3"/>
  <c r="C60" i="3" s="1"/>
  <c r="C66" i="3" s="1"/>
  <c r="G27" i="3"/>
  <c r="C61" i="3" s="1"/>
  <c r="C65" i="3" s="1"/>
  <c r="C24" i="3"/>
  <c r="C25" i="3"/>
  <c r="C22" i="3"/>
  <c r="C39" i="3" s="1"/>
  <c r="C40" i="3" s="1"/>
  <c r="C23" i="3"/>
  <c r="C9" i="3"/>
  <c r="E31" i="3" s="1"/>
  <c r="C26" i="3"/>
  <c r="C27" i="3"/>
  <c r="F31" i="3"/>
  <c r="T59" i="1"/>
  <c r="L78" i="1"/>
  <c r="M65" i="1"/>
  <c r="S43" i="1"/>
  <c r="Z57" i="1" s="1"/>
  <c r="N57" i="1"/>
  <c r="N65" i="1" s="1"/>
  <c r="L43" i="1"/>
  <c r="L44" i="1" s="1"/>
  <c r="L45" i="1" s="1"/>
  <c r="L46" i="1" s="1"/>
  <c r="L47" i="1" s="1"/>
  <c r="L49" i="1"/>
  <c r="O49" i="1"/>
  <c r="O43" i="1"/>
  <c r="O44" i="1"/>
  <c r="O45" i="1" s="1"/>
  <c r="O46" i="1" s="1"/>
  <c r="S49" i="1"/>
  <c r="S57" i="1"/>
  <c r="U57" i="1"/>
  <c r="M57" i="1"/>
  <c r="L57" i="1"/>
  <c r="L65" i="1" s="1"/>
  <c r="AA57" i="1"/>
  <c r="AC69" i="1"/>
  <c r="O70" i="1"/>
  <c r="AC70" i="1" s="1"/>
  <c r="N69" i="1"/>
  <c r="N61" i="1"/>
  <c r="G16" i="1"/>
  <c r="G17" i="1" s="1"/>
  <c r="AC61" i="1"/>
  <c r="Z61" i="1"/>
  <c r="Z39" i="1"/>
  <c r="L73" i="1"/>
  <c r="N55" i="1"/>
  <c r="N66" i="1" s="1"/>
  <c r="AB66" i="1" s="1"/>
  <c r="O64" i="1"/>
  <c r="AC64" i="1" s="1"/>
  <c r="O66" i="1"/>
  <c r="AC66" i="1" s="1"/>
  <c r="L76" i="1"/>
  <c r="V55" i="1"/>
  <c r="V61" i="1" s="1"/>
  <c r="L39" i="1"/>
  <c r="L40" i="1" s="1"/>
  <c r="L41" i="1" s="1"/>
  <c r="O39" i="1"/>
  <c r="O40" i="1" s="1"/>
  <c r="O41" i="1" s="1"/>
  <c r="M55" i="1"/>
  <c r="S55" i="1"/>
  <c r="L74" i="1" s="1"/>
  <c r="Z55" i="1"/>
  <c r="M61" i="1"/>
  <c r="M64" i="1"/>
  <c r="U55" i="1"/>
  <c r="U61" i="1" s="1"/>
  <c r="N74" i="1" s="1"/>
  <c r="M66" i="1"/>
  <c r="L55" i="1"/>
  <c r="L69" i="1" s="1"/>
  <c r="L70" i="1" s="1"/>
  <c r="F16" i="1"/>
  <c r="F17" i="1"/>
  <c r="L50" i="1"/>
  <c r="L51" i="1" s="1"/>
  <c r="L52" i="1" s="1"/>
  <c r="L53" i="1" s="1"/>
  <c r="O50" i="1"/>
  <c r="O51" i="1" s="1"/>
  <c r="O52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P15" i="1"/>
  <c r="O17" i="1"/>
  <c r="O18" i="1" s="1"/>
  <c r="O19" i="1" s="1"/>
  <c r="T15" i="1"/>
  <c r="C6" i="1"/>
  <c r="L12" i="1"/>
  <c r="R13" i="1"/>
  <c r="C10" i="1"/>
  <c r="D17" i="1"/>
  <c r="H17" i="1" s="1"/>
  <c r="H16" i="1"/>
  <c r="M5" i="1"/>
  <c r="F69" i="3" l="1"/>
  <c r="F70" i="3" s="1"/>
  <c r="F73" i="3"/>
  <c r="F61" i="3"/>
  <c r="F64" i="3" s="1"/>
  <c r="F65" i="3" s="1"/>
  <c r="F66" i="3" s="1"/>
  <c r="F63" i="3"/>
  <c r="C42" i="3"/>
  <c r="C41" i="3"/>
  <c r="C36" i="3"/>
  <c r="C44" i="3"/>
  <c r="C35" i="3"/>
  <c r="C50" i="3" s="1"/>
  <c r="C43" i="3"/>
  <c r="F34" i="3"/>
  <c r="F44" i="3"/>
  <c r="F43" i="3"/>
  <c r="F40" i="3"/>
  <c r="F42" i="3"/>
  <c r="F41" i="3"/>
  <c r="E34" i="3"/>
  <c r="E44" i="3"/>
  <c r="E41" i="3"/>
  <c r="E42" i="3"/>
  <c r="C34" i="3"/>
  <c r="C33" i="3"/>
  <c r="C31" i="3"/>
  <c r="F35" i="3"/>
  <c r="F36" i="3"/>
  <c r="F33" i="3"/>
  <c r="F32" i="3"/>
  <c r="E33" i="3"/>
  <c r="E32" i="3"/>
  <c r="E49" i="3" s="1"/>
  <c r="E36" i="3"/>
  <c r="E35" i="3"/>
  <c r="E50" i="3" s="1"/>
  <c r="C32" i="3"/>
  <c r="C49" i="3" s="1"/>
  <c r="C52" i="3" s="1"/>
  <c r="C53" i="3" s="1"/>
  <c r="C57" i="3" s="1"/>
  <c r="L58" i="1"/>
  <c r="O47" i="1"/>
  <c r="M44" i="1"/>
  <c r="M45" i="1" s="1"/>
  <c r="M46" i="1" s="1"/>
  <c r="M47" i="1" s="1"/>
  <c r="T57" i="1"/>
  <c r="T61" i="1"/>
  <c r="M69" i="1"/>
  <c r="AA69" i="1" s="1"/>
  <c r="AA61" i="1"/>
  <c r="AA64" i="1"/>
  <c r="M70" i="1"/>
  <c r="AA70" i="1" s="1"/>
  <c r="Z64" i="1"/>
  <c r="N64" i="1"/>
  <c r="AB64" i="1" s="1"/>
  <c r="AB61" i="1"/>
  <c r="Z62" i="1" s="1"/>
  <c r="Z69" i="1"/>
  <c r="Z66" i="1"/>
  <c r="Z70" i="1"/>
  <c r="N70" i="1"/>
  <c r="AB70" i="1" s="1"/>
  <c r="AB69" i="1"/>
  <c r="T66" i="1"/>
  <c r="AA66" i="1"/>
  <c r="O53" i="1"/>
  <c r="M39" i="1"/>
  <c r="M40" i="1" s="1"/>
  <c r="M41" i="1" s="1"/>
  <c r="N16" i="1"/>
  <c r="N17" i="1" s="1"/>
  <c r="N18" i="1" s="1"/>
  <c r="N19" i="1" s="1"/>
  <c r="L66" i="1"/>
  <c r="L61" i="1"/>
  <c r="L56" i="1"/>
  <c r="T55" i="1"/>
  <c r="AA55" i="1"/>
  <c r="T16" i="1"/>
  <c r="M50" i="1"/>
  <c r="P17" i="1"/>
  <c r="P18" i="1" s="1"/>
  <c r="P19" i="1" s="1"/>
  <c r="E17" i="1"/>
  <c r="E16" i="1"/>
  <c r="E18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C17" i="1"/>
  <c r="E54" i="3" l="1"/>
  <c r="E55" i="3" s="1"/>
  <c r="E52" i="3"/>
  <c r="E53" i="3" s="1"/>
  <c r="E57" i="3" s="1"/>
  <c r="C63" i="3"/>
  <c r="C54" i="3"/>
  <c r="C55" i="3" s="1"/>
  <c r="M74" i="1"/>
  <c r="M73" i="1"/>
  <c r="M51" i="1"/>
  <c r="M52" i="1" s="1"/>
  <c r="M53" i="1" s="1"/>
  <c r="L62" i="1"/>
  <c r="L64" i="1"/>
  <c r="N16" i="2"/>
  <c r="N17" i="2" s="1"/>
  <c r="N18" i="2" s="1"/>
  <c r="N19" i="2" s="1"/>
  <c r="C64" i="3" l="1"/>
  <c r="E64" i="3" s="1"/>
  <c r="E65" i="3" s="1"/>
  <c r="C68" i="3"/>
  <c r="E63" i="3"/>
  <c r="E66" i="3" s="1"/>
  <c r="E73" i="3" l="1"/>
  <c r="C69" i="3"/>
  <c r="C70" i="3"/>
</calcChain>
</file>

<file path=xl/sharedStrings.xml><?xml version="1.0" encoding="utf-8"?>
<sst xmlns="http://schemas.openxmlformats.org/spreadsheetml/2006/main" count="295" uniqueCount="154">
  <si>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</si>
  <si>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</si>
  <si>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</si>
  <si>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</si>
  <si>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</si>
  <si>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</si>
  <si>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</si>
  <si>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</si>
  <si>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</si>
  <si>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</si>
  <si>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</si>
  <si>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</si>
  <si>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</si>
  <si>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</si>
  <si>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</si>
  <si>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</si>
  <si>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</si>
  <si>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</si>
  <si>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</si>
  <si>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</si>
  <si>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</si>
  <si>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</si>
  <si>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</si>
  <si>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</si>
  <si>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</si>
  <si>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</si>
  <si>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</si>
  <si>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</si>
  <si>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</si>
  <si>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h</t>
  </si>
  <si>
    <t>w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</si>
  <si>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</si>
  <si>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</si>
  <si>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</si>
  <si>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</si>
  <si>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</si>
  <si>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</si>
  <si>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</si>
  <si>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</si>
  <si>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</si>
  <si>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</si>
  <si>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</si>
  <si>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</si>
  <si>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</si>
  <si>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</si>
  <si>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</si>
  <si>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</si>
  <si>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</si>
  <si>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</si>
  <si>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hor mid 2</t>
  </si>
  <si>
    <t xml:space="preserve"> - line</t>
  </si>
  <si>
    <t>door - hor 1</t>
  </si>
  <si>
    <t>vert left B1</t>
  </si>
  <si>
    <t>vert left B2</t>
  </si>
  <si>
    <t>vert left B3</t>
  </si>
  <si>
    <t>vert left B5</t>
  </si>
  <si>
    <t>vert left B4</t>
  </si>
  <si>
    <t>stair - right side</t>
  </si>
  <si>
    <t>hor left B1.5 - bottom</t>
  </si>
  <si>
    <t>hor right B1.5</t>
  </si>
  <si>
    <t>hor mid 1.5</t>
  </si>
  <si>
    <t>hor left B1.5</t>
  </si>
  <si>
    <t>vert right A2</t>
  </si>
  <si>
    <t>vert left C1</t>
  </si>
  <si>
    <t>vert left C2</t>
  </si>
  <si>
    <t>vert left C3</t>
  </si>
  <si>
    <t>vert left C4</t>
  </si>
  <si>
    <t>vert left C5</t>
  </si>
  <si>
    <t>vert right B1</t>
  </si>
  <si>
    <t>vert right C1</t>
  </si>
  <si>
    <t>hor right A3.5</t>
  </si>
  <si>
    <t>hor left A3.5 - top</t>
  </si>
  <si>
    <t>angle 1</t>
  </si>
  <si>
    <t>hor left B1.6 - bottom</t>
  </si>
  <si>
    <t>AR</t>
  </si>
  <si>
    <t>BR</t>
  </si>
  <si>
    <t>margin</t>
  </si>
  <si>
    <t>Coefficients</t>
  </si>
  <si>
    <t>Factor</t>
  </si>
  <si>
    <t>Z</t>
  </si>
  <si>
    <t>Connection points</t>
  </si>
  <si>
    <t>Connections</t>
  </si>
  <si>
    <t>cx 1 A</t>
  </si>
  <si>
    <t>cx 1 AR</t>
  </si>
  <si>
    <t>cx 1 B</t>
  </si>
  <si>
    <t>cx 1 C</t>
  </si>
  <si>
    <t>cx 1 CR</t>
  </si>
  <si>
    <t>cx 1 BR</t>
  </si>
  <si>
    <t>centre</t>
  </si>
  <si>
    <t>transform mm</t>
  </si>
  <si>
    <t>Extensions</t>
  </si>
  <si>
    <t>ext 1 B</t>
  </si>
  <si>
    <t>ext 1 A</t>
  </si>
  <si>
    <t>ext 1 C</t>
  </si>
  <si>
    <t>ext 1 CR</t>
  </si>
  <si>
    <t>ext 1 AR</t>
  </si>
  <si>
    <t>ext 1 BR</t>
  </si>
  <si>
    <t>Walls - Vertical</t>
  </si>
  <si>
    <t>1A-4AR</t>
  </si>
  <si>
    <t>1AR-4A</t>
  </si>
  <si>
    <t>wall hor A-i</t>
  </si>
  <si>
    <t>wall hor A-ii</t>
  </si>
  <si>
    <t>6AR-2A</t>
  </si>
  <si>
    <t>6A-2AR</t>
  </si>
  <si>
    <t>wall ver A-iii</t>
  </si>
  <si>
    <t>wall ver A-iv</t>
  </si>
  <si>
    <t>With connection points, e.g. A, there are 6 vertical pairs and 4 horizontal pairs</t>
  </si>
  <si>
    <t>Walls - Horizontals</t>
  </si>
  <si>
    <t>wall ver A-iv part1</t>
  </si>
  <si>
    <t>wall ver A-iv part3-5</t>
  </si>
  <si>
    <t>wall hor A-iv part1</t>
  </si>
  <si>
    <t>wall ver A-iii part1-3</t>
  </si>
  <si>
    <t>wall ver A-iii part5</t>
  </si>
  <si>
    <t>wall hor A-i part4</t>
  </si>
  <si>
    <t>wall hor A-ii part4</t>
  </si>
  <si>
    <t>wall hor A-iii part1-2</t>
  </si>
  <si>
    <t>wall hor C-i part4</t>
  </si>
  <si>
    <t>wall hor C-iv part4</t>
  </si>
  <si>
    <t>wall hor C-iv part3</t>
  </si>
  <si>
    <t>circle pass</t>
  </si>
  <si>
    <t>wall hor C-i part4 round</t>
  </si>
  <si>
    <t>height</t>
  </si>
  <si>
    <t>corner radius</t>
  </si>
  <si>
    <t>approx 1mm</t>
  </si>
  <si>
    <t>tiled clones</t>
  </si>
  <si>
    <t>rows</t>
  </si>
  <si>
    <t>cols</t>
  </si>
  <si>
    <t>shift</t>
  </si>
  <si>
    <t>row</t>
  </si>
  <si>
    <t>col</t>
  </si>
  <si>
    <t>size</t>
  </si>
  <si>
    <t>storke</t>
  </si>
  <si>
    <t>black</t>
  </si>
  <si>
    <t>solid</t>
  </si>
  <si>
    <t>fill</t>
  </si>
  <si>
    <t>? (undefined) - so it can be replaced</t>
  </si>
  <si>
    <t>colour</t>
  </si>
  <si>
    <t>S</t>
  </si>
  <si>
    <t>L</t>
  </si>
  <si>
    <t>H</t>
  </si>
  <si>
    <t>rand</t>
  </si>
  <si>
    <t>H50 S10 L50</t>
  </si>
  <si>
    <t>initial</t>
  </si>
  <si>
    <t>Edit &gt; Clone &gt; Unlink Clone</t>
  </si>
  <si>
    <t>Move the original out of the way</t>
  </si>
  <si>
    <t>Select all</t>
  </si>
  <si>
    <t>Extensions &gt; Modify Path &gt; Fractalise</t>
  </si>
  <si>
    <t>Subdivisions</t>
  </si>
  <si>
    <t>Smoothness</t>
  </si>
  <si>
    <t>Node Tool</t>
  </si>
  <si>
    <t>Select all nodes</t>
  </si>
  <si>
    <t>Make selected nodes smooth</t>
  </si>
  <si>
    <t>wall ver A-iii part5 round</t>
  </si>
  <si>
    <t>wall hor A-iv part4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</si>
</sst>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165" fontId="0" fillId="0" borderId="0" xfId="0" applyNumberFormat="1"/>
    <xf numFmtId="165" fontId="0" fillId="3" borderId="0" xfId="0" applyNumberFormat="1" applyFill="1"/>
    <xf numFmtId="2" fontId="0" fillId="0" borderId="0" xfId="0" applyNumberFormat="1"/>
    <xf numFmtId="165" fontId="3" fillId="0" borderId="0" xfId="0" applyNumberFormat="1" applyFont="1"/>
    <xf numFmtId="1" fontId="0" fillId="0" borderId="0" xfId="0" applyNumberFormat="1"/>
    <xf numFmtId="164" fontId="4" fillId="0" borderId="0" xfId="0" applyNumberFormat="1" applyFont="1"/>
    <xf numFmtId="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B72-3617-498E-9A9E-6C122A9690F8}">
  <dimension ref="A2:AD73"/>
  <sheetViews>
    <sheetView tabSelected="1" topLeftCell="A50" workbookViewId="0">
      <selection activeCell="C73" sqref="C73"/>
    </sheetView>
  </sheetViews>
  <sheetFormatPr defaultRowHeight="14.5" x14ac:dyDescent="0.35"/>
  <cols>
    <col min="1" max="1" width="17.453125" customWidth="1"/>
  </cols>
  <sheetData>
    <row r="2" spans="1:6" x14ac:dyDescent="0.35">
      <c r="A2" t="s">
        <v>4</v>
      </c>
    </row>
    <row r="4" spans="1:6" x14ac:dyDescent="0.35">
      <c r="A4" t="s">
        <v>0</v>
      </c>
      <c r="D4" s="10">
        <v>25</v>
      </c>
      <c r="E4" t="s">
        <v>1</v>
      </c>
    </row>
    <row r="5" spans="1:6" x14ac:dyDescent="0.35">
      <c r="A5" t="s">
        <v>2</v>
      </c>
      <c r="D5" s="7">
        <f>D6/2</f>
        <v>14.433756729740645</v>
      </c>
      <c r="E5" t="s">
        <v>1</v>
      </c>
    </row>
    <row r="6" spans="1:6" x14ac:dyDescent="0.35">
      <c r="A6" t="s">
        <v>3</v>
      </c>
      <c r="D6" s="7">
        <f>2*D4/SQRT(3)</f>
        <v>28.867513459481291</v>
      </c>
      <c r="E6" t="s">
        <v>1</v>
      </c>
    </row>
    <row r="7" spans="1:6" x14ac:dyDescent="0.35">
      <c r="C7" s="7"/>
    </row>
    <row r="8" spans="1:6" x14ac:dyDescent="0.35">
      <c r="A8" t="s">
        <v>5</v>
      </c>
      <c r="C8" s="7">
        <f>D4/4</f>
        <v>6.25</v>
      </c>
      <c r="D8" t="s">
        <v>1</v>
      </c>
    </row>
    <row r="9" spans="1:6" x14ac:dyDescent="0.35">
      <c r="A9" t="s">
        <v>31</v>
      </c>
      <c r="C9" s="7">
        <f>2/SQRT(3)*C8</f>
        <v>7.2168783648703227</v>
      </c>
    </row>
    <row r="10" spans="1:6" x14ac:dyDescent="0.35">
      <c r="A10" t="s">
        <v>9</v>
      </c>
      <c r="C10" s="7">
        <f>C8/2</f>
        <v>3.125</v>
      </c>
    </row>
    <row r="11" spans="1:6" x14ac:dyDescent="0.35">
      <c r="A11" t="s">
        <v>10</v>
      </c>
      <c r="C11" s="7">
        <f>2/SQRT(3)*C10</f>
        <v>3.6084391824351614</v>
      </c>
    </row>
    <row r="13" spans="1:6" x14ac:dyDescent="0.35">
      <c r="C13" t="s">
        <v>7</v>
      </c>
      <c r="D13" t="s">
        <v>8</v>
      </c>
    </row>
    <row r="14" spans="1:6" x14ac:dyDescent="0.35">
      <c r="A14" t="s">
        <v>76</v>
      </c>
      <c r="C14">
        <v>5</v>
      </c>
      <c r="D14">
        <v>5</v>
      </c>
    </row>
    <row r="15" spans="1:6" x14ac:dyDescent="0.35">
      <c r="A15" t="s">
        <v>88</v>
      </c>
      <c r="C15">
        <f>ROUND(C14+2*D6,3)</f>
        <v>62.734999999999999</v>
      </c>
      <c r="D15">
        <f>D14+2*D4</f>
        <v>55</v>
      </c>
    </row>
    <row r="16" spans="1:6" x14ac:dyDescent="0.35">
      <c r="A16" t="s">
        <v>89</v>
      </c>
      <c r="D16">
        <f>2*D4-0.5*C8</f>
        <v>46.875</v>
      </c>
      <c r="E16" t="s">
        <v>119</v>
      </c>
      <c r="F16">
        <f>2*D4-0.5*15</f>
        <v>42.5</v>
      </c>
    </row>
    <row r="17" spans="1:30" x14ac:dyDescent="0.35">
      <c r="D17">
        <f>D16/25.4*96</f>
        <v>177.16535433070868</v>
      </c>
      <c r="F17">
        <f>F16/25.4*96</f>
        <v>160.62992125984255</v>
      </c>
    </row>
    <row r="19" spans="1:30" x14ac:dyDescent="0.35">
      <c r="A19" s="4" t="s">
        <v>80</v>
      </c>
      <c r="N19" s="4" t="s">
        <v>77</v>
      </c>
      <c r="P19" s="5">
        <v>0.5</v>
      </c>
      <c r="Q19" s="5"/>
      <c r="R19" s="5">
        <v>1</v>
      </c>
      <c r="S19" s="5"/>
      <c r="T19" s="5">
        <v>2</v>
      </c>
      <c r="U19" s="5"/>
      <c r="V19" s="5">
        <v>3</v>
      </c>
      <c r="W19" s="5"/>
      <c r="X19" s="5">
        <v>3.5</v>
      </c>
    </row>
    <row r="20" spans="1:30" x14ac:dyDescent="0.35">
      <c r="C20" t="s">
        <v>79</v>
      </c>
      <c r="E20" t="s">
        <v>13</v>
      </c>
      <c r="G20" t="s">
        <v>12</v>
      </c>
      <c r="I20" t="s">
        <v>24</v>
      </c>
      <c r="K20" t="s">
        <v>74</v>
      </c>
      <c r="M20" t="s">
        <v>75</v>
      </c>
      <c r="P20" t="s">
        <v>79</v>
      </c>
      <c r="R20" t="s">
        <v>13</v>
      </c>
      <c r="T20" t="s">
        <v>12</v>
      </c>
      <c r="V20" t="s">
        <v>24</v>
      </c>
      <c r="X20" t="s">
        <v>74</v>
      </c>
      <c r="Z20" t="s">
        <v>75</v>
      </c>
      <c r="AC20" t="s">
        <v>78</v>
      </c>
    </row>
    <row r="21" spans="1:30" x14ac:dyDescent="0.35">
      <c r="C21" t="s">
        <v>7</v>
      </c>
      <c r="D21" s="3" t="s">
        <v>8</v>
      </c>
      <c r="E21" t="s">
        <v>7</v>
      </c>
      <c r="F21" s="3" t="s">
        <v>8</v>
      </c>
      <c r="G21" t="s">
        <v>7</v>
      </c>
      <c r="H21" s="3" t="s">
        <v>8</v>
      </c>
      <c r="I21" t="s">
        <v>7</v>
      </c>
      <c r="J21" s="3" t="s">
        <v>8</v>
      </c>
      <c r="K21" t="s">
        <v>7</v>
      </c>
      <c r="L21" s="3" t="s">
        <v>8</v>
      </c>
      <c r="M21" t="s">
        <v>7</v>
      </c>
      <c r="N21" s="3" t="s">
        <v>8</v>
      </c>
      <c r="P21" t="s">
        <v>7</v>
      </c>
      <c r="Q21" s="3" t="s">
        <v>8</v>
      </c>
      <c r="R21" t="s">
        <v>7</v>
      </c>
      <c r="S21" s="3" t="s">
        <v>8</v>
      </c>
      <c r="T21" t="s">
        <v>7</v>
      </c>
      <c r="U21" s="3" t="s">
        <v>8</v>
      </c>
      <c r="V21" t="s">
        <v>7</v>
      </c>
      <c r="W21" s="3" t="s">
        <v>8</v>
      </c>
      <c r="X21" t="s">
        <v>7</v>
      </c>
      <c r="Y21" s="3" t="s">
        <v>8</v>
      </c>
      <c r="Z21" t="s">
        <v>7</v>
      </c>
      <c r="AA21" s="3" t="s">
        <v>8</v>
      </c>
      <c r="AC21" t="s">
        <v>7</v>
      </c>
      <c r="AD21" s="3" t="s">
        <v>8</v>
      </c>
    </row>
    <row r="22" spans="1:30" x14ac:dyDescent="0.35">
      <c r="A22">
        <v>1</v>
      </c>
      <c r="C22" s="7">
        <f t="shared" ref="C22:C27" si="0">$C$14+P22*$D$6</f>
        <v>33.867513459481287</v>
      </c>
      <c r="D22" s="8">
        <f>$D$14+Q22*$D$4</f>
        <v>5</v>
      </c>
      <c r="E22" s="7">
        <f t="shared" ref="E22:E27" si="1">$C$14+R22*$D$6</f>
        <v>41.084391824351613</v>
      </c>
      <c r="F22" s="8">
        <f>$D$14+S22*$D$4</f>
        <v>5</v>
      </c>
      <c r="G22" s="7">
        <f t="shared" ref="G22:G27" si="2">$C$14+T22*$D$6</f>
        <v>48.301270189221938</v>
      </c>
      <c r="H22" s="8">
        <f>$D$14+U22*$D$4</f>
        <v>5</v>
      </c>
      <c r="I22" s="7">
        <f t="shared" ref="I22:I27" si="3">$C$14+V22*$D$6</f>
        <v>62.735026918962582</v>
      </c>
      <c r="J22" s="8">
        <f>$D$14+W22*$D$4</f>
        <v>5</v>
      </c>
      <c r="K22" s="7">
        <f t="shared" ref="K22:K27" si="4">$C$14+X22*$D$6</f>
        <v>77.168783648703226</v>
      </c>
      <c r="L22" s="8">
        <f>$D$14+Y22*$D$4</f>
        <v>5</v>
      </c>
      <c r="M22" s="7">
        <f t="shared" ref="M22:M27" si="5">$C$14+Z22*$D$6</f>
        <v>84.385662013573551</v>
      </c>
      <c r="N22" s="8">
        <f>$D$14+AA22*$D$4</f>
        <v>5</v>
      </c>
      <c r="P22" s="5">
        <v>1</v>
      </c>
      <c r="Q22" s="6">
        <v>0</v>
      </c>
      <c r="R22">
        <f t="shared" ref="R22:R27" si="6">$P22+P$19*$AC22</f>
        <v>1.25</v>
      </c>
      <c r="S22" s="3">
        <f t="shared" ref="S22:S27" si="7">$Q22+P$19*$AD22</f>
        <v>0</v>
      </c>
      <c r="T22">
        <f t="shared" ref="T22:T27" si="8">$P22+R$19*$AC22</f>
        <v>1.5</v>
      </c>
      <c r="U22" s="3">
        <f t="shared" ref="U22:U27" si="9">$Q22+R$19*$AD22</f>
        <v>0</v>
      </c>
      <c r="V22">
        <f t="shared" ref="V22:V27" si="10">$P22+T$19*$AC22</f>
        <v>2</v>
      </c>
      <c r="W22" s="3">
        <f t="shared" ref="W22:W27" si="11">$Q22+T$19*$AD22</f>
        <v>0</v>
      </c>
      <c r="X22">
        <f t="shared" ref="X22:X27" si="12">$P22+V$19*$AC22</f>
        <v>2.5</v>
      </c>
      <c r="Y22" s="3">
        <f t="shared" ref="Y22:Y27" si="13">$Q22+V$19*$AD22</f>
        <v>0</v>
      </c>
      <c r="Z22">
        <f t="shared" ref="Z22:Z27" si="14">$P22+X$19*$AC22</f>
        <v>2.75</v>
      </c>
      <c r="AA22" s="3">
        <f t="shared" ref="AA22:AA27" si="15">$Q22+X$19*$AD22</f>
        <v>0</v>
      </c>
      <c r="AC22" s="5">
        <v>0.5</v>
      </c>
      <c r="AD22" s="6">
        <v>0</v>
      </c>
    </row>
    <row r="23" spans="1:30" x14ac:dyDescent="0.35">
      <c r="A23">
        <v>2</v>
      </c>
      <c r="C23" s="7">
        <f t="shared" si="0"/>
        <v>91.602540378443877</v>
      </c>
      <c r="D23" s="8">
        <f t="shared" ref="D23:D27" si="16">$D$14+Q23*$D$4</f>
        <v>5</v>
      </c>
      <c r="E23" s="7">
        <f t="shared" si="1"/>
        <v>95.210979560879039</v>
      </c>
      <c r="F23" s="8">
        <f t="shared" ref="F23:F27" si="17">$D$14+S23*$D$4</f>
        <v>11.25</v>
      </c>
      <c r="G23" s="7">
        <f t="shared" si="2"/>
        <v>98.819418743314202</v>
      </c>
      <c r="H23" s="8">
        <f t="shared" ref="H23:H27" si="18">$D$14+U23*$D$4</f>
        <v>17.5</v>
      </c>
      <c r="I23" s="7">
        <f t="shared" si="3"/>
        <v>106.03629710818451</v>
      </c>
      <c r="J23" s="8">
        <f t="shared" ref="J23:J27" si="19">$D$14+W23*$D$4</f>
        <v>30</v>
      </c>
      <c r="K23" s="7">
        <f t="shared" si="4"/>
        <v>113.25317547305484</v>
      </c>
      <c r="L23" s="8">
        <f t="shared" ref="L23:L27" si="20">$D$14+Y23*$D$4</f>
        <v>42.5</v>
      </c>
      <c r="M23" s="7">
        <f t="shared" si="5"/>
        <v>116.86161465549</v>
      </c>
      <c r="N23" s="8">
        <f t="shared" ref="N23:N27" si="21">$D$14+AA23*$D$4</f>
        <v>48.75</v>
      </c>
      <c r="P23" s="5">
        <v>3</v>
      </c>
      <c r="Q23" s="6">
        <v>0</v>
      </c>
      <c r="R23">
        <f t="shared" si="6"/>
        <v>3.125</v>
      </c>
      <c r="S23" s="3">
        <f t="shared" si="7"/>
        <v>0.25</v>
      </c>
      <c r="T23">
        <f t="shared" si="8"/>
        <v>3.25</v>
      </c>
      <c r="U23" s="3">
        <f t="shared" si="9"/>
        <v>0.5</v>
      </c>
      <c r="V23">
        <f t="shared" si="10"/>
        <v>3.5</v>
      </c>
      <c r="W23" s="3">
        <f t="shared" si="11"/>
        <v>1</v>
      </c>
      <c r="X23">
        <f t="shared" si="12"/>
        <v>3.75</v>
      </c>
      <c r="Y23" s="3">
        <f t="shared" si="13"/>
        <v>1.5</v>
      </c>
      <c r="Z23">
        <f t="shared" si="14"/>
        <v>3.875</v>
      </c>
      <c r="AA23" s="3">
        <f t="shared" si="15"/>
        <v>1.75</v>
      </c>
      <c r="AC23" s="5">
        <v>0.25</v>
      </c>
      <c r="AD23" s="6">
        <v>0.5</v>
      </c>
    </row>
    <row r="24" spans="1:30" x14ac:dyDescent="0.35">
      <c r="A24">
        <v>3</v>
      </c>
      <c r="C24" s="7">
        <f t="shared" si="0"/>
        <v>120.47005383792516</v>
      </c>
      <c r="D24" s="8">
        <f t="shared" si="16"/>
        <v>55</v>
      </c>
      <c r="E24" s="7">
        <f t="shared" si="1"/>
        <v>116.86161465549</v>
      </c>
      <c r="F24" s="8">
        <f t="shared" si="17"/>
        <v>61.25</v>
      </c>
      <c r="G24" s="7">
        <f t="shared" si="2"/>
        <v>113.25317547305484</v>
      </c>
      <c r="H24" s="8">
        <f t="shared" si="18"/>
        <v>67.5</v>
      </c>
      <c r="I24" s="7">
        <f t="shared" si="3"/>
        <v>106.03629710818451</v>
      </c>
      <c r="J24" s="8">
        <f t="shared" si="19"/>
        <v>80</v>
      </c>
      <c r="K24" s="7">
        <f t="shared" si="4"/>
        <v>98.819418743314202</v>
      </c>
      <c r="L24" s="8">
        <f t="shared" si="20"/>
        <v>92.5</v>
      </c>
      <c r="M24" s="7">
        <f t="shared" si="5"/>
        <v>95.210979560879039</v>
      </c>
      <c r="N24" s="8">
        <f t="shared" si="21"/>
        <v>98.75</v>
      </c>
      <c r="P24" s="5">
        <v>4</v>
      </c>
      <c r="Q24" s="6">
        <v>2</v>
      </c>
      <c r="R24">
        <f t="shared" si="6"/>
        <v>3.875</v>
      </c>
      <c r="S24" s="3">
        <f t="shared" si="7"/>
        <v>2.25</v>
      </c>
      <c r="T24">
        <f t="shared" si="8"/>
        <v>3.75</v>
      </c>
      <c r="U24" s="3">
        <f t="shared" si="9"/>
        <v>2.5</v>
      </c>
      <c r="V24">
        <f t="shared" si="10"/>
        <v>3.5</v>
      </c>
      <c r="W24" s="3">
        <f t="shared" si="11"/>
        <v>3</v>
      </c>
      <c r="X24">
        <f t="shared" si="12"/>
        <v>3.25</v>
      </c>
      <c r="Y24" s="3">
        <f t="shared" si="13"/>
        <v>3.5</v>
      </c>
      <c r="Z24">
        <f t="shared" si="14"/>
        <v>3.125</v>
      </c>
      <c r="AA24" s="3">
        <f t="shared" si="15"/>
        <v>3.75</v>
      </c>
      <c r="AC24" s="5">
        <v>-0.25</v>
      </c>
      <c r="AD24" s="6">
        <v>0.5</v>
      </c>
    </row>
    <row r="25" spans="1:30" x14ac:dyDescent="0.35">
      <c r="A25">
        <v>4</v>
      </c>
      <c r="C25" s="7">
        <f t="shared" si="0"/>
        <v>91.602540378443877</v>
      </c>
      <c r="D25" s="8">
        <f t="shared" si="16"/>
        <v>105</v>
      </c>
      <c r="E25" s="7">
        <f t="shared" si="1"/>
        <v>84.385662013573551</v>
      </c>
      <c r="F25" s="8">
        <f t="shared" si="17"/>
        <v>105</v>
      </c>
      <c r="G25" s="7">
        <f t="shared" si="2"/>
        <v>77.168783648703226</v>
      </c>
      <c r="H25" s="8">
        <f t="shared" si="18"/>
        <v>105</v>
      </c>
      <c r="I25" s="7">
        <f t="shared" si="3"/>
        <v>62.735026918962582</v>
      </c>
      <c r="J25" s="8">
        <f t="shared" si="19"/>
        <v>105</v>
      </c>
      <c r="K25" s="7">
        <f t="shared" si="4"/>
        <v>48.301270189221938</v>
      </c>
      <c r="L25" s="8">
        <f t="shared" si="20"/>
        <v>105</v>
      </c>
      <c r="M25" s="7">
        <f t="shared" si="5"/>
        <v>41.084391824351613</v>
      </c>
      <c r="N25" s="8">
        <f t="shared" si="21"/>
        <v>105</v>
      </c>
      <c r="P25" s="5">
        <v>3</v>
      </c>
      <c r="Q25" s="6">
        <v>4</v>
      </c>
      <c r="R25">
        <f t="shared" si="6"/>
        <v>2.75</v>
      </c>
      <c r="S25" s="3">
        <f t="shared" si="7"/>
        <v>4</v>
      </c>
      <c r="T25">
        <f t="shared" si="8"/>
        <v>2.5</v>
      </c>
      <c r="U25" s="3">
        <f t="shared" si="9"/>
        <v>4</v>
      </c>
      <c r="V25">
        <f t="shared" si="10"/>
        <v>2</v>
      </c>
      <c r="W25" s="3">
        <f t="shared" si="11"/>
        <v>4</v>
      </c>
      <c r="X25">
        <f t="shared" si="12"/>
        <v>1.5</v>
      </c>
      <c r="Y25" s="3">
        <f t="shared" si="13"/>
        <v>4</v>
      </c>
      <c r="Z25">
        <f t="shared" si="14"/>
        <v>1.25</v>
      </c>
      <c r="AA25" s="3">
        <f t="shared" si="15"/>
        <v>4</v>
      </c>
      <c r="AC25" s="5">
        <v>-0.5</v>
      </c>
      <c r="AD25" s="6">
        <v>0</v>
      </c>
    </row>
    <row r="26" spans="1:30" x14ac:dyDescent="0.35">
      <c r="A26">
        <v>5</v>
      </c>
      <c r="C26" s="7">
        <f t="shared" si="0"/>
        <v>33.867513459481287</v>
      </c>
      <c r="D26" s="8">
        <f t="shared" si="16"/>
        <v>105</v>
      </c>
      <c r="E26" s="7">
        <f t="shared" si="1"/>
        <v>30.259074277046128</v>
      </c>
      <c r="F26" s="8">
        <f t="shared" si="17"/>
        <v>98.75</v>
      </c>
      <c r="G26" s="7">
        <f t="shared" si="2"/>
        <v>26.650635094610969</v>
      </c>
      <c r="H26" s="8">
        <f t="shared" si="18"/>
        <v>92.5</v>
      </c>
      <c r="I26" s="7">
        <f t="shared" si="3"/>
        <v>19.433756729740644</v>
      </c>
      <c r="J26" s="8">
        <f t="shared" si="19"/>
        <v>80</v>
      </c>
      <c r="K26" s="7">
        <f t="shared" si="4"/>
        <v>12.216878364870322</v>
      </c>
      <c r="L26" s="8">
        <f t="shared" si="20"/>
        <v>67.5</v>
      </c>
      <c r="M26" s="7">
        <f t="shared" si="5"/>
        <v>8.6084391824351609</v>
      </c>
      <c r="N26" s="8">
        <f t="shared" si="21"/>
        <v>61.25</v>
      </c>
      <c r="P26" s="5">
        <v>1</v>
      </c>
      <c r="Q26" s="6">
        <v>4</v>
      </c>
      <c r="R26">
        <f t="shared" si="6"/>
        <v>0.875</v>
      </c>
      <c r="S26" s="3">
        <f t="shared" si="7"/>
        <v>3.75</v>
      </c>
      <c r="T26">
        <f t="shared" si="8"/>
        <v>0.75</v>
      </c>
      <c r="U26" s="3">
        <f t="shared" si="9"/>
        <v>3.5</v>
      </c>
      <c r="V26">
        <f t="shared" si="10"/>
        <v>0.5</v>
      </c>
      <c r="W26" s="3">
        <f t="shared" si="11"/>
        <v>3</v>
      </c>
      <c r="X26">
        <f t="shared" si="12"/>
        <v>0.25</v>
      </c>
      <c r="Y26" s="3">
        <f t="shared" si="13"/>
        <v>2.5</v>
      </c>
      <c r="Z26">
        <f t="shared" si="14"/>
        <v>0.125</v>
      </c>
      <c r="AA26" s="3">
        <f t="shared" si="15"/>
        <v>2.25</v>
      </c>
      <c r="AC26" s="5">
        <v>-0.25</v>
      </c>
      <c r="AD26" s="6">
        <v>-0.5</v>
      </c>
    </row>
    <row r="27" spans="1:30" x14ac:dyDescent="0.35">
      <c r="A27">
        <v>6</v>
      </c>
      <c r="C27" s="7">
        <f t="shared" si="0"/>
        <v>5</v>
      </c>
      <c r="D27" s="8">
        <f t="shared" si="16"/>
        <v>55</v>
      </c>
      <c r="E27" s="7">
        <f t="shared" si="1"/>
        <v>8.6084391824351609</v>
      </c>
      <c r="F27" s="8">
        <f t="shared" si="17"/>
        <v>48.75</v>
      </c>
      <c r="G27" s="7">
        <f t="shared" si="2"/>
        <v>12.216878364870322</v>
      </c>
      <c r="H27" s="8">
        <f t="shared" si="18"/>
        <v>42.5</v>
      </c>
      <c r="I27" s="7">
        <f t="shared" si="3"/>
        <v>19.433756729740644</v>
      </c>
      <c r="J27" s="8">
        <f t="shared" si="19"/>
        <v>30</v>
      </c>
      <c r="K27" s="7">
        <f t="shared" si="4"/>
        <v>26.650635094610969</v>
      </c>
      <c r="L27" s="8">
        <f t="shared" si="20"/>
        <v>17.5</v>
      </c>
      <c r="M27" s="7">
        <f t="shared" si="5"/>
        <v>30.259074277046128</v>
      </c>
      <c r="N27" s="8">
        <f t="shared" si="21"/>
        <v>11.25</v>
      </c>
      <c r="P27" s="5">
        <v>0</v>
      </c>
      <c r="Q27" s="6">
        <v>2</v>
      </c>
      <c r="R27">
        <f t="shared" si="6"/>
        <v>0.125</v>
      </c>
      <c r="S27" s="3">
        <f t="shared" si="7"/>
        <v>1.75</v>
      </c>
      <c r="T27">
        <f t="shared" si="8"/>
        <v>0.25</v>
      </c>
      <c r="U27" s="3">
        <f t="shared" si="9"/>
        <v>1.5</v>
      </c>
      <c r="V27">
        <f t="shared" si="10"/>
        <v>0.5</v>
      </c>
      <c r="W27" s="3">
        <f t="shared" si="11"/>
        <v>1</v>
      </c>
      <c r="X27">
        <f t="shared" si="12"/>
        <v>0.75</v>
      </c>
      <c r="Y27" s="3">
        <f t="shared" si="13"/>
        <v>0.5</v>
      </c>
      <c r="Z27">
        <f t="shared" si="14"/>
        <v>0.875</v>
      </c>
      <c r="AA27" s="3">
        <f t="shared" si="15"/>
        <v>0.25</v>
      </c>
      <c r="AC27" s="5">
        <v>0.25</v>
      </c>
      <c r="AD27" s="6">
        <v>-0.5</v>
      </c>
    </row>
    <row r="29" spans="1:30" x14ac:dyDescent="0.35">
      <c r="A29" t="s">
        <v>81</v>
      </c>
    </row>
    <row r="30" spans="1:30" x14ac:dyDescent="0.35">
      <c r="C30" t="s">
        <v>7</v>
      </c>
      <c r="D30" t="s">
        <v>8</v>
      </c>
      <c r="E30" t="s">
        <v>30</v>
      </c>
      <c r="F30" t="s">
        <v>29</v>
      </c>
    </row>
    <row r="31" spans="1:30" x14ac:dyDescent="0.35">
      <c r="A31" t="s">
        <v>84</v>
      </c>
      <c r="C31" s="2">
        <f>ROUND(E$22-$C$9,3)</f>
        <v>33.868000000000002</v>
      </c>
      <c r="D31">
        <f>D22</f>
        <v>5</v>
      </c>
      <c r="E31" s="2">
        <f>ROUND(C9,3)</f>
        <v>7.2169999999999996</v>
      </c>
      <c r="F31">
        <f>C8</f>
        <v>6.25</v>
      </c>
    </row>
    <row r="32" spans="1:30" x14ac:dyDescent="0.35">
      <c r="A32" t="s">
        <v>82</v>
      </c>
      <c r="C32" s="2">
        <f>ROUND(G$22-$C$9,3)</f>
        <v>41.084000000000003</v>
      </c>
      <c r="D32">
        <f>D$31</f>
        <v>5</v>
      </c>
      <c r="E32">
        <f t="shared" ref="E32:F36" si="22">E$31</f>
        <v>7.2169999999999996</v>
      </c>
      <c r="F32">
        <f t="shared" si="22"/>
        <v>6.25</v>
      </c>
    </row>
    <row r="33" spans="1:6" x14ac:dyDescent="0.35">
      <c r="A33" t="s">
        <v>85</v>
      </c>
      <c r="C33" s="2">
        <f>ROUND(I$22-$C$9,3)</f>
        <v>55.518000000000001</v>
      </c>
      <c r="D33">
        <f t="shared" ref="D33:D36" si="23">D$31</f>
        <v>5</v>
      </c>
      <c r="E33">
        <f t="shared" si="22"/>
        <v>7.2169999999999996</v>
      </c>
      <c r="F33">
        <f t="shared" si="22"/>
        <v>6.25</v>
      </c>
    </row>
    <row r="34" spans="1:6" x14ac:dyDescent="0.35">
      <c r="A34" t="s">
        <v>86</v>
      </c>
      <c r="C34" s="2">
        <f>ROUND(I$22,3)</f>
        <v>62.734999999999999</v>
      </c>
      <c r="D34">
        <f t="shared" si="23"/>
        <v>5</v>
      </c>
      <c r="E34">
        <f t="shared" si="22"/>
        <v>7.2169999999999996</v>
      </c>
      <c r="F34">
        <f t="shared" si="22"/>
        <v>6.25</v>
      </c>
    </row>
    <row r="35" spans="1:6" x14ac:dyDescent="0.35">
      <c r="A35" t="s">
        <v>83</v>
      </c>
      <c r="C35" s="2">
        <f>ROUND(K$22,3)</f>
        <v>77.168999999999997</v>
      </c>
      <c r="D35">
        <f t="shared" si="23"/>
        <v>5</v>
      </c>
      <c r="E35">
        <f t="shared" si="22"/>
        <v>7.2169999999999996</v>
      </c>
      <c r="F35">
        <f t="shared" si="22"/>
        <v>6.25</v>
      </c>
    </row>
    <row r="36" spans="1:6" x14ac:dyDescent="0.35">
      <c r="A36" t="s">
        <v>87</v>
      </c>
      <c r="C36" s="2">
        <f>ROUND(M$22,3)</f>
        <v>84.385999999999996</v>
      </c>
      <c r="D36">
        <f t="shared" si="23"/>
        <v>5</v>
      </c>
      <c r="E36">
        <f t="shared" si="22"/>
        <v>7.2169999999999996</v>
      </c>
      <c r="F36">
        <f t="shared" si="22"/>
        <v>6.25</v>
      </c>
    </row>
    <row r="38" spans="1:6" x14ac:dyDescent="0.35">
      <c r="A38" t="s">
        <v>90</v>
      </c>
    </row>
    <row r="39" spans="1:6" x14ac:dyDescent="0.35">
      <c r="A39" t="s">
        <v>91</v>
      </c>
      <c r="C39" s="2">
        <f>C22</f>
        <v>33.867513459481287</v>
      </c>
      <c r="D39" s="11">
        <f>D22</f>
        <v>5</v>
      </c>
      <c r="E39" s="2">
        <f>ROUND(1/8*$D$6,3)</f>
        <v>3.6080000000000001</v>
      </c>
      <c r="F39" s="9">
        <f>C8</f>
        <v>6.25</v>
      </c>
    </row>
    <row r="40" spans="1:6" x14ac:dyDescent="0.35">
      <c r="A40" t="s">
        <v>92</v>
      </c>
      <c r="C40" s="2">
        <f>C39</f>
        <v>33.867513459481287</v>
      </c>
      <c r="D40">
        <f>D$31</f>
        <v>5</v>
      </c>
      <c r="E40">
        <f>ROUND(3/8*$D$6,3)</f>
        <v>10.824999999999999</v>
      </c>
      <c r="F40">
        <f t="shared" ref="E40:F44" si="24">F$31</f>
        <v>6.25</v>
      </c>
    </row>
    <row r="41" spans="1:6" x14ac:dyDescent="0.35">
      <c r="A41" t="s">
        <v>93</v>
      </c>
      <c r="C41" s="2">
        <f>ROUND(I$22-$C$9,3)</f>
        <v>55.518000000000001</v>
      </c>
      <c r="D41">
        <f t="shared" ref="D41:D44" si="25">D$31</f>
        <v>5</v>
      </c>
      <c r="E41">
        <f t="shared" si="24"/>
        <v>7.2169999999999996</v>
      </c>
      <c r="F41">
        <f t="shared" si="24"/>
        <v>6.25</v>
      </c>
    </row>
    <row r="42" spans="1:6" x14ac:dyDescent="0.35">
      <c r="A42" t="s">
        <v>94</v>
      </c>
      <c r="C42" s="2">
        <f>ROUND(I$22,3)</f>
        <v>62.734999999999999</v>
      </c>
      <c r="D42">
        <f t="shared" si="25"/>
        <v>5</v>
      </c>
      <c r="E42">
        <f t="shared" si="24"/>
        <v>7.2169999999999996</v>
      </c>
      <c r="F42">
        <f t="shared" si="24"/>
        <v>6.25</v>
      </c>
    </row>
    <row r="43" spans="1:6" x14ac:dyDescent="0.35">
      <c r="A43" t="s">
        <v>95</v>
      </c>
      <c r="C43" s="2">
        <f>ROUND(K$22+1/8*D6,3)</f>
        <v>80.777000000000001</v>
      </c>
      <c r="D43">
        <f t="shared" si="25"/>
        <v>5</v>
      </c>
      <c r="E43">
        <f>E40</f>
        <v>10.824999999999999</v>
      </c>
      <c r="F43">
        <f t="shared" si="24"/>
        <v>6.25</v>
      </c>
    </row>
    <row r="44" spans="1:6" x14ac:dyDescent="0.35">
      <c r="A44" t="s">
        <v>96</v>
      </c>
      <c r="C44" s="2">
        <f>ROUND(M$22,3)</f>
        <v>84.385999999999996</v>
      </c>
      <c r="D44">
        <f t="shared" si="25"/>
        <v>5</v>
      </c>
      <c r="E44">
        <f t="shared" si="24"/>
        <v>7.2169999999999996</v>
      </c>
      <c r="F44">
        <f t="shared" si="24"/>
        <v>6.25</v>
      </c>
    </row>
    <row r="46" spans="1:6" x14ac:dyDescent="0.35">
      <c r="A46" t="s">
        <v>97</v>
      </c>
    </row>
    <row r="47" spans="1:6" x14ac:dyDescent="0.35">
      <c r="A47" t="s">
        <v>106</v>
      </c>
    </row>
    <row r="49" spans="1:6" x14ac:dyDescent="0.35">
      <c r="A49" t="s">
        <v>104</v>
      </c>
      <c r="B49" t="s">
        <v>98</v>
      </c>
      <c r="C49" s="2">
        <f>C32</f>
        <v>41.084000000000003</v>
      </c>
      <c r="D49" s="2">
        <f>D32</f>
        <v>5</v>
      </c>
      <c r="E49" s="2">
        <f>E32</f>
        <v>7.2169999999999996</v>
      </c>
      <c r="F49">
        <f>4*$D$4</f>
        <v>100</v>
      </c>
    </row>
    <row r="50" spans="1:6" x14ac:dyDescent="0.35">
      <c r="A50" t="s">
        <v>105</v>
      </c>
      <c r="B50" t="s">
        <v>99</v>
      </c>
      <c r="C50" s="2">
        <f>C35</f>
        <v>77.168999999999997</v>
      </c>
      <c r="D50" s="2">
        <f>D35</f>
        <v>5</v>
      </c>
      <c r="E50" s="2">
        <f>E35</f>
        <v>7.2169999999999996</v>
      </c>
      <c r="F50">
        <f>4*$D$4</f>
        <v>100</v>
      </c>
    </row>
    <row r="51" spans="1:6" x14ac:dyDescent="0.35">
      <c r="C51" s="2"/>
      <c r="D51" s="2"/>
      <c r="E51" s="2"/>
    </row>
    <row r="52" spans="1:6" x14ac:dyDescent="0.35">
      <c r="A52" t="s">
        <v>111</v>
      </c>
      <c r="C52" s="2">
        <f>C49</f>
        <v>41.084000000000003</v>
      </c>
      <c r="D52" s="2">
        <f>D49</f>
        <v>5</v>
      </c>
      <c r="E52" s="2">
        <f>E49</f>
        <v>7.2169999999999996</v>
      </c>
      <c r="F52">
        <f>F55</f>
        <v>62.5</v>
      </c>
    </row>
    <row r="53" spans="1:6" x14ac:dyDescent="0.35">
      <c r="A53" t="s">
        <v>112</v>
      </c>
      <c r="C53" s="2">
        <f>C52</f>
        <v>41.084000000000003</v>
      </c>
      <c r="D53" s="2">
        <f>D66</f>
        <v>92.5</v>
      </c>
      <c r="E53" s="2">
        <f>E52</f>
        <v>7.2169999999999996</v>
      </c>
      <c r="F53">
        <f>F54</f>
        <v>12.5</v>
      </c>
    </row>
    <row r="54" spans="1:6" x14ac:dyDescent="0.35">
      <c r="A54" t="s">
        <v>108</v>
      </c>
      <c r="C54" s="2">
        <f>C50</f>
        <v>77.168999999999997</v>
      </c>
      <c r="D54" s="2">
        <f>D50</f>
        <v>5</v>
      </c>
      <c r="E54" s="2">
        <f>E49</f>
        <v>7.2169999999999996</v>
      </c>
      <c r="F54">
        <f>F49/8</f>
        <v>12.5</v>
      </c>
    </row>
    <row r="55" spans="1:6" x14ac:dyDescent="0.35">
      <c r="A55" t="s">
        <v>109</v>
      </c>
      <c r="C55" s="2">
        <f>C54</f>
        <v>77.168999999999997</v>
      </c>
      <c r="D55" s="2">
        <f>D61</f>
        <v>42.5</v>
      </c>
      <c r="E55" s="2">
        <f>E54</f>
        <v>7.2169999999999996</v>
      </c>
      <c r="F55">
        <f>F50*5/8</f>
        <v>62.5</v>
      </c>
    </row>
    <row r="56" spans="1:6" x14ac:dyDescent="0.35">
      <c r="C56" s="2"/>
      <c r="D56" s="2"/>
      <c r="E56" s="2"/>
    </row>
    <row r="57" spans="1:6" x14ac:dyDescent="0.35">
      <c r="A57" t="s">
        <v>152</v>
      </c>
      <c r="C57" s="2">
        <f>C53</f>
        <v>41.084000000000003</v>
      </c>
      <c r="D57" s="2">
        <f>4*D4+D14-F57</f>
        <v>91.6</v>
      </c>
      <c r="E57" s="2">
        <f>E53</f>
        <v>7.2169999999999996</v>
      </c>
      <c r="F57" s="5">
        <v>13.4</v>
      </c>
    </row>
    <row r="58" spans="1:6" x14ac:dyDescent="0.35">
      <c r="C58" s="2"/>
      <c r="D58" s="2"/>
      <c r="E58" s="2"/>
    </row>
    <row r="59" spans="1:6" x14ac:dyDescent="0.35">
      <c r="A59" t="s">
        <v>107</v>
      </c>
      <c r="C59" s="2"/>
      <c r="D59" s="2"/>
      <c r="E59" s="2"/>
    </row>
    <row r="60" spans="1:6" x14ac:dyDescent="0.35">
      <c r="A60" t="s">
        <v>100</v>
      </c>
      <c r="B60" t="s">
        <v>102</v>
      </c>
      <c r="C60" s="7">
        <f>ROUND($K$27+1/8*$D$6,3)</f>
        <v>30.259</v>
      </c>
      <c r="D60" s="7">
        <f>$L$27-$C$8</f>
        <v>11.25</v>
      </c>
      <c r="E60">
        <f>ROUND(2.25*$D$6,3)</f>
        <v>64.951999999999998</v>
      </c>
      <c r="F60" s="7">
        <f>C8</f>
        <v>6.25</v>
      </c>
    </row>
    <row r="61" spans="1:6" x14ac:dyDescent="0.35">
      <c r="A61" t="s">
        <v>101</v>
      </c>
      <c r="B61" t="s">
        <v>103</v>
      </c>
      <c r="C61" s="7">
        <f>ROUND($G$27,3)</f>
        <v>12.217000000000001</v>
      </c>
      <c r="D61" s="7">
        <f>H27</f>
        <v>42.5</v>
      </c>
      <c r="E61">
        <f>ROUND(3.5*$D$6,3)</f>
        <v>101.036</v>
      </c>
      <c r="F61" s="7">
        <f>F60</f>
        <v>6.25</v>
      </c>
    </row>
    <row r="63" spans="1:6" x14ac:dyDescent="0.35">
      <c r="A63" t="s">
        <v>113</v>
      </c>
      <c r="C63" s="2">
        <f>C50</f>
        <v>77.168999999999997</v>
      </c>
      <c r="D63" s="7">
        <f>D60</f>
        <v>11.25</v>
      </c>
      <c r="E63" s="7">
        <f>E60+C60-C63</f>
        <v>18.042000000000002</v>
      </c>
      <c r="F63" s="7">
        <f>F60</f>
        <v>6.25</v>
      </c>
    </row>
    <row r="64" spans="1:6" x14ac:dyDescent="0.35">
      <c r="A64" t="s">
        <v>114</v>
      </c>
      <c r="C64" s="2">
        <f>C63</f>
        <v>77.168999999999997</v>
      </c>
      <c r="D64" s="7">
        <f>D61</f>
        <v>42.5</v>
      </c>
      <c r="E64" s="7">
        <f>E61+C61-C64</f>
        <v>36.084000000000003</v>
      </c>
      <c r="F64" s="7">
        <f>F61</f>
        <v>6.25</v>
      </c>
    </row>
    <row r="65" spans="1:6" x14ac:dyDescent="0.35">
      <c r="A65" t="s">
        <v>115</v>
      </c>
      <c r="C65" s="7">
        <f>C61</f>
        <v>12.217000000000001</v>
      </c>
      <c r="D65" s="7">
        <v>61.25</v>
      </c>
      <c r="E65" s="7">
        <f>E64</f>
        <v>36.084000000000003</v>
      </c>
      <c r="F65" s="7">
        <f>F64</f>
        <v>6.25</v>
      </c>
    </row>
    <row r="66" spans="1:6" x14ac:dyDescent="0.35">
      <c r="A66" t="s">
        <v>110</v>
      </c>
      <c r="C66" s="7">
        <f>C60</f>
        <v>30.259</v>
      </c>
      <c r="D66" s="7">
        <f>H26</f>
        <v>92.5</v>
      </c>
      <c r="E66" s="7">
        <f>E63</f>
        <v>18.042000000000002</v>
      </c>
      <c r="F66" s="7">
        <f>F65</f>
        <v>6.25</v>
      </c>
    </row>
    <row r="68" spans="1:6" x14ac:dyDescent="0.35">
      <c r="A68" t="s">
        <v>116</v>
      </c>
      <c r="C68" s="2">
        <f>C63</f>
        <v>77.168999999999997</v>
      </c>
      <c r="D68" s="7">
        <f>D14+D4-C8</f>
        <v>23.75</v>
      </c>
      <c r="E68">
        <f>ROUND(7/8*D6,3)</f>
        <v>25.259</v>
      </c>
      <c r="F68" s="7">
        <f>C8</f>
        <v>6.25</v>
      </c>
    </row>
    <row r="69" spans="1:6" x14ac:dyDescent="0.35">
      <c r="A69" t="s">
        <v>118</v>
      </c>
      <c r="C69" s="2">
        <f>C68-D6</f>
        <v>48.301486540518709</v>
      </c>
      <c r="D69">
        <f>D14+3*D4</f>
        <v>80</v>
      </c>
      <c r="E69" s="7">
        <f>ROUND(D6,3)</f>
        <v>28.867999999999999</v>
      </c>
      <c r="F69" s="7">
        <f>F68</f>
        <v>6.25</v>
      </c>
    </row>
    <row r="70" spans="1:6" x14ac:dyDescent="0.35">
      <c r="A70" t="s">
        <v>117</v>
      </c>
      <c r="C70" s="2">
        <f>C68</f>
        <v>77.168999999999997</v>
      </c>
      <c r="D70">
        <f>D14+3*D4</f>
        <v>80</v>
      </c>
      <c r="E70">
        <f>E68</f>
        <v>25.259</v>
      </c>
      <c r="F70" s="7">
        <f>F69</f>
        <v>6.25</v>
      </c>
    </row>
    <row r="72" spans="1:6" x14ac:dyDescent="0.35">
      <c r="A72" t="s">
        <v>153</v>
      </c>
      <c r="C72">
        <f>ROUND(C14+3.25*D6-C11-E72,3)</f>
        <v>75.210999999999999</v>
      </c>
      <c r="D72" s="7">
        <f>D66</f>
        <v>92.5</v>
      </c>
      <c r="E72" s="12">
        <v>20</v>
      </c>
      <c r="F72" s="7">
        <f>F73</f>
        <v>6.25</v>
      </c>
    </row>
    <row r="73" spans="1:6" x14ac:dyDescent="0.35">
      <c r="A73" t="s">
        <v>120</v>
      </c>
      <c r="C73" s="12">
        <v>93.1</v>
      </c>
      <c r="D73" s="7">
        <f>D68</f>
        <v>23.75</v>
      </c>
      <c r="E73" s="2">
        <f>C68+E68-C73</f>
        <v>9.328000000000003</v>
      </c>
      <c r="F73" s="7">
        <f>F68</f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1774-C951-4010-9B8F-40D8DBB1643F}">
  <dimension ref="A4:F40"/>
  <sheetViews>
    <sheetView topLeftCell="A22" workbookViewId="0">
      <selection activeCell="C42" sqref="C42"/>
    </sheetView>
  </sheetViews>
  <sheetFormatPr defaultRowHeight="14.5" x14ac:dyDescent="0.35"/>
  <sheetData>
    <row r="4" spans="2:5" x14ac:dyDescent="0.35">
      <c r="B4" t="s">
        <v>0</v>
      </c>
      <c r="C4">
        <v>6.25</v>
      </c>
    </row>
    <row r="5" spans="2:5" x14ac:dyDescent="0.35">
      <c r="B5" t="s">
        <v>121</v>
      </c>
      <c r="C5">
        <v>12.5</v>
      </c>
    </row>
    <row r="7" spans="2:5" x14ac:dyDescent="0.35">
      <c r="B7" t="s">
        <v>122</v>
      </c>
    </row>
    <row r="8" spans="2:5" x14ac:dyDescent="0.35">
      <c r="C8" t="s">
        <v>123</v>
      </c>
    </row>
    <row r="10" spans="2:5" x14ac:dyDescent="0.35">
      <c r="B10" t="s">
        <v>131</v>
      </c>
      <c r="C10" t="s">
        <v>132</v>
      </c>
    </row>
    <row r="11" spans="2:5" x14ac:dyDescent="0.35">
      <c r="C11">
        <v>0.2</v>
      </c>
      <c r="D11" t="s">
        <v>1</v>
      </c>
      <c r="E11" t="s">
        <v>133</v>
      </c>
    </row>
    <row r="12" spans="2:5" x14ac:dyDescent="0.35">
      <c r="B12" t="s">
        <v>134</v>
      </c>
      <c r="C12" t="s">
        <v>135</v>
      </c>
    </row>
    <row r="14" spans="2:5" x14ac:dyDescent="0.35">
      <c r="B14" s="14" t="s">
        <v>124</v>
      </c>
    </row>
    <row r="15" spans="2:5" x14ac:dyDescent="0.35">
      <c r="B15" t="s">
        <v>125</v>
      </c>
      <c r="C15">
        <v>10</v>
      </c>
      <c r="D15" t="s">
        <v>126</v>
      </c>
      <c r="E15">
        <v>10</v>
      </c>
    </row>
    <row r="17" spans="1:6" x14ac:dyDescent="0.35">
      <c r="D17" t="s">
        <v>128</v>
      </c>
      <c r="E17" t="s">
        <v>129</v>
      </c>
      <c r="F17" t="s">
        <v>140</v>
      </c>
    </row>
    <row r="18" spans="1:6" x14ac:dyDescent="0.35">
      <c r="B18" t="s">
        <v>127</v>
      </c>
      <c r="C18" s="13" t="s">
        <v>7</v>
      </c>
      <c r="D18" s="13"/>
      <c r="E18" s="13">
        <v>0.1</v>
      </c>
    </row>
    <row r="19" spans="1:6" x14ac:dyDescent="0.35">
      <c r="C19" t="s">
        <v>8</v>
      </c>
      <c r="D19" s="13">
        <v>0.1</v>
      </c>
    </row>
    <row r="21" spans="1:6" x14ac:dyDescent="0.35">
      <c r="B21" t="s">
        <v>130</v>
      </c>
      <c r="C21" t="s">
        <v>7</v>
      </c>
      <c r="D21" s="13"/>
      <c r="F21" s="13">
        <v>0.05</v>
      </c>
    </row>
    <row r="22" spans="1:6" x14ac:dyDescent="0.35">
      <c r="C22" t="s">
        <v>8</v>
      </c>
      <c r="D22" s="13"/>
      <c r="F22" s="13">
        <v>0.05</v>
      </c>
    </row>
    <row r="24" spans="1:6" x14ac:dyDescent="0.35">
      <c r="B24" t="s">
        <v>136</v>
      </c>
      <c r="C24" t="s">
        <v>142</v>
      </c>
      <c r="D24" t="s">
        <v>141</v>
      </c>
    </row>
    <row r="25" spans="1:6" x14ac:dyDescent="0.35">
      <c r="C25" t="s">
        <v>139</v>
      </c>
      <c r="D25" s="13"/>
      <c r="F25" s="13">
        <v>0.03</v>
      </c>
    </row>
    <row r="26" spans="1:6" x14ac:dyDescent="0.35">
      <c r="C26" t="s">
        <v>137</v>
      </c>
      <c r="D26" s="13"/>
      <c r="F26" s="13">
        <v>0.06</v>
      </c>
    </row>
    <row r="27" spans="1:6" x14ac:dyDescent="0.35">
      <c r="C27" t="s">
        <v>138</v>
      </c>
      <c r="D27" s="13"/>
      <c r="F27" s="13">
        <v>0.12</v>
      </c>
    </row>
    <row r="28" spans="1:6" x14ac:dyDescent="0.35">
      <c r="E28" s="13"/>
    </row>
    <row r="29" spans="1:6" x14ac:dyDescent="0.35">
      <c r="A29" t="s">
        <v>144</v>
      </c>
    </row>
    <row r="30" spans="1:6" x14ac:dyDescent="0.35">
      <c r="A30" t="s">
        <v>145</v>
      </c>
    </row>
    <row r="31" spans="1:6" x14ac:dyDescent="0.35">
      <c r="A31" t="s">
        <v>143</v>
      </c>
    </row>
    <row r="33" spans="1:4" x14ac:dyDescent="0.35">
      <c r="A33" t="s">
        <v>146</v>
      </c>
    </row>
    <row r="35" spans="1:4" x14ac:dyDescent="0.35">
      <c r="B35" t="s">
        <v>147</v>
      </c>
      <c r="D35">
        <v>1</v>
      </c>
    </row>
    <row r="36" spans="1:4" x14ac:dyDescent="0.35">
      <c r="B36" t="s">
        <v>148</v>
      </c>
      <c r="D36">
        <v>10</v>
      </c>
    </row>
    <row r="38" spans="1:4" x14ac:dyDescent="0.35">
      <c r="A38" t="s">
        <v>149</v>
      </c>
    </row>
    <row r="39" spans="1:4" x14ac:dyDescent="0.35">
      <c r="A39" t="s">
        <v>150</v>
      </c>
    </row>
    <row r="40" spans="1:4" x14ac:dyDescent="0.35">
      <c r="A40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79"/>
  <sheetViews>
    <sheetView topLeftCell="A25" workbookViewId="0">
      <selection activeCell="A45" sqref="A45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ROUND(2*D3/SQRT(3),2)</f>
        <v>115.47</v>
      </c>
      <c r="D5">
        <f>ROUND(2*D3/SQRT(3),0)</f>
        <v>115</v>
      </c>
      <c r="E5" t="s">
        <v>1</v>
      </c>
      <c r="G5">
        <f>2.5*C5</f>
        <v>288.67500000000001</v>
      </c>
      <c r="L5">
        <f>ROUND(2*M3/SQRT(3),2)</f>
        <v>28.87</v>
      </c>
      <c r="M5">
        <f>D5/4</f>
        <v>28.75</v>
      </c>
      <c r="N5" t="s">
        <v>1</v>
      </c>
    </row>
    <row r="6" spans="2:21" x14ac:dyDescent="0.35">
      <c r="C6">
        <f>116.394-C5</f>
        <v>0.92400000000000659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</v>
      </c>
      <c r="R13">
        <f>L15+0.75*C5-0.75*L5</f>
        <v>69.949999999999989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5</v>
      </c>
      <c r="D15">
        <v>5</v>
      </c>
      <c r="E15">
        <f>ROUND(C15+0.75*C5,3)</f>
        <v>91.602999999999994</v>
      </c>
      <c r="K15">
        <v>0</v>
      </c>
      <c r="L15">
        <v>5</v>
      </c>
      <c r="M15">
        <v>5</v>
      </c>
      <c r="N15">
        <f>L15+0.75*$L$5</f>
        <v>26.6525</v>
      </c>
      <c r="P15">
        <f>L15+1.5*L5</f>
        <v>48.305</v>
      </c>
      <c r="R15">
        <f>L15+2.25*L5</f>
        <v>69.957499999999996</v>
      </c>
      <c r="T15">
        <f>L15+3*L5</f>
        <v>91.61</v>
      </c>
    </row>
    <row r="16" spans="2:21" x14ac:dyDescent="0.35">
      <c r="B16">
        <v>1</v>
      </c>
      <c r="C16">
        <f>C15</f>
        <v>5</v>
      </c>
      <c r="D16">
        <f>D15</f>
        <v>5</v>
      </c>
      <c r="E16" s="1">
        <f>E15</f>
        <v>91.602999999999994</v>
      </c>
      <c r="F16" s="1">
        <f>D16</f>
        <v>5</v>
      </c>
      <c r="G16">
        <f>ROUND(C16+1.5*C5,3)</f>
        <v>178.20500000000001</v>
      </c>
      <c r="H16">
        <f>D16</f>
        <v>5</v>
      </c>
      <c r="K16">
        <v>1</v>
      </c>
      <c r="N16">
        <f>ROUND(N15-$L$10,2)</f>
        <v>26.53</v>
      </c>
      <c r="O16">
        <f>M15</f>
        <v>5</v>
      </c>
      <c r="R16">
        <f>ROUND(R15-L10,2)</f>
        <v>69.84</v>
      </c>
      <c r="T16">
        <f>ROUND(T15-L10,2)</f>
        <v>91.49</v>
      </c>
    </row>
    <row r="17" spans="2:17" x14ac:dyDescent="0.35">
      <c r="B17">
        <v>2</v>
      </c>
      <c r="C17">
        <f>C16</f>
        <v>5</v>
      </c>
      <c r="D17">
        <f>D16+D3</f>
        <v>105</v>
      </c>
      <c r="E17">
        <f>E15</f>
        <v>91.602999999999994</v>
      </c>
      <c r="F17">
        <f>D16+(D3/2)</f>
        <v>55</v>
      </c>
      <c r="G17">
        <f>G16</f>
        <v>178.20500000000001</v>
      </c>
      <c r="H17">
        <f>D17</f>
        <v>105</v>
      </c>
      <c r="K17">
        <v>2</v>
      </c>
      <c r="N17">
        <f>N16</f>
        <v>26.53</v>
      </c>
      <c r="O17">
        <f>O16+$M$3</f>
        <v>30</v>
      </c>
      <c r="P17">
        <f>ROUND(P15,2)</f>
        <v>48.31</v>
      </c>
      <c r="Q17">
        <f>M15+0.5*$M$3</f>
        <v>17.5</v>
      </c>
    </row>
    <row r="18" spans="2:17" x14ac:dyDescent="0.35">
      <c r="E18">
        <f>E16</f>
        <v>91.602999999999994</v>
      </c>
      <c r="F18">
        <f>D16+1.5*D3</f>
        <v>155</v>
      </c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48.31</v>
      </c>
      <c r="Q18">
        <f>Q17+$M$3</f>
        <v>42.5</v>
      </c>
    </row>
    <row r="19" spans="2:17" x14ac:dyDescent="0.35">
      <c r="K19">
        <v>4</v>
      </c>
      <c r="N19">
        <f t="shared" si="0"/>
        <v>26.53</v>
      </c>
      <c r="O19">
        <f t="shared" si="1"/>
        <v>80</v>
      </c>
      <c r="P19">
        <f t="shared" si="2"/>
        <v>48.31</v>
      </c>
      <c r="Q19">
        <f>Q18+$M$3</f>
        <v>67.5</v>
      </c>
    </row>
    <row r="21" spans="2:17" x14ac:dyDescent="0.35">
      <c r="K21" t="s">
        <v>26</v>
      </c>
      <c r="L21">
        <f>ROUND(L18+0.25*L5,3)</f>
        <v>12.218</v>
      </c>
      <c r="M21">
        <f>M15+1.5*M3</f>
        <v>42.5</v>
      </c>
    </row>
    <row r="22" spans="2:17" x14ac:dyDescent="0.35">
      <c r="K22" t="s">
        <v>27</v>
      </c>
      <c r="L22">
        <f>L21</f>
        <v>12.218</v>
      </c>
      <c r="M22">
        <f>M21+M3</f>
        <v>67.5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L26" t="s">
        <v>18</v>
      </c>
      <c r="M26" t="s">
        <v>23</v>
      </c>
    </row>
    <row r="28" spans="2:17" x14ac:dyDescent="0.35"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L30" t="s">
        <v>18</v>
      </c>
      <c r="M30" t="s">
        <v>23</v>
      </c>
    </row>
    <row r="33" spans="10:29" x14ac:dyDescent="0.35">
      <c r="K33" t="s">
        <v>0</v>
      </c>
      <c r="L33">
        <v>8</v>
      </c>
    </row>
    <row r="34" spans="10:29" x14ac:dyDescent="0.35">
      <c r="K34" t="s">
        <v>16</v>
      </c>
      <c r="L34">
        <f>L33/2</f>
        <v>4</v>
      </c>
    </row>
    <row r="35" spans="10:29" x14ac:dyDescent="0.35">
      <c r="K35" t="s">
        <v>31</v>
      </c>
      <c r="L35">
        <f>L33/SQRT(3)</f>
        <v>4.6188021535170067</v>
      </c>
    </row>
    <row r="37" spans="10:29" x14ac:dyDescent="0.35">
      <c r="J37" t="s">
        <v>28</v>
      </c>
      <c r="L37" t="s">
        <v>7</v>
      </c>
      <c r="M37" t="s">
        <v>8</v>
      </c>
      <c r="N37" t="s">
        <v>30</v>
      </c>
      <c r="O37" t="s">
        <v>29</v>
      </c>
      <c r="S37" t="s">
        <v>7</v>
      </c>
      <c r="T37" t="s">
        <v>8</v>
      </c>
      <c r="U37" t="s">
        <v>30</v>
      </c>
      <c r="V37" t="s">
        <v>29</v>
      </c>
      <c r="Z37" t="s">
        <v>7</v>
      </c>
      <c r="AA37" t="s">
        <v>8</v>
      </c>
      <c r="AB37" t="s">
        <v>30</v>
      </c>
      <c r="AC37" t="s">
        <v>29</v>
      </c>
    </row>
    <row r="39" spans="10:29" x14ac:dyDescent="0.35">
      <c r="J39" t="s">
        <v>35</v>
      </c>
      <c r="L39">
        <f>ROUND($L$15+0.75*$L$5,3)</f>
        <v>26.652999999999999</v>
      </c>
      <c r="M39">
        <f>M15+O49</f>
        <v>17.5</v>
      </c>
      <c r="N39">
        <v>8</v>
      </c>
      <c r="O39">
        <f>M3</f>
        <v>25</v>
      </c>
      <c r="X39" t="s">
        <v>62</v>
      </c>
      <c r="Z39">
        <f>ROUND($L$15+3.25*$L$5-L33,3)</f>
        <v>90.828000000000003</v>
      </c>
    </row>
    <row r="40" spans="10:29" x14ac:dyDescent="0.35">
      <c r="J40" t="s">
        <v>34</v>
      </c>
      <c r="L40">
        <f t="shared" ref="L40:L41" si="3">L39</f>
        <v>26.652999999999999</v>
      </c>
      <c r="M40">
        <f>M39+O$50</f>
        <v>42.5</v>
      </c>
      <c r="N40">
        <v>8</v>
      </c>
      <c r="O40">
        <f>O39</f>
        <v>25</v>
      </c>
    </row>
    <row r="41" spans="10:29" x14ac:dyDescent="0.35">
      <c r="J41" t="s">
        <v>36</v>
      </c>
      <c r="L41">
        <f t="shared" si="3"/>
        <v>26.652999999999999</v>
      </c>
      <c r="M41">
        <f>M40+O$50</f>
        <v>67.5</v>
      </c>
      <c r="N41">
        <v>8</v>
      </c>
      <c r="O41">
        <f>O40</f>
        <v>25</v>
      </c>
    </row>
    <row r="43" spans="10:29" x14ac:dyDescent="0.35">
      <c r="J43" t="s">
        <v>52</v>
      </c>
      <c r="L43">
        <f>$L$15+1*$L$5</f>
        <v>33.870000000000005</v>
      </c>
      <c r="M43">
        <f>$M$15</f>
        <v>5</v>
      </c>
      <c r="N43">
        <f>L27</f>
        <v>0</v>
      </c>
      <c r="O43">
        <f>$M$3/2</f>
        <v>12.5</v>
      </c>
      <c r="Q43" t="s">
        <v>68</v>
      </c>
      <c r="S43" s="2">
        <f>$L$15+3*$L$5-$L$33</f>
        <v>83.61</v>
      </c>
    </row>
    <row r="44" spans="10:29" x14ac:dyDescent="0.35">
      <c r="J44" t="s">
        <v>53</v>
      </c>
      <c r="L44">
        <f>L43</f>
        <v>33.870000000000005</v>
      </c>
      <c r="M44">
        <f>M43+O43</f>
        <v>17.5</v>
      </c>
      <c r="N44">
        <v>8</v>
      </c>
      <c r="O44">
        <f>$M$3</f>
        <v>25</v>
      </c>
    </row>
    <row r="45" spans="10:29" x14ac:dyDescent="0.35">
      <c r="J45" t="s">
        <v>54</v>
      </c>
      <c r="L45">
        <f t="shared" ref="L45:L47" si="4">L44</f>
        <v>33.870000000000005</v>
      </c>
      <c r="M45">
        <f>M44+O$50</f>
        <v>42.5</v>
      </c>
      <c r="N45">
        <v>8</v>
      </c>
      <c r="O45">
        <f>O44</f>
        <v>25</v>
      </c>
    </row>
    <row r="46" spans="10:29" x14ac:dyDescent="0.35">
      <c r="J46" t="s">
        <v>56</v>
      </c>
      <c r="L46">
        <f t="shared" si="4"/>
        <v>33.870000000000005</v>
      </c>
      <c r="M46">
        <f t="shared" ref="M46:M47" si="5">M45+O45</f>
        <v>67.5</v>
      </c>
      <c r="N46">
        <v>8</v>
      </c>
      <c r="O46">
        <f>O45</f>
        <v>25</v>
      </c>
    </row>
    <row r="47" spans="10:29" x14ac:dyDescent="0.35">
      <c r="J47" t="s">
        <v>55</v>
      </c>
      <c r="L47">
        <f t="shared" si="4"/>
        <v>33.870000000000005</v>
      </c>
      <c r="M47">
        <f t="shared" si="5"/>
        <v>92.5</v>
      </c>
      <c r="N47">
        <v>8</v>
      </c>
      <c r="O47">
        <f>O43</f>
        <v>12.5</v>
      </c>
    </row>
    <row r="49" spans="10:29" x14ac:dyDescent="0.35">
      <c r="J49" t="s">
        <v>63</v>
      </c>
      <c r="L49">
        <f>$L$15+1.5*$L$5-$L$33</f>
        <v>40.305</v>
      </c>
      <c r="M49">
        <f>$M$15</f>
        <v>5</v>
      </c>
      <c r="N49">
        <f>L33</f>
        <v>8</v>
      </c>
      <c r="O49">
        <f>$M$3/2</f>
        <v>12.5</v>
      </c>
      <c r="Q49" t="s">
        <v>69</v>
      </c>
      <c r="S49">
        <f>L15+2.5*L5</f>
        <v>77.174999999999997</v>
      </c>
    </row>
    <row r="50" spans="10:29" x14ac:dyDescent="0.35">
      <c r="J50" t="s">
        <v>64</v>
      </c>
      <c r="L50">
        <f>L49</f>
        <v>40.305</v>
      </c>
      <c r="M50">
        <f>M49+O49</f>
        <v>17.5</v>
      </c>
      <c r="N50">
        <v>8</v>
      </c>
      <c r="O50">
        <f>M3</f>
        <v>25</v>
      </c>
    </row>
    <row r="51" spans="10:29" x14ac:dyDescent="0.35">
      <c r="J51" t="s">
        <v>65</v>
      </c>
      <c r="L51">
        <f t="shared" ref="L51:L53" si="6">L50</f>
        <v>40.305</v>
      </c>
      <c r="M51">
        <f>M50+O$50</f>
        <v>42.5</v>
      </c>
      <c r="N51">
        <v>8</v>
      </c>
      <c r="O51">
        <f>O50</f>
        <v>25</v>
      </c>
    </row>
    <row r="52" spans="10:29" x14ac:dyDescent="0.35">
      <c r="J52" t="s">
        <v>66</v>
      </c>
      <c r="L52">
        <f t="shared" si="6"/>
        <v>40.305</v>
      </c>
      <c r="M52">
        <f t="shared" ref="M52:M53" si="7">M51+O51</f>
        <v>67.5</v>
      </c>
      <c r="N52">
        <v>8</v>
      </c>
      <c r="O52">
        <f>O51</f>
        <v>25</v>
      </c>
    </row>
    <row r="53" spans="10:29" x14ac:dyDescent="0.35">
      <c r="J53" t="s">
        <v>67</v>
      </c>
      <c r="L53">
        <f t="shared" si="6"/>
        <v>40.305</v>
      </c>
      <c r="M53">
        <f t="shared" si="7"/>
        <v>92.5</v>
      </c>
      <c r="N53">
        <v>8</v>
      </c>
      <c r="O53">
        <f>O49</f>
        <v>12.5</v>
      </c>
    </row>
    <row r="55" spans="10:29" x14ac:dyDescent="0.35">
      <c r="J55" t="s">
        <v>41</v>
      </c>
      <c r="L55">
        <f>ROUND($L$15+0.75*$L$5,3)</f>
        <v>26.652999999999999</v>
      </c>
      <c r="M55">
        <f>$M$15+0.5*$M$3-$L$33</f>
        <v>9.5</v>
      </c>
      <c r="N55">
        <f>ROUND(0.75*L5,3)</f>
        <v>21.652999999999999</v>
      </c>
      <c r="O55">
        <f>$L$33</f>
        <v>8</v>
      </c>
      <c r="Q55" t="s">
        <v>33</v>
      </c>
      <c r="S55">
        <f>ROUND($L$15+1.5*$L$5,3)</f>
        <v>48.305</v>
      </c>
      <c r="T55">
        <f>M55</f>
        <v>9.5</v>
      </c>
      <c r="U55">
        <f>ROUND(L5,3)</f>
        <v>28.87</v>
      </c>
      <c r="V55">
        <f>O55</f>
        <v>8</v>
      </c>
      <c r="X55" t="s">
        <v>44</v>
      </c>
      <c r="Z55">
        <f>ROUND($L$15+2.5*$L$5,3)</f>
        <v>77.174999999999997</v>
      </c>
      <c r="AA55">
        <f>M55</f>
        <v>9.5</v>
      </c>
    </row>
    <row r="56" spans="10:29" x14ac:dyDescent="0.35">
      <c r="J56" t="s">
        <v>32</v>
      </c>
      <c r="L56">
        <f>ROUND(L55+L$35,3)</f>
        <v>31.271999999999998</v>
      </c>
    </row>
    <row r="57" spans="10:29" x14ac:dyDescent="0.35">
      <c r="J57" t="s">
        <v>58</v>
      </c>
      <c r="L57">
        <f>ROUND($L$15+0.5*$L$5,3)</f>
        <v>19.434999999999999</v>
      </c>
      <c r="M57">
        <f>$M$15+$M$3-$L$33</f>
        <v>22</v>
      </c>
      <c r="N57">
        <f>ROUND(0.5*$L$5+$L$33,3)</f>
        <v>22.434999999999999</v>
      </c>
      <c r="O57">
        <f>$L$33</f>
        <v>8</v>
      </c>
      <c r="Q57" t="s">
        <v>60</v>
      </c>
      <c r="S57">
        <f>ROUND($L$15+$L$5,3)</f>
        <v>33.869999999999997</v>
      </c>
      <c r="T57">
        <f>M57</f>
        <v>22</v>
      </c>
      <c r="U57">
        <f>ROUND(2*$L$5,3)</f>
        <v>57.74</v>
      </c>
      <c r="V57">
        <f>O57</f>
        <v>8</v>
      </c>
      <c r="X57" t="s">
        <v>59</v>
      </c>
      <c r="Z57" s="2">
        <f>S43</f>
        <v>83.61</v>
      </c>
      <c r="AA57">
        <f>M57</f>
        <v>22</v>
      </c>
    </row>
    <row r="58" spans="10:29" x14ac:dyDescent="0.35">
      <c r="J58" t="s">
        <v>32</v>
      </c>
      <c r="L58">
        <f>ROUND(L57+L$35,3)</f>
        <v>24.053999999999998</v>
      </c>
    </row>
    <row r="59" spans="10:29" x14ac:dyDescent="0.35">
      <c r="J59" t="s">
        <v>73</v>
      </c>
      <c r="L59">
        <f>ROUND($L$15+0.5*$L$5-$L$35,3)</f>
        <v>14.816000000000001</v>
      </c>
      <c r="M59">
        <f>$M$15+$M$3</f>
        <v>30</v>
      </c>
      <c r="N59">
        <f>ROUND(0.5*$L$5+$L$33,3)</f>
        <v>22.434999999999999</v>
      </c>
      <c r="O59">
        <f>$L$33</f>
        <v>8</v>
      </c>
      <c r="Q59" t="s">
        <v>60</v>
      </c>
      <c r="S59">
        <f>ROUND($L$15+$L$5,3)</f>
        <v>33.869999999999997</v>
      </c>
      <c r="T59">
        <f>M59</f>
        <v>30</v>
      </c>
      <c r="U59">
        <f>ROUND(2*$L$5,3)</f>
        <v>57.74</v>
      </c>
      <c r="V59">
        <f>O59</f>
        <v>8</v>
      </c>
      <c r="X59" t="s">
        <v>59</v>
      </c>
      <c r="Z59" s="2">
        <f>Z57+L35</f>
        <v>88.228802153517009</v>
      </c>
      <c r="AA59">
        <f>M59</f>
        <v>30</v>
      </c>
    </row>
    <row r="60" spans="10:29" x14ac:dyDescent="0.35">
      <c r="J60" t="s">
        <v>32</v>
      </c>
      <c r="L60">
        <f>ROUND(L59+L$35,3)</f>
        <v>19.434999999999999</v>
      </c>
    </row>
    <row r="61" spans="10:29" x14ac:dyDescent="0.35">
      <c r="J61" t="s">
        <v>37</v>
      </c>
      <c r="L61">
        <f>ROUND(L55-L5/2-L35,3)</f>
        <v>7.5990000000000002</v>
      </c>
      <c r="M61">
        <f>M15+M3*1.5</f>
        <v>42.5</v>
      </c>
      <c r="N61">
        <f>ROUND(0.5*L5+L33+L35,3)</f>
        <v>27.053999999999998</v>
      </c>
      <c r="O61">
        <f>O55</f>
        <v>8</v>
      </c>
      <c r="Q61" t="s">
        <v>49</v>
      </c>
      <c r="S61">
        <v>5</v>
      </c>
      <c r="T61">
        <f>M61</f>
        <v>42.5</v>
      </c>
      <c r="U61">
        <f t="shared" ref="U61:V61" si="8">U55</f>
        <v>28.87</v>
      </c>
      <c r="V61">
        <f t="shared" si="8"/>
        <v>8</v>
      </c>
      <c r="X61" t="s">
        <v>45</v>
      </c>
      <c r="Z61">
        <f>ROUND($L$15+3.25*$L$5-L33,3)</f>
        <v>90.828000000000003</v>
      </c>
      <c r="AA61">
        <f>M61</f>
        <v>42.5</v>
      </c>
      <c r="AB61">
        <f>N61</f>
        <v>27.053999999999998</v>
      </c>
      <c r="AC61">
        <f>O61</f>
        <v>8</v>
      </c>
    </row>
    <row r="62" spans="10:29" x14ac:dyDescent="0.35">
      <c r="J62" t="s">
        <v>32</v>
      </c>
      <c r="L62">
        <f>ROUND(L61+L$35,3)</f>
        <v>12.218</v>
      </c>
      <c r="X62" t="s">
        <v>32</v>
      </c>
      <c r="Z62">
        <f>ROUND(Z61+AB61-$L$35,3)</f>
        <v>113.26300000000001</v>
      </c>
    </row>
    <row r="64" spans="10:29" x14ac:dyDescent="0.35">
      <c r="J64" t="s">
        <v>40</v>
      </c>
      <c r="L64">
        <f>L61</f>
        <v>7.5990000000000002</v>
      </c>
      <c r="M64">
        <f>$M$15+2.5*$M$3-$L$33</f>
        <v>59.5</v>
      </c>
      <c r="N64">
        <f>N61</f>
        <v>27.053999999999998</v>
      </c>
      <c r="O64">
        <f>O61</f>
        <v>8</v>
      </c>
      <c r="X64" t="s">
        <v>46</v>
      </c>
      <c r="Z64">
        <f>Z61</f>
        <v>90.828000000000003</v>
      </c>
      <c r="AA64">
        <f t="shared" ref="AA64:AA66" si="9">M64</f>
        <v>59.5</v>
      </c>
      <c r="AB64">
        <f t="shared" ref="AB64:AB66" si="10">N64</f>
        <v>27.053999999999998</v>
      </c>
      <c r="AC64">
        <f t="shared" ref="AC64:AC66" si="11">O64</f>
        <v>8</v>
      </c>
    </row>
    <row r="65" spans="10:29" x14ac:dyDescent="0.35">
      <c r="J65" t="s">
        <v>71</v>
      </c>
      <c r="L65">
        <f>L57</f>
        <v>19.434999999999999</v>
      </c>
      <c r="M65">
        <f>$M$15+3*$M$3</f>
        <v>80</v>
      </c>
      <c r="N65">
        <f t="shared" ref="N65:O65" si="12">N57</f>
        <v>22.434999999999999</v>
      </c>
      <c r="O65">
        <f t="shared" si="12"/>
        <v>8</v>
      </c>
      <c r="X65" t="s">
        <v>70</v>
      </c>
    </row>
    <row r="66" spans="10:29" x14ac:dyDescent="0.35">
      <c r="J66" t="s">
        <v>42</v>
      </c>
      <c r="L66">
        <f>L55</f>
        <v>26.652999999999999</v>
      </c>
      <c r="M66">
        <f>$M$15+3.5*$M$3</f>
        <v>92.5</v>
      </c>
      <c r="N66">
        <f>N55</f>
        <v>21.652999999999999</v>
      </c>
      <c r="O66">
        <f>O55</f>
        <v>8</v>
      </c>
      <c r="T66">
        <f>M66</f>
        <v>92.5</v>
      </c>
      <c r="X66" t="s">
        <v>47</v>
      </c>
      <c r="Z66">
        <f>Z55</f>
        <v>77.174999999999997</v>
      </c>
      <c r="AA66">
        <f t="shared" si="9"/>
        <v>92.5</v>
      </c>
      <c r="AB66">
        <f t="shared" si="10"/>
        <v>21.652999999999999</v>
      </c>
      <c r="AC66">
        <f t="shared" si="11"/>
        <v>8</v>
      </c>
    </row>
    <row r="68" spans="10:29" x14ac:dyDescent="0.35">
      <c r="J68" t="s">
        <v>61</v>
      </c>
      <c r="L68">
        <f>L54+L32</f>
        <v>0</v>
      </c>
      <c r="M68">
        <f>M58</f>
        <v>0</v>
      </c>
      <c r="N68">
        <f>ROUND(0.75*L4-L32,3)</f>
        <v>0</v>
      </c>
      <c r="O68">
        <f>O58</f>
        <v>0</v>
      </c>
    </row>
    <row r="69" spans="10:29" x14ac:dyDescent="0.35">
      <c r="J69" t="s">
        <v>38</v>
      </c>
      <c r="L69">
        <f>L55+L33</f>
        <v>34.652999999999999</v>
      </c>
      <c r="M69">
        <f>M61</f>
        <v>42.5</v>
      </c>
      <c r="N69">
        <f>ROUND(0.75*L5-L33,3)</f>
        <v>13.653</v>
      </c>
      <c r="O69">
        <f>O61</f>
        <v>8</v>
      </c>
      <c r="X69" t="s">
        <v>43</v>
      </c>
      <c r="Z69">
        <f>Z55</f>
        <v>77.174999999999997</v>
      </c>
      <c r="AA69">
        <f t="shared" ref="AA69:AA70" si="13">M69</f>
        <v>42.5</v>
      </c>
      <c r="AB69">
        <f t="shared" ref="AB69:AB70" si="14">N69</f>
        <v>13.653</v>
      </c>
      <c r="AC69">
        <f t="shared" ref="AC69:AC70" si="15">O69</f>
        <v>8</v>
      </c>
    </row>
    <row r="70" spans="10:29" x14ac:dyDescent="0.35">
      <c r="J70" t="s">
        <v>39</v>
      </c>
      <c r="L70">
        <f>L69</f>
        <v>34.652999999999999</v>
      </c>
      <c r="M70">
        <f>M64</f>
        <v>59.5</v>
      </c>
      <c r="N70">
        <f>N69</f>
        <v>13.653</v>
      </c>
      <c r="O70">
        <f>O69</f>
        <v>8</v>
      </c>
      <c r="X70" t="s">
        <v>48</v>
      </c>
      <c r="Z70">
        <f>Z55</f>
        <v>77.174999999999997</v>
      </c>
      <c r="AA70">
        <f t="shared" si="13"/>
        <v>59.5</v>
      </c>
      <c r="AB70">
        <f t="shared" si="14"/>
        <v>13.653</v>
      </c>
      <c r="AC70">
        <f t="shared" si="15"/>
        <v>8</v>
      </c>
    </row>
    <row r="73" spans="10:29" x14ac:dyDescent="0.35">
      <c r="J73" t="s">
        <v>51</v>
      </c>
      <c r="L73">
        <f>ROUND(L15+2*L5-N73/2,3)</f>
        <v>52.74</v>
      </c>
      <c r="M73">
        <f>T55+1</f>
        <v>10.5</v>
      </c>
      <c r="N73">
        <v>20</v>
      </c>
      <c r="O73">
        <v>6</v>
      </c>
    </row>
    <row r="74" spans="10:29" x14ac:dyDescent="0.35">
      <c r="J74" t="s">
        <v>50</v>
      </c>
      <c r="L74">
        <f>S55</f>
        <v>48.305</v>
      </c>
      <c r="M74">
        <f>T55+2</f>
        <v>11.5</v>
      </c>
      <c r="N74">
        <f>U61</f>
        <v>28.87</v>
      </c>
      <c r="O74">
        <v>4</v>
      </c>
    </row>
    <row r="76" spans="10:29" x14ac:dyDescent="0.35">
      <c r="J76" t="s">
        <v>57</v>
      </c>
      <c r="L76">
        <f>ROUND($L$15+3.25*$L$5-6,3)</f>
        <v>92.828000000000003</v>
      </c>
    </row>
    <row r="78" spans="10:29" x14ac:dyDescent="0.35">
      <c r="J78" t="s">
        <v>72</v>
      </c>
      <c r="L78">
        <f>ROUND($L$15+2.5*$L$5,3)</f>
        <v>77.174999999999997</v>
      </c>
      <c r="M78">
        <f>$M$15</f>
        <v>5</v>
      </c>
    </row>
    <row r="79" spans="10:29" x14ac:dyDescent="0.35">
      <c r="J79" t="s">
        <v>72</v>
      </c>
      <c r="L79">
        <f>ROUND($L$15+1.5*$L$5-2*L35,3)</f>
        <v>39.067</v>
      </c>
      <c r="M79">
        <f>$M$15</f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Connections</vt:lpstr>
      <vt:lpstr>Bricks</vt:lpstr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Gryphon, Sly</cp:lastModifiedBy>
  <dcterms:created xsi:type="dcterms:W3CDTF">2024-07-26T04:51:06Z</dcterms:created>
  <dcterms:modified xsi:type="dcterms:W3CDTF">2024-08-17T00:53:38Z</dcterms:modified>
</cp:coreProperties>
</file>