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hextiles\working\"/>
    </mc:Choice>
  </mc:AlternateContent>
  <xr:revisionPtr revIDLastSave="0" documentId="13_ncr:1_{B6AE85BD-CBD9-448A-ABEA-789E24C86F40}" xr6:coauthVersionLast="47" xr6:coauthVersionMax="47" xr10:uidLastSave="{00000000-0000-0000-0000-000000000000}"/>
  <bookViews>
    <workbookView xWindow="20760" yWindow="-15330" windowWidth="24450" windowHeight="14040" xr2:uid="{FF1B99F7-F5AF-49B6-8EDD-976A31B15329}"/>
  </bookViews>
  <sheets>
    <sheet name="Main Geomorph" sheetId="1" r:id="rId1"/>
    <sheet name="Geo 15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1" l="1"/>
  <c r="M60" i="1"/>
  <c r="L60" i="1"/>
  <c r="T54" i="1"/>
  <c r="N61" i="1"/>
  <c r="L61" i="1"/>
  <c r="G5" i="1"/>
  <c r="V51" i="1"/>
  <c r="U51" i="1"/>
  <c r="T51" i="1"/>
  <c r="Z39" i="1"/>
  <c r="Z52" i="1"/>
  <c r="Z51" i="1"/>
  <c r="Z54" i="1"/>
  <c r="AC57" i="1"/>
  <c r="AB57" i="1"/>
  <c r="AA57" i="1"/>
  <c r="AC56" i="1"/>
  <c r="AB56" i="1"/>
  <c r="AA56" i="1"/>
  <c r="Z57" i="1"/>
  <c r="Z56" i="1"/>
  <c r="O54" i="1"/>
  <c r="O53" i="1"/>
  <c r="N54" i="1"/>
  <c r="N53" i="1"/>
  <c r="AC54" i="1"/>
  <c r="AB54" i="1"/>
  <c r="AA54" i="1"/>
  <c r="AC53" i="1"/>
  <c r="AB53" i="1"/>
  <c r="AA53" i="1"/>
  <c r="Z53" i="1"/>
  <c r="AA51" i="1"/>
  <c r="AC51" i="1"/>
  <c r="AB51" i="1"/>
  <c r="N51" i="1"/>
  <c r="N56" i="1"/>
  <c r="O57" i="1"/>
  <c r="N57" i="1"/>
  <c r="M57" i="1"/>
  <c r="L57" i="1"/>
  <c r="M56" i="1"/>
  <c r="L56" i="1"/>
  <c r="O56" i="1"/>
  <c r="N49" i="1"/>
  <c r="L35" i="1"/>
  <c r="L43" i="1"/>
  <c r="S43" i="1"/>
  <c r="O49" i="1"/>
  <c r="O51" i="1" s="1"/>
  <c r="N43" i="1"/>
  <c r="L34" i="1"/>
  <c r="M43" i="1"/>
  <c r="O16" i="1"/>
  <c r="L18" i="1"/>
  <c r="D16" i="1"/>
  <c r="F18" i="1" s="1"/>
  <c r="C16" i="1"/>
  <c r="G16" i="1" s="1"/>
  <c r="G17" i="1" s="1"/>
  <c r="M18" i="2"/>
  <c r="L18" i="2"/>
  <c r="L5" i="2"/>
  <c r="P15" i="2" s="1"/>
  <c r="P17" i="2" s="1"/>
  <c r="Q17" i="2"/>
  <c r="O16" i="2"/>
  <c r="M15" i="2"/>
  <c r="L15" i="2"/>
  <c r="Q18" i="2"/>
  <c r="Q19" i="2" s="1"/>
  <c r="O17" i="2"/>
  <c r="O18" i="2" s="1"/>
  <c r="O19" i="2" s="1"/>
  <c r="L9" i="2"/>
  <c r="L10" i="2" s="1"/>
  <c r="M5" i="2"/>
  <c r="M4" i="2"/>
  <c r="M3" i="2"/>
  <c r="L12" i="2" s="1"/>
  <c r="D19" i="2"/>
  <c r="D18" i="2"/>
  <c r="D17" i="2"/>
  <c r="C18" i="2"/>
  <c r="C5" i="2"/>
  <c r="E15" i="2"/>
  <c r="E16" i="2" s="1"/>
  <c r="E17" i="2" s="1"/>
  <c r="F16" i="2"/>
  <c r="F17" i="2" s="1"/>
  <c r="D16" i="2"/>
  <c r="C16" i="2"/>
  <c r="C12" i="2"/>
  <c r="C9" i="2"/>
  <c r="F10" i="2" s="1"/>
  <c r="D5" i="2"/>
  <c r="D4" i="2"/>
  <c r="C5" i="1"/>
  <c r="E15" i="1" s="1"/>
  <c r="L9" i="1"/>
  <c r="C9" i="1"/>
  <c r="F10" i="1" s="1"/>
  <c r="C12" i="1"/>
  <c r="M3" i="1"/>
  <c r="L5" i="1" s="1"/>
  <c r="R15" i="1" s="1"/>
  <c r="D5" i="1"/>
  <c r="D4" i="1" s="1"/>
  <c r="M4" i="1" s="1"/>
  <c r="V49" i="1" l="1"/>
  <c r="L39" i="1"/>
  <c r="L40" i="1" s="1"/>
  <c r="L41" i="1" s="1"/>
  <c r="O39" i="1"/>
  <c r="O40" i="1" s="1"/>
  <c r="O41" i="1" s="1"/>
  <c r="M49" i="1"/>
  <c r="S49" i="1"/>
  <c r="Z49" i="1"/>
  <c r="M51" i="1"/>
  <c r="M53" i="1"/>
  <c r="U49" i="1"/>
  <c r="M54" i="1"/>
  <c r="L49" i="1"/>
  <c r="F16" i="1"/>
  <c r="F17" i="1"/>
  <c r="O43" i="1"/>
  <c r="L44" i="1"/>
  <c r="L45" i="1" s="1"/>
  <c r="L46" i="1" s="1"/>
  <c r="L47" i="1" s="1"/>
  <c r="O44" i="1"/>
  <c r="O45" i="1" s="1"/>
  <c r="O46" i="1" s="1"/>
  <c r="L21" i="1"/>
  <c r="L22" i="1" s="1"/>
  <c r="M21" i="1"/>
  <c r="M22" i="1" s="1"/>
  <c r="Q17" i="1"/>
  <c r="L10" i="1"/>
  <c r="R16" i="1" s="1"/>
  <c r="N13" i="1"/>
  <c r="N15" i="1"/>
  <c r="M18" i="1"/>
  <c r="C6" i="2"/>
  <c r="C10" i="2"/>
  <c r="P15" i="1"/>
  <c r="O17" i="1"/>
  <c r="O18" i="1" s="1"/>
  <c r="O19" i="1" s="1"/>
  <c r="T15" i="1"/>
  <c r="C6" i="1"/>
  <c r="L12" i="1"/>
  <c r="R13" i="1"/>
  <c r="C10" i="1"/>
  <c r="D17" i="1"/>
  <c r="H17" i="1" s="1"/>
  <c r="H16" i="1"/>
  <c r="M5" i="1"/>
  <c r="O47" i="1" l="1"/>
  <c r="M39" i="1"/>
  <c r="M40" i="1" s="1"/>
  <c r="M41" i="1" s="1"/>
  <c r="N16" i="1"/>
  <c r="N17" i="1" s="1"/>
  <c r="N18" i="1" s="1"/>
  <c r="N19" i="1" s="1"/>
  <c r="L54" i="1"/>
  <c r="L51" i="1"/>
  <c r="L50" i="1"/>
  <c r="T49" i="1"/>
  <c r="AA49" i="1"/>
  <c r="T16" i="1"/>
  <c r="M44" i="1"/>
  <c r="P17" i="1"/>
  <c r="P18" i="1" s="1"/>
  <c r="P19" i="1" s="1"/>
  <c r="E17" i="1"/>
  <c r="E16" i="1"/>
  <c r="E18" i="1" s="1"/>
  <c r="Q18" i="1"/>
  <c r="Q19" i="1" s="1"/>
  <c r="R13" i="2"/>
  <c r="N13" i="2"/>
  <c r="T15" i="2"/>
  <c r="T16" i="2" s="1"/>
  <c r="N15" i="2"/>
  <c r="R15" i="2"/>
  <c r="R16" i="2" s="1"/>
  <c r="P18" i="2"/>
  <c r="P19" i="2" s="1"/>
  <c r="C17" i="2"/>
  <c r="C17" i="1"/>
  <c r="M46" i="1" l="1"/>
  <c r="M47" i="1" s="1"/>
  <c r="M45" i="1"/>
  <c r="L52" i="1"/>
  <c r="L53" i="1"/>
  <c r="N16" i="2"/>
  <c r="N17" i="2" s="1"/>
  <c r="N18" i="2" s="1"/>
  <c r="N19" i="2" s="1"/>
</calcChain>
</file>

<file path=xl/sharedStrings.xml><?xml version="1.0" encoding="utf-8"?>
<sst xmlns="http://schemas.openxmlformats.org/spreadsheetml/2006/main" count="136" uniqueCount="59">
  <si>
    <t>width</t>
  </si>
  <si>
    <t>mm</t>
  </si>
  <si>
    <t>side/radius</t>
  </si>
  <si>
    <t>diameter</t>
  </si>
  <si>
    <t>hex</t>
  </si>
  <si>
    <t>stroke width</t>
  </si>
  <si>
    <t>total width</t>
  </si>
  <si>
    <t>x</t>
  </si>
  <si>
    <t>y</t>
  </si>
  <si>
    <t>half stroke</t>
  </si>
  <si>
    <t>half slope</t>
  </si>
  <si>
    <t>Edit &gt; Clone &gt; Create Tile Clone</t>
  </si>
  <si>
    <t>A</t>
  </si>
  <si>
    <t>B</t>
  </si>
  <si>
    <t>3x3, P1 (simple translation), shift X per column 50%</t>
  </si>
  <si>
    <t>2x2, P1 (simple translation), shift X per column 50%</t>
  </si>
  <si>
    <t>half</t>
  </si>
  <si>
    <t>2x2, PM (reflection+reflection), shift X per column 50%, shift Y per row 400%</t>
  </si>
  <si>
    <t>edge</t>
  </si>
  <si>
    <t>12x10, P1 (simple translation), shift X per column 50%</t>
  </si>
  <si>
    <t>11x9, P1 (simple translation), shift X per column 50%</t>
  </si>
  <si>
    <t>3x2, P1 (simple translation), shift X per column 1400%, shift Y per row 300%</t>
  </si>
  <si>
    <t>none</t>
  </si>
  <si>
    <t>1x2, P1 (simple translation), shift X per column 500%</t>
  </si>
  <si>
    <t>C</t>
  </si>
  <si>
    <t>D</t>
  </si>
  <si>
    <t>l3</t>
  </si>
  <si>
    <t>l4</t>
  </si>
  <si>
    <t>Walls</t>
  </si>
  <si>
    <t>vert left 1</t>
  </si>
  <si>
    <t>vert left 2</t>
  </si>
  <si>
    <t>h</t>
  </si>
  <si>
    <t>w</t>
  </si>
  <si>
    <t>vert left 3</t>
  </si>
  <si>
    <t>vert left 4</t>
  </si>
  <si>
    <t>vert left 5</t>
  </si>
  <si>
    <t>vert right 1</t>
  </si>
  <si>
    <t>slope</t>
  </si>
  <si>
    <t xml:space="preserve"> - top</t>
  </si>
  <si>
    <t>hor mid 1</t>
  </si>
  <si>
    <t>vert left A3</t>
  </si>
  <si>
    <t>vert left A2</t>
  </si>
  <si>
    <t>vert left A4</t>
  </si>
  <si>
    <t>hor left A2</t>
  </si>
  <si>
    <t>hor left B2</t>
  </si>
  <si>
    <t>hor left B3</t>
  </si>
  <si>
    <t>hor left A3 - top</t>
  </si>
  <si>
    <t>hor left B1 - bottom</t>
  </si>
  <si>
    <t>hor left B4 - top</t>
  </si>
  <si>
    <t>hor right B2</t>
  </si>
  <si>
    <t>hor right B1</t>
  </si>
  <si>
    <t>hor right A2</t>
  </si>
  <si>
    <t>hor right A3</t>
  </si>
  <si>
    <t>hor right B4</t>
  </si>
  <si>
    <t>hor right B3</t>
  </si>
  <si>
    <t>vert rigth A2</t>
  </si>
  <si>
    <t>hor mid 2</t>
  </si>
  <si>
    <t xml:space="preserve"> - line</t>
  </si>
  <si>
    <t>door - hor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</si>
</sst>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B072-E607-47EF-B931-ABD117479CC6}">
  <dimension ref="B2:AC61"/>
  <sheetViews>
    <sheetView tabSelected="1" topLeftCell="A40" workbookViewId="0">
      <selection activeCell="M62" sqref="M62"/>
    </sheetView>
  </sheetViews>
  <sheetFormatPr defaultRowHeight="14.5" x14ac:dyDescent="0.35"/>
  <cols>
    <col min="2" max="2" width="10.6328125" bestFit="1" customWidth="1"/>
  </cols>
  <sheetData>
    <row r="2" spans="2:21" x14ac:dyDescent="0.35">
      <c r="L2" t="s">
        <v>4</v>
      </c>
    </row>
    <row r="3" spans="2:21" x14ac:dyDescent="0.35">
      <c r="B3" t="s">
        <v>0</v>
      </c>
      <c r="D3">
        <v>100</v>
      </c>
      <c r="E3" t="s">
        <v>1</v>
      </c>
      <c r="M3">
        <f>D3/4</f>
        <v>25</v>
      </c>
      <c r="N3" t="s">
        <v>1</v>
      </c>
    </row>
    <row r="4" spans="2:21" x14ac:dyDescent="0.35">
      <c r="B4" t="s">
        <v>2</v>
      </c>
      <c r="D4">
        <f>D5/2</f>
        <v>57.5</v>
      </c>
      <c r="E4" t="s">
        <v>1</v>
      </c>
      <c r="M4">
        <f>D4/4</f>
        <v>14.375</v>
      </c>
      <c r="N4" t="s">
        <v>1</v>
      </c>
    </row>
    <row r="5" spans="2:21" x14ac:dyDescent="0.35">
      <c r="B5" t="s">
        <v>3</v>
      </c>
      <c r="C5">
        <f>ROUND(2*D3/SQRT(3),2)</f>
        <v>115.47</v>
      </c>
      <c r="D5">
        <f>ROUND(2*D3/SQRT(3),0)</f>
        <v>115</v>
      </c>
      <c r="E5" t="s">
        <v>1</v>
      </c>
      <c r="G5">
        <f>2.5*C5</f>
        <v>288.67500000000001</v>
      </c>
      <c r="L5">
        <f>ROUND(2*M3/SQRT(3),2)</f>
        <v>28.87</v>
      </c>
      <c r="M5">
        <f>D5/4</f>
        <v>28.75</v>
      </c>
      <c r="N5" t="s">
        <v>1</v>
      </c>
    </row>
    <row r="6" spans="2:21" x14ac:dyDescent="0.35">
      <c r="C6">
        <f>116.394-C5</f>
        <v>0.92400000000000659</v>
      </c>
    </row>
    <row r="8" spans="2:21" x14ac:dyDescent="0.35">
      <c r="B8" t="s">
        <v>5</v>
      </c>
      <c r="C8">
        <v>0.8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0.4</v>
      </c>
      <c r="L9">
        <f>L8/2</f>
        <v>0.1</v>
      </c>
    </row>
    <row r="10" spans="2:21" x14ac:dyDescent="0.35">
      <c r="B10" t="s">
        <v>10</v>
      </c>
      <c r="C10">
        <f>ROUND(2/SQRT(3)*C9,2)</f>
        <v>0.46</v>
      </c>
      <c r="F10">
        <f>ROUND(1/SQRT(3)*C9,2)</f>
        <v>0.23</v>
      </c>
      <c r="L10">
        <f>ROUND(2/SQRT(3)*L9,2)</f>
        <v>0.12</v>
      </c>
    </row>
    <row r="12" spans="2:21" x14ac:dyDescent="0.35">
      <c r="B12" t="s">
        <v>6</v>
      </c>
      <c r="C12">
        <f>D3+C8</f>
        <v>100.8</v>
      </c>
      <c r="L12">
        <f>M3+L8</f>
        <v>25.2</v>
      </c>
    </row>
    <row r="13" spans="2:21" x14ac:dyDescent="0.35">
      <c r="N13">
        <f>L15+C5/4-L5/4</f>
        <v>26.65</v>
      </c>
      <c r="R13">
        <f>L15+0.75*C5-0.75*L5</f>
        <v>69.949999999999989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5</v>
      </c>
      <c r="D15">
        <v>5</v>
      </c>
      <c r="E15">
        <f>ROUND(C15+0.75*C5,3)</f>
        <v>91.602999999999994</v>
      </c>
      <c r="K15">
        <v>0</v>
      </c>
      <c r="L15">
        <v>5</v>
      </c>
      <c r="M15">
        <v>5</v>
      </c>
      <c r="N15">
        <f>L15+0.75*$L$5</f>
        <v>26.6525</v>
      </c>
      <c r="P15">
        <f>L15+1.5*L5</f>
        <v>48.305</v>
      </c>
      <c r="R15">
        <f>L15+2.25*L5</f>
        <v>69.957499999999996</v>
      </c>
      <c r="T15">
        <f>L15+3*L5</f>
        <v>91.61</v>
      </c>
    </row>
    <row r="16" spans="2:21" x14ac:dyDescent="0.35">
      <c r="B16">
        <v>1</v>
      </c>
      <c r="C16">
        <f>C15</f>
        <v>5</v>
      </c>
      <c r="D16">
        <f>D15</f>
        <v>5</v>
      </c>
      <c r="E16" s="1">
        <f>E15</f>
        <v>91.602999999999994</v>
      </c>
      <c r="F16" s="1">
        <f>D16</f>
        <v>5</v>
      </c>
      <c r="G16">
        <f>ROUND(C16+1.5*C5,3)</f>
        <v>178.20500000000001</v>
      </c>
      <c r="H16">
        <f>D16</f>
        <v>5</v>
      </c>
      <c r="K16">
        <v>1</v>
      </c>
      <c r="N16">
        <f>ROUND(N15-$L$10,2)</f>
        <v>26.53</v>
      </c>
      <c r="O16">
        <f>M15</f>
        <v>5</v>
      </c>
      <c r="R16">
        <f>ROUND(R15-L10,2)</f>
        <v>69.84</v>
      </c>
      <c r="T16">
        <f>ROUND(T15-L10,2)</f>
        <v>91.49</v>
      </c>
    </row>
    <row r="17" spans="2:17" x14ac:dyDescent="0.35">
      <c r="B17">
        <v>2</v>
      </c>
      <c r="C17">
        <f>C16</f>
        <v>5</v>
      </c>
      <c r="D17">
        <f>D16+D3</f>
        <v>105</v>
      </c>
      <c r="E17">
        <f>E15</f>
        <v>91.602999999999994</v>
      </c>
      <c r="F17">
        <f>D16+(D3/2)</f>
        <v>55</v>
      </c>
      <c r="G17">
        <f>G16</f>
        <v>178.20500000000001</v>
      </c>
      <c r="H17">
        <f>D17</f>
        <v>105</v>
      </c>
      <c r="K17">
        <v>2</v>
      </c>
      <c r="N17">
        <f>N16</f>
        <v>26.53</v>
      </c>
      <c r="O17">
        <f>O16+$M$3</f>
        <v>30</v>
      </c>
      <c r="P17">
        <f>ROUND(P15,2)</f>
        <v>48.31</v>
      </c>
      <c r="Q17">
        <f>M15+0.5*$M$3</f>
        <v>17.5</v>
      </c>
    </row>
    <row r="18" spans="2:17" x14ac:dyDescent="0.35">
      <c r="E18">
        <f>E16</f>
        <v>91.602999999999994</v>
      </c>
      <c r="F18">
        <f>D16+1.5*D3</f>
        <v>155</v>
      </c>
      <c r="K18">
        <v>3</v>
      </c>
      <c r="L18">
        <f>L15</f>
        <v>5</v>
      </c>
      <c r="M18">
        <f>M15+1.5*M3</f>
        <v>42.5</v>
      </c>
      <c r="N18">
        <f t="shared" ref="N18:N19" si="0">N17</f>
        <v>26.53</v>
      </c>
      <c r="O18">
        <f t="shared" ref="O18:O19" si="1">O17+$M$3</f>
        <v>55</v>
      </c>
      <c r="P18">
        <f t="shared" ref="P18:P19" si="2">P17</f>
        <v>48.31</v>
      </c>
      <c r="Q18">
        <f>Q17+$M$3</f>
        <v>42.5</v>
      </c>
    </row>
    <row r="19" spans="2:17" x14ac:dyDescent="0.35">
      <c r="K19">
        <v>4</v>
      </c>
      <c r="N19">
        <f t="shared" si="0"/>
        <v>26.53</v>
      </c>
      <c r="O19">
        <f t="shared" si="1"/>
        <v>80</v>
      </c>
      <c r="P19">
        <f t="shared" si="2"/>
        <v>48.31</v>
      </c>
      <c r="Q19">
        <f>Q18+$M$3</f>
        <v>67.5</v>
      </c>
    </row>
    <row r="21" spans="2:17" x14ac:dyDescent="0.35">
      <c r="K21" t="s">
        <v>26</v>
      </c>
      <c r="L21">
        <f>ROUND(L18+0.25*L5,3)</f>
        <v>12.218</v>
      </c>
      <c r="M21">
        <f>M15+1.5*M3</f>
        <v>42.5</v>
      </c>
    </row>
    <row r="22" spans="2:17" x14ac:dyDescent="0.35">
      <c r="K22" t="s">
        <v>27</v>
      </c>
      <c r="L22">
        <f>L21</f>
        <v>12.218</v>
      </c>
      <c r="M22">
        <f>M21+M3</f>
        <v>67.5</v>
      </c>
    </row>
    <row r="24" spans="2:17" x14ac:dyDescent="0.35">
      <c r="L24" t="s">
        <v>12</v>
      </c>
      <c r="M24" t="s">
        <v>15</v>
      </c>
    </row>
    <row r="25" spans="2:17" x14ac:dyDescent="0.35">
      <c r="L25" t="s">
        <v>13</v>
      </c>
      <c r="M25" t="s">
        <v>22</v>
      </c>
    </row>
    <row r="26" spans="2:17" x14ac:dyDescent="0.35">
      <c r="L26" t="s">
        <v>18</v>
      </c>
      <c r="M26" t="s">
        <v>23</v>
      </c>
    </row>
    <row r="28" spans="2:17" x14ac:dyDescent="0.35">
      <c r="L28" t="s">
        <v>24</v>
      </c>
      <c r="M28" t="s">
        <v>15</v>
      </c>
    </row>
    <row r="29" spans="2:17" x14ac:dyDescent="0.35">
      <c r="L29" t="s">
        <v>25</v>
      </c>
      <c r="M29" t="s">
        <v>22</v>
      </c>
    </row>
    <row r="30" spans="2:17" x14ac:dyDescent="0.35">
      <c r="L30" t="s">
        <v>18</v>
      </c>
      <c r="M30" t="s">
        <v>23</v>
      </c>
    </row>
    <row r="33" spans="10:29" x14ac:dyDescent="0.35">
      <c r="K33" t="s">
        <v>0</v>
      </c>
      <c r="L33">
        <v>8</v>
      </c>
    </row>
    <row r="34" spans="10:29" x14ac:dyDescent="0.35">
      <c r="K34" t="s">
        <v>16</v>
      </c>
      <c r="L34">
        <f>L33/2</f>
        <v>4</v>
      </c>
    </row>
    <row r="35" spans="10:29" x14ac:dyDescent="0.35">
      <c r="K35" t="s">
        <v>37</v>
      </c>
      <c r="L35">
        <f>L33/SQRT(3)</f>
        <v>4.6188021535170067</v>
      </c>
    </row>
    <row r="37" spans="10:29" x14ac:dyDescent="0.35">
      <c r="J37" t="s">
        <v>28</v>
      </c>
      <c r="L37" t="s">
        <v>7</v>
      </c>
      <c r="M37" t="s">
        <v>8</v>
      </c>
      <c r="N37" t="s">
        <v>32</v>
      </c>
      <c r="O37" t="s">
        <v>31</v>
      </c>
      <c r="S37" t="s">
        <v>7</v>
      </c>
      <c r="T37" t="s">
        <v>8</v>
      </c>
      <c r="U37" t="s">
        <v>32</v>
      </c>
      <c r="V37" t="s">
        <v>31</v>
      </c>
      <c r="Z37" t="s">
        <v>7</v>
      </c>
      <c r="AA37" t="s">
        <v>8</v>
      </c>
      <c r="AB37" t="s">
        <v>32</v>
      </c>
      <c r="AC37" t="s">
        <v>31</v>
      </c>
    </row>
    <row r="39" spans="10:29" x14ac:dyDescent="0.35">
      <c r="J39" t="s">
        <v>41</v>
      </c>
      <c r="L39">
        <f>ROUND($L$15+0.75*$L$5,3)</f>
        <v>26.652999999999999</v>
      </c>
      <c r="M39">
        <f>M15+O43</f>
        <v>17.5</v>
      </c>
      <c r="N39">
        <v>8</v>
      </c>
      <c r="O39">
        <f>M3</f>
        <v>25</v>
      </c>
      <c r="X39" t="s">
        <v>55</v>
      </c>
      <c r="Z39">
        <f>ROUND($L$15+3.25*$L$5-L33,3)</f>
        <v>90.828000000000003</v>
      </c>
    </row>
    <row r="40" spans="10:29" x14ac:dyDescent="0.35">
      <c r="J40" t="s">
        <v>40</v>
      </c>
      <c r="L40">
        <f t="shared" ref="L40:L41" si="3">L39</f>
        <v>26.652999999999999</v>
      </c>
      <c r="M40">
        <f>M39+O$44</f>
        <v>42.5</v>
      </c>
      <c r="N40">
        <v>8</v>
      </c>
      <c r="O40">
        <f>O39</f>
        <v>25</v>
      </c>
    </row>
    <row r="41" spans="10:29" x14ac:dyDescent="0.35">
      <c r="J41" t="s">
        <v>42</v>
      </c>
      <c r="L41">
        <f t="shared" si="3"/>
        <v>26.652999999999999</v>
      </c>
      <c r="M41">
        <f>M40+O$44</f>
        <v>67.5</v>
      </c>
      <c r="N41">
        <v>8</v>
      </c>
      <c r="O41">
        <f>O40</f>
        <v>25</v>
      </c>
    </row>
    <row r="43" spans="10:29" x14ac:dyDescent="0.35">
      <c r="J43" t="s">
        <v>29</v>
      </c>
      <c r="L43">
        <f>L15+1.5*L5-L33</f>
        <v>40.305</v>
      </c>
      <c r="M43">
        <f>M15</f>
        <v>5</v>
      </c>
      <c r="N43">
        <f>L33</f>
        <v>8</v>
      </c>
      <c r="O43">
        <f>M3/2</f>
        <v>12.5</v>
      </c>
      <c r="Q43" t="s">
        <v>36</v>
      </c>
      <c r="S43">
        <f>L15+2.5*L5</f>
        <v>77.174999999999997</v>
      </c>
    </row>
    <row r="44" spans="10:29" x14ac:dyDescent="0.35">
      <c r="J44" t="s">
        <v>30</v>
      </c>
      <c r="L44">
        <f>L43</f>
        <v>40.305</v>
      </c>
      <c r="M44">
        <f>M43+O43</f>
        <v>17.5</v>
      </c>
      <c r="N44">
        <v>8</v>
      </c>
      <c r="O44">
        <f>M3</f>
        <v>25</v>
      </c>
    </row>
    <row r="45" spans="10:29" x14ac:dyDescent="0.35">
      <c r="J45" t="s">
        <v>33</v>
      </c>
      <c r="L45">
        <f t="shared" ref="L45:L47" si="4">L44</f>
        <v>40.305</v>
      </c>
      <c r="M45">
        <f>M44+O$44</f>
        <v>42.5</v>
      </c>
      <c r="N45">
        <v>8</v>
      </c>
      <c r="O45">
        <f>O44</f>
        <v>25</v>
      </c>
    </row>
    <row r="46" spans="10:29" x14ac:dyDescent="0.35">
      <c r="J46" t="s">
        <v>34</v>
      </c>
      <c r="L46">
        <f t="shared" si="4"/>
        <v>40.305</v>
      </c>
      <c r="M46">
        <f t="shared" ref="M46:M47" si="5">M45+O45</f>
        <v>67.5</v>
      </c>
      <c r="N46">
        <v>8</v>
      </c>
      <c r="O46">
        <f>O45</f>
        <v>25</v>
      </c>
    </row>
    <row r="47" spans="10:29" x14ac:dyDescent="0.35">
      <c r="J47" t="s">
        <v>35</v>
      </c>
      <c r="L47">
        <f t="shared" si="4"/>
        <v>40.305</v>
      </c>
      <c r="M47">
        <f t="shared" si="5"/>
        <v>92.5</v>
      </c>
      <c r="N47">
        <v>8</v>
      </c>
      <c r="O47">
        <f>O43</f>
        <v>12.5</v>
      </c>
    </row>
    <row r="49" spans="10:29" x14ac:dyDescent="0.35">
      <c r="J49" t="s">
        <v>47</v>
      </c>
      <c r="L49">
        <f>ROUND($L$15+0.75*$L$5,3)</f>
        <v>26.652999999999999</v>
      </c>
      <c r="M49">
        <f>$M$15+0.5*$M$3-$L$33</f>
        <v>9.5</v>
      </c>
      <c r="N49">
        <f>ROUND(0.75*L5,3)</f>
        <v>21.652999999999999</v>
      </c>
      <c r="O49">
        <f>L33</f>
        <v>8</v>
      </c>
      <c r="Q49" t="s">
        <v>39</v>
      </c>
      <c r="S49">
        <f>ROUND($L$15+1.5*$L$5,3)</f>
        <v>48.305</v>
      </c>
      <c r="T49">
        <f>M49</f>
        <v>9.5</v>
      </c>
      <c r="U49">
        <f>ROUND(L5,3)</f>
        <v>28.87</v>
      </c>
      <c r="V49">
        <f>O49</f>
        <v>8</v>
      </c>
      <c r="X49" t="s">
        <v>50</v>
      </c>
      <c r="Z49">
        <f>ROUND($L$15+2.5*$L$5,3)</f>
        <v>77.174999999999997</v>
      </c>
      <c r="AA49">
        <f>M49</f>
        <v>9.5</v>
      </c>
    </row>
    <row r="50" spans="10:29" x14ac:dyDescent="0.35">
      <c r="J50" t="s">
        <v>38</v>
      </c>
      <c r="L50">
        <f>ROUND(L49+L$35,3)</f>
        <v>31.271999999999998</v>
      </c>
    </row>
    <row r="51" spans="10:29" x14ac:dyDescent="0.35">
      <c r="J51" t="s">
        <v>43</v>
      </c>
      <c r="L51">
        <f>ROUND(L49-L5/2-L35,3)</f>
        <v>7.5990000000000002</v>
      </c>
      <c r="M51">
        <f>M15+M3*1.5</f>
        <v>42.5</v>
      </c>
      <c r="N51">
        <f>ROUND(0.5*L5+L33+L35,3)</f>
        <v>27.053999999999998</v>
      </c>
      <c r="O51">
        <f>O49</f>
        <v>8</v>
      </c>
      <c r="Q51" t="s">
        <v>56</v>
      </c>
      <c r="S51">
        <v>5</v>
      </c>
      <c r="T51">
        <f>M51</f>
        <v>42.5</v>
      </c>
      <c r="U51">
        <f t="shared" ref="U51:V51" si="6">U49</f>
        <v>28.87</v>
      </c>
      <c r="V51">
        <f t="shared" si="6"/>
        <v>8</v>
      </c>
      <c r="X51" t="s">
        <v>51</v>
      </c>
      <c r="Z51">
        <f>ROUND($L$15+3.25*$L$5-L33,3)</f>
        <v>90.828000000000003</v>
      </c>
      <c r="AA51">
        <f>M51</f>
        <v>42.5</v>
      </c>
      <c r="AB51">
        <f>N51</f>
        <v>27.053999999999998</v>
      </c>
      <c r="AC51">
        <f>O51</f>
        <v>8</v>
      </c>
    </row>
    <row r="52" spans="10:29" x14ac:dyDescent="0.35">
      <c r="J52" t="s">
        <v>38</v>
      </c>
      <c r="L52">
        <f>ROUND(L51+L$35,3)</f>
        <v>12.218</v>
      </c>
      <c r="X52" t="s">
        <v>38</v>
      </c>
      <c r="Z52">
        <f>ROUND(Z51+AB51-$L$35,3)</f>
        <v>113.26300000000001</v>
      </c>
    </row>
    <row r="53" spans="10:29" x14ac:dyDescent="0.35">
      <c r="J53" t="s">
        <v>46</v>
      </c>
      <c r="L53">
        <f>L51</f>
        <v>7.5990000000000002</v>
      </c>
      <c r="M53">
        <f>$M$15+2.5*$M$3-$L$33</f>
        <v>59.5</v>
      </c>
      <c r="N53">
        <f>N51</f>
        <v>27.053999999999998</v>
      </c>
      <c r="O53">
        <f>O51</f>
        <v>8</v>
      </c>
      <c r="X53" t="s">
        <v>52</v>
      </c>
      <c r="Z53">
        <f>Z51</f>
        <v>90.828000000000003</v>
      </c>
      <c r="AA53">
        <f t="shared" ref="AA53:AA54" si="7">M53</f>
        <v>59.5</v>
      </c>
      <c r="AB53">
        <f t="shared" ref="AB53:AB54" si="8">N53</f>
        <v>27.053999999999998</v>
      </c>
      <c r="AC53">
        <f t="shared" ref="AC53:AC54" si="9">O53</f>
        <v>8</v>
      </c>
    </row>
    <row r="54" spans="10:29" x14ac:dyDescent="0.35">
      <c r="J54" t="s">
        <v>48</v>
      </c>
      <c r="L54">
        <f>L49</f>
        <v>26.652999999999999</v>
      </c>
      <c r="M54">
        <f>$M$15+3.5*$M$3</f>
        <v>92.5</v>
      </c>
      <c r="N54">
        <f>N49</f>
        <v>21.652999999999999</v>
      </c>
      <c r="O54">
        <f>O49</f>
        <v>8</v>
      </c>
      <c r="T54">
        <f>M54</f>
        <v>92.5</v>
      </c>
      <c r="X54" t="s">
        <v>53</v>
      </c>
      <c r="Z54">
        <f>Z49</f>
        <v>77.174999999999997</v>
      </c>
      <c r="AA54">
        <f t="shared" si="7"/>
        <v>92.5</v>
      </c>
      <c r="AB54">
        <f t="shared" si="8"/>
        <v>21.652999999999999</v>
      </c>
      <c r="AC54">
        <f t="shared" si="9"/>
        <v>8</v>
      </c>
    </row>
    <row r="56" spans="10:29" x14ac:dyDescent="0.35">
      <c r="J56" t="s">
        <v>44</v>
      </c>
      <c r="L56">
        <f>L49+L33</f>
        <v>34.652999999999999</v>
      </c>
      <c r="M56">
        <f>M51</f>
        <v>42.5</v>
      </c>
      <c r="N56">
        <f>ROUND(0.75*L5-L33,3)</f>
        <v>13.653</v>
      </c>
      <c r="O56">
        <f>O51</f>
        <v>8</v>
      </c>
      <c r="X56" t="s">
        <v>49</v>
      </c>
      <c r="Z56">
        <f>Z49</f>
        <v>77.174999999999997</v>
      </c>
      <c r="AA56">
        <f t="shared" ref="AA56:AA57" si="10">M56</f>
        <v>42.5</v>
      </c>
      <c r="AB56">
        <f t="shared" ref="AB56:AB57" si="11">N56</f>
        <v>13.653</v>
      </c>
      <c r="AC56">
        <f t="shared" ref="AC56:AC57" si="12">O56</f>
        <v>8</v>
      </c>
    </row>
    <row r="57" spans="10:29" x14ac:dyDescent="0.35">
      <c r="J57" t="s">
        <v>45</v>
      </c>
      <c r="L57">
        <f>L56</f>
        <v>34.652999999999999</v>
      </c>
      <c r="M57">
        <f>M53</f>
        <v>59.5</v>
      </c>
      <c r="N57">
        <f>N56</f>
        <v>13.653</v>
      </c>
      <c r="O57">
        <f>O56</f>
        <v>8</v>
      </c>
      <c r="X57" t="s">
        <v>54</v>
      </c>
      <c r="Z57">
        <f>Z49</f>
        <v>77.174999999999997</v>
      </c>
      <c r="AA57">
        <f t="shared" si="10"/>
        <v>59.5</v>
      </c>
      <c r="AB57">
        <f t="shared" si="11"/>
        <v>13.653</v>
      </c>
      <c r="AC57">
        <f t="shared" si="12"/>
        <v>8</v>
      </c>
    </row>
    <row r="60" spans="10:29" x14ac:dyDescent="0.35">
      <c r="J60" t="s">
        <v>58</v>
      </c>
      <c r="L60">
        <f>ROUND(L15+2*L5-N60/2,3)</f>
        <v>52.74</v>
      </c>
      <c r="M60">
        <f>T49+1</f>
        <v>10.5</v>
      </c>
      <c r="N60">
        <v>20</v>
      </c>
      <c r="O60">
        <v>6</v>
      </c>
    </row>
    <row r="61" spans="10:29" x14ac:dyDescent="0.35">
      <c r="J61" t="s">
        <v>57</v>
      </c>
      <c r="L61">
        <f>S49</f>
        <v>48.305</v>
      </c>
      <c r="M61">
        <f>T49+2</f>
        <v>11.5</v>
      </c>
      <c r="N61">
        <f>U51</f>
        <v>28.87</v>
      </c>
      <c r="O6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A5BC-8263-4306-A02D-42C7263AD0FC}">
  <dimension ref="B2:U27"/>
  <sheetViews>
    <sheetView workbookViewId="0">
      <selection activeCell="L25" sqref="L25:M27"/>
    </sheetView>
  </sheetViews>
  <sheetFormatPr defaultRowHeight="14.5" x14ac:dyDescent="0.35"/>
  <sheetData>
    <row r="2" spans="2:21" x14ac:dyDescent="0.35">
      <c r="L2" t="s">
        <v>4</v>
      </c>
    </row>
    <row r="3" spans="2:21" x14ac:dyDescent="0.35">
      <c r="B3" t="s">
        <v>0</v>
      </c>
      <c r="D3">
        <v>60</v>
      </c>
      <c r="E3" t="s">
        <v>1</v>
      </c>
      <c r="M3">
        <f>D3/4</f>
        <v>15</v>
      </c>
      <c r="N3" t="s">
        <v>1</v>
      </c>
    </row>
    <row r="4" spans="2:21" x14ac:dyDescent="0.35">
      <c r="B4" t="s">
        <v>2</v>
      </c>
      <c r="D4">
        <f>D5/2</f>
        <v>34.5</v>
      </c>
      <c r="E4" t="s">
        <v>1</v>
      </c>
      <c r="M4">
        <f>D4/4</f>
        <v>8.625</v>
      </c>
      <c r="N4" t="s">
        <v>1</v>
      </c>
    </row>
    <row r="5" spans="2:21" x14ac:dyDescent="0.35">
      <c r="B5" t="s">
        <v>3</v>
      </c>
      <c r="C5">
        <f>ROUND(2*D3/SQRT(3),3)</f>
        <v>69.281999999999996</v>
      </c>
      <c r="D5">
        <f>ROUND(2*D3/SQRT(3),0)</f>
        <v>69</v>
      </c>
      <c r="E5" t="s">
        <v>1</v>
      </c>
      <c r="L5">
        <f>ROUND(2*M3/SQRT(3),3)</f>
        <v>17.321000000000002</v>
      </c>
      <c r="M5">
        <f>D5/4</f>
        <v>17.25</v>
      </c>
      <c r="N5" t="s">
        <v>1</v>
      </c>
    </row>
    <row r="6" spans="2:21" x14ac:dyDescent="0.35">
      <c r="C6">
        <f>116.394-C5</f>
        <v>47.112000000000009</v>
      </c>
    </row>
    <row r="8" spans="2:21" x14ac:dyDescent="0.35">
      <c r="B8" t="s">
        <v>5</v>
      </c>
      <c r="C8">
        <v>0.6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0.3</v>
      </c>
      <c r="L9">
        <f>L8/2</f>
        <v>0.1</v>
      </c>
    </row>
    <row r="10" spans="2:21" x14ac:dyDescent="0.35">
      <c r="B10" t="s">
        <v>10</v>
      </c>
      <c r="C10">
        <f>ROUND(2/SQRT(3)*C9,2)</f>
        <v>0.35</v>
      </c>
      <c r="F10">
        <f>ROUND(1/SQRT(3)*C9,2)</f>
        <v>0.17</v>
      </c>
      <c r="L10">
        <f>ROUND(2/SQRT(3)*L9,2)</f>
        <v>0.12</v>
      </c>
    </row>
    <row r="12" spans="2:21" x14ac:dyDescent="0.35">
      <c r="B12" t="s">
        <v>6</v>
      </c>
      <c r="C12">
        <f>D3+C8</f>
        <v>60.6</v>
      </c>
      <c r="L12">
        <f>M3+L8</f>
        <v>15.2</v>
      </c>
    </row>
    <row r="13" spans="2:21" x14ac:dyDescent="0.35">
      <c r="N13">
        <f>L15+C5/4-L5/4</f>
        <v>22.99025</v>
      </c>
      <c r="R13">
        <f>L15+0.75*C5-0.75*L5</f>
        <v>48.970749999999995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10</v>
      </c>
      <c r="D15">
        <v>15</v>
      </c>
      <c r="E15" s="2">
        <f>ROUND(C15+0.75*C5,3)</f>
        <v>61.962000000000003</v>
      </c>
      <c r="K15">
        <v>0</v>
      </c>
      <c r="L15">
        <f>C15</f>
        <v>10</v>
      </c>
      <c r="M15">
        <f>D15</f>
        <v>15</v>
      </c>
      <c r="N15">
        <f>L15+0.75*$L$5</f>
        <v>22.990750000000002</v>
      </c>
      <c r="P15">
        <f>L15+1.5*L5</f>
        <v>35.981500000000004</v>
      </c>
      <c r="R15">
        <f>L15+2.25*L5</f>
        <v>48.972250000000003</v>
      </c>
      <c r="T15">
        <f>L15+3*L5</f>
        <v>61.963000000000008</v>
      </c>
    </row>
    <row r="16" spans="2:21" x14ac:dyDescent="0.35">
      <c r="B16">
        <v>1</v>
      </c>
      <c r="C16">
        <f>C15</f>
        <v>10</v>
      </c>
      <c r="D16">
        <f>D15</f>
        <v>15</v>
      </c>
      <c r="E16" s="2">
        <f>E15</f>
        <v>61.962000000000003</v>
      </c>
      <c r="F16">
        <f>D15</f>
        <v>15</v>
      </c>
      <c r="K16">
        <v>1</v>
      </c>
      <c r="N16">
        <f>ROUND(N15,3)</f>
        <v>22.991</v>
      </c>
      <c r="O16">
        <f>M15</f>
        <v>15</v>
      </c>
      <c r="R16">
        <f>ROUND(R15-L10,2)</f>
        <v>48.85</v>
      </c>
      <c r="T16">
        <f>ROUND(T15-L10,2)</f>
        <v>61.84</v>
      </c>
    </row>
    <row r="17" spans="2:17" x14ac:dyDescent="0.35">
      <c r="B17">
        <v>2</v>
      </c>
      <c r="C17">
        <f>C16</f>
        <v>10</v>
      </c>
      <c r="D17">
        <f>D16+$D$3</f>
        <v>75</v>
      </c>
      <c r="E17" s="2">
        <f>E16</f>
        <v>61.962000000000003</v>
      </c>
      <c r="F17">
        <f>F16+0.5*D3</f>
        <v>45</v>
      </c>
      <c r="K17">
        <v>2</v>
      </c>
      <c r="N17">
        <f>N16</f>
        <v>22.991</v>
      </c>
      <c r="O17">
        <f>O16+$M$3</f>
        <v>30</v>
      </c>
      <c r="P17">
        <f>ROUND(P15,3)</f>
        <v>35.981999999999999</v>
      </c>
      <c r="Q17">
        <f>M15+0.5*$M$3</f>
        <v>22.5</v>
      </c>
    </row>
    <row r="18" spans="2:17" x14ac:dyDescent="0.35">
      <c r="B18">
        <v>3</v>
      </c>
      <c r="C18">
        <f>C17</f>
        <v>10</v>
      </c>
      <c r="D18">
        <f>D17+$D$3</f>
        <v>135</v>
      </c>
      <c r="K18">
        <v>3</v>
      </c>
      <c r="L18">
        <f>L15</f>
        <v>10</v>
      </c>
      <c r="M18">
        <f>M15+1.5*M3</f>
        <v>37.5</v>
      </c>
      <c r="N18">
        <f t="shared" ref="N18:N19" si="0">N17</f>
        <v>22.991</v>
      </c>
      <c r="O18">
        <f t="shared" ref="O18:O19" si="1">O17+$M$3</f>
        <v>45</v>
      </c>
      <c r="P18">
        <f t="shared" ref="P18:P19" si="2">P17</f>
        <v>35.981999999999999</v>
      </c>
      <c r="Q18">
        <f>Q17+$M$3</f>
        <v>37.5</v>
      </c>
    </row>
    <row r="19" spans="2:17" x14ac:dyDescent="0.35">
      <c r="B19">
        <v>4</v>
      </c>
      <c r="D19">
        <f>D18+$D$3</f>
        <v>195</v>
      </c>
      <c r="K19">
        <v>4</v>
      </c>
      <c r="N19">
        <f t="shared" si="0"/>
        <v>22.991</v>
      </c>
      <c r="O19">
        <f t="shared" si="1"/>
        <v>60</v>
      </c>
      <c r="P19">
        <f t="shared" si="2"/>
        <v>35.981999999999999</v>
      </c>
      <c r="Q19">
        <f>Q18+$M$3</f>
        <v>52.5</v>
      </c>
    </row>
    <row r="23" spans="2:17" x14ac:dyDescent="0.35">
      <c r="B23" t="s">
        <v>11</v>
      </c>
    </row>
    <row r="25" spans="2:17" x14ac:dyDescent="0.35">
      <c r="B25" t="s">
        <v>12</v>
      </c>
      <c r="C25" t="s">
        <v>14</v>
      </c>
      <c r="L25" t="s">
        <v>12</v>
      </c>
      <c r="M25" t="s">
        <v>19</v>
      </c>
    </row>
    <row r="26" spans="2:17" x14ac:dyDescent="0.35">
      <c r="B26" t="s">
        <v>13</v>
      </c>
      <c r="C26" t="s">
        <v>15</v>
      </c>
      <c r="L26" t="s">
        <v>13</v>
      </c>
      <c r="M26" t="s">
        <v>20</v>
      </c>
    </row>
    <row r="27" spans="2:17" x14ac:dyDescent="0.35">
      <c r="B27" t="s">
        <v>16</v>
      </c>
      <c r="C27" t="s">
        <v>17</v>
      </c>
      <c r="L27" t="s">
        <v>18</v>
      </c>
      <c r="M27" t="s">
        <v>21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Geomorph</vt:lpstr>
      <vt:lpstr>Geo 15mm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Gryphon, Sly</dc:creator>
  <cp:lastModifiedBy>Gryphon, Sly</cp:lastModifiedBy>
  <dcterms:created xsi:type="dcterms:W3CDTF">2024-07-26T04:51:06Z</dcterms:created>
  <dcterms:modified xsi:type="dcterms:W3CDTF">2024-07-28T07:47:33Z</dcterms:modified>
</cp:coreProperties>
</file>