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5480" windowHeight="9825" tabRatio="671" activeTab="1"/>
  </bookViews>
  <sheets>
    <sheet name="Flyback" sheetId="1" r:id="rId1"/>
    <sheet name="Transformer" sheetId="2" r:id="rId2"/>
    <sheet name="Power Losses" sheetId="8" r:id="rId3"/>
    <sheet name="Wire Table" sheetId="4" r:id="rId4"/>
    <sheet name="Converters" sheetId="3" r:id="rId5"/>
    <sheet name="Cores and bobbins" sheetId="9" r:id="rId6"/>
    <sheet name="xl_DCF_History" sheetId="5" state="veryHidden" r:id="rId7"/>
    <sheet name="Classified as UnClassified" sheetId="6" state="hidden" r:id="rId8"/>
  </sheets>
  <definedNames>
    <definedName name="_KL1">Flyback!$I$12/100</definedName>
    <definedName name="_KL2">Flyback!$I$13/100</definedName>
    <definedName name="_KL3">Flyback!$I$14/100</definedName>
    <definedName name="_KL4">Flyback!$I$15/100</definedName>
    <definedName name="_KL5">Flyback!$I$16/100</definedName>
    <definedName name="_KL6">Flyback!$I$17/100</definedName>
    <definedName name="_KLc">Flyback!$I$18/100</definedName>
    <definedName name="_Nc">Flyback!$I$56</definedName>
    <definedName name="_Ns1">Flyback!$I$57</definedName>
    <definedName name="_Ns2">Flyback!$I$58</definedName>
    <definedName name="_Ns3">Flyback!$I$59</definedName>
    <definedName name="_Ns4">Flyback!$I$60</definedName>
    <definedName name="_Ns5">Flyback!$I$61</definedName>
    <definedName name="_Ns6">Flyback!$I$62</definedName>
    <definedName name="_VF1">Flyback!$E$57</definedName>
    <definedName name="_VF2">Flyback!$E$58</definedName>
    <definedName name="_VF3">Flyback!$E$59</definedName>
    <definedName name="_VF4">Flyback!$E$60</definedName>
    <definedName name="_VF5">Flyback!$E$61</definedName>
    <definedName name="_VF6">Flyback!$E$62</definedName>
    <definedName name="_Vo1">Flyback!$C$12</definedName>
    <definedName name="_Vo2">Flyback!$C$13</definedName>
    <definedName name="_Vo3">Flyback!$C$14</definedName>
    <definedName name="_Vo4">Flyback!$C$15</definedName>
    <definedName name="_Vo5">Flyback!$C$16</definedName>
    <definedName name="_Vo6">Flyback!$C$17</definedName>
    <definedName name="Ae">Flyback!$C$50</definedName>
    <definedName name="AL">Flyback!$C$65</definedName>
    <definedName name="Bsat">Flyback!$C$49</definedName>
    <definedName name="Cdc">Flyback!$C$24/1000000</definedName>
    <definedName name="Co_1">Flyback!$C$98</definedName>
    <definedName name="Co_2">Flyback!$C$99</definedName>
    <definedName name="Co_3">Flyback!$C$100</definedName>
    <definedName name="Co_4">Flyback!$C$101</definedName>
    <definedName name="Co_5">Flyback!$C$102</definedName>
    <definedName name="Co_6">Flyback!$C$103</definedName>
    <definedName name="Coss">'Power Losses'!$C$8</definedName>
    <definedName name="D_act">'Power Losses'!$C$29</definedName>
    <definedName name="Dmax">Flyback!$C$29</definedName>
    <definedName name="Eff">Flyback!$C$20/100</definedName>
    <definedName name="Eff_act">'Power Losses'!$C$26/100</definedName>
    <definedName name="fi">Flyback!$G$135</definedName>
    <definedName name="fL">Flyback!$C$9</definedName>
    <definedName name="fp">Flyback!$G$137</definedName>
    <definedName name="fp_1">Flyback!$G$123</definedName>
    <definedName name="fs">Flyback!$C$35*1000</definedName>
    <definedName name="Fsmin">Flyback!$C$35*1000</definedName>
    <definedName name="Fsw">'Power Losses'!$C$7*1000</definedName>
    <definedName name="fz">Flyback!$G$136</definedName>
    <definedName name="fz_1">Flyback!$G$121</definedName>
    <definedName name="fzr">Flyback!$G$122</definedName>
    <definedName name="Idspk_act">'Power Losses'!$C$30</definedName>
    <definedName name="Idsrms_act">'Power Losses'!$C$31</definedName>
    <definedName name="Ilim">Flyback!$C$46</definedName>
    <definedName name="Io_1">Flyback!$E$12</definedName>
    <definedName name="Io_2">Flyback!$E$13</definedName>
    <definedName name="Io_3">Flyback!$E$14</definedName>
    <definedName name="Io_4">Flyback!$E$15</definedName>
    <definedName name="Io_5">Flyback!$E$16</definedName>
    <definedName name="Io_6">Flyback!$E$17</definedName>
    <definedName name="Io1rms">Flyback!$G$73</definedName>
    <definedName name="Io2rms">Flyback!$G$74</definedName>
    <definedName name="Io3rms">Flyback!$G$75</definedName>
    <definedName name="Io4rms">Flyback!$G$76</definedName>
    <definedName name="Io5rms">Flyback!$G$77</definedName>
    <definedName name="Io6rms">Flyback!$G$78</definedName>
    <definedName name="Iop">'Power Losses'!$C$9</definedName>
    <definedName name="Ipk">Flyback!$C$38</definedName>
    <definedName name="Irms">Flyback!$C$39</definedName>
    <definedName name="k_1">Flyback!$C$120</definedName>
    <definedName name="KRF">Flyback!$C$36</definedName>
    <definedName name="Llk">Flyback!$C$108</definedName>
    <definedName name="Lm">Flyback!$C$37/1000000</definedName>
    <definedName name="Nc" localSheetId="5">Transformer!#REF!</definedName>
    <definedName name="Nc">Transformer!#REF!</definedName>
    <definedName name="Np">Flyback!$I$63</definedName>
    <definedName name="Pin">Flyback!$C$21</definedName>
    <definedName name="Pin_act">'Power Losses'!$C$27</definedName>
    <definedName name="Po">Flyback!$C$19</definedName>
    <definedName name="Pout_act">'Power Losses'!$C$24</definedName>
    <definedName name="R_1">Flyback!$C$125</definedName>
    <definedName name="Rc_1">Flyback!$E$98</definedName>
    <definedName name="Rc_2">Flyback!$E$99</definedName>
    <definedName name="Rc_3">Flyback!$E$100</definedName>
    <definedName name="Rc_4">Flyback!$E$101</definedName>
    <definedName name="Rc_5">Flyback!$E$102</definedName>
    <definedName name="Rc_6">Flyback!$E$103</definedName>
    <definedName name="Tf">'Power Losses'!$C$6</definedName>
    <definedName name="Tr">'Power Losses'!$C$5</definedName>
    <definedName name="V_line_max">Flyback!$C$8</definedName>
    <definedName name="V_line_min">Flyback!$C$7</definedName>
    <definedName name="Vac_act">'Power Losses'!$C$25</definedName>
    <definedName name="Vcc">Flyback!$C$18</definedName>
    <definedName name="Vdc_act">'Power Losses'!$C$28</definedName>
    <definedName name="Vdc_max">Flyback!$C$26</definedName>
    <definedName name="Vdc_min">Flyback!$C$25</definedName>
    <definedName name="Vdd">'Power Losses'!$C$10</definedName>
    <definedName name="Vfb">Flyback!$C$132</definedName>
    <definedName name="VFC">Flyback!$E$56</definedName>
    <definedName name="VRO">Flyback!$C$31</definedName>
    <definedName name="Vsn">Flyback!$C$109</definedName>
    <definedName name="Zfb">Flyback!$C$133</definedName>
  </definedNames>
  <calcPr calcId="145621"/>
</workbook>
</file>

<file path=xl/calcChain.xml><?xml version="1.0" encoding="utf-8"?>
<calcChain xmlns="http://schemas.openxmlformats.org/spreadsheetml/2006/main">
  <c r="C65" i="8" l="1"/>
  <c r="AE49" i="8"/>
  <c r="P49" i="8"/>
  <c r="P47" i="8"/>
  <c r="G18" i="1"/>
  <c r="Q49" i="8" l="1"/>
  <c r="R49" i="8" s="1"/>
  <c r="N35" i="2"/>
  <c r="N48" i="2"/>
  <c r="N59" i="2"/>
  <c r="N60" i="2" s="1"/>
  <c r="N70" i="2"/>
  <c r="N71" i="2" s="1"/>
  <c r="N81" i="2"/>
  <c r="N82" i="2" s="1"/>
  <c r="N92" i="2"/>
  <c r="N93" i="2" s="1"/>
  <c r="N103" i="2"/>
  <c r="N104" i="2" s="1"/>
  <c r="N114" i="2"/>
  <c r="N115" i="2" s="1"/>
  <c r="S49" i="8" l="1"/>
  <c r="C78" i="1"/>
  <c r="C77" i="1"/>
  <c r="C76" i="1"/>
  <c r="C75" i="1"/>
  <c r="C74" i="1"/>
  <c r="C73" i="1"/>
  <c r="C72" i="1"/>
  <c r="C71" i="1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5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9" i="4"/>
  <c r="I40" i="4"/>
  <c r="I41" i="4"/>
  <c r="I42" i="4"/>
  <c r="I43" i="4"/>
  <c r="N49" i="2" s="1"/>
  <c r="I44" i="4"/>
  <c r="I45" i="4"/>
  <c r="I46" i="4"/>
  <c r="I47" i="4"/>
  <c r="I48" i="4"/>
  <c r="I38" i="4"/>
  <c r="N36" i="2" s="1"/>
  <c r="T49" i="8" l="1"/>
  <c r="N37" i="2"/>
  <c r="C27" i="8"/>
  <c r="U49" i="8" l="1"/>
  <c r="C28" i="8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M42" i="1"/>
  <c r="C35" i="1" l="1"/>
  <c r="V49" i="8"/>
  <c r="C43" i="1"/>
  <c r="I57" i="1"/>
  <c r="G56" i="1" s="1"/>
  <c r="C62" i="1"/>
  <c r="C61" i="1"/>
  <c r="C60" i="1"/>
  <c r="C59" i="1"/>
  <c r="C58" i="1"/>
  <c r="C57" i="1"/>
  <c r="W49" i="8" l="1"/>
  <c r="N129" i="2"/>
  <c r="X49" i="8" l="1"/>
  <c r="C3" i="8"/>
  <c r="C9" i="8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M41" i="1"/>
  <c r="Y49" i="8" l="1"/>
  <c r="G61" i="1"/>
  <c r="I61" i="1" s="1"/>
  <c r="N100" i="2" s="1"/>
  <c r="N105" i="2" s="1"/>
  <c r="N106" i="2" s="1"/>
  <c r="G58" i="1"/>
  <c r="I58" i="1" s="1"/>
  <c r="N67" i="2" s="1"/>
  <c r="N72" i="2" s="1"/>
  <c r="N73" i="2" s="1"/>
  <c r="G60" i="1"/>
  <c r="I60" i="1" s="1"/>
  <c r="G62" i="1"/>
  <c r="I62" i="1" s="1"/>
  <c r="N111" i="2" s="1"/>
  <c r="N116" i="2" s="1"/>
  <c r="N117" i="2" s="1"/>
  <c r="I56" i="1"/>
  <c r="N45" i="2" s="1"/>
  <c r="N50" i="2" s="1"/>
  <c r="N51" i="2" s="1"/>
  <c r="G59" i="1"/>
  <c r="I59" i="1" s="1"/>
  <c r="N78" i="2" s="1"/>
  <c r="N83" i="2" s="1"/>
  <c r="N84" i="2" s="1"/>
  <c r="N56" i="2"/>
  <c r="N61" i="2" s="1"/>
  <c r="N62" i="2" s="1"/>
  <c r="E44" i="1"/>
  <c r="C4" i="8"/>
  <c r="C6" i="8"/>
  <c r="C8" i="8"/>
  <c r="C10" i="8"/>
  <c r="C5" i="8"/>
  <c r="C7" i="8"/>
  <c r="Q57" i="8" l="1"/>
  <c r="S57" i="8"/>
  <c r="U57" i="8"/>
  <c r="W57" i="8"/>
  <c r="Y57" i="8"/>
  <c r="AA57" i="8"/>
  <c r="AC57" i="8"/>
  <c r="AE57" i="8"/>
  <c r="C36" i="8"/>
  <c r="T57" i="8"/>
  <c r="V57" i="8"/>
  <c r="X57" i="8"/>
  <c r="Z57" i="8"/>
  <c r="AD57" i="8"/>
  <c r="P57" i="8"/>
  <c r="R57" i="8"/>
  <c r="AB57" i="8"/>
  <c r="Z49" i="8"/>
  <c r="C18" i="8"/>
  <c r="N89" i="2"/>
  <c r="N94" i="2" s="1"/>
  <c r="N95" i="2" s="1"/>
  <c r="C5" i="2"/>
  <c r="AA49" i="8" l="1"/>
  <c r="Y15" i="2"/>
  <c r="Y30" i="2" s="1"/>
  <c r="AA21" i="2"/>
  <c r="Z21" i="2"/>
  <c r="AA20" i="2"/>
  <c r="Z20" i="2"/>
  <c r="X19" i="2"/>
  <c r="AA14" i="2" s="1"/>
  <c r="AA29" i="2" s="1"/>
  <c r="X18" i="2"/>
  <c r="Z14" i="2" s="1"/>
  <c r="Z29" i="2" s="1"/>
  <c r="AA16" i="2"/>
  <c r="AA31" i="2" s="1"/>
  <c r="Z16" i="2"/>
  <c r="Z31" i="2" s="1"/>
  <c r="AA15" i="2"/>
  <c r="AA30" i="2" s="1"/>
  <c r="Z15" i="2"/>
  <c r="Z30" i="2" s="1"/>
  <c r="AA13" i="2"/>
  <c r="AA28" i="2" s="1"/>
  <c r="Z13" i="2"/>
  <c r="Z28" i="2" s="1"/>
  <c r="AA12" i="2"/>
  <c r="AA27" i="2" s="1"/>
  <c r="Z12" i="2"/>
  <c r="Z27" i="2" s="1"/>
  <c r="AA11" i="2"/>
  <c r="AA26" i="2" s="1"/>
  <c r="Z11" i="2"/>
  <c r="Z26" i="2" s="1"/>
  <c r="AA10" i="2"/>
  <c r="AA25" i="2" s="1"/>
  <c r="Z10" i="2"/>
  <c r="Z25" i="2" s="1"/>
  <c r="AA9" i="2"/>
  <c r="AA24" i="2" s="1"/>
  <c r="Z9" i="2"/>
  <c r="Z24" i="2" s="1"/>
  <c r="AA8" i="2"/>
  <c r="AA23" i="2" s="1"/>
  <c r="Z8" i="2"/>
  <c r="Z23" i="2" s="1"/>
  <c r="AA7" i="2"/>
  <c r="AA22" i="2" s="1"/>
  <c r="Z7" i="2"/>
  <c r="Z22" i="2" s="1"/>
  <c r="Y6" i="2"/>
  <c r="Y21" i="2" s="1"/>
  <c r="Y5" i="2"/>
  <c r="Y20" i="2" s="1"/>
  <c r="L5" i="2"/>
  <c r="G137" i="1"/>
  <c r="C137" i="1"/>
  <c r="G136" i="1"/>
  <c r="C136" i="1"/>
  <c r="G135" i="1"/>
  <c r="C135" i="1"/>
  <c r="C126" i="1"/>
  <c r="G121" i="1"/>
  <c r="C121" i="1"/>
  <c r="C26" i="1"/>
  <c r="G17" i="1"/>
  <c r="G16" i="1"/>
  <c r="G15" i="1"/>
  <c r="G14" i="1"/>
  <c r="G13" i="1"/>
  <c r="G12" i="1"/>
  <c r="C19" i="1" l="1"/>
  <c r="I24" i="8" s="1"/>
  <c r="AB49" i="8"/>
  <c r="D159" i="1"/>
  <c r="D148" i="1"/>
  <c r="D142" i="1"/>
  <c r="D158" i="1"/>
  <c r="D150" i="1"/>
  <c r="D140" i="1"/>
  <c r="D156" i="1"/>
  <c r="I159" i="1"/>
  <c r="I157" i="1"/>
  <c r="I155" i="1"/>
  <c r="I153" i="1"/>
  <c r="I151" i="1"/>
  <c r="I149" i="1"/>
  <c r="I147" i="1"/>
  <c r="I145" i="1"/>
  <c r="I143" i="1"/>
  <c r="I141" i="1"/>
  <c r="I158" i="1"/>
  <c r="I156" i="1"/>
  <c r="I154" i="1"/>
  <c r="I152" i="1"/>
  <c r="I150" i="1"/>
  <c r="I148" i="1"/>
  <c r="I146" i="1"/>
  <c r="I144" i="1"/>
  <c r="I142" i="1"/>
  <c r="I140" i="1"/>
  <c r="D146" i="1"/>
  <c r="D154" i="1"/>
  <c r="D144" i="1"/>
  <c r="D152" i="1"/>
  <c r="D141" i="1"/>
  <c r="D143" i="1"/>
  <c r="D145" i="1"/>
  <c r="D147" i="1"/>
  <c r="D149" i="1"/>
  <c r="D151" i="1"/>
  <c r="D153" i="1"/>
  <c r="D155" i="1"/>
  <c r="D157" i="1"/>
  <c r="I17" i="1" l="1"/>
  <c r="G123" i="1"/>
  <c r="C123" i="1"/>
  <c r="I15" i="1"/>
  <c r="I18" i="1"/>
  <c r="AC49" i="8"/>
  <c r="Y7" i="2"/>
  <c r="Y22" i="2" s="1"/>
  <c r="I13" i="1"/>
  <c r="I14" i="1"/>
  <c r="C21" i="1"/>
  <c r="C25" i="1" s="1"/>
  <c r="I12" i="1"/>
  <c r="I16" i="1"/>
  <c r="C37" i="1" l="1"/>
  <c r="P50" i="8"/>
  <c r="Q50" i="8"/>
  <c r="AE50" i="8"/>
  <c r="R50" i="8"/>
  <c r="S50" i="8"/>
  <c r="T50" i="8"/>
  <c r="U50" i="8"/>
  <c r="V50" i="8"/>
  <c r="W50" i="8"/>
  <c r="X50" i="8"/>
  <c r="Y50" i="8"/>
  <c r="Z50" i="8"/>
  <c r="AA50" i="8"/>
  <c r="AB50" i="8"/>
  <c r="AC50" i="8"/>
  <c r="AD49" i="8"/>
  <c r="AD50" i="8" s="1"/>
  <c r="Y12" i="2"/>
  <c r="Y27" i="2" s="1"/>
  <c r="Y10" i="2"/>
  <c r="Y25" i="2" s="1"/>
  <c r="Y13" i="2"/>
  <c r="Y28" i="2" s="1"/>
  <c r="Y11" i="2"/>
  <c r="Y26" i="2" s="1"/>
  <c r="Y8" i="2"/>
  <c r="Y23" i="2" s="1"/>
  <c r="Y9" i="2"/>
  <c r="Y24" i="2" s="1"/>
  <c r="AB51" i="8" l="1"/>
  <c r="AB53" i="8" s="1"/>
  <c r="AB54" i="8" s="1"/>
  <c r="P51" i="8"/>
  <c r="AE51" i="8"/>
  <c r="Q51" i="8"/>
  <c r="R51" i="8"/>
  <c r="S51" i="8"/>
  <c r="T51" i="8"/>
  <c r="C29" i="8"/>
  <c r="U51" i="8"/>
  <c r="V51" i="8"/>
  <c r="W51" i="8"/>
  <c r="X51" i="8"/>
  <c r="Y51" i="8"/>
  <c r="Z51" i="8"/>
  <c r="AA51" i="8"/>
  <c r="AC51" i="8"/>
  <c r="AC53" i="8" s="1"/>
  <c r="AC54" i="8" s="1"/>
  <c r="AB52" i="8"/>
  <c r="AD51" i="8"/>
  <c r="AD52" i="8" s="1"/>
  <c r="C39" i="1"/>
  <c r="C15" i="8" s="1"/>
  <c r="C38" i="1"/>
  <c r="C46" i="1" s="1"/>
  <c r="C51" i="1" s="1"/>
  <c r="C31" i="1"/>
  <c r="AD56" i="8" s="1"/>
  <c r="AC52" i="8" l="1"/>
  <c r="AC55" i="8" s="1"/>
  <c r="Z52" i="8"/>
  <c r="Z55" i="8" s="1"/>
  <c r="Z53" i="8"/>
  <c r="Z54" i="8" s="1"/>
  <c r="X53" i="8"/>
  <c r="X54" i="8" s="1"/>
  <c r="X52" i="8"/>
  <c r="X55" i="8" s="1"/>
  <c r="V53" i="8"/>
  <c r="V54" i="8" s="1"/>
  <c r="V52" i="8"/>
  <c r="V55" i="8" s="1"/>
  <c r="C31" i="8"/>
  <c r="C33" i="8" s="1"/>
  <c r="C30" i="8"/>
  <c r="C34" i="8" s="1"/>
  <c r="S53" i="8"/>
  <c r="S54" i="8" s="1"/>
  <c r="S52" i="8"/>
  <c r="S55" i="8" s="1"/>
  <c r="Q52" i="8"/>
  <c r="Q55" i="8" s="1"/>
  <c r="Q53" i="8"/>
  <c r="Q54" i="8" s="1"/>
  <c r="P53" i="8"/>
  <c r="P54" i="8" s="1"/>
  <c r="P52" i="8"/>
  <c r="P55" i="8" s="1"/>
  <c r="P56" i="8"/>
  <c r="AE56" i="8"/>
  <c r="Q56" i="8"/>
  <c r="R56" i="8"/>
  <c r="S56" i="8"/>
  <c r="T56" i="8"/>
  <c r="C35" i="8"/>
  <c r="U56" i="8"/>
  <c r="V56" i="8"/>
  <c r="W56" i="8"/>
  <c r="X56" i="8"/>
  <c r="Y56" i="8"/>
  <c r="Z56" i="8"/>
  <c r="AA56" i="8"/>
  <c r="AB56" i="8"/>
  <c r="AA53" i="8"/>
  <c r="AA54" i="8" s="1"/>
  <c r="AA52" i="8"/>
  <c r="AA55" i="8" s="1"/>
  <c r="Y53" i="8"/>
  <c r="Y54" i="8" s="1"/>
  <c r="Y52" i="8"/>
  <c r="Y55" i="8" s="1"/>
  <c r="W52" i="8"/>
  <c r="W55" i="8" s="1"/>
  <c r="W53" i="8"/>
  <c r="W54" i="8" s="1"/>
  <c r="U53" i="8"/>
  <c r="U54" i="8" s="1"/>
  <c r="U52" i="8"/>
  <c r="U55" i="8" s="1"/>
  <c r="T53" i="8"/>
  <c r="T54" i="8" s="1"/>
  <c r="T52" i="8"/>
  <c r="T55" i="8" s="1"/>
  <c r="R53" i="8"/>
  <c r="R54" i="8" s="1"/>
  <c r="R52" i="8"/>
  <c r="R55" i="8" s="1"/>
  <c r="AE53" i="8"/>
  <c r="AE54" i="8" s="1"/>
  <c r="AE52" i="8"/>
  <c r="AE55" i="8" s="1"/>
  <c r="AD55" i="8"/>
  <c r="AB55" i="8"/>
  <c r="AB58" i="8" s="1"/>
  <c r="AC56" i="8"/>
  <c r="AD53" i="8"/>
  <c r="AD54" i="8" s="1"/>
  <c r="C16" i="8"/>
  <c r="C17" i="8"/>
  <c r="C92" i="1"/>
  <c r="C89" i="1"/>
  <c r="C93" i="1"/>
  <c r="C87" i="1"/>
  <c r="C90" i="1"/>
  <c r="C88" i="1"/>
  <c r="C91" i="1"/>
  <c r="C40" i="1"/>
  <c r="G72" i="1"/>
  <c r="G73" i="1"/>
  <c r="I73" i="1" s="1"/>
  <c r="I63" i="1"/>
  <c r="G112" i="1"/>
  <c r="C114" i="1" s="1"/>
  <c r="C108" i="1"/>
  <c r="G122" i="1"/>
  <c r="C122" i="1"/>
  <c r="C30" i="1"/>
  <c r="F39" i="1"/>
  <c r="AD58" i="8" l="1"/>
  <c r="AC58" i="8"/>
  <c r="AE58" i="8"/>
  <c r="R58" i="8"/>
  <c r="W58" i="8"/>
  <c r="S58" i="8"/>
  <c r="V58" i="8"/>
  <c r="X58" i="8"/>
  <c r="T58" i="8"/>
  <c r="U58" i="8"/>
  <c r="Y58" i="8"/>
  <c r="AA58" i="8"/>
  <c r="P58" i="8"/>
  <c r="Q58" i="8"/>
  <c r="Z58" i="8"/>
  <c r="G98" i="1"/>
  <c r="G88" i="1"/>
  <c r="I72" i="1"/>
  <c r="G87" i="1"/>
  <c r="C79" i="1"/>
  <c r="C81" i="1" s="1"/>
  <c r="C66" i="1"/>
  <c r="E46" i="1"/>
  <c r="F43" i="1"/>
  <c r="G78" i="1"/>
  <c r="I78" i="1" s="1"/>
  <c r="G76" i="1"/>
  <c r="I76" i="1" s="1"/>
  <c r="G71" i="1"/>
  <c r="I71" i="1" s="1"/>
  <c r="G74" i="1"/>
  <c r="I74" i="1" s="1"/>
  <c r="G77" i="1"/>
  <c r="I77" i="1" s="1"/>
  <c r="G75" i="1"/>
  <c r="N28" i="2"/>
  <c r="N39" i="2" s="1"/>
  <c r="N40" i="2" s="1"/>
  <c r="N128" i="2" s="1"/>
  <c r="E43" i="1"/>
  <c r="I98" i="1"/>
  <c r="I99" i="1"/>
  <c r="I100" i="1"/>
  <c r="I103" i="1"/>
  <c r="I102" i="1"/>
  <c r="I101" i="1"/>
  <c r="C113" i="1"/>
  <c r="H157" i="1"/>
  <c r="J157" i="1" s="1"/>
  <c r="H149" i="1"/>
  <c r="J149" i="1" s="1"/>
  <c r="H141" i="1"/>
  <c r="J141" i="1" s="1"/>
  <c r="H159" i="1"/>
  <c r="J159" i="1" s="1"/>
  <c r="H151" i="1"/>
  <c r="J151" i="1" s="1"/>
  <c r="H143" i="1"/>
  <c r="J143" i="1" s="1"/>
  <c r="H153" i="1"/>
  <c r="J153" i="1" s="1"/>
  <c r="H145" i="1"/>
  <c r="J145" i="1" s="1"/>
  <c r="H155" i="1"/>
  <c r="J155" i="1" s="1"/>
  <c r="H147" i="1"/>
  <c r="J147" i="1" s="1"/>
  <c r="H158" i="1"/>
  <c r="J158" i="1" s="1"/>
  <c r="H142" i="1"/>
  <c r="J142" i="1" s="1"/>
  <c r="H146" i="1"/>
  <c r="J146" i="1" s="1"/>
  <c r="H150" i="1"/>
  <c r="J150" i="1" s="1"/>
  <c r="H154" i="1"/>
  <c r="J154" i="1" s="1"/>
  <c r="H140" i="1"/>
  <c r="J140" i="1" s="1"/>
  <c r="H148" i="1"/>
  <c r="J148" i="1" s="1"/>
  <c r="H152" i="1"/>
  <c r="J152" i="1" s="1"/>
  <c r="H144" i="1"/>
  <c r="J144" i="1" s="1"/>
  <c r="H156" i="1"/>
  <c r="J156" i="1" s="1"/>
  <c r="C111" i="1" l="1"/>
  <c r="C115" i="1" s="1"/>
  <c r="C116" i="1" s="1"/>
  <c r="I75" i="1"/>
  <c r="G90" i="1"/>
  <c r="G102" i="1"/>
  <c r="G99" i="1"/>
  <c r="H64" i="1"/>
  <c r="G101" i="1"/>
  <c r="N30" i="2"/>
  <c r="N38" i="2" s="1"/>
  <c r="N130" i="2"/>
  <c r="B132" i="2" s="1"/>
  <c r="C19" i="8"/>
  <c r="C120" i="1"/>
  <c r="G100" i="1"/>
  <c r="G92" i="1"/>
  <c r="G103" i="1"/>
  <c r="G89" i="1"/>
  <c r="G93" i="1"/>
  <c r="G91" i="1"/>
  <c r="Y14" i="2"/>
  <c r="Y29" i="2" s="1"/>
  <c r="C112" i="1" l="1"/>
  <c r="Y16" i="2"/>
  <c r="Y31" i="2" s="1"/>
  <c r="L16" i="2" s="1"/>
  <c r="C157" i="1"/>
  <c r="E157" i="1" s="1"/>
  <c r="C153" i="1"/>
  <c r="E153" i="1" s="1"/>
  <c r="C149" i="1"/>
  <c r="E149" i="1" s="1"/>
  <c r="C145" i="1"/>
  <c r="E145" i="1" s="1"/>
  <c r="C141" i="1"/>
  <c r="E141" i="1" s="1"/>
  <c r="C156" i="1"/>
  <c r="E156" i="1" s="1"/>
  <c r="C152" i="1"/>
  <c r="E152" i="1" s="1"/>
  <c r="C148" i="1"/>
  <c r="E148" i="1" s="1"/>
  <c r="C144" i="1"/>
  <c r="E144" i="1" s="1"/>
  <c r="C140" i="1"/>
  <c r="E140" i="1" s="1"/>
  <c r="C154" i="1"/>
  <c r="E154" i="1" s="1"/>
  <c r="C146" i="1"/>
  <c r="E146" i="1" s="1"/>
  <c r="C159" i="1"/>
  <c r="E159" i="1" s="1"/>
  <c r="C155" i="1"/>
  <c r="E155" i="1" s="1"/>
  <c r="C151" i="1"/>
  <c r="E151" i="1" s="1"/>
  <c r="C147" i="1"/>
  <c r="E147" i="1" s="1"/>
  <c r="C143" i="1"/>
  <c r="E143" i="1" s="1"/>
  <c r="C158" i="1"/>
  <c r="E158" i="1" s="1"/>
  <c r="C150" i="1"/>
  <c r="E150" i="1" s="1"/>
  <c r="C142" i="1"/>
  <c r="E142" i="1" s="1"/>
  <c r="L6" i="2" l="1"/>
  <c r="C6" i="2"/>
  <c r="L12" i="2"/>
  <c r="C12" i="2"/>
  <c r="C9" i="2"/>
  <c r="C10" i="2"/>
  <c r="C8" i="2"/>
  <c r="L11" i="2"/>
  <c r="L10" i="2"/>
  <c r="C11" i="2"/>
  <c r="L9" i="2"/>
  <c r="L8" i="2"/>
  <c r="C7" i="2"/>
  <c r="L7" i="2"/>
  <c r="C15" i="2"/>
  <c r="L14" i="2"/>
  <c r="L15" i="2"/>
  <c r="L13" i="2"/>
  <c r="C13" i="2"/>
  <c r="C14" i="2"/>
  <c r="C16" i="2"/>
  <c r="C37" i="8" l="1"/>
  <c r="C66" i="8" s="1"/>
</calcChain>
</file>

<file path=xl/comments1.xml><?xml version="1.0" encoding="utf-8"?>
<comments xmlns="http://schemas.openxmlformats.org/spreadsheetml/2006/main">
  <authors>
    <author>hangseok</author>
    <author>X5</author>
  </authors>
  <commentList>
    <comment ref="C24" authorId="0">
      <text>
        <r>
          <rPr>
            <b/>
            <sz val="9"/>
            <color indexed="81"/>
            <rFont val="굴림"/>
            <family val="3"/>
            <charset val="129"/>
          </rPr>
          <t xml:space="preserve">2-3uF per 1 watt </t>
        </r>
      </text>
    </comment>
    <comment ref="C29" authorId="0">
      <text>
        <r>
          <rPr>
            <b/>
            <sz val="9"/>
            <color indexed="81"/>
            <rFont val="굴림"/>
            <family val="3"/>
            <charset val="129"/>
          </rPr>
          <t>For CCM operation, it is recommended to set Dmax &lt; 0.5 to avoid subharmonic oscillation</t>
        </r>
      </text>
    </comment>
    <comment ref="C30" authorId="0">
      <text>
        <r>
          <rPr>
            <b/>
            <sz val="9"/>
            <color indexed="81"/>
            <rFont val="굴림"/>
            <family val="3"/>
            <charset val="129"/>
          </rPr>
          <t>When ignoring voltage spike</t>
        </r>
      </text>
    </comment>
    <comment ref="C107" authorId="1">
      <text>
        <r>
          <rPr>
            <sz val="8"/>
            <color indexed="81"/>
            <rFont val="Tahoma"/>
            <family val="2"/>
          </rPr>
          <t>0.8% ~1.5% for non-splited primary and 2.5% ~ 4% for splited primary.</t>
        </r>
      </text>
    </comment>
  </commentList>
</comments>
</file>

<file path=xl/sharedStrings.xml><?xml version="1.0" encoding="utf-8"?>
<sst xmlns="http://schemas.openxmlformats.org/spreadsheetml/2006/main" count="948" uniqueCount="575">
  <si>
    <t>Blue cell</t>
  </si>
  <si>
    <t>is the input parameters</t>
  </si>
  <si>
    <t>is the output parameters</t>
  </si>
  <si>
    <t>1. Define the system specifications</t>
  </si>
  <si>
    <r>
      <t>Minimum Line voltage (V</t>
    </r>
    <r>
      <rPr>
        <vertAlign val="subscript"/>
        <sz val="11"/>
        <rFont val="Times New Roman"/>
        <family val="1"/>
      </rPr>
      <t>line</t>
    </r>
    <r>
      <rPr>
        <vertAlign val="superscript"/>
        <sz val="11"/>
        <rFont val="Times New Roman"/>
        <family val="1"/>
      </rPr>
      <t>min</t>
    </r>
    <r>
      <rPr>
        <sz val="11"/>
        <rFont val="Times New Roman"/>
        <family val="1"/>
      </rPr>
      <t>)</t>
    </r>
  </si>
  <si>
    <t>V.rms</t>
  </si>
  <si>
    <r>
      <t>Maximum Line voltage (V</t>
    </r>
    <r>
      <rPr>
        <vertAlign val="subscript"/>
        <sz val="11"/>
        <rFont val="Times New Roman"/>
        <family val="1"/>
      </rPr>
      <t>line</t>
    </r>
    <r>
      <rPr>
        <vertAlign val="superscript"/>
        <sz val="11"/>
        <rFont val="Times New Roman"/>
        <family val="1"/>
      </rPr>
      <t>max</t>
    </r>
    <r>
      <rPr>
        <sz val="11"/>
        <rFont val="Times New Roman"/>
        <family val="1"/>
      </rPr>
      <t>)</t>
    </r>
  </si>
  <si>
    <r>
      <t>Line frequency (f</t>
    </r>
    <r>
      <rPr>
        <vertAlign val="subscript"/>
        <sz val="11"/>
        <rFont val="Times New Roman"/>
        <family val="1"/>
      </rPr>
      <t>L</t>
    </r>
    <r>
      <rPr>
        <sz val="11"/>
        <rFont val="Times New Roman"/>
        <family val="1"/>
      </rPr>
      <t>)</t>
    </r>
  </si>
  <si>
    <t>Hz</t>
  </si>
  <si>
    <r>
      <t>V</t>
    </r>
    <r>
      <rPr>
        <b/>
        <vertAlign val="subscript"/>
        <sz val="11"/>
        <rFont val="Times New Roman"/>
        <family val="1"/>
      </rPr>
      <t>o(n)</t>
    </r>
  </si>
  <si>
    <r>
      <t>I</t>
    </r>
    <r>
      <rPr>
        <b/>
        <vertAlign val="subscript"/>
        <sz val="11"/>
        <rFont val="Times New Roman"/>
        <family val="1"/>
      </rPr>
      <t>o(n)</t>
    </r>
  </si>
  <si>
    <r>
      <t>P</t>
    </r>
    <r>
      <rPr>
        <b/>
        <vertAlign val="subscript"/>
        <sz val="11"/>
        <rFont val="Times New Roman"/>
        <family val="1"/>
      </rPr>
      <t>o(n)</t>
    </r>
  </si>
  <si>
    <r>
      <t>K</t>
    </r>
    <r>
      <rPr>
        <b/>
        <vertAlign val="subscript"/>
        <sz val="11"/>
        <rFont val="Times New Roman"/>
        <family val="1"/>
      </rPr>
      <t>L(n)</t>
    </r>
  </si>
  <si>
    <t>1st output for feedback</t>
  </si>
  <si>
    <t>V</t>
  </si>
  <si>
    <t>A</t>
  </si>
  <si>
    <t>W</t>
  </si>
  <si>
    <t>%</t>
  </si>
  <si>
    <t>2nd output</t>
  </si>
  <si>
    <t>3rd output</t>
  </si>
  <si>
    <t>4th output</t>
  </si>
  <si>
    <t>5th output</t>
  </si>
  <si>
    <t>6th output</t>
  </si>
  <si>
    <r>
      <t>Maximum output power (P</t>
    </r>
    <r>
      <rPr>
        <b/>
        <vertAlign val="subscript"/>
        <sz val="11"/>
        <rFont val="Times New Roman"/>
        <family val="1"/>
      </rPr>
      <t>o</t>
    </r>
    <r>
      <rPr>
        <b/>
        <sz val="11"/>
        <rFont val="Times New Roman"/>
        <family val="1"/>
      </rPr>
      <t>) =</t>
    </r>
  </si>
  <si>
    <r>
      <t>Estimated efficiency (E</t>
    </r>
    <r>
      <rPr>
        <vertAlign val="subscript"/>
        <sz val="11"/>
        <rFont val="Times New Roman"/>
        <family val="1"/>
      </rPr>
      <t>ff</t>
    </r>
    <r>
      <rPr>
        <sz val="11"/>
        <rFont val="Times New Roman"/>
        <family val="1"/>
      </rPr>
      <t>)</t>
    </r>
  </si>
  <si>
    <r>
      <t>Maximum input power (P</t>
    </r>
    <r>
      <rPr>
        <b/>
        <vertAlign val="subscript"/>
        <sz val="11"/>
        <rFont val="Times New Roman"/>
        <family val="1"/>
      </rPr>
      <t>in</t>
    </r>
    <r>
      <rPr>
        <b/>
        <sz val="11"/>
        <rFont val="Times New Roman"/>
        <family val="1"/>
      </rPr>
      <t>) =</t>
    </r>
  </si>
  <si>
    <t>2. Determine DC link capacitor and DC link voltage range</t>
  </si>
  <si>
    <r>
      <t>DC link capacitor (C</t>
    </r>
    <r>
      <rPr>
        <vertAlign val="subscript"/>
        <sz val="11"/>
        <rFont val="Times New Roman"/>
        <family val="1"/>
      </rPr>
      <t>DC</t>
    </r>
    <r>
      <rPr>
        <sz val="11"/>
        <rFont val="Times New Roman"/>
        <family val="1"/>
      </rPr>
      <t>)</t>
    </r>
  </si>
  <si>
    <t>uF</t>
  </si>
  <si>
    <r>
      <t>Minimum DC link voltage (V</t>
    </r>
    <r>
      <rPr>
        <b/>
        <vertAlign val="subscript"/>
        <sz val="11"/>
        <rFont val="Times New Roman"/>
        <family val="1"/>
      </rPr>
      <t>DC</t>
    </r>
    <r>
      <rPr>
        <b/>
        <vertAlign val="superscript"/>
        <sz val="11"/>
        <rFont val="Times New Roman"/>
        <family val="1"/>
      </rPr>
      <t>min</t>
    </r>
    <r>
      <rPr>
        <b/>
        <sz val="11"/>
        <rFont val="Times New Roman"/>
        <family val="1"/>
      </rPr>
      <t>) =</t>
    </r>
  </si>
  <si>
    <r>
      <t>Maximum DC link voltage (V</t>
    </r>
    <r>
      <rPr>
        <b/>
        <vertAlign val="subscript"/>
        <sz val="11"/>
        <rFont val="Times New Roman"/>
        <family val="1"/>
      </rPr>
      <t>DC</t>
    </r>
    <r>
      <rPr>
        <b/>
        <vertAlign val="superscript"/>
        <sz val="11"/>
        <rFont val="Times New Roman"/>
        <family val="1"/>
      </rPr>
      <t>max</t>
    </r>
    <r>
      <rPr>
        <b/>
        <sz val="11"/>
        <rFont val="Times New Roman"/>
        <family val="1"/>
      </rPr>
      <t>)=</t>
    </r>
  </si>
  <si>
    <t xml:space="preserve">3. Determine Maximum duty ratio (Dmax) </t>
  </si>
  <si>
    <r>
      <t>Maximum duty ratio (D</t>
    </r>
    <r>
      <rPr>
        <vertAlign val="subscript"/>
        <sz val="11"/>
        <rFont val="Times New Roman"/>
        <family val="1"/>
      </rPr>
      <t>max</t>
    </r>
    <r>
      <rPr>
        <sz val="11"/>
        <rFont val="Times New Roman"/>
        <family val="1"/>
      </rPr>
      <t>)</t>
    </r>
  </si>
  <si>
    <r>
      <t>Max nominal MOSFET voltage (V</t>
    </r>
    <r>
      <rPr>
        <b/>
        <vertAlign val="subscript"/>
        <sz val="11"/>
        <rFont val="Times New Roman"/>
        <family val="1"/>
      </rPr>
      <t>ds</t>
    </r>
    <r>
      <rPr>
        <b/>
        <vertAlign val="superscript"/>
        <sz val="11"/>
        <rFont val="Times New Roman"/>
        <family val="1"/>
      </rPr>
      <t>nom</t>
    </r>
    <r>
      <rPr>
        <b/>
        <sz val="11"/>
        <rFont val="Times New Roman"/>
        <family val="1"/>
      </rPr>
      <t>) =</t>
    </r>
  </si>
  <si>
    <r>
      <t>Output voltage reflected to primary (V</t>
    </r>
    <r>
      <rPr>
        <b/>
        <vertAlign val="subscript"/>
        <sz val="11"/>
        <rFont val="Times New Roman"/>
        <family val="1"/>
      </rPr>
      <t>RO</t>
    </r>
    <r>
      <rPr>
        <b/>
        <sz val="11"/>
        <rFont val="Times New Roman"/>
        <family val="1"/>
      </rPr>
      <t>)=</t>
    </r>
  </si>
  <si>
    <t>4. Determine transformer primary inductance (Lm)</t>
  </si>
  <si>
    <t>kHz</t>
  </si>
  <si>
    <r>
      <t>Ripple factor (K</t>
    </r>
    <r>
      <rPr>
        <vertAlign val="subscript"/>
        <sz val="11"/>
        <rFont val="Times New Roman"/>
        <family val="1"/>
      </rPr>
      <t>RF</t>
    </r>
    <r>
      <rPr>
        <sz val="11"/>
        <rFont val="Times New Roman"/>
        <family val="1"/>
      </rPr>
      <t>)</t>
    </r>
  </si>
  <si>
    <r>
      <t>Primary side inductance (L</t>
    </r>
    <r>
      <rPr>
        <b/>
        <vertAlign val="subscript"/>
        <sz val="11"/>
        <rFont val="Times New Roman"/>
        <family val="1"/>
      </rPr>
      <t>m</t>
    </r>
    <r>
      <rPr>
        <b/>
        <sz val="11"/>
        <rFont val="Times New Roman"/>
        <family val="1"/>
      </rPr>
      <t>) =</t>
    </r>
  </si>
  <si>
    <t>uH</t>
  </si>
  <si>
    <r>
      <t>Maximum peak drain current (I</t>
    </r>
    <r>
      <rPr>
        <b/>
        <vertAlign val="subscript"/>
        <sz val="11"/>
        <rFont val="Times New Roman"/>
        <family val="1"/>
      </rPr>
      <t>ds</t>
    </r>
    <r>
      <rPr>
        <b/>
        <vertAlign val="superscript"/>
        <sz val="11"/>
        <rFont val="Times New Roman"/>
        <family val="1"/>
      </rPr>
      <t>peak</t>
    </r>
    <r>
      <rPr>
        <b/>
        <sz val="11"/>
        <rFont val="Times New Roman"/>
        <family val="1"/>
      </rPr>
      <t>) =</t>
    </r>
  </si>
  <si>
    <r>
      <t>RMS drain current (I</t>
    </r>
    <r>
      <rPr>
        <b/>
        <vertAlign val="subscript"/>
        <sz val="11"/>
        <rFont val="Times New Roman"/>
        <family val="1"/>
      </rPr>
      <t>ds</t>
    </r>
    <r>
      <rPr>
        <b/>
        <vertAlign val="superscript"/>
        <sz val="11"/>
        <rFont val="Times New Roman"/>
        <family val="1"/>
      </rPr>
      <t>rms</t>
    </r>
    <r>
      <rPr>
        <b/>
        <sz val="11"/>
        <rFont val="Times New Roman"/>
        <family val="1"/>
      </rPr>
      <t>) =</t>
    </r>
  </si>
  <si>
    <r>
      <t>Maximum DC link voltage in CCM (V</t>
    </r>
    <r>
      <rPr>
        <b/>
        <vertAlign val="subscript"/>
        <sz val="11"/>
        <rFont val="Times New Roman"/>
        <family val="1"/>
      </rPr>
      <t>DC</t>
    </r>
    <r>
      <rPr>
        <b/>
        <vertAlign val="superscript"/>
        <sz val="11"/>
        <rFont val="Times New Roman"/>
        <family val="1"/>
      </rPr>
      <t>CCM</t>
    </r>
    <r>
      <rPr>
        <b/>
        <sz val="11"/>
        <rFont val="Times New Roman"/>
        <family val="1"/>
      </rPr>
      <t>)</t>
    </r>
  </si>
  <si>
    <t xml:space="preserve">A </t>
  </si>
  <si>
    <t>6. Determine the proper core and the minimum primary turns</t>
  </si>
  <si>
    <r>
      <t>Saturation flux density (B</t>
    </r>
    <r>
      <rPr>
        <vertAlign val="subscript"/>
        <sz val="11"/>
        <rFont val="Times New Roman"/>
        <family val="1"/>
      </rPr>
      <t>sat</t>
    </r>
    <r>
      <rPr>
        <sz val="11"/>
        <rFont val="Times New Roman"/>
        <family val="1"/>
      </rPr>
      <t>)</t>
    </r>
  </si>
  <si>
    <t>T</t>
  </si>
  <si>
    <r>
      <t>Cross sectional area of core (A</t>
    </r>
    <r>
      <rPr>
        <vertAlign val="subscript"/>
        <sz val="11"/>
        <rFont val="Times New Roman"/>
        <family val="1"/>
      </rPr>
      <t>e</t>
    </r>
    <r>
      <rPr>
        <sz val="11"/>
        <rFont val="Times New Roman"/>
        <family val="1"/>
      </rPr>
      <t>)</t>
    </r>
  </si>
  <si>
    <r>
      <t>mm</t>
    </r>
    <r>
      <rPr>
        <vertAlign val="superscript"/>
        <sz val="11"/>
        <rFont val="Times New Roman"/>
        <family val="1"/>
      </rPr>
      <t>2</t>
    </r>
  </si>
  <si>
    <r>
      <t>Minimum primary turns (N</t>
    </r>
    <r>
      <rPr>
        <b/>
        <vertAlign val="subscript"/>
        <sz val="11"/>
        <rFont val="Times New Roman"/>
        <family val="1"/>
      </rPr>
      <t>p</t>
    </r>
    <r>
      <rPr>
        <b/>
        <vertAlign val="superscript"/>
        <sz val="11"/>
        <rFont val="Times New Roman"/>
        <family val="1"/>
      </rPr>
      <t>min</t>
    </r>
    <r>
      <rPr>
        <b/>
        <sz val="11"/>
        <rFont val="Times New Roman"/>
        <family val="1"/>
      </rPr>
      <t>)=</t>
    </r>
  </si>
  <si>
    <r>
      <t>V</t>
    </r>
    <r>
      <rPr>
        <b/>
        <vertAlign val="subscript"/>
        <sz val="11"/>
        <rFont val="Times New Roman"/>
        <family val="1"/>
      </rPr>
      <t>F(n)</t>
    </r>
  </si>
  <si>
    <t># of turns</t>
  </si>
  <si>
    <t>Vcc (Use Vcc start voltage)</t>
  </si>
  <si>
    <t>=&gt;</t>
  </si>
  <si>
    <t>VF : Forward voltage drop of rectifier diode</t>
  </si>
  <si>
    <r>
      <t>Primary turns (N</t>
    </r>
    <r>
      <rPr>
        <b/>
        <u/>
        <vertAlign val="subscript"/>
        <sz val="11"/>
        <rFont val="Times New Roman"/>
        <family val="1"/>
      </rPr>
      <t>p</t>
    </r>
    <r>
      <rPr>
        <b/>
        <u/>
        <sz val="11"/>
        <rFont val="Times New Roman"/>
        <family val="1"/>
      </rPr>
      <t>)=</t>
    </r>
  </si>
  <si>
    <t>Ungapped AL value (AL)</t>
  </si>
  <si>
    <t>Gap length (G) ; center pole gap =</t>
  </si>
  <si>
    <t>mm</t>
  </si>
  <si>
    <t>Diameter</t>
  </si>
  <si>
    <t>Parallel</t>
  </si>
  <si>
    <r>
      <t>I</t>
    </r>
    <r>
      <rPr>
        <b/>
        <vertAlign val="subscript"/>
        <sz val="11"/>
        <rFont val="Times New Roman"/>
        <family val="1"/>
      </rPr>
      <t>D(n)</t>
    </r>
    <r>
      <rPr>
        <b/>
        <vertAlign val="superscript"/>
        <sz val="11"/>
        <rFont val="Times New Roman"/>
        <family val="1"/>
      </rPr>
      <t>rms</t>
    </r>
    <r>
      <rPr>
        <b/>
        <sz val="11"/>
        <rFont val="Times New Roman"/>
        <family val="1"/>
      </rPr>
      <t xml:space="preserve"> </t>
    </r>
  </si>
  <si>
    <r>
      <t>(A/mm</t>
    </r>
    <r>
      <rPr>
        <b/>
        <vertAlign val="superscript"/>
        <sz val="11"/>
        <rFont val="Times New Roman"/>
        <family val="1"/>
      </rPr>
      <t>2</t>
    </r>
    <r>
      <rPr>
        <b/>
        <sz val="11"/>
        <rFont val="Times New Roman"/>
        <family val="1"/>
      </rPr>
      <t>)</t>
    </r>
  </si>
  <si>
    <t>Primary winding</t>
  </si>
  <si>
    <t>Vcc winding</t>
  </si>
  <si>
    <t>1st output winding</t>
  </si>
  <si>
    <t>2nd output winding</t>
  </si>
  <si>
    <t>3rd output winding</t>
  </si>
  <si>
    <t>4th output winding</t>
  </si>
  <si>
    <t>5th output winding</t>
  </si>
  <si>
    <t>6th output winding</t>
  </si>
  <si>
    <r>
      <t>Copper area (A</t>
    </r>
    <r>
      <rPr>
        <b/>
        <vertAlign val="subscript"/>
        <sz val="11"/>
        <rFont val="Times New Roman"/>
        <family val="1"/>
      </rPr>
      <t>c</t>
    </r>
    <r>
      <rPr>
        <b/>
        <sz val="11"/>
        <rFont val="Times New Roman"/>
        <family val="1"/>
      </rPr>
      <t>) =</t>
    </r>
  </si>
  <si>
    <r>
      <t>mm</t>
    </r>
    <r>
      <rPr>
        <b/>
        <vertAlign val="superscript"/>
        <sz val="11"/>
        <rFont val="Times New Roman"/>
        <family val="1"/>
      </rPr>
      <t>2</t>
    </r>
  </si>
  <si>
    <r>
      <t>Fill factor (K</t>
    </r>
    <r>
      <rPr>
        <vertAlign val="subscript"/>
        <sz val="11"/>
        <rFont val="Times New Roman"/>
        <family val="1"/>
      </rPr>
      <t>F</t>
    </r>
    <r>
      <rPr>
        <sz val="11"/>
        <rFont val="Times New Roman"/>
        <family val="1"/>
      </rPr>
      <t>)</t>
    </r>
  </si>
  <si>
    <r>
      <t>Required window area (A</t>
    </r>
    <r>
      <rPr>
        <b/>
        <u/>
        <vertAlign val="subscript"/>
        <sz val="11"/>
        <rFont val="Times New Roman"/>
        <family val="1"/>
      </rPr>
      <t>wr</t>
    </r>
    <r>
      <rPr>
        <b/>
        <u/>
        <sz val="11"/>
        <rFont val="Times New Roman"/>
        <family val="1"/>
      </rPr>
      <t>)</t>
    </r>
  </si>
  <si>
    <t>9. Choose the rectifier diode in the secondary side</t>
  </si>
  <si>
    <r>
      <t>V</t>
    </r>
    <r>
      <rPr>
        <b/>
        <vertAlign val="subscript"/>
        <sz val="11"/>
        <rFont val="Times New Roman"/>
        <family val="1"/>
      </rPr>
      <t>D(n)</t>
    </r>
  </si>
  <si>
    <r>
      <t>I</t>
    </r>
    <r>
      <rPr>
        <b/>
        <vertAlign val="subscript"/>
        <sz val="11"/>
        <rFont val="Times New Roman"/>
        <family val="1"/>
      </rPr>
      <t>D(n)</t>
    </r>
    <r>
      <rPr>
        <b/>
        <vertAlign val="superscript"/>
        <sz val="11"/>
        <rFont val="Times New Roman"/>
        <family val="1"/>
      </rPr>
      <t>rms</t>
    </r>
  </si>
  <si>
    <t>Vrrm and Id margin (%)</t>
  </si>
  <si>
    <t>Vcc diode</t>
  </si>
  <si>
    <t>1st output diode</t>
  </si>
  <si>
    <t>2nd output diode</t>
  </si>
  <si>
    <t>3rd output diode</t>
  </si>
  <si>
    <t>4th output diode</t>
  </si>
  <si>
    <t>5th output diode</t>
  </si>
  <si>
    <t>6th output diode</t>
  </si>
  <si>
    <t xml:space="preserve">10. Determine the output capacitor </t>
  </si>
  <si>
    <r>
      <t>C</t>
    </r>
    <r>
      <rPr>
        <b/>
        <vertAlign val="subscript"/>
        <sz val="11"/>
        <rFont val="Times New Roman"/>
        <family val="1"/>
      </rPr>
      <t>o(n)</t>
    </r>
  </si>
  <si>
    <r>
      <t>I</t>
    </r>
    <r>
      <rPr>
        <b/>
        <vertAlign val="subscript"/>
        <sz val="11"/>
        <rFont val="Times New Roman"/>
        <family val="1"/>
      </rPr>
      <t>cap(n)</t>
    </r>
  </si>
  <si>
    <r>
      <t>ΔV</t>
    </r>
    <r>
      <rPr>
        <b/>
        <vertAlign val="subscript"/>
        <sz val="11"/>
        <rFont val="Times New Roman"/>
        <family val="1"/>
      </rPr>
      <t>o(n)</t>
    </r>
  </si>
  <si>
    <t>1st output capacitor</t>
  </si>
  <si>
    <t>mΩ</t>
  </si>
  <si>
    <t>2nd output capacitor</t>
  </si>
  <si>
    <t>3rd output capacitor</t>
  </si>
  <si>
    <t>4th output capacitor</t>
  </si>
  <si>
    <t>5th output capacitor</t>
  </si>
  <si>
    <t>6th output capacitor</t>
  </si>
  <si>
    <t>11. Design RCD snubber</t>
  </si>
  <si>
    <r>
      <t>Primary side leakage inductance (L</t>
    </r>
    <r>
      <rPr>
        <vertAlign val="subscript"/>
        <sz val="11"/>
        <rFont val="Times New Roman"/>
        <family val="1"/>
      </rPr>
      <t>lk</t>
    </r>
    <r>
      <rPr>
        <sz val="11"/>
        <rFont val="Times New Roman"/>
        <family val="1"/>
      </rPr>
      <t>)</t>
    </r>
  </si>
  <si>
    <r>
      <t>Maximum Voltage of snubber capacitor (V</t>
    </r>
    <r>
      <rPr>
        <vertAlign val="subscript"/>
        <sz val="11"/>
        <rFont val="Times New Roman"/>
        <family val="1"/>
      </rPr>
      <t>sn</t>
    </r>
    <r>
      <rPr>
        <sz val="11"/>
        <rFont val="Times New Roman"/>
        <family val="1"/>
      </rPr>
      <t>)</t>
    </r>
  </si>
  <si>
    <t>Maximum snubber capacitor voltage ripple</t>
  </si>
  <si>
    <r>
      <t>Snubber resistor (R</t>
    </r>
    <r>
      <rPr>
        <b/>
        <vertAlign val="subscript"/>
        <sz val="11"/>
        <rFont val="Times New Roman"/>
        <family val="1"/>
      </rPr>
      <t>sn</t>
    </r>
    <r>
      <rPr>
        <b/>
        <sz val="11"/>
        <rFont val="Times New Roman"/>
        <family val="1"/>
      </rPr>
      <t>)=</t>
    </r>
  </si>
  <si>
    <t>㏀</t>
  </si>
  <si>
    <r>
      <t>Snubber capacitor (C</t>
    </r>
    <r>
      <rPr>
        <b/>
        <vertAlign val="subscript"/>
        <sz val="11"/>
        <rFont val="Times New Roman"/>
        <family val="1"/>
      </rPr>
      <t>sn</t>
    </r>
    <r>
      <rPr>
        <b/>
        <sz val="11"/>
        <rFont val="Times New Roman"/>
        <family val="1"/>
      </rPr>
      <t>)=</t>
    </r>
  </si>
  <si>
    <t>nF</t>
  </si>
  <si>
    <r>
      <t>Power loss in snubber resistor (P</t>
    </r>
    <r>
      <rPr>
        <b/>
        <vertAlign val="subscript"/>
        <sz val="11"/>
        <rFont val="Times New Roman"/>
        <family val="1"/>
      </rPr>
      <t>sn</t>
    </r>
    <r>
      <rPr>
        <b/>
        <sz val="11"/>
        <rFont val="Times New Roman"/>
        <family val="1"/>
      </rPr>
      <t>)=</t>
    </r>
  </si>
  <si>
    <t>(In Normal Operation)</t>
  </si>
  <si>
    <r>
      <t>Peak drain current at V</t>
    </r>
    <r>
      <rPr>
        <b/>
        <vertAlign val="subscript"/>
        <sz val="11"/>
        <rFont val="Times New Roman"/>
        <family val="1"/>
      </rPr>
      <t>DC</t>
    </r>
    <r>
      <rPr>
        <b/>
        <vertAlign val="superscript"/>
        <sz val="11"/>
        <rFont val="Times New Roman"/>
        <family val="1"/>
      </rPr>
      <t>max</t>
    </r>
    <r>
      <rPr>
        <b/>
        <sz val="11"/>
        <rFont val="Times New Roman"/>
        <family val="1"/>
      </rPr>
      <t xml:space="preserve"> (I</t>
    </r>
    <r>
      <rPr>
        <b/>
        <vertAlign val="subscript"/>
        <sz val="11"/>
        <rFont val="Times New Roman"/>
        <family val="1"/>
      </rPr>
      <t>ds2</t>
    </r>
    <r>
      <rPr>
        <b/>
        <sz val="11"/>
        <rFont val="Times New Roman"/>
        <family val="1"/>
      </rPr>
      <t>) =</t>
    </r>
  </si>
  <si>
    <r>
      <t>Max Voltage of Csn at V</t>
    </r>
    <r>
      <rPr>
        <b/>
        <vertAlign val="subscript"/>
        <sz val="11"/>
        <rFont val="Times New Roman"/>
        <family val="1"/>
      </rPr>
      <t>DC</t>
    </r>
    <r>
      <rPr>
        <b/>
        <vertAlign val="superscript"/>
        <sz val="11"/>
        <rFont val="Times New Roman"/>
        <family val="1"/>
      </rPr>
      <t xml:space="preserve">max </t>
    </r>
    <r>
      <rPr>
        <b/>
        <sz val="11"/>
        <rFont val="Times New Roman"/>
        <family val="1"/>
      </rPr>
      <t>(V</t>
    </r>
    <r>
      <rPr>
        <b/>
        <vertAlign val="subscript"/>
        <sz val="11"/>
        <rFont val="Times New Roman"/>
        <family val="1"/>
      </rPr>
      <t>sn2</t>
    </r>
    <r>
      <rPr>
        <b/>
        <sz val="11"/>
        <rFont val="Times New Roman"/>
        <family val="1"/>
      </rPr>
      <t>)=</t>
    </r>
  </si>
  <si>
    <r>
      <t>Max Voltage stress of MOSFET (V</t>
    </r>
    <r>
      <rPr>
        <b/>
        <vertAlign val="subscript"/>
        <sz val="11"/>
        <rFont val="Times New Roman"/>
        <family val="1"/>
      </rPr>
      <t>ds</t>
    </r>
    <r>
      <rPr>
        <b/>
        <vertAlign val="superscript"/>
        <sz val="11"/>
        <rFont val="Times New Roman"/>
        <family val="1"/>
      </rPr>
      <t>max</t>
    </r>
    <r>
      <rPr>
        <b/>
        <sz val="11"/>
        <rFont val="Times New Roman"/>
        <family val="1"/>
      </rPr>
      <t>)=</t>
    </r>
  </si>
  <si>
    <t>12. Design Feedback control loop</t>
  </si>
  <si>
    <t>Control-to-output DC gain =</t>
  </si>
  <si>
    <r>
      <t>Control-to-output zero (w</t>
    </r>
    <r>
      <rPr>
        <b/>
        <vertAlign val="subscript"/>
        <sz val="11"/>
        <rFont val="Times New Roman"/>
        <family val="1"/>
      </rPr>
      <t>z</t>
    </r>
    <r>
      <rPr>
        <b/>
        <sz val="11"/>
        <rFont val="Times New Roman"/>
        <family val="1"/>
      </rPr>
      <t>) =</t>
    </r>
  </si>
  <si>
    <t>rad/s =&gt;</t>
  </si>
  <si>
    <r>
      <t>f</t>
    </r>
    <r>
      <rPr>
        <b/>
        <vertAlign val="subscript"/>
        <sz val="11"/>
        <rFont val="Times New Roman"/>
        <family val="1"/>
      </rPr>
      <t>z</t>
    </r>
    <r>
      <rPr>
        <b/>
        <sz val="11"/>
        <rFont val="Times New Roman"/>
        <family val="1"/>
      </rPr>
      <t>=</t>
    </r>
  </si>
  <si>
    <r>
      <t>Control-to-output RHP zero (w</t>
    </r>
    <r>
      <rPr>
        <b/>
        <vertAlign val="subscript"/>
        <sz val="11"/>
        <rFont val="Times New Roman"/>
        <family val="1"/>
      </rPr>
      <t>rz</t>
    </r>
    <r>
      <rPr>
        <b/>
        <sz val="11"/>
        <rFont val="Times New Roman"/>
        <family val="1"/>
      </rPr>
      <t>)=</t>
    </r>
  </si>
  <si>
    <r>
      <t>f</t>
    </r>
    <r>
      <rPr>
        <b/>
        <vertAlign val="subscript"/>
        <sz val="11"/>
        <rFont val="Times New Roman"/>
        <family val="1"/>
      </rPr>
      <t>rz</t>
    </r>
    <r>
      <rPr>
        <b/>
        <sz val="11"/>
        <rFont val="Times New Roman"/>
        <family val="1"/>
      </rPr>
      <t>=</t>
    </r>
  </si>
  <si>
    <r>
      <t>Control-to-output pole (w</t>
    </r>
    <r>
      <rPr>
        <b/>
        <vertAlign val="subscript"/>
        <sz val="11"/>
        <rFont val="Times New Roman"/>
        <family val="1"/>
      </rPr>
      <t>p</t>
    </r>
    <r>
      <rPr>
        <b/>
        <sz val="11"/>
        <rFont val="Times New Roman"/>
        <family val="1"/>
      </rPr>
      <t>)=</t>
    </r>
  </si>
  <si>
    <r>
      <t>f</t>
    </r>
    <r>
      <rPr>
        <b/>
        <vertAlign val="subscript"/>
        <sz val="11"/>
        <rFont val="Times New Roman"/>
        <family val="1"/>
      </rPr>
      <t>p</t>
    </r>
    <r>
      <rPr>
        <b/>
        <sz val="11"/>
        <rFont val="Times New Roman"/>
        <family val="1"/>
      </rPr>
      <t>=</t>
    </r>
  </si>
  <si>
    <r>
      <t>Voltage divider resistor (R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)</t>
    </r>
  </si>
  <si>
    <r>
      <t>Voltage divider resistor (R</t>
    </r>
    <r>
      <rPr>
        <b/>
        <vertAlign val="subscript"/>
        <sz val="11"/>
        <rFont val="Times New Roman"/>
        <family val="1"/>
      </rPr>
      <t>2</t>
    </r>
    <r>
      <rPr>
        <b/>
        <sz val="11"/>
        <rFont val="Times New Roman"/>
        <family val="1"/>
      </rPr>
      <t>)=</t>
    </r>
  </si>
  <si>
    <r>
      <t>Opto coupler diode resistor (R</t>
    </r>
    <r>
      <rPr>
        <vertAlign val="subscript"/>
        <sz val="11"/>
        <rFont val="Times New Roman"/>
        <family val="1"/>
      </rPr>
      <t>D</t>
    </r>
    <r>
      <rPr>
        <sz val="11"/>
        <rFont val="Times New Roman"/>
        <family val="1"/>
      </rPr>
      <t>)</t>
    </r>
  </si>
  <si>
    <r>
      <t>KA431 Bias resistor (R</t>
    </r>
    <r>
      <rPr>
        <vertAlign val="subscript"/>
        <sz val="11"/>
        <rFont val="Times New Roman"/>
        <family val="1"/>
      </rPr>
      <t>bias</t>
    </r>
    <r>
      <rPr>
        <sz val="11"/>
        <rFont val="Times New Roman"/>
        <family val="1"/>
      </rPr>
      <t>)</t>
    </r>
  </si>
  <si>
    <r>
      <t>Feeback pin capacitor (C</t>
    </r>
    <r>
      <rPr>
        <vertAlign val="subscript"/>
        <sz val="11"/>
        <rFont val="Times New Roman"/>
        <family val="1"/>
      </rPr>
      <t>B</t>
    </r>
    <r>
      <rPr>
        <sz val="11"/>
        <rFont val="Times New Roman"/>
        <family val="1"/>
      </rPr>
      <t>) =</t>
    </r>
  </si>
  <si>
    <r>
      <t>Feedback Capacitor (C</t>
    </r>
    <r>
      <rPr>
        <vertAlign val="subscript"/>
        <sz val="11"/>
        <rFont val="Times New Roman"/>
        <family val="1"/>
      </rPr>
      <t>F</t>
    </r>
    <r>
      <rPr>
        <sz val="11"/>
        <rFont val="Times New Roman"/>
        <family val="1"/>
      </rPr>
      <t>) =</t>
    </r>
  </si>
  <si>
    <r>
      <t>Feedback resistor (R</t>
    </r>
    <r>
      <rPr>
        <vertAlign val="subscript"/>
        <sz val="11"/>
        <rFont val="Times New Roman"/>
        <family val="1"/>
      </rPr>
      <t>F</t>
    </r>
    <r>
      <rPr>
        <sz val="11"/>
        <rFont val="Times New Roman"/>
        <family val="1"/>
      </rPr>
      <t>) =</t>
    </r>
  </si>
  <si>
    <t>Feedback Voltage (Vfb)=</t>
  </si>
  <si>
    <t>Feedback Impedance (Zfb)=</t>
  </si>
  <si>
    <r>
      <t>Feedback integrator gain (w</t>
    </r>
    <r>
      <rPr>
        <b/>
        <vertAlign val="subscript"/>
        <sz val="11"/>
        <rFont val="Times New Roman"/>
        <family val="1"/>
      </rPr>
      <t>i</t>
    </r>
    <r>
      <rPr>
        <b/>
        <sz val="11"/>
        <rFont val="Times New Roman"/>
        <family val="1"/>
      </rPr>
      <t>) =</t>
    </r>
  </si>
  <si>
    <r>
      <t>f</t>
    </r>
    <r>
      <rPr>
        <b/>
        <vertAlign val="subscript"/>
        <sz val="11"/>
        <rFont val="Times New Roman"/>
        <family val="1"/>
      </rPr>
      <t>i</t>
    </r>
    <r>
      <rPr>
        <b/>
        <sz val="11"/>
        <rFont val="Times New Roman"/>
        <family val="1"/>
      </rPr>
      <t>=</t>
    </r>
  </si>
  <si>
    <r>
      <t>Compensator zero (w</t>
    </r>
    <r>
      <rPr>
        <b/>
        <vertAlign val="subscript"/>
        <sz val="11"/>
        <rFont val="Times New Roman"/>
        <family val="1"/>
      </rPr>
      <t>zc</t>
    </r>
    <r>
      <rPr>
        <b/>
        <sz val="11"/>
        <rFont val="Times New Roman"/>
        <family val="1"/>
      </rPr>
      <t>)=</t>
    </r>
  </si>
  <si>
    <r>
      <t>f</t>
    </r>
    <r>
      <rPr>
        <b/>
        <vertAlign val="subscript"/>
        <sz val="11"/>
        <rFont val="Times New Roman"/>
        <family val="1"/>
      </rPr>
      <t>zc</t>
    </r>
    <r>
      <rPr>
        <b/>
        <sz val="11"/>
        <rFont val="Times New Roman"/>
        <family val="1"/>
      </rPr>
      <t>=</t>
    </r>
  </si>
  <si>
    <r>
      <t>Compensator pole (w</t>
    </r>
    <r>
      <rPr>
        <b/>
        <vertAlign val="subscript"/>
        <sz val="11"/>
        <rFont val="Times New Roman"/>
        <family val="1"/>
      </rPr>
      <t>pc</t>
    </r>
    <r>
      <rPr>
        <b/>
        <sz val="11"/>
        <rFont val="Times New Roman"/>
        <family val="1"/>
      </rPr>
      <t>)=</t>
    </r>
  </si>
  <si>
    <r>
      <t>f</t>
    </r>
    <r>
      <rPr>
        <b/>
        <vertAlign val="subscript"/>
        <sz val="11"/>
        <rFont val="Times New Roman"/>
        <family val="1"/>
      </rPr>
      <t>pc</t>
    </r>
    <r>
      <rPr>
        <b/>
        <sz val="11"/>
        <rFont val="Times New Roman"/>
        <family val="1"/>
      </rPr>
      <t>=</t>
    </r>
  </si>
  <si>
    <t>fsc123fsc456</t>
  </si>
  <si>
    <t>Available lenght for winding (Lw)</t>
  </si>
  <si>
    <t>Available widht winding (Ww)</t>
  </si>
  <si>
    <t>Insolation Tape Tickness</t>
  </si>
  <si>
    <t>Primary Turns (Np)</t>
  </si>
  <si>
    <t>Turns</t>
  </si>
  <si>
    <t>1/2 Primary Turns (Np1)</t>
  </si>
  <si>
    <t>1/2 Primary Turns (Np2)</t>
  </si>
  <si>
    <t>Primary Margim Tape Right (MNp1L)</t>
  </si>
  <si>
    <t>Primary Margim Tape Left (MNp1R)</t>
  </si>
  <si>
    <t>Primary Margim Tape Right (MNp2L)</t>
  </si>
  <si>
    <t>Primary Margim Tape Left (MNp2R)</t>
  </si>
  <si>
    <t>Number of Layers of Np1 Winding</t>
  </si>
  <si>
    <t>Number of Layers of Np2 Winding</t>
  </si>
  <si>
    <t>Number of Layers of Primary Winding (Nolprim)</t>
  </si>
  <si>
    <t>Layers</t>
  </si>
  <si>
    <t>Primary Tickness</t>
  </si>
  <si>
    <t>Primary Insolation Tape</t>
  </si>
  <si>
    <t>Auxiliary Turns (Na)</t>
  </si>
  <si>
    <t>Auxiliary Margim Tape Right (MauxL)</t>
  </si>
  <si>
    <t>Auxiliary Margim Tape Right (MauxR)</t>
  </si>
  <si>
    <t>Number of Layers of Auxiliary Winding (Nolaux)</t>
  </si>
  <si>
    <t>Auxiliary Tickness</t>
  </si>
  <si>
    <t>Auxiliary Insolation Tape</t>
  </si>
  <si>
    <t>1st Output Turns (N1)</t>
  </si>
  <si>
    <t>1st Output Margim Tape Right (Mn1L)</t>
  </si>
  <si>
    <t>1st Output Margim Tape Right (Mn1R)</t>
  </si>
  <si>
    <t>Number of Layers of 1st Output Winding (Noln1)</t>
  </si>
  <si>
    <t>1st Output Winding Tickness</t>
  </si>
  <si>
    <t>1st Output Insolation Tape</t>
  </si>
  <si>
    <t>2nd Output Turns (N2)</t>
  </si>
  <si>
    <t>2nd Output Margim Tape Right (Mn2L)</t>
  </si>
  <si>
    <t>2nd Output Margim Tape Right (Mn2R)</t>
  </si>
  <si>
    <t>Number of Layers of 2nd Output Winding (Noln2)</t>
  </si>
  <si>
    <t>2nd Output Winding Tickness</t>
  </si>
  <si>
    <t>2nd Output Insolation Tape</t>
  </si>
  <si>
    <t>3rd Output Turns (N3)</t>
  </si>
  <si>
    <t>3rd Output Margim Tape Right (Mn3L)</t>
  </si>
  <si>
    <t>3rd Output Margim Tape Right (Mn3R)</t>
  </si>
  <si>
    <t>Number of Layers of 3rd Output Winding (Noln3)</t>
  </si>
  <si>
    <t>3rd Output Winding Tickness</t>
  </si>
  <si>
    <t>3rd Output Insolation Tape</t>
  </si>
  <si>
    <t>4th Output Turns (N4)</t>
  </si>
  <si>
    <t>4th Output Margim Tape Right (Mn4L)</t>
  </si>
  <si>
    <t>4th Output Margim Tape Right (Mn4R)</t>
  </si>
  <si>
    <t>Number of Layers of 4th Output Winding (Noln4)</t>
  </si>
  <si>
    <t>4th Output Winding Tickness</t>
  </si>
  <si>
    <t>4th Output Insolation Tape</t>
  </si>
  <si>
    <t>5th Output Turns (N5)</t>
  </si>
  <si>
    <t>5th Output Margim Tape Right (Mn5L)</t>
  </si>
  <si>
    <t>5th Output Margim Tape Right (Mn5R)</t>
  </si>
  <si>
    <t>Number of Layers of 5th Output Winding (Noln5)</t>
  </si>
  <si>
    <t>5th Output Winding Tickness</t>
  </si>
  <si>
    <t>5th Output Insolation Tape</t>
  </si>
  <si>
    <t>6th Output Turns (N6)</t>
  </si>
  <si>
    <t>6th Output Margim Tape Right (Mn6L)</t>
  </si>
  <si>
    <t>6th Output Margim Tape Right (Mn6R)</t>
  </si>
  <si>
    <t>Number of Layers of 6th Output Winding (Noln6)</t>
  </si>
  <si>
    <t>6th Output Winding Tickness</t>
  </si>
  <si>
    <t>6th Output Insolation Tape</t>
  </si>
  <si>
    <t>Shielding 1 (E1)</t>
  </si>
  <si>
    <t>Shielding 1 (E2)</t>
  </si>
  <si>
    <t>Shielding Insolation Tape</t>
  </si>
  <si>
    <t>External Insolation Tape</t>
  </si>
  <si>
    <t>Total Winding Copper Tickness</t>
  </si>
  <si>
    <t>Total Tape Tickness</t>
  </si>
  <si>
    <t>Total Ocuppied Area</t>
  </si>
  <si>
    <t>AWG gauge</t>
  </si>
  <si>
    <t>Conductor Diameter Inches</t>
  </si>
  <si>
    <t>Conductor Diameter mm</t>
  </si>
  <si>
    <t>Ohms per 1000 ft,</t>
  </si>
  <si>
    <t>Ohms per km</t>
  </si>
  <si>
    <t>Maximum amps for chassis wiring</t>
  </si>
  <si>
    <t>Maximum amps for power transmission</t>
  </si>
  <si>
    <t>Maximum frequency for 100% skin depth for solid conductor copper</t>
  </si>
  <si>
    <t>Breaking force Soft Annealed Cu 37000 PSI</t>
  </si>
  <si>
    <t>OOOO</t>
  </si>
  <si>
    <t>125 Hz</t>
  </si>
  <si>
    <t>6120 lbs</t>
  </si>
  <si>
    <t>OOO</t>
  </si>
  <si>
    <t>160 Hz</t>
  </si>
  <si>
    <t>4860 lbs</t>
  </si>
  <si>
    <t>OO</t>
  </si>
  <si>
    <t>200 Hz</t>
  </si>
  <si>
    <t>3860 lbs</t>
  </si>
  <si>
    <t>250 Hz</t>
  </si>
  <si>
    <t>3060 lbs</t>
  </si>
  <si>
    <t>325 Hz</t>
  </si>
  <si>
    <t>2430 lbs</t>
  </si>
  <si>
    <t>410 Hz</t>
  </si>
  <si>
    <t>1930 lbs</t>
  </si>
  <si>
    <t>500 Hz</t>
  </si>
  <si>
    <t>1530 lbs</t>
  </si>
  <si>
    <t>650 Hz</t>
  </si>
  <si>
    <t>1210 lbs</t>
  </si>
  <si>
    <t>810 Hz</t>
  </si>
  <si>
    <t>960 lbs</t>
  </si>
  <si>
    <t>1100 Hz</t>
  </si>
  <si>
    <t>760 lbs</t>
  </si>
  <si>
    <t>1300 Hz</t>
  </si>
  <si>
    <t>605 lbs</t>
  </si>
  <si>
    <t>1650 Hz</t>
  </si>
  <si>
    <t>480 lbs</t>
  </si>
  <si>
    <t>2050 Hz</t>
  </si>
  <si>
    <t>380 lbs</t>
  </si>
  <si>
    <t>2600 Hz</t>
  </si>
  <si>
    <t>314 lbs</t>
  </si>
  <si>
    <t>3200 Hz</t>
  </si>
  <si>
    <t>249 lbs</t>
  </si>
  <si>
    <t>4150 Hz</t>
  </si>
  <si>
    <t>197 lbs</t>
  </si>
  <si>
    <t>5300 Hz</t>
  </si>
  <si>
    <t>150 lbs</t>
  </si>
  <si>
    <t>6700 Hz</t>
  </si>
  <si>
    <t>119 lbs</t>
  </si>
  <si>
    <t>8250 Hz</t>
  </si>
  <si>
    <t>94 lbs</t>
  </si>
  <si>
    <t>11 k Hz</t>
  </si>
  <si>
    <t>75 lbs</t>
  </si>
  <si>
    <t>13 k Hz</t>
  </si>
  <si>
    <t>59 lbs</t>
  </si>
  <si>
    <t>17 kHz</t>
  </si>
  <si>
    <t>47 lbs</t>
  </si>
  <si>
    <t>21 kHz</t>
  </si>
  <si>
    <t>37 lbs</t>
  </si>
  <si>
    <t>27 kHz</t>
  </si>
  <si>
    <t>29 lbs</t>
  </si>
  <si>
    <t>33 kHz</t>
  </si>
  <si>
    <t>23 lbs</t>
  </si>
  <si>
    <t>42 kHz</t>
  </si>
  <si>
    <t>18 lbs</t>
  </si>
  <si>
    <t>53 kHz</t>
  </si>
  <si>
    <t>14.5 lbs</t>
  </si>
  <si>
    <t>68 kHz</t>
  </si>
  <si>
    <t>11.5 lbs</t>
  </si>
  <si>
    <t>85 kHz</t>
  </si>
  <si>
    <t>9 lbs</t>
  </si>
  <si>
    <t>107 kH</t>
  </si>
  <si>
    <t>7.2 lbs</t>
  </si>
  <si>
    <t>130 kHz</t>
  </si>
  <si>
    <t>5.5 lbs</t>
  </si>
  <si>
    <t>170 kHz</t>
  </si>
  <si>
    <t>4.5 lbs</t>
  </si>
  <si>
    <t>210 kHz</t>
  </si>
  <si>
    <t>3.6 lbs</t>
  </si>
  <si>
    <t>270 kHz</t>
  </si>
  <si>
    <t>2.75 lbs</t>
  </si>
  <si>
    <t>340 kHz</t>
  </si>
  <si>
    <t>2.25 lbs</t>
  </si>
  <si>
    <t>430 kHz</t>
  </si>
  <si>
    <t>1.8 lbs</t>
  </si>
  <si>
    <t>540 kHz</t>
  </si>
  <si>
    <t>1.3 lbs</t>
  </si>
  <si>
    <t>690 kHz</t>
  </si>
  <si>
    <t>1.1 lbs</t>
  </si>
  <si>
    <t>870 kHz</t>
  </si>
  <si>
    <t>0.92 lbs</t>
  </si>
  <si>
    <t>1100 kHz</t>
  </si>
  <si>
    <t>0.72 lbs</t>
  </si>
  <si>
    <t>1350 kHz</t>
  </si>
  <si>
    <t>0.57 lbs</t>
  </si>
  <si>
    <t>1750 kHz</t>
  </si>
  <si>
    <t>0.45 lbs</t>
  </si>
  <si>
    <t>2250 kHz</t>
  </si>
  <si>
    <t>0.36 lbs</t>
  </si>
  <si>
    <t>2900 kHz</t>
  </si>
  <si>
    <t>0.29 lbs</t>
  </si>
  <si>
    <t>Converter</t>
  </si>
  <si>
    <t>VBRdss (V)</t>
  </si>
  <si>
    <t>Coss (pF)</t>
  </si>
  <si>
    <t>Tr (ns)</t>
  </si>
  <si>
    <t>Tf (ns)</t>
  </si>
  <si>
    <t>Rthj-c</t>
  </si>
  <si>
    <t>Rthj-a</t>
  </si>
  <si>
    <t>Fsw (KHz)</t>
  </si>
  <si>
    <t>Dmax</t>
  </si>
  <si>
    <t>Vfb (V)</t>
  </si>
  <si>
    <r>
      <t>Zfb (K</t>
    </r>
    <r>
      <rPr>
        <sz val="11"/>
        <rFont val="Calibri"/>
        <family val="2"/>
      </rPr>
      <t>Ω</t>
    </r>
    <r>
      <rPr>
        <sz val="7.7"/>
        <rFont val="Times New Roman"/>
        <family val="1"/>
      </rPr>
      <t>)</t>
    </r>
  </si>
  <si>
    <t>Package</t>
  </si>
  <si>
    <t>Altair04-900</t>
  </si>
  <si>
    <t>Viper06XN</t>
  </si>
  <si>
    <t>DIP-7</t>
  </si>
  <si>
    <t>Viper06LN</t>
  </si>
  <si>
    <t>DIP-8</t>
  </si>
  <si>
    <t>Viper06HN</t>
  </si>
  <si>
    <t>DIP-9</t>
  </si>
  <si>
    <t>Viper06XS</t>
  </si>
  <si>
    <t>SSO10</t>
  </si>
  <si>
    <t>Viper06LS</t>
  </si>
  <si>
    <t>Viper06HS</t>
  </si>
  <si>
    <t>CLINAME</t>
  </si>
  <si>
    <t>DATETIME</t>
  </si>
  <si>
    <t>DONEBY</t>
  </si>
  <si>
    <t>IPADDRESS</t>
  </si>
  <si>
    <t>APPVER</t>
  </si>
  <si>
    <t>RANDOM</t>
  </si>
  <si>
    <t>CHECKSUM</t>
  </si>
  <si>
    <t>ᝩគ᝗ក᝵ជជ᝽᝺᝽᝹᝸</t>
  </si>
  <si>
    <t>ᝇᝃᝆᝄᝃᝆᝄᝅᝇ᜴᜴ᝋᝎᝆᝅ᝕ᝡ᜴᜼᝛ᝡᝨᝁᝇᝎᝄ᜽</t>
  </si>
  <si>
    <t>ᝧᝨᝰ᝛ញ᝹ឆឆ᝹ឆជ</t>
  </si>
  <si>
    <t>ᝧ᝕ᝣᝠᝨᝧᝡ᝟᝛ᝩ᝙ᝦᝦ᝙ᝦ</t>
  </si>
  <si>
    <t>ᝈᝂᝄᝂᝄᝂᝄ</t>
  </si>
  <si>
    <t>ᝈᝌᝌᝈ</t>
  </si>
  <si>
    <t>1. Winding Stack up</t>
  </si>
  <si>
    <t>2. Bobbin and Tape Specs</t>
  </si>
  <si>
    <t>3. Primary Winding Definition</t>
  </si>
  <si>
    <t>4. Auxiliary Winding Definition</t>
  </si>
  <si>
    <t>5. 1st Output Winding Definition</t>
  </si>
  <si>
    <t>6. 2nd Output Winding Definition</t>
  </si>
  <si>
    <t>7. 3rd Output Winding Definition</t>
  </si>
  <si>
    <t>8. 4th Output Winding Definition</t>
  </si>
  <si>
    <t>9. 5th Output Winding Definition</t>
  </si>
  <si>
    <t>10. 6th Output Winding Definition</t>
  </si>
  <si>
    <t>11. Shielding Winding Definition</t>
  </si>
  <si>
    <t>Viper16LN</t>
  </si>
  <si>
    <t>Viper16HN</t>
  </si>
  <si>
    <t>Viper16HD</t>
  </si>
  <si>
    <t>Viper16LD</t>
  </si>
  <si>
    <t>SO-16</t>
  </si>
  <si>
    <r>
      <t>ESR</t>
    </r>
    <r>
      <rPr>
        <b/>
        <vertAlign val="subscript"/>
        <sz val="11"/>
        <rFont val="Times New Roman"/>
        <family val="1"/>
      </rPr>
      <t>(n)</t>
    </r>
  </si>
  <si>
    <r>
      <t>Primary leakage inductance factor (%</t>
    </r>
    <r>
      <rPr>
        <sz val="11"/>
        <rFont val="Times New Roman"/>
        <family val="1"/>
      </rPr>
      <t>)</t>
    </r>
  </si>
  <si>
    <t>Iop (mA)</t>
  </si>
  <si>
    <t>5. Choose the proper Converter considering the input power and current limit</t>
  </si>
  <si>
    <t>External</t>
  </si>
  <si>
    <t>Yes</t>
  </si>
  <si>
    <t>No</t>
  </si>
  <si>
    <t>Current Limit will be adjusted?</t>
  </si>
  <si>
    <t>New current limit for the Controller</t>
  </si>
  <si>
    <t>Selected Controller</t>
  </si>
  <si>
    <r>
      <t>Minimum switching frequency of Controller (f</t>
    </r>
    <r>
      <rPr>
        <vertAlign val="subscript"/>
        <sz val="11"/>
        <rFont val="Times New Roman"/>
        <family val="1"/>
      </rPr>
      <t>smin</t>
    </r>
    <r>
      <rPr>
        <sz val="11"/>
        <rFont val="Times New Roman"/>
        <family val="1"/>
      </rPr>
      <t>)</t>
    </r>
  </si>
  <si>
    <t>Fsmin (KHz)</t>
  </si>
  <si>
    <t>Fsmax (KHz)</t>
  </si>
  <si>
    <t>Viper26LN</t>
  </si>
  <si>
    <t>Viper26HN</t>
  </si>
  <si>
    <t>Viper26HD</t>
  </si>
  <si>
    <t>Viper26LD</t>
  </si>
  <si>
    <t>Rds(on)max</t>
  </si>
  <si>
    <t>Ilimit Typ (A)</t>
  </si>
  <si>
    <t>Viper17LN</t>
  </si>
  <si>
    <t>Viper17HN</t>
  </si>
  <si>
    <t>Viper17HD</t>
  </si>
  <si>
    <t>Viper17LD</t>
  </si>
  <si>
    <t>SO-16N</t>
  </si>
  <si>
    <t>Vcc (on)</t>
  </si>
  <si>
    <t>Viper25LN</t>
  </si>
  <si>
    <t>Viper25HN</t>
  </si>
  <si>
    <t>Viper25HD</t>
  </si>
  <si>
    <t>Viper25LD</t>
  </si>
  <si>
    <t>Viper15LN</t>
  </si>
  <si>
    <t>Viper15HN</t>
  </si>
  <si>
    <t>Viper15HD</t>
  </si>
  <si>
    <t>Viper15LD</t>
  </si>
  <si>
    <t>Viper28LN</t>
  </si>
  <si>
    <t>Viper28HN</t>
  </si>
  <si>
    <t>Viper28LE</t>
  </si>
  <si>
    <t>Viper28HE</t>
  </si>
  <si>
    <t>Viper28HD</t>
  </si>
  <si>
    <t>Viper28LD</t>
  </si>
  <si>
    <t>SDIP-10</t>
  </si>
  <si>
    <t>Viper27LN</t>
  </si>
  <si>
    <t>Viper27HN</t>
  </si>
  <si>
    <t>Viper27HD</t>
  </si>
  <si>
    <t>Viper27LD</t>
  </si>
  <si>
    <t>Viper37LE</t>
  </si>
  <si>
    <t>Viper37HE</t>
  </si>
  <si>
    <t>Rthj-pin</t>
  </si>
  <si>
    <t>Viper100A-E</t>
  </si>
  <si>
    <t>Viper100A-22-E</t>
  </si>
  <si>
    <t>Viper100ASP-E</t>
  </si>
  <si>
    <t>Pentawatt HV</t>
  </si>
  <si>
    <t>Pentawatt HV (022Y)</t>
  </si>
  <si>
    <t>PowerSO-10</t>
  </si>
  <si>
    <t>Viper12AS</t>
  </si>
  <si>
    <t>Viper12ADIP</t>
  </si>
  <si>
    <t>Viper20A-E</t>
  </si>
  <si>
    <t>Viper20ASP-E</t>
  </si>
  <si>
    <t>Viper20DIP-E</t>
  </si>
  <si>
    <t>Viper22AS</t>
  </si>
  <si>
    <t>Viper22ADIP</t>
  </si>
  <si>
    <t>SO-8</t>
  </si>
  <si>
    <t>Viper50A-E</t>
  </si>
  <si>
    <t>Viper50ASP-E</t>
  </si>
  <si>
    <t>Viper50A-22-E</t>
  </si>
  <si>
    <t>Viper53DIP-E</t>
  </si>
  <si>
    <t>Viper53SP</t>
  </si>
  <si>
    <t>1. Power Losses</t>
  </si>
  <si>
    <t>Espaço 1</t>
  </si>
  <si>
    <t>Espaço 2</t>
  </si>
  <si>
    <t>Espaço 3</t>
  </si>
  <si>
    <t>Espaço 4</t>
  </si>
  <si>
    <t>Espaço 5</t>
  </si>
  <si>
    <t>Altair05T-800</t>
  </si>
  <si>
    <t>Current Limit of the selected controller</t>
  </si>
  <si>
    <t>Current limit margin over Idspk (%)</t>
  </si>
  <si>
    <t>Parameters</t>
  </si>
  <si>
    <t>Rise Time (Tr)</t>
  </si>
  <si>
    <t>Fall Time (Tf)</t>
  </si>
  <si>
    <t>Output Capacitance (Coss)</t>
  </si>
  <si>
    <t>Operating Current (Iop)</t>
  </si>
  <si>
    <t>Maximum Rds (on)</t>
  </si>
  <si>
    <t>Switching Frequency (Fsw)</t>
  </si>
  <si>
    <t>Operating Voltage (Vdd)</t>
  </si>
  <si>
    <t>Ω</t>
  </si>
  <si>
    <t>ns</t>
  </si>
  <si>
    <t>KHz</t>
  </si>
  <si>
    <t>pF</t>
  </si>
  <si>
    <t>mA</t>
  </si>
  <si>
    <t>Vdc</t>
  </si>
  <si>
    <t>Duty</t>
  </si>
  <si>
    <t>Actual Losses</t>
  </si>
  <si>
    <t>2. Determine the number of turns for each output</t>
  </si>
  <si>
    <t>Auxiliary Winding</t>
  </si>
  <si>
    <t xml:space="preserve">7. Determine the wire diameter for each winding </t>
  </si>
  <si>
    <t>Green cell</t>
  </si>
  <si>
    <t>Yellow cell</t>
  </si>
  <si>
    <t>is a list of options</t>
  </si>
  <si>
    <r>
      <t>nH/T</t>
    </r>
    <r>
      <rPr>
        <vertAlign val="superscript"/>
        <sz val="11"/>
        <rFont val="Times New Roman"/>
        <family val="1"/>
      </rPr>
      <t>2</t>
    </r>
  </si>
  <si>
    <r>
      <t>k</t>
    </r>
    <r>
      <rPr>
        <sz val="11"/>
        <rFont val="Calibri"/>
        <family val="2"/>
      </rPr>
      <t>Ω</t>
    </r>
  </si>
  <si>
    <r>
      <t>k</t>
    </r>
    <r>
      <rPr>
        <b/>
        <sz val="11"/>
        <rFont val="Calibri"/>
        <family val="2"/>
      </rPr>
      <t>Ω</t>
    </r>
  </si>
  <si>
    <t>Actual Duty-Cycle (Duty_act)</t>
  </si>
  <si>
    <t>Actual Pin (Pin_act)</t>
  </si>
  <si>
    <t>Actual output power (Pout_act)</t>
  </si>
  <si>
    <t>Estimated Efficiency (Eff_act)</t>
  </si>
  <si>
    <t>Actual peak drain current (Idspk_act)</t>
  </si>
  <si>
    <t>Core</t>
  </si>
  <si>
    <t>EE20/10/6</t>
  </si>
  <si>
    <t>Mnufct</t>
  </si>
  <si>
    <t>Epcos</t>
  </si>
  <si>
    <t>Ae</t>
  </si>
  <si>
    <t>Aw</t>
  </si>
  <si>
    <t>TEX-E</t>
  </si>
  <si>
    <t>http://www.furukawa.co.jp/makisen/eng/product/texe_series.htm</t>
  </si>
  <si>
    <t>TEX0.2</t>
  </si>
  <si>
    <t>TEX0.21</t>
  </si>
  <si>
    <t>TEX0.22</t>
  </si>
  <si>
    <t>TEX0.23</t>
  </si>
  <si>
    <t>TEX0.24</t>
  </si>
  <si>
    <t>TEX0.25</t>
  </si>
  <si>
    <t>TEX0.26</t>
  </si>
  <si>
    <t>TEX0.27</t>
  </si>
  <si>
    <t>TEX0.28</t>
  </si>
  <si>
    <t>TEX0.29</t>
  </si>
  <si>
    <t>TEX0.30</t>
  </si>
  <si>
    <t>TEX0.32</t>
  </si>
  <si>
    <t>TEX0.35</t>
  </si>
  <si>
    <t>TEX0.37</t>
  </si>
  <si>
    <t>TEX0.4</t>
  </si>
  <si>
    <t>TEX0.45</t>
  </si>
  <si>
    <t>TEX0.5</t>
  </si>
  <si>
    <t>TEX0.55</t>
  </si>
  <si>
    <t>TEX0.6</t>
  </si>
  <si>
    <t>TEX0.65</t>
  </si>
  <si>
    <t>TEX0.7</t>
  </si>
  <si>
    <t>TEX0.8</t>
  </si>
  <si>
    <t>TEX0.75</t>
  </si>
  <si>
    <t>TEX0.85</t>
  </si>
  <si>
    <t>TEX0.9</t>
  </si>
  <si>
    <t>TEX0.95</t>
  </si>
  <si>
    <t>TEX1</t>
  </si>
  <si>
    <t>Typ Overall diam</t>
  </si>
  <si>
    <t>N/A</t>
  </si>
  <si>
    <t>Max Overall diam</t>
  </si>
  <si>
    <t>Wire</t>
  </si>
  <si>
    <t>AWG 0</t>
  </si>
  <si>
    <t>AWG 1</t>
  </si>
  <si>
    <t>AWG 2</t>
  </si>
  <si>
    <t>AWG 3</t>
  </si>
  <si>
    <t>AWG 4</t>
  </si>
  <si>
    <t>AWG 5</t>
  </si>
  <si>
    <t>AWG 6</t>
  </si>
  <si>
    <t>AWG 7</t>
  </si>
  <si>
    <t>AWG 8</t>
  </si>
  <si>
    <t>AWG 9</t>
  </si>
  <si>
    <t>AWG 10</t>
  </si>
  <si>
    <t>AWG 11</t>
  </si>
  <si>
    <t>AWG 12</t>
  </si>
  <si>
    <t>AWG 13</t>
  </si>
  <si>
    <t>AWG 14</t>
  </si>
  <si>
    <t>AWG 15</t>
  </si>
  <si>
    <t>AWG 16</t>
  </si>
  <si>
    <t>AWG 17</t>
  </si>
  <si>
    <t>AWG 18</t>
  </si>
  <si>
    <t>AWG 19</t>
  </si>
  <si>
    <t>AWG 20</t>
  </si>
  <si>
    <t>AWG 21</t>
  </si>
  <si>
    <t>AWG 22</t>
  </si>
  <si>
    <t>AWG 23</t>
  </si>
  <si>
    <t>AWG 24</t>
  </si>
  <si>
    <t>AWG 25</t>
  </si>
  <si>
    <t>AWG 26</t>
  </si>
  <si>
    <t>AWG 27</t>
  </si>
  <si>
    <t>AWG 40</t>
  </si>
  <si>
    <t>AWG 39</t>
  </si>
  <si>
    <t>AWG 38</t>
  </si>
  <si>
    <t>AWG 37</t>
  </si>
  <si>
    <t>AWG 36</t>
  </si>
  <si>
    <t>AWG 35</t>
  </si>
  <si>
    <t>AWG 34</t>
  </si>
  <si>
    <t>AWG 33</t>
  </si>
  <si>
    <t>AWG 32</t>
  </si>
  <si>
    <t>AWG 31</t>
  </si>
  <si>
    <t>AWG 30</t>
  </si>
  <si>
    <t>AWG 29</t>
  </si>
  <si>
    <t>AWG 28</t>
  </si>
  <si>
    <t>Selected Wire</t>
  </si>
  <si>
    <t>Typical overall diameter of selected wire</t>
  </si>
  <si>
    <t>Vac</t>
  </si>
  <si>
    <t>Actual input line voltage (Vac_act)</t>
  </si>
  <si>
    <t>Max. Power Losses</t>
  </si>
  <si>
    <t>Actual rms drain current (Idsrms_act)</t>
  </si>
  <si>
    <t>Actual Vdc Link Voltage</t>
  </si>
  <si>
    <t>Conduction Losses (Pcond)</t>
  </si>
  <si>
    <t>Quiescent Losses (Pq)</t>
  </si>
  <si>
    <t>TOTAL Losses (Pt)</t>
  </si>
  <si>
    <t>Actual Conduction Losses (Pcond_act)</t>
  </si>
  <si>
    <t>Actual Switcing Losses (Psw_act)</t>
  </si>
  <si>
    <t>Actual Capacitive Losses (Pcap_act)</t>
  </si>
  <si>
    <t>Actual Quiescent Losses (Pq_act)</t>
  </si>
  <si>
    <t>Actual TOTAL Losses (Pt_act)</t>
  </si>
  <si>
    <t>Switcing Losses (Psw) @ Vin max</t>
  </si>
  <si>
    <t>Capacitive Losses (Pcap) @ Vin max</t>
  </si>
  <si>
    <t>Vline</t>
  </si>
  <si>
    <t>Idspk</t>
  </si>
  <si>
    <t>Idsrms</t>
  </si>
  <si>
    <t>Pcond</t>
  </si>
  <si>
    <t>Psw</t>
  </si>
  <si>
    <t>Pcap</t>
  </si>
  <si>
    <t>Pq</t>
  </si>
  <si>
    <t>Ptotal</t>
  </si>
  <si>
    <t>4. Losses in function of Input Voltage and considering max Power</t>
  </si>
  <si>
    <t>5. Estimated Junction Temperature</t>
  </si>
  <si>
    <t>°C</t>
  </si>
  <si>
    <t>Max Operating Temperature</t>
  </si>
  <si>
    <t>Thermal Resistance Junction-Ambient</t>
  </si>
  <si>
    <t>°C/W</t>
  </si>
  <si>
    <t>Estimated Junction Temperature</t>
  </si>
  <si>
    <t xml:space="preserve">Up to Poutmax = </t>
  </si>
  <si>
    <t>E1= Copper Tape: 0.25x11.16x1,1T</t>
  </si>
  <si>
    <t>Na= 15 Turns, 1Layers</t>
  </si>
  <si>
    <t>Np1= 116 Turns, 3Layers</t>
  </si>
  <si>
    <t>N1= 12 Turns, 1Layers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</si>
</sst>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"/>
    <numFmt numFmtId="165" formatCode="0.00_ "/>
    <numFmt numFmtId="166" formatCode="0_ "/>
    <numFmt numFmtId="167" formatCode="0.0_ "/>
    <numFmt numFmtId="168" formatCode="0.0000"/>
    <numFmt numFmtId="169" formatCode="0.0%"/>
    <numFmt numFmtId="170" formatCode="#,##0_ "/>
    <numFmt numFmtId="171" formatCode="0.0_);[Red]\(0.0\)"/>
    <numFmt numFmtId="172" formatCode="0_);[Red]\(0\)"/>
    <numFmt numFmtId="173" formatCode="0.00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i/>
      <sz val="11"/>
      <name val="Times New Roman"/>
      <family val="1"/>
    </font>
    <font>
      <b/>
      <u/>
      <sz val="11"/>
      <name val="Times New Roman"/>
      <family val="1"/>
    </font>
    <font>
      <u/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perscript"/>
      <sz val="11"/>
      <name val="Times New Roman"/>
      <family val="1"/>
    </font>
    <font>
      <b/>
      <vertAlign val="subscript"/>
      <sz val="11"/>
      <name val="Times New Roman"/>
      <family val="1"/>
    </font>
    <font>
      <b/>
      <vertAlign val="superscript"/>
      <sz val="11"/>
      <name val="Times New Roman"/>
      <family val="1"/>
    </font>
    <font>
      <b/>
      <u/>
      <vertAlign val="subscript"/>
      <sz val="11"/>
      <name val="Times New Roman"/>
      <family val="1"/>
    </font>
    <font>
      <b/>
      <sz val="9"/>
      <color indexed="81"/>
      <name val="굴림"/>
      <family val="3"/>
      <charset val="129"/>
    </font>
    <font>
      <b/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7.7"/>
      <name val="Times New Roman"/>
      <family val="1"/>
    </font>
    <font>
      <sz val="11"/>
      <color rgb="FFFF0000"/>
      <name val="Times New Roman"/>
      <family val="1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  <font>
      <u/>
      <sz val="11"/>
      <color theme="0"/>
      <name val="Times New Roman"/>
      <family val="1"/>
    </font>
    <font>
      <b/>
      <u/>
      <sz val="11"/>
      <color theme="0"/>
      <name val="Times New Roman"/>
      <family val="1"/>
    </font>
    <font>
      <b/>
      <sz val="11"/>
      <name val="Calibri"/>
      <family val="2"/>
    </font>
    <font>
      <sz val="8"/>
      <color indexed="81"/>
      <name val="Tahoma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24FC2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99999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214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Font="1" applyProtection="1">
      <protection locked="0"/>
    </xf>
    <xf numFmtId="0" fontId="5" fillId="0" borderId="0" xfId="0" applyFont="1" applyAlignment="1" applyProtection="1">
      <protection hidden="1"/>
    </xf>
    <xf numFmtId="0" fontId="2" fillId="0" borderId="0" xfId="0" applyFont="1" applyAlignment="1" applyProtection="1">
      <protection hidden="1"/>
    </xf>
    <xf numFmtId="0" fontId="2" fillId="2" borderId="0" xfId="0" applyFont="1" applyFill="1" applyProtection="1">
      <protection locked="0"/>
    </xf>
    <xf numFmtId="0" fontId="2" fillId="5" borderId="0" xfId="0" applyFont="1" applyFill="1" applyAlignment="1" applyProtection="1">
      <protection hidden="1"/>
    </xf>
    <xf numFmtId="0" fontId="6" fillId="5" borderId="0" xfId="0" applyFont="1" applyFill="1" applyAlignment="1" applyProtection="1">
      <protection hidden="1"/>
    </xf>
    <xf numFmtId="0" fontId="2" fillId="0" borderId="0" xfId="0" applyNumberFormat="1" applyFont="1" applyProtection="1">
      <protection locked="0"/>
    </xf>
    <xf numFmtId="164" fontId="2" fillId="2" borderId="0" xfId="0" applyNumberFormat="1" applyFont="1" applyFill="1" applyProtection="1">
      <protection locked="0"/>
    </xf>
    <xf numFmtId="165" fontId="2" fillId="2" borderId="0" xfId="0" applyNumberFormat="1" applyFont="1" applyFill="1" applyProtection="1">
      <protection locked="0"/>
    </xf>
    <xf numFmtId="166" fontId="4" fillId="3" borderId="0" xfId="0" applyNumberFormat="1" applyFont="1" applyFill="1" applyProtection="1">
      <protection hidden="1"/>
    </xf>
    <xf numFmtId="0" fontId="6" fillId="0" borderId="0" xfId="0" applyFont="1" applyProtection="1">
      <protection hidden="1"/>
    </xf>
    <xf numFmtId="167" fontId="4" fillId="3" borderId="0" xfId="0" applyNumberFormat="1" applyFont="1" applyFill="1" applyProtection="1">
      <protection hidden="1"/>
    </xf>
    <xf numFmtId="0" fontId="2" fillId="0" borderId="0" xfId="0" quotePrefix="1" applyFont="1" applyProtection="1">
      <protection hidden="1"/>
    </xf>
    <xf numFmtId="165" fontId="4" fillId="3" borderId="0" xfId="0" applyNumberFormat="1" applyFont="1" applyFill="1" applyProtection="1">
      <protection hidden="1"/>
    </xf>
    <xf numFmtId="0" fontId="2" fillId="0" borderId="0" xfId="0" applyFont="1" applyFill="1" applyProtection="1">
      <protection hidden="1"/>
    </xf>
    <xf numFmtId="165" fontId="6" fillId="0" borderId="0" xfId="0" applyNumberFormat="1" applyFont="1" applyAlignment="1" applyProtection="1">
      <alignment horizontal="center"/>
      <protection hidden="1"/>
    </xf>
    <xf numFmtId="0" fontId="6" fillId="0" borderId="0" xfId="0" applyFont="1" applyAlignment="1" applyProtection="1">
      <protection hidden="1"/>
    </xf>
    <xf numFmtId="0" fontId="6" fillId="5" borderId="0" xfId="0" applyFont="1" applyFill="1" applyAlignment="1" applyProtection="1">
      <alignment horizontal="center" vertical="center"/>
      <protection hidden="1"/>
    </xf>
    <xf numFmtId="0" fontId="2" fillId="5" borderId="0" xfId="0" applyFont="1" applyFill="1" applyProtection="1">
      <protection locked="0"/>
    </xf>
    <xf numFmtId="167" fontId="4" fillId="6" borderId="0" xfId="0" applyNumberFormat="1" applyFont="1" applyFill="1" applyProtection="1">
      <protection hidden="1"/>
    </xf>
    <xf numFmtId="0" fontId="5" fillId="0" borderId="0" xfId="0" quotePrefix="1" applyFont="1" applyFill="1" applyProtection="1">
      <protection hidden="1"/>
    </xf>
    <xf numFmtId="0" fontId="4" fillId="3" borderId="0" xfId="0" applyFont="1" applyFill="1" applyProtection="1">
      <protection hidden="1"/>
    </xf>
    <xf numFmtId="0" fontId="4" fillId="0" borderId="0" xfId="0" applyFont="1" applyAlignment="1" applyProtection="1">
      <protection hidden="1"/>
    </xf>
    <xf numFmtId="0" fontId="5" fillId="0" borderId="0" xfId="0" applyFont="1" applyProtection="1">
      <protection hidden="1"/>
    </xf>
    <xf numFmtId="0" fontId="5" fillId="0" borderId="0" xfId="0" applyFont="1" applyFill="1" applyProtection="1">
      <protection hidden="1"/>
    </xf>
    <xf numFmtId="168" fontId="4" fillId="3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protection locked="0"/>
    </xf>
    <xf numFmtId="2" fontId="4" fillId="3" borderId="0" xfId="0" applyNumberFormat="1" applyFont="1" applyFill="1" applyAlignment="1" applyProtection="1">
      <protection hidden="1"/>
    </xf>
    <xf numFmtId="165" fontId="4" fillId="3" borderId="0" xfId="0" applyNumberFormat="1" applyFont="1" applyFill="1" applyAlignment="1" applyProtection="1">
      <protection hidden="1"/>
    </xf>
    <xf numFmtId="0" fontId="2" fillId="0" borderId="0" xfId="0" applyFont="1" applyFill="1" applyAlignment="1" applyProtection="1">
      <protection hidden="1"/>
    </xf>
    <xf numFmtId="0" fontId="6" fillId="0" borderId="0" xfId="0" applyFont="1" applyFill="1" applyAlignment="1" applyProtection="1">
      <protection hidden="1"/>
    </xf>
    <xf numFmtId="0" fontId="2" fillId="5" borderId="0" xfId="0" applyFont="1" applyFill="1" applyProtection="1">
      <protection hidden="1"/>
    </xf>
    <xf numFmtId="169" fontId="2" fillId="2" borderId="0" xfId="0" applyNumberFormat="1" applyFont="1" applyFill="1" applyAlignment="1" applyProtection="1">
      <alignment horizontal="center" vertical="center"/>
      <protection hidden="1"/>
    </xf>
    <xf numFmtId="0" fontId="6" fillId="0" borderId="0" xfId="0" applyFont="1" applyFill="1" applyProtection="1">
      <protection hidden="1"/>
    </xf>
    <xf numFmtId="0" fontId="2" fillId="0" borderId="0" xfId="0" applyFont="1" applyFill="1" applyProtection="1">
      <protection locked="0"/>
    </xf>
    <xf numFmtId="166" fontId="4" fillId="3" borderId="0" xfId="0" applyNumberFormat="1" applyFont="1" applyFill="1" applyAlignment="1" applyProtection="1">
      <protection hidden="1"/>
    </xf>
    <xf numFmtId="0" fontId="6" fillId="0" borderId="0" xfId="0" quotePrefix="1" applyFont="1" applyProtection="1">
      <protection hidden="1"/>
    </xf>
    <xf numFmtId="0" fontId="6" fillId="5" borderId="0" xfId="0" applyFont="1" applyFill="1" applyAlignment="1" applyProtection="1">
      <alignment horizontal="center" vertical="center" wrapText="1"/>
      <protection hidden="1"/>
    </xf>
    <xf numFmtId="0" fontId="6" fillId="5" borderId="0" xfId="0" applyFont="1" applyFill="1" applyAlignment="1" applyProtection="1">
      <alignment vertical="center"/>
      <protection hidden="1"/>
    </xf>
    <xf numFmtId="167" fontId="4" fillId="3" borderId="0" xfId="0" applyNumberFormat="1" applyFont="1" applyFill="1" applyAlignment="1" applyProtection="1">
      <protection hidden="1"/>
    </xf>
    <xf numFmtId="0" fontId="2" fillId="0" borderId="0" xfId="0" applyNumberFormat="1" applyFont="1" applyProtection="1">
      <protection hidden="1"/>
    </xf>
    <xf numFmtId="166" fontId="2" fillId="0" borderId="0" xfId="0" applyNumberFormat="1" applyFont="1" applyProtection="1">
      <protection hidden="1"/>
    </xf>
    <xf numFmtId="0" fontId="2" fillId="0" borderId="0" xfId="0" applyNumberFormat="1" applyFont="1" applyAlignment="1" applyProtection="1">
      <protection hidden="1"/>
    </xf>
    <xf numFmtId="0" fontId="2" fillId="0" borderId="0" xfId="0" applyNumberFormat="1" applyFont="1" applyFill="1" applyAlignment="1" applyProtection="1">
      <protection hidden="1"/>
    </xf>
    <xf numFmtId="0" fontId="6" fillId="0" borderId="0" xfId="0" applyFont="1" applyAlignment="1" applyProtection="1">
      <alignment horizontal="left"/>
      <protection hidden="1"/>
    </xf>
    <xf numFmtId="166" fontId="2" fillId="0" borderId="0" xfId="0" applyNumberFormat="1" applyFont="1" applyAlignment="1" applyProtection="1">
      <protection hidden="1"/>
    </xf>
    <xf numFmtId="171" fontId="2" fillId="0" borderId="0" xfId="0" applyNumberFormat="1" applyFont="1" applyFill="1" applyAlignment="1" applyProtection="1">
      <protection hidden="1"/>
    </xf>
    <xf numFmtId="170" fontId="6" fillId="0" borderId="0" xfId="0" applyNumberFormat="1" applyFont="1" applyFill="1" applyAlignment="1" applyProtection="1">
      <protection hidden="1"/>
    </xf>
    <xf numFmtId="171" fontId="4" fillId="0" borderId="0" xfId="0" applyNumberFormat="1" applyFont="1" applyFill="1" applyAlignment="1" applyProtection="1">
      <protection hidden="1"/>
    </xf>
    <xf numFmtId="2" fontId="2" fillId="2" borderId="0" xfId="0" applyNumberFormat="1" applyFont="1" applyFill="1" applyProtection="1">
      <protection locked="0"/>
    </xf>
    <xf numFmtId="167" fontId="2" fillId="0" borderId="0" xfId="0" applyNumberFormat="1" applyFont="1" applyAlignment="1" applyProtection="1">
      <protection hidden="1"/>
    </xf>
    <xf numFmtId="171" fontId="2" fillId="0" borderId="0" xfId="0" applyNumberFormat="1" applyFont="1" applyAlignment="1" applyProtection="1">
      <protection hidden="1"/>
    </xf>
    <xf numFmtId="172" fontId="4" fillId="3" borderId="0" xfId="0" applyNumberFormat="1" applyFont="1" applyFill="1" applyAlignment="1" applyProtection="1">
      <alignment horizontal="right"/>
      <protection hidden="1"/>
    </xf>
    <xf numFmtId="172" fontId="4" fillId="3" borderId="0" xfId="0" applyNumberFormat="1" applyFont="1" applyFill="1" applyProtection="1">
      <protection hidden="1"/>
    </xf>
    <xf numFmtId="0" fontId="2" fillId="0" borderId="0" xfId="0" applyFont="1" applyProtection="1"/>
    <xf numFmtId="0" fontId="2" fillId="0" borderId="0" xfId="0" applyFont="1"/>
    <xf numFmtId="0" fontId="2" fillId="7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7" borderId="0" xfId="0" applyFont="1" applyFill="1"/>
    <xf numFmtId="2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168" fontId="15" fillId="9" borderId="1" xfId="0" applyNumberFormat="1" applyFont="1" applyFill="1" applyBorder="1" applyAlignment="1">
      <alignment horizontal="center" vertical="center" wrapText="1"/>
    </xf>
    <xf numFmtId="168" fontId="2" fillId="9" borderId="1" xfId="0" applyNumberFormat="1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 wrapText="1"/>
    </xf>
    <xf numFmtId="9" fontId="2" fillId="0" borderId="0" xfId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8" fillId="0" borderId="0" xfId="0" applyFont="1" applyProtection="1">
      <protection hidden="1"/>
    </xf>
    <xf numFmtId="0" fontId="18" fillId="0" borderId="0" xfId="0" applyFont="1" applyFill="1" applyProtection="1">
      <protection hidden="1"/>
    </xf>
    <xf numFmtId="0" fontId="18" fillId="0" borderId="0" xfId="0" applyNumberFormat="1" applyFont="1" applyProtection="1">
      <protection hidden="1"/>
    </xf>
    <xf numFmtId="0" fontId="18" fillId="0" borderId="0" xfId="0" applyFont="1" applyProtection="1">
      <protection locked="0"/>
    </xf>
    <xf numFmtId="0" fontId="19" fillId="0" borderId="0" xfId="0" applyFont="1" applyProtection="1">
      <protection hidden="1"/>
    </xf>
    <xf numFmtId="0" fontId="19" fillId="0" borderId="0" xfId="0" applyFont="1" applyFill="1" applyProtection="1">
      <protection hidden="1"/>
    </xf>
    <xf numFmtId="0" fontId="19" fillId="0" borderId="0" xfId="0" applyNumberFormat="1" applyFont="1" applyProtection="1">
      <protection hidden="1"/>
    </xf>
    <xf numFmtId="0" fontId="19" fillId="0" borderId="0" xfId="0" applyFont="1" applyProtection="1">
      <protection locked="0"/>
    </xf>
    <xf numFmtId="0" fontId="20" fillId="0" borderId="0" xfId="0" applyFont="1" applyFill="1" applyAlignment="1" applyProtection="1">
      <protection hidden="1"/>
    </xf>
    <xf numFmtId="0" fontId="19" fillId="0" borderId="0" xfId="0" applyFont="1" applyFill="1" applyProtection="1">
      <protection locked="0"/>
    </xf>
    <xf numFmtId="0" fontId="20" fillId="0" borderId="0" xfId="0" applyFont="1" applyFill="1" applyAlignment="1" applyProtection="1">
      <protection locked="0"/>
    </xf>
    <xf numFmtId="0" fontId="21" fillId="0" borderId="0" xfId="0" applyFont="1" applyFill="1" applyProtection="1">
      <protection locked="0"/>
    </xf>
    <xf numFmtId="0" fontId="22" fillId="0" borderId="0" xfId="0" applyFont="1" applyFill="1" applyProtection="1">
      <protection locked="0"/>
    </xf>
    <xf numFmtId="170" fontId="22" fillId="0" borderId="0" xfId="0" applyNumberFormat="1" applyFont="1" applyFill="1" applyAlignment="1" applyProtection="1">
      <alignment horizontal="right"/>
      <protection locked="0"/>
    </xf>
    <xf numFmtId="0" fontId="20" fillId="0" borderId="0" xfId="0" applyFont="1" applyFill="1" applyProtection="1">
      <protection locked="0"/>
    </xf>
    <xf numFmtId="0" fontId="6" fillId="0" borderId="0" xfId="0" applyFont="1" applyFill="1" applyAlignment="1" applyProtection="1">
      <alignment horizontal="left" vertical="center"/>
      <protection hidden="1"/>
    </xf>
    <xf numFmtId="164" fontId="2" fillId="2" borderId="0" xfId="0" applyNumberFormat="1" applyFont="1" applyFill="1" applyAlignment="1" applyProtection="1">
      <alignment horizontal="right" vertical="center"/>
      <protection hidden="1"/>
    </xf>
    <xf numFmtId="0" fontId="2" fillId="0" borderId="0" xfId="0" applyFont="1" applyFill="1" applyAlignment="1" applyProtection="1">
      <alignment horizontal="left" vertical="center"/>
      <protection hidden="1"/>
    </xf>
    <xf numFmtId="2" fontId="5" fillId="3" borderId="0" xfId="0" applyNumberFormat="1" applyFont="1" applyFill="1" applyProtection="1">
      <protection locked="0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Fill="1" applyAlignment="1" applyProtection="1">
      <alignment horizontal="left" vertical="center"/>
      <protection hidden="1"/>
    </xf>
    <xf numFmtId="0" fontId="2" fillId="2" borderId="0" xfId="0" applyFont="1" applyFill="1" applyAlignment="1" applyProtection="1">
      <alignment horizontal="right" vertical="center"/>
      <protection hidden="1"/>
    </xf>
    <xf numFmtId="0" fontId="4" fillId="3" borderId="0" xfId="0" applyFont="1" applyFill="1" applyAlignment="1" applyProtection="1">
      <alignment horizontal="right" vertical="center"/>
      <protection hidden="1"/>
    </xf>
    <xf numFmtId="0" fontId="4" fillId="0" borderId="0" xfId="0" applyFont="1" applyFill="1" applyAlignment="1" applyProtection="1">
      <alignment horizontal="left" vertical="center"/>
      <protection hidden="1"/>
    </xf>
    <xf numFmtId="165" fontId="4" fillId="3" borderId="0" xfId="0" applyNumberFormat="1" applyFont="1" applyFill="1" applyBorder="1" applyProtection="1">
      <protection locked="0"/>
    </xf>
    <xf numFmtId="0" fontId="4" fillId="0" borderId="0" xfId="0" applyFont="1" applyBorder="1" applyProtection="1">
      <protection hidden="1"/>
    </xf>
    <xf numFmtId="0" fontId="13" fillId="0" borderId="0" xfId="0" applyFont="1" applyProtection="1">
      <protection locked="0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6" fillId="4" borderId="0" xfId="0" applyFont="1" applyFill="1" applyAlignment="1" applyProtection="1">
      <alignment vertical="center"/>
      <protection hidden="1"/>
    </xf>
    <xf numFmtId="0" fontId="6" fillId="0" borderId="0" xfId="0" applyFont="1" applyFill="1" applyAlignment="1" applyProtection="1">
      <alignment vertical="center"/>
      <protection hidden="1"/>
    </xf>
    <xf numFmtId="0" fontId="6" fillId="4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3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4" fillId="3" borderId="0" xfId="0" applyNumberFormat="1" applyFont="1" applyFill="1" applyAlignment="1">
      <alignment vertical="center"/>
    </xf>
    <xf numFmtId="173" fontId="4" fillId="3" borderId="0" xfId="0" applyNumberFormat="1" applyFont="1" applyFill="1" applyAlignment="1">
      <alignment vertical="center"/>
    </xf>
    <xf numFmtId="0" fontId="3" fillId="0" borderId="0" xfId="0" applyFont="1" applyAlignment="1" applyProtection="1">
      <protection hidden="1"/>
    </xf>
    <xf numFmtId="0" fontId="2" fillId="0" borderId="0" xfId="0" applyFont="1" applyAlignment="1" applyProtection="1">
      <protection hidden="1"/>
    </xf>
    <xf numFmtId="0" fontId="4" fillId="2" borderId="0" xfId="0" applyFont="1" applyFill="1" applyAlignment="1" applyProtection="1">
      <alignment horizontal="left" vertical="center"/>
      <protection hidden="1"/>
    </xf>
    <xf numFmtId="0" fontId="4" fillId="3" borderId="0" xfId="0" applyFont="1" applyFill="1" applyAlignment="1" applyProtection="1">
      <alignment horizontal="left" vertical="center"/>
      <protection hidden="1"/>
    </xf>
    <xf numFmtId="2" fontId="4" fillId="3" borderId="0" xfId="0" applyNumberFormat="1" applyFont="1" applyFill="1" applyProtection="1">
      <protection hidden="1"/>
    </xf>
    <xf numFmtId="0" fontId="6" fillId="0" borderId="0" xfId="0" applyFont="1" applyAlignment="1" applyProtection="1">
      <alignment vertical="center"/>
      <protection hidden="1"/>
    </xf>
    <xf numFmtId="0" fontId="2" fillId="5" borderId="0" xfId="0" applyFont="1" applyFill="1" applyAlignment="1" applyProtection="1">
      <alignment vertical="center"/>
      <protection hidden="1"/>
    </xf>
    <xf numFmtId="0" fontId="2" fillId="2" borderId="0" xfId="0" applyFont="1" applyFill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hidden="1"/>
    </xf>
    <xf numFmtId="165" fontId="4" fillId="3" borderId="0" xfId="0" applyNumberFormat="1" applyFont="1" applyFill="1" applyAlignment="1" applyProtection="1">
      <alignment vertical="center"/>
      <protection hidden="1"/>
    </xf>
    <xf numFmtId="165" fontId="4" fillId="3" borderId="0" xfId="0" applyNumberFormat="1" applyFont="1" applyFill="1" applyAlignment="1" applyProtection="1">
      <alignment horizontal="right" vertical="center"/>
      <protection hidden="1"/>
    </xf>
    <xf numFmtId="0" fontId="5" fillId="0" borderId="0" xfId="0" applyFont="1" applyFill="1" applyAlignment="1" applyProtection="1">
      <alignment vertical="center"/>
      <protection hidden="1"/>
    </xf>
    <xf numFmtId="0" fontId="2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165" fontId="4" fillId="0" borderId="0" xfId="0" applyNumberFormat="1" applyFont="1" applyFill="1" applyProtection="1">
      <protection hidden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10" borderId="0" xfId="0" applyFont="1" applyFill="1" applyAlignment="1" applyProtection="1">
      <alignment horizontal="left" vertical="center"/>
      <protection hidden="1"/>
    </xf>
    <xf numFmtId="0" fontId="4" fillId="3" borderId="0" xfId="0" applyFont="1" applyFill="1" applyProtection="1">
      <protection locked="0"/>
    </xf>
    <xf numFmtId="168" fontId="4" fillId="3" borderId="0" xfId="0" applyNumberFormat="1" applyFont="1" applyFill="1" applyAlignment="1" applyProtection="1">
      <alignment horizontal="right" vertical="center"/>
      <protection locked="0"/>
    </xf>
    <xf numFmtId="0" fontId="2" fillId="0" borderId="0" xfId="0" applyFont="1" applyFill="1" applyAlignment="1">
      <alignment horizontal="left" vertical="center"/>
    </xf>
    <xf numFmtId="0" fontId="13" fillId="0" borderId="0" xfId="0" applyFont="1" applyAlignment="1" applyProtection="1">
      <protection hidden="1"/>
    </xf>
    <xf numFmtId="173" fontId="2" fillId="2" borderId="0" xfId="0" applyNumberFormat="1" applyFont="1" applyFill="1" applyAlignment="1">
      <alignment vertical="center"/>
    </xf>
    <xf numFmtId="2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2" fontId="2" fillId="2" borderId="0" xfId="0" applyNumberFormat="1" applyFont="1" applyFill="1" applyAlignment="1">
      <alignment horizontal="center" vertical="center"/>
    </xf>
    <xf numFmtId="173" fontId="2" fillId="2" borderId="0" xfId="0" applyNumberFormat="1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3" fontId="4" fillId="3" borderId="0" xfId="0" applyNumberFormat="1" applyFont="1" applyFill="1" applyBorder="1" applyAlignment="1">
      <alignment horizontal="center" vertical="center"/>
    </xf>
    <xf numFmtId="173" fontId="4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3" fontId="4" fillId="3" borderId="0" xfId="0" applyNumberFormat="1" applyFont="1" applyFill="1" applyAlignment="1" applyProtection="1">
      <alignment vertical="center"/>
      <protection hidden="1"/>
    </xf>
    <xf numFmtId="173" fontId="4" fillId="3" borderId="0" xfId="0" applyNumberFormat="1" applyFont="1" applyFill="1" applyAlignment="1" applyProtection="1">
      <protection hidden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5" fillId="11" borderId="2" xfId="0" applyFont="1" applyFill="1" applyBorder="1" applyAlignment="1">
      <alignment horizontal="center" vertical="center" wrapText="1"/>
    </xf>
    <xf numFmtId="0" fontId="27" fillId="0" borderId="0" xfId="2" applyFont="1" applyAlignment="1">
      <alignment vertical="center"/>
    </xf>
    <xf numFmtId="0" fontId="26" fillId="0" borderId="3" xfId="2" applyBorder="1" applyAlignment="1">
      <alignment vertical="center"/>
    </xf>
    <xf numFmtId="0" fontId="2" fillId="10" borderId="0" xfId="0" applyFont="1" applyFill="1" applyAlignment="1" applyProtection="1">
      <alignment horizontal="center" vertical="center"/>
      <protection hidden="1"/>
    </xf>
    <xf numFmtId="0" fontId="6" fillId="0" borderId="0" xfId="0" applyFont="1" applyAlignment="1">
      <alignment vertical="center"/>
    </xf>
    <xf numFmtId="168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8" fontId="4" fillId="3" borderId="0" xfId="0" applyNumberFormat="1" applyFont="1" applyFill="1" applyAlignment="1">
      <alignment horizontal="right" vertical="center"/>
    </xf>
    <xf numFmtId="2" fontId="4" fillId="3" borderId="0" xfId="0" applyNumberFormat="1" applyFont="1" applyFill="1" applyAlignment="1">
      <alignment horizontal="right" vertical="center"/>
    </xf>
    <xf numFmtId="173" fontId="4" fillId="3" borderId="0" xfId="0" applyNumberFormat="1" applyFont="1" applyFill="1" applyAlignment="1">
      <alignment horizontal="right" vertical="center"/>
    </xf>
    <xf numFmtId="0" fontId="2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 applyBorder="1"/>
    <xf numFmtId="0" fontId="6" fillId="0" borderId="0" xfId="0" applyFont="1" applyFill="1"/>
    <xf numFmtId="0" fontId="4" fillId="3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4" fillId="3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73" fontId="2" fillId="2" borderId="0" xfId="0" applyNumberFormat="1" applyFont="1" applyFill="1" applyProtection="1">
      <protection locked="0"/>
    </xf>
    <xf numFmtId="0" fontId="19" fillId="0" borderId="0" xfId="0" applyFont="1"/>
    <xf numFmtId="2" fontId="2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173" fontId="19" fillId="0" borderId="0" xfId="0" applyNumberFormat="1" applyFont="1"/>
    <xf numFmtId="2" fontId="19" fillId="0" borderId="0" xfId="0" applyNumberFormat="1" applyFont="1" applyAlignment="1">
      <alignment horizontal="center" vertical="center"/>
    </xf>
    <xf numFmtId="173" fontId="19" fillId="0" borderId="0" xfId="0" applyNumberFormat="1" applyFont="1" applyAlignment="1">
      <alignment horizontal="center" vertical="center"/>
    </xf>
    <xf numFmtId="1" fontId="20" fillId="0" borderId="0" xfId="0" applyNumberFormat="1" applyFont="1" applyAlignment="1">
      <alignment horizontal="center" vertical="center"/>
    </xf>
    <xf numFmtId="0" fontId="16" fillId="0" borderId="0" xfId="0" applyFont="1"/>
    <xf numFmtId="0" fontId="23" fillId="0" borderId="0" xfId="0" applyFont="1"/>
    <xf numFmtId="0" fontId="4" fillId="3" borderId="0" xfId="0" applyFont="1" applyFill="1"/>
    <xf numFmtId="0" fontId="2" fillId="2" borderId="0" xfId="0" applyFont="1" applyFill="1"/>
    <xf numFmtId="38" fontId="4" fillId="3" borderId="0" xfId="0" applyNumberFormat="1" applyFont="1" applyFill="1" applyAlignment="1" applyProtection="1"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170" fontId="4" fillId="3" borderId="0" xfId="0" applyNumberFormat="1" applyFont="1" applyFill="1" applyAlignment="1" applyProtection="1">
      <protection hidden="1"/>
    </xf>
    <xf numFmtId="38" fontId="4" fillId="3" borderId="0" xfId="0" applyNumberFormat="1" applyFont="1" applyFill="1" applyAlignment="1" applyProtection="1">
      <alignment horizontal="right"/>
      <protection hidden="1"/>
    </xf>
    <xf numFmtId="2" fontId="4" fillId="0" borderId="0" xfId="0" applyNumberFormat="1" applyFont="1" applyAlignment="1" applyProtection="1">
      <alignment horizontal="left"/>
      <protection hidden="1"/>
    </xf>
    <xf numFmtId="0" fontId="6" fillId="10" borderId="0" xfId="0" applyFont="1" applyFill="1" applyAlignment="1" applyProtection="1">
      <alignment horizontal="center" vertical="center"/>
      <protection hidden="1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73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/>
    </xf>
    <xf numFmtId="2" fontId="2" fillId="0" borderId="0" xfId="0" applyNumberFormat="1" applyFont="1" applyAlignment="1">
      <alignment horizontal="left" vertical="center"/>
    </xf>
  </cellXfs>
  <cellStyles count="3">
    <cellStyle name="Hyperlink" xfId="2" builtinId="8"/>
    <cellStyle name="Normal" xfId="0" builtinId="0"/>
    <cellStyle name="Percent" xfId="1" builtinId="5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mruColors>
      <color rgb="FF24FC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310439333776367E-2"/>
          <c:y val="5.4545454545454515E-2"/>
          <c:w val="0.84946363986841134"/>
          <c:h val="0.82181818181818178"/>
        </c:manualLayout>
      </c:layout>
      <c:scatterChart>
        <c:scatterStyle val="smoothMarker"/>
        <c:varyColors val="0"/>
        <c:ser>
          <c:idx val="0"/>
          <c:order val="0"/>
          <c:tx>
            <c:v>Control-to-output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Flyback!$B$140:$B$159</c:f>
              <c:numCache>
                <c:formatCode>General</c:formatCode>
                <c:ptCount val="20"/>
                <c:pt idx="0">
                  <c:v>16</c:v>
                </c:pt>
                <c:pt idx="1">
                  <c:v>25</c:v>
                </c:pt>
                <c:pt idx="2">
                  <c:v>40</c:v>
                </c:pt>
                <c:pt idx="3">
                  <c:v>63</c:v>
                </c:pt>
                <c:pt idx="4">
                  <c:v>100</c:v>
                </c:pt>
                <c:pt idx="5">
                  <c:v>160</c:v>
                </c:pt>
                <c:pt idx="6">
                  <c:v>250</c:v>
                </c:pt>
                <c:pt idx="7">
                  <c:v>400</c:v>
                </c:pt>
                <c:pt idx="8">
                  <c:v>630</c:v>
                </c:pt>
                <c:pt idx="9">
                  <c:v>1000</c:v>
                </c:pt>
                <c:pt idx="10">
                  <c:v>1600</c:v>
                </c:pt>
                <c:pt idx="11">
                  <c:v>2500</c:v>
                </c:pt>
                <c:pt idx="12">
                  <c:v>4000</c:v>
                </c:pt>
                <c:pt idx="13">
                  <c:v>6300</c:v>
                </c:pt>
                <c:pt idx="14">
                  <c:v>10000</c:v>
                </c:pt>
                <c:pt idx="15">
                  <c:v>16000</c:v>
                </c:pt>
                <c:pt idx="16">
                  <c:v>25000</c:v>
                </c:pt>
                <c:pt idx="17">
                  <c:v>40000</c:v>
                </c:pt>
                <c:pt idx="18">
                  <c:v>63000</c:v>
                </c:pt>
                <c:pt idx="19">
                  <c:v>100000</c:v>
                </c:pt>
              </c:numCache>
            </c:numRef>
          </c:xVal>
          <c:yVal>
            <c:numRef>
              <c:f>Flyback!$C$140:$C$159</c:f>
              <c:numCache>
                <c:formatCode>General</c:formatCode>
                <c:ptCount val="20"/>
                <c:pt idx="0">
                  <c:v>11.999214456657224</c:v>
                </c:pt>
                <c:pt idx="1">
                  <c:v>10.394371960354729</c:v>
                </c:pt>
                <c:pt idx="2">
                  <c:v>7.8025832305969125</c:v>
                </c:pt>
                <c:pt idx="3">
                  <c:v>4.5973075629811184</c:v>
                </c:pt>
                <c:pt idx="4">
                  <c:v>0.92680174155627082</c:v>
                </c:pt>
                <c:pt idx="5">
                  <c:v>-3.0080893458073845</c:v>
                </c:pt>
                <c:pt idx="6">
                  <c:v>-6.8223135810108779</c:v>
                </c:pt>
                <c:pt idx="7">
                  <c:v>-10.864863667841986</c:v>
                </c:pt>
                <c:pt idx="8">
                  <c:v>-14.762874127070182</c:v>
                </c:pt>
                <c:pt idx="9">
                  <c:v>-18.675894493473162</c:v>
                </c:pt>
                <c:pt idx="10">
                  <c:v>-22.515862299797757</c:v>
                </c:pt>
                <c:pt idx="11">
                  <c:v>-25.864710260816246</c:v>
                </c:pt>
                <c:pt idx="12">
                  <c:v>-28.773807159454879</c:v>
                </c:pt>
                <c:pt idx="13">
                  <c:v>-30.643393869152046</c:v>
                </c:pt>
                <c:pt idx="14">
                  <c:v>-31.399516671216581</c:v>
                </c:pt>
                <c:pt idx="15">
                  <c:v>-30.95583829748454</c:v>
                </c:pt>
                <c:pt idx="16">
                  <c:v>-29.411447193674224</c:v>
                </c:pt>
                <c:pt idx="17">
                  <c:v>-26.741675749965363</c:v>
                </c:pt>
                <c:pt idx="18">
                  <c:v>-23.461740024058933</c:v>
                </c:pt>
                <c:pt idx="19">
                  <c:v>-19.747660307855497</c:v>
                </c:pt>
              </c:numCache>
            </c:numRef>
          </c:yVal>
          <c:smooth val="1"/>
        </c:ser>
        <c:ser>
          <c:idx val="1"/>
          <c:order val="1"/>
          <c:tx>
            <c:v>Compensator</c:v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Flyback!$B$140:$B$159</c:f>
              <c:numCache>
                <c:formatCode>General</c:formatCode>
                <c:ptCount val="20"/>
                <c:pt idx="0">
                  <c:v>16</c:v>
                </c:pt>
                <c:pt idx="1">
                  <c:v>25</c:v>
                </c:pt>
                <c:pt idx="2">
                  <c:v>40</c:v>
                </c:pt>
                <c:pt idx="3">
                  <c:v>63</c:v>
                </c:pt>
                <c:pt idx="4">
                  <c:v>100</c:v>
                </c:pt>
                <c:pt idx="5">
                  <c:v>160</c:v>
                </c:pt>
                <c:pt idx="6">
                  <c:v>250</c:v>
                </c:pt>
                <c:pt idx="7">
                  <c:v>400</c:v>
                </c:pt>
                <c:pt idx="8">
                  <c:v>630</c:v>
                </c:pt>
                <c:pt idx="9">
                  <c:v>1000</c:v>
                </c:pt>
                <c:pt idx="10">
                  <c:v>1600</c:v>
                </c:pt>
                <c:pt idx="11">
                  <c:v>2500</c:v>
                </c:pt>
                <c:pt idx="12">
                  <c:v>4000</c:v>
                </c:pt>
                <c:pt idx="13">
                  <c:v>6300</c:v>
                </c:pt>
                <c:pt idx="14">
                  <c:v>10000</c:v>
                </c:pt>
                <c:pt idx="15">
                  <c:v>16000</c:v>
                </c:pt>
                <c:pt idx="16">
                  <c:v>25000</c:v>
                </c:pt>
                <c:pt idx="17">
                  <c:v>40000</c:v>
                </c:pt>
                <c:pt idx="18">
                  <c:v>63000</c:v>
                </c:pt>
                <c:pt idx="19">
                  <c:v>100000</c:v>
                </c:pt>
              </c:numCache>
            </c:numRef>
          </c:xVal>
          <c:yVal>
            <c:numRef>
              <c:f>Flyback!$D$140:$D$159</c:f>
              <c:numCache>
                <c:formatCode>General</c:formatCode>
                <c:ptCount val="20"/>
                <c:pt idx="0">
                  <c:v>35.590446542327847</c:v>
                </c:pt>
                <c:pt idx="1">
                  <c:v>31.987055485623888</c:v>
                </c:pt>
                <c:pt idx="2">
                  <c:v>28.552773382590473</c:v>
                </c:pt>
                <c:pt idx="3">
                  <c:v>25.867248088315623</c:v>
                </c:pt>
                <c:pt idx="4">
                  <c:v>24.002746746291116</c:v>
                </c:pt>
                <c:pt idx="5">
                  <c:v>22.94203295317574</c:v>
                </c:pt>
                <c:pt idx="6">
                  <c:v>22.437695758604924</c:v>
                </c:pt>
                <c:pt idx="7">
                  <c:v>22.139792810309928</c:v>
                </c:pt>
                <c:pt idx="8">
                  <c:v>21.862680640860574</c:v>
                </c:pt>
                <c:pt idx="9">
                  <c:v>21.37522204810033</c:v>
                </c:pt>
                <c:pt idx="10">
                  <c:v>20.372155727675434</c:v>
                </c:pt>
                <c:pt idx="11">
                  <c:v>18.659346029097659</c:v>
                </c:pt>
                <c:pt idx="12">
                  <c:v>15.964459207715224</c:v>
                </c:pt>
                <c:pt idx="13">
                  <c:v>12.694763643411944</c:v>
                </c:pt>
                <c:pt idx="14">
                  <c:v>8.9902756159519512</c:v>
                </c:pt>
                <c:pt idx="15">
                  <c:v>5.0381288650130891</c:v>
                </c:pt>
                <c:pt idx="16">
                  <c:v>1.21206359140437</c:v>
                </c:pt>
                <c:pt idx="17">
                  <c:v>-2.8488790238661714</c:v>
                </c:pt>
                <c:pt idx="18">
                  <c:v>-6.7862522690192932</c:v>
                </c:pt>
                <c:pt idx="19">
                  <c:v>-10.796081252155096</c:v>
                </c:pt>
              </c:numCache>
            </c:numRef>
          </c:yVal>
          <c:smooth val="1"/>
        </c:ser>
        <c:ser>
          <c:idx val="2"/>
          <c:order val="2"/>
          <c:tx>
            <c:v>T (Closed Loop Gain)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Flyback!$B$140:$B$159</c:f>
              <c:numCache>
                <c:formatCode>General</c:formatCode>
                <c:ptCount val="20"/>
                <c:pt idx="0">
                  <c:v>16</c:v>
                </c:pt>
                <c:pt idx="1">
                  <c:v>25</c:v>
                </c:pt>
                <c:pt idx="2">
                  <c:v>40</c:v>
                </c:pt>
                <c:pt idx="3">
                  <c:v>63</c:v>
                </c:pt>
                <c:pt idx="4">
                  <c:v>100</c:v>
                </c:pt>
                <c:pt idx="5">
                  <c:v>160</c:v>
                </c:pt>
                <c:pt idx="6">
                  <c:v>250</c:v>
                </c:pt>
                <c:pt idx="7">
                  <c:v>400</c:v>
                </c:pt>
                <c:pt idx="8">
                  <c:v>630</c:v>
                </c:pt>
                <c:pt idx="9">
                  <c:v>1000</c:v>
                </c:pt>
                <c:pt idx="10">
                  <c:v>1600</c:v>
                </c:pt>
                <c:pt idx="11">
                  <c:v>2500</c:v>
                </c:pt>
                <c:pt idx="12">
                  <c:v>4000</c:v>
                </c:pt>
                <c:pt idx="13">
                  <c:v>6300</c:v>
                </c:pt>
                <c:pt idx="14">
                  <c:v>10000</c:v>
                </c:pt>
                <c:pt idx="15">
                  <c:v>16000</c:v>
                </c:pt>
                <c:pt idx="16">
                  <c:v>25000</c:v>
                </c:pt>
                <c:pt idx="17">
                  <c:v>40000</c:v>
                </c:pt>
                <c:pt idx="18">
                  <c:v>63000</c:v>
                </c:pt>
                <c:pt idx="19">
                  <c:v>100000</c:v>
                </c:pt>
              </c:numCache>
            </c:numRef>
          </c:xVal>
          <c:yVal>
            <c:numRef>
              <c:f>Flyback!$E$140:$E$159</c:f>
              <c:numCache>
                <c:formatCode>General</c:formatCode>
                <c:ptCount val="20"/>
                <c:pt idx="0">
                  <c:v>47.589660998985067</c:v>
                </c:pt>
                <c:pt idx="1">
                  <c:v>42.381427445978616</c:v>
                </c:pt>
                <c:pt idx="2">
                  <c:v>36.355356613187382</c:v>
                </c:pt>
                <c:pt idx="3">
                  <c:v>30.464555651296742</c:v>
                </c:pt>
                <c:pt idx="4">
                  <c:v>24.929548487847388</c:v>
                </c:pt>
                <c:pt idx="5">
                  <c:v>19.933943607368356</c:v>
                </c:pt>
                <c:pt idx="6">
                  <c:v>15.615382177594046</c:v>
                </c:pt>
                <c:pt idx="7">
                  <c:v>11.274929142467942</c:v>
                </c:pt>
                <c:pt idx="8">
                  <c:v>7.0998065137903925</c:v>
                </c:pt>
                <c:pt idx="9">
                  <c:v>2.6993275546271676</c:v>
                </c:pt>
                <c:pt idx="10">
                  <c:v>-2.1437065721223227</c:v>
                </c:pt>
                <c:pt idx="11">
                  <c:v>-7.2053642317185869</c:v>
                </c:pt>
                <c:pt idx="12">
                  <c:v>-12.809347951739655</c:v>
                </c:pt>
                <c:pt idx="13">
                  <c:v>-17.948630225740104</c:v>
                </c:pt>
                <c:pt idx="14">
                  <c:v>-22.40924105526463</c:v>
                </c:pt>
                <c:pt idx="15">
                  <c:v>-25.917709432471451</c:v>
                </c:pt>
                <c:pt idx="16">
                  <c:v>-28.199383602269855</c:v>
                </c:pt>
                <c:pt idx="17">
                  <c:v>-29.590554773831535</c:v>
                </c:pt>
                <c:pt idx="18">
                  <c:v>-30.247992293078227</c:v>
                </c:pt>
                <c:pt idx="19">
                  <c:v>-30.543741560010595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06784"/>
        <c:axId val="158809088"/>
      </c:scatterChart>
      <c:valAx>
        <c:axId val="158806784"/>
        <c:scaling>
          <c:logBase val="10"/>
          <c:orientation val="minMax"/>
          <c:min val="1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돋움"/>
                    <a:ea typeface="돋움"/>
                    <a:cs typeface="돋움"/>
                  </a:defRPr>
                </a:pPr>
                <a:r>
                  <a:rPr lang="pt-BR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4546857819187165"/>
              <c:y val="0.912727272727272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pt-BR"/>
          </a:p>
        </c:txPr>
        <c:crossAx val="158809088"/>
        <c:crosses val="autoZero"/>
        <c:crossBetween val="midCat"/>
        <c:minorUnit val="10"/>
      </c:valAx>
      <c:valAx>
        <c:axId val="158809088"/>
        <c:scaling>
          <c:orientation val="minMax"/>
          <c:max val="60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돋움"/>
                    <a:ea typeface="돋움"/>
                    <a:cs typeface="돋움"/>
                  </a:defRPr>
                </a:pPr>
                <a:r>
                  <a:rPr lang="pt-BR"/>
                  <a:t>Gain (dB)</a:t>
                </a:r>
              </a:p>
            </c:rich>
          </c:tx>
          <c:layout>
            <c:manualLayout>
              <c:xMode val="edge"/>
              <c:yMode val="edge"/>
              <c:x val="2.1505408604263653E-2"/>
              <c:y val="0.360000000000000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pt-BR"/>
          </a:p>
        </c:txPr>
        <c:crossAx val="158806784"/>
        <c:crosses val="autoZero"/>
        <c:crossBetween val="midCat"/>
        <c:minorUnit val="2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7758498241115783"/>
          <c:y val="8.2895620558653058E-2"/>
          <c:w val="0.26484915058779673"/>
          <c:h val="0.220538705318957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31749139112089"/>
          <c:y val="6.3745019920318724E-2"/>
          <c:w val="0.85208076433753577"/>
          <c:h val="0.83266932270916361"/>
        </c:manualLayout>
      </c:layout>
      <c:scatterChart>
        <c:scatterStyle val="smoothMarker"/>
        <c:varyColors val="0"/>
        <c:ser>
          <c:idx val="0"/>
          <c:order val="0"/>
          <c:tx>
            <c:v>Control-to-output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Flyback!$G$140:$G$159</c:f>
              <c:numCache>
                <c:formatCode>General</c:formatCode>
                <c:ptCount val="20"/>
                <c:pt idx="0">
                  <c:v>16</c:v>
                </c:pt>
                <c:pt idx="1">
                  <c:v>25</c:v>
                </c:pt>
                <c:pt idx="2">
                  <c:v>40</c:v>
                </c:pt>
                <c:pt idx="3">
                  <c:v>63</c:v>
                </c:pt>
                <c:pt idx="4">
                  <c:v>100</c:v>
                </c:pt>
                <c:pt idx="5">
                  <c:v>160</c:v>
                </c:pt>
                <c:pt idx="6">
                  <c:v>250</c:v>
                </c:pt>
                <c:pt idx="7">
                  <c:v>400</c:v>
                </c:pt>
                <c:pt idx="8">
                  <c:v>630</c:v>
                </c:pt>
                <c:pt idx="9">
                  <c:v>1000</c:v>
                </c:pt>
                <c:pt idx="10">
                  <c:v>1600</c:v>
                </c:pt>
                <c:pt idx="11">
                  <c:v>2500</c:v>
                </c:pt>
                <c:pt idx="12">
                  <c:v>4000</c:v>
                </c:pt>
                <c:pt idx="13">
                  <c:v>6300</c:v>
                </c:pt>
                <c:pt idx="14">
                  <c:v>10000</c:v>
                </c:pt>
                <c:pt idx="15">
                  <c:v>16000</c:v>
                </c:pt>
                <c:pt idx="16">
                  <c:v>25000</c:v>
                </c:pt>
                <c:pt idx="17">
                  <c:v>40000</c:v>
                </c:pt>
                <c:pt idx="18">
                  <c:v>63000</c:v>
                </c:pt>
                <c:pt idx="19">
                  <c:v>100000</c:v>
                </c:pt>
              </c:numCache>
            </c:numRef>
          </c:xVal>
          <c:yVal>
            <c:numRef>
              <c:f>Flyback!$H$140:$H$159</c:f>
              <c:numCache>
                <c:formatCode>General</c:formatCode>
                <c:ptCount val="20"/>
                <c:pt idx="0">
                  <c:v>-33.73048051477371</c:v>
                </c:pt>
                <c:pt idx="1">
                  <c:v>-46.155188262873445</c:v>
                </c:pt>
                <c:pt idx="2">
                  <c:v>-58.887379239899197</c:v>
                </c:pt>
                <c:pt idx="3">
                  <c:v>-68.778894714236685</c:v>
                </c:pt>
                <c:pt idx="4">
                  <c:v>-75.805752907465319</c:v>
                </c:pt>
                <c:pt idx="5">
                  <c:v>-80.259528913576503</c:v>
                </c:pt>
                <c:pt idx="6">
                  <c:v>-82.561325965213044</c:v>
                </c:pt>
                <c:pt idx="7">
                  <c:v>-83.387857996219651</c:v>
                </c:pt>
                <c:pt idx="8">
                  <c:v>-82.787577899437181</c:v>
                </c:pt>
                <c:pt idx="9">
                  <c:v>-80.675671713738069</c:v>
                </c:pt>
                <c:pt idx="10">
                  <c:v>-76.678552659855583</c:v>
                </c:pt>
                <c:pt idx="11">
                  <c:v>-70.921295881742822</c:v>
                </c:pt>
                <c:pt idx="12">
                  <c:v>-63.259307217963347</c:v>
                </c:pt>
                <c:pt idx="13">
                  <c:v>-56.305340017690156</c:v>
                </c:pt>
                <c:pt idx="14">
                  <c:v>-52.859700068966795</c:v>
                </c:pt>
                <c:pt idx="15">
                  <c:v>-55.035225002974968</c:v>
                </c:pt>
                <c:pt idx="16">
                  <c:v>-61.354110070696514</c:v>
                </c:pt>
                <c:pt idx="17">
                  <c:v>-69.374674466806241</c:v>
                </c:pt>
                <c:pt idx="18">
                  <c:v>-76.042952899384545</c:v>
                </c:pt>
                <c:pt idx="19">
                  <c:v>-80.967740177053159</c:v>
                </c:pt>
              </c:numCache>
            </c:numRef>
          </c:yVal>
          <c:smooth val="1"/>
        </c:ser>
        <c:ser>
          <c:idx val="1"/>
          <c:order val="1"/>
          <c:tx>
            <c:v>Compensator</c:v>
          </c:tx>
          <c:spPr>
            <a:ln w="25400">
              <a:solidFill>
                <a:srgbClr val="00808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8080"/>
              </a:solidFill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Flyback!$G$140:$G$159</c:f>
              <c:numCache>
                <c:formatCode>General</c:formatCode>
                <c:ptCount val="20"/>
                <c:pt idx="0">
                  <c:v>16</c:v>
                </c:pt>
                <c:pt idx="1">
                  <c:v>25</c:v>
                </c:pt>
                <c:pt idx="2">
                  <c:v>40</c:v>
                </c:pt>
                <c:pt idx="3">
                  <c:v>63</c:v>
                </c:pt>
                <c:pt idx="4">
                  <c:v>100</c:v>
                </c:pt>
                <c:pt idx="5">
                  <c:v>160</c:v>
                </c:pt>
                <c:pt idx="6">
                  <c:v>250</c:v>
                </c:pt>
                <c:pt idx="7">
                  <c:v>400</c:v>
                </c:pt>
                <c:pt idx="8">
                  <c:v>630</c:v>
                </c:pt>
                <c:pt idx="9">
                  <c:v>1000</c:v>
                </c:pt>
                <c:pt idx="10">
                  <c:v>1600</c:v>
                </c:pt>
                <c:pt idx="11">
                  <c:v>2500</c:v>
                </c:pt>
                <c:pt idx="12">
                  <c:v>4000</c:v>
                </c:pt>
                <c:pt idx="13">
                  <c:v>6300</c:v>
                </c:pt>
                <c:pt idx="14">
                  <c:v>10000</c:v>
                </c:pt>
                <c:pt idx="15">
                  <c:v>16000</c:v>
                </c:pt>
                <c:pt idx="16">
                  <c:v>25000</c:v>
                </c:pt>
                <c:pt idx="17">
                  <c:v>40000</c:v>
                </c:pt>
                <c:pt idx="18">
                  <c:v>63000</c:v>
                </c:pt>
                <c:pt idx="19">
                  <c:v>100000</c:v>
                </c:pt>
              </c:numCache>
            </c:numRef>
          </c:xVal>
          <c:yVal>
            <c:numRef>
              <c:f>Flyback!$I$140:$I$159</c:f>
              <c:numCache>
                <c:formatCode>General</c:formatCode>
                <c:ptCount val="20"/>
                <c:pt idx="0">
                  <c:v>-78.14348358376111</c:v>
                </c:pt>
                <c:pt idx="1">
                  <c:v>-71.876005167873188</c:v>
                </c:pt>
                <c:pt idx="2">
                  <c:v>-62.494497936906441</c:v>
                </c:pt>
                <c:pt idx="3">
                  <c:v>-51.035152835355156</c:v>
                </c:pt>
                <c:pt idx="4">
                  <c:v>-38.8815394646222</c:v>
                </c:pt>
                <c:pt idx="5">
                  <c:v>-28.73871932089115</c:v>
                </c:pt>
                <c:pt idx="6">
                  <c:v>-22.697353961805931</c:v>
                </c:pt>
                <c:pt idx="7">
                  <c:v>-20.440479365577104</c:v>
                </c:pt>
                <c:pt idx="8">
                  <c:v>-22.218881686664574</c:v>
                </c:pt>
                <c:pt idx="9">
                  <c:v>-28.061832513529673</c:v>
                </c:pt>
                <c:pt idx="10">
                  <c:v>-37.92235348477692</c:v>
                </c:pt>
                <c:pt idx="11">
                  <c:v>-49.570293719581066</c:v>
                </c:pt>
                <c:pt idx="12">
                  <c:v>-61.58854683360731</c:v>
                </c:pt>
                <c:pt idx="13">
                  <c:v>-70.936479352114802</c:v>
                </c:pt>
                <c:pt idx="14">
                  <c:v>-77.68813305108003</c:v>
                </c:pt>
                <c:pt idx="15">
                  <c:v>-82.224659773746467</c:v>
                </c:pt>
                <c:pt idx="16">
                  <c:v>-85.003808442532716</c:v>
                </c:pt>
                <c:pt idx="17">
                  <c:v>-86.872049923079359</c:v>
                </c:pt>
                <c:pt idx="18">
                  <c:v>-88.012699723885177</c:v>
                </c:pt>
                <c:pt idx="19">
                  <c:v>-88.747666630366169</c:v>
                </c:pt>
              </c:numCache>
            </c:numRef>
          </c:yVal>
          <c:smooth val="1"/>
        </c:ser>
        <c:ser>
          <c:idx val="2"/>
          <c:order val="2"/>
          <c:tx>
            <c:v>T (Closed Loop Gain)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Flyback!$G$140:$G$159</c:f>
              <c:numCache>
                <c:formatCode>General</c:formatCode>
                <c:ptCount val="20"/>
                <c:pt idx="0">
                  <c:v>16</c:v>
                </c:pt>
                <c:pt idx="1">
                  <c:v>25</c:v>
                </c:pt>
                <c:pt idx="2">
                  <c:v>40</c:v>
                </c:pt>
                <c:pt idx="3">
                  <c:v>63</c:v>
                </c:pt>
                <c:pt idx="4">
                  <c:v>100</c:v>
                </c:pt>
                <c:pt idx="5">
                  <c:v>160</c:v>
                </c:pt>
                <c:pt idx="6">
                  <c:v>250</c:v>
                </c:pt>
                <c:pt idx="7">
                  <c:v>400</c:v>
                </c:pt>
                <c:pt idx="8">
                  <c:v>630</c:v>
                </c:pt>
                <c:pt idx="9">
                  <c:v>1000</c:v>
                </c:pt>
                <c:pt idx="10">
                  <c:v>1600</c:v>
                </c:pt>
                <c:pt idx="11">
                  <c:v>2500</c:v>
                </c:pt>
                <c:pt idx="12">
                  <c:v>4000</c:v>
                </c:pt>
                <c:pt idx="13">
                  <c:v>6300</c:v>
                </c:pt>
                <c:pt idx="14">
                  <c:v>10000</c:v>
                </c:pt>
                <c:pt idx="15">
                  <c:v>16000</c:v>
                </c:pt>
                <c:pt idx="16">
                  <c:v>25000</c:v>
                </c:pt>
                <c:pt idx="17">
                  <c:v>40000</c:v>
                </c:pt>
                <c:pt idx="18">
                  <c:v>63000</c:v>
                </c:pt>
                <c:pt idx="19">
                  <c:v>100000</c:v>
                </c:pt>
              </c:numCache>
            </c:numRef>
          </c:xVal>
          <c:yVal>
            <c:numRef>
              <c:f>Flyback!$J$140:$J$159</c:f>
              <c:numCache>
                <c:formatCode>General</c:formatCode>
                <c:ptCount val="20"/>
                <c:pt idx="0">
                  <c:v>-111.87396409853483</c:v>
                </c:pt>
                <c:pt idx="1">
                  <c:v>-118.03119343074664</c:v>
                </c:pt>
                <c:pt idx="2">
                  <c:v>-121.38187717680563</c:v>
                </c:pt>
                <c:pt idx="3">
                  <c:v>-119.81404754959183</c:v>
                </c:pt>
                <c:pt idx="4">
                  <c:v>-114.68729237208751</c:v>
                </c:pt>
                <c:pt idx="5">
                  <c:v>-108.99824823446765</c:v>
                </c:pt>
                <c:pt idx="6">
                  <c:v>-105.25867992701897</c:v>
                </c:pt>
                <c:pt idx="7">
                  <c:v>-103.82833736179676</c:v>
                </c:pt>
                <c:pt idx="8">
                  <c:v>-105.00645958610176</c:v>
                </c:pt>
                <c:pt idx="9">
                  <c:v>-108.73750422726775</c:v>
                </c:pt>
                <c:pt idx="10">
                  <c:v>-114.6009061446325</c:v>
                </c:pt>
                <c:pt idx="11">
                  <c:v>-120.49158960132388</c:v>
                </c:pt>
                <c:pt idx="12">
                  <c:v>-124.84785405157066</c:v>
                </c:pt>
                <c:pt idx="13">
                  <c:v>-127.24181936980496</c:v>
                </c:pt>
                <c:pt idx="14">
                  <c:v>-130.54783312004682</c:v>
                </c:pt>
                <c:pt idx="15">
                  <c:v>-137.25988477672144</c:v>
                </c:pt>
                <c:pt idx="16">
                  <c:v>-146.35791851322924</c:v>
                </c:pt>
                <c:pt idx="17">
                  <c:v>-156.2467243898856</c:v>
                </c:pt>
                <c:pt idx="18">
                  <c:v>-164.05565262326974</c:v>
                </c:pt>
                <c:pt idx="19">
                  <c:v>-169.71540680741933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196800"/>
        <c:axId val="171199104"/>
      </c:scatterChart>
      <c:valAx>
        <c:axId val="171196800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돋움"/>
                    <a:ea typeface="돋움"/>
                    <a:cs typeface="돋움"/>
                  </a:defRPr>
                </a:pPr>
                <a:r>
                  <a:rPr lang="pt-BR"/>
                  <a:t>frequency (Hz)</a:t>
                </a:r>
              </a:p>
            </c:rich>
          </c:tx>
          <c:layout>
            <c:manualLayout>
              <c:xMode val="edge"/>
              <c:yMode val="edge"/>
              <c:x val="0.46379079577865956"/>
              <c:y val="0.908366533864541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pt-BR"/>
          </a:p>
        </c:txPr>
        <c:crossAx val="171199104"/>
        <c:crosses val="autoZero"/>
        <c:crossBetween val="midCat"/>
        <c:majorUnit val="10"/>
        <c:minorUnit val="10"/>
      </c:valAx>
      <c:valAx>
        <c:axId val="171199104"/>
        <c:scaling>
          <c:orientation val="minMax"/>
          <c:min val="-18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돋움"/>
                    <a:ea typeface="돋움"/>
                    <a:cs typeface="돋움"/>
                  </a:defRPr>
                </a:pPr>
                <a:r>
                  <a:rPr lang="pt-BR"/>
                  <a:t>Phase (degree)</a:t>
                </a:r>
              </a:p>
            </c:rich>
          </c:tx>
          <c:layout>
            <c:manualLayout>
              <c:xMode val="edge"/>
              <c:yMode val="edge"/>
              <c:x val="2.1571664919937613E-2"/>
              <c:y val="0.29482071713147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pt-BR"/>
          </a:p>
        </c:txPr>
        <c:crossAx val="171196800"/>
        <c:crosses val="autoZero"/>
        <c:crossBetween val="midCat"/>
        <c:majorUnit val="30"/>
        <c:minorUnit val="3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9989700914791142"/>
          <c:y val="0.13971648886672947"/>
          <c:w val="0.25115581299641643"/>
          <c:h val="0.2549800796812756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IC Power (W) x Input Voltage (Vac)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'Power Losses'!$O$54</c:f>
              <c:strCache>
                <c:ptCount val="1"/>
                <c:pt idx="0">
                  <c:v>Pcond</c:v>
                </c:pt>
              </c:strCache>
            </c:strRef>
          </c:tx>
          <c:cat>
            <c:numRef>
              <c:f>'Power Losses'!$P$49:$AE$49</c:f>
              <c:numCache>
                <c:formatCode>0</c:formatCode>
                <c:ptCount val="16"/>
                <c:pt idx="0">
                  <c:v>90</c:v>
                </c:pt>
                <c:pt idx="1">
                  <c:v>101.66666666666667</c:v>
                </c:pt>
                <c:pt idx="2">
                  <c:v>113.33333333333334</c:v>
                </c:pt>
                <c:pt idx="3">
                  <c:v>125.00000000000001</c:v>
                </c:pt>
                <c:pt idx="4">
                  <c:v>136.66666666666669</c:v>
                </c:pt>
                <c:pt idx="5">
                  <c:v>148.33333333333334</c:v>
                </c:pt>
                <c:pt idx="6">
                  <c:v>160</c:v>
                </c:pt>
                <c:pt idx="7">
                  <c:v>171.66666666666666</c:v>
                </c:pt>
                <c:pt idx="8">
                  <c:v>183.33333333333331</c:v>
                </c:pt>
                <c:pt idx="9">
                  <c:v>194.99999999999997</c:v>
                </c:pt>
                <c:pt idx="10">
                  <c:v>206.66666666666663</c:v>
                </c:pt>
                <c:pt idx="11">
                  <c:v>218.33333333333329</c:v>
                </c:pt>
                <c:pt idx="12">
                  <c:v>229.99999999999994</c:v>
                </c:pt>
                <c:pt idx="13">
                  <c:v>241.6666666666666</c:v>
                </c:pt>
                <c:pt idx="14">
                  <c:v>253.33333333333326</c:v>
                </c:pt>
                <c:pt idx="15">
                  <c:v>265</c:v>
                </c:pt>
              </c:numCache>
            </c:numRef>
          </c:cat>
          <c:val>
            <c:numRef>
              <c:f>'Power Losses'!$P$54:$AE$54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'Power Losses'!$O$55</c:f>
              <c:strCache>
                <c:ptCount val="1"/>
                <c:pt idx="0">
                  <c:v>Psw</c:v>
                </c:pt>
              </c:strCache>
            </c:strRef>
          </c:tx>
          <c:cat>
            <c:numRef>
              <c:f>'Power Losses'!$P$49:$AE$49</c:f>
              <c:numCache>
                <c:formatCode>0</c:formatCode>
                <c:ptCount val="16"/>
                <c:pt idx="0">
                  <c:v>90</c:v>
                </c:pt>
                <c:pt idx="1">
                  <c:v>101.66666666666667</c:v>
                </c:pt>
                <c:pt idx="2">
                  <c:v>113.33333333333334</c:v>
                </c:pt>
                <c:pt idx="3">
                  <c:v>125.00000000000001</c:v>
                </c:pt>
                <c:pt idx="4">
                  <c:v>136.66666666666669</c:v>
                </c:pt>
                <c:pt idx="5">
                  <c:v>148.33333333333334</c:v>
                </c:pt>
                <c:pt idx="6">
                  <c:v>160</c:v>
                </c:pt>
                <c:pt idx="7">
                  <c:v>171.66666666666666</c:v>
                </c:pt>
                <c:pt idx="8">
                  <c:v>183.33333333333331</c:v>
                </c:pt>
                <c:pt idx="9">
                  <c:v>194.99999999999997</c:v>
                </c:pt>
                <c:pt idx="10">
                  <c:v>206.66666666666663</c:v>
                </c:pt>
                <c:pt idx="11">
                  <c:v>218.33333333333329</c:v>
                </c:pt>
                <c:pt idx="12">
                  <c:v>229.99999999999994</c:v>
                </c:pt>
                <c:pt idx="13">
                  <c:v>241.6666666666666</c:v>
                </c:pt>
                <c:pt idx="14">
                  <c:v>253.33333333333326</c:v>
                </c:pt>
                <c:pt idx="15">
                  <c:v>265</c:v>
                </c:pt>
              </c:numCache>
            </c:numRef>
          </c:cat>
          <c:val>
            <c:numRef>
              <c:f>'Power Losses'!$P$55:$AE$55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'Power Losses'!$O$56</c:f>
              <c:strCache>
                <c:ptCount val="1"/>
                <c:pt idx="0">
                  <c:v>Pcap</c:v>
                </c:pt>
              </c:strCache>
            </c:strRef>
          </c:tx>
          <c:cat>
            <c:numRef>
              <c:f>'Power Losses'!$P$49:$AE$49</c:f>
              <c:numCache>
                <c:formatCode>0</c:formatCode>
                <c:ptCount val="16"/>
                <c:pt idx="0">
                  <c:v>90</c:v>
                </c:pt>
                <c:pt idx="1">
                  <c:v>101.66666666666667</c:v>
                </c:pt>
                <c:pt idx="2">
                  <c:v>113.33333333333334</c:v>
                </c:pt>
                <c:pt idx="3">
                  <c:v>125.00000000000001</c:v>
                </c:pt>
                <c:pt idx="4">
                  <c:v>136.66666666666669</c:v>
                </c:pt>
                <c:pt idx="5">
                  <c:v>148.33333333333334</c:v>
                </c:pt>
                <c:pt idx="6">
                  <c:v>160</c:v>
                </c:pt>
                <c:pt idx="7">
                  <c:v>171.66666666666666</c:v>
                </c:pt>
                <c:pt idx="8">
                  <c:v>183.33333333333331</c:v>
                </c:pt>
                <c:pt idx="9">
                  <c:v>194.99999999999997</c:v>
                </c:pt>
                <c:pt idx="10">
                  <c:v>206.66666666666663</c:v>
                </c:pt>
                <c:pt idx="11">
                  <c:v>218.33333333333329</c:v>
                </c:pt>
                <c:pt idx="12">
                  <c:v>229.99999999999994</c:v>
                </c:pt>
                <c:pt idx="13">
                  <c:v>241.6666666666666</c:v>
                </c:pt>
                <c:pt idx="14">
                  <c:v>253.33333333333326</c:v>
                </c:pt>
                <c:pt idx="15">
                  <c:v>265</c:v>
                </c:pt>
              </c:numCache>
            </c:numRef>
          </c:cat>
          <c:val>
            <c:numRef>
              <c:f>'Power Losses'!$P$56:$AE$56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'Power Losses'!$O$57</c:f>
              <c:strCache>
                <c:ptCount val="1"/>
                <c:pt idx="0">
                  <c:v>Pq</c:v>
                </c:pt>
              </c:strCache>
            </c:strRef>
          </c:tx>
          <c:cat>
            <c:numRef>
              <c:f>'Power Losses'!$P$49:$AE$49</c:f>
              <c:numCache>
                <c:formatCode>0</c:formatCode>
                <c:ptCount val="16"/>
                <c:pt idx="0">
                  <c:v>90</c:v>
                </c:pt>
                <c:pt idx="1">
                  <c:v>101.66666666666667</c:v>
                </c:pt>
                <c:pt idx="2">
                  <c:v>113.33333333333334</c:v>
                </c:pt>
                <c:pt idx="3">
                  <c:v>125.00000000000001</c:v>
                </c:pt>
                <c:pt idx="4">
                  <c:v>136.66666666666669</c:v>
                </c:pt>
                <c:pt idx="5">
                  <c:v>148.33333333333334</c:v>
                </c:pt>
                <c:pt idx="6">
                  <c:v>160</c:v>
                </c:pt>
                <c:pt idx="7">
                  <c:v>171.66666666666666</c:v>
                </c:pt>
                <c:pt idx="8">
                  <c:v>183.33333333333331</c:v>
                </c:pt>
                <c:pt idx="9">
                  <c:v>194.99999999999997</c:v>
                </c:pt>
                <c:pt idx="10">
                  <c:v>206.66666666666663</c:v>
                </c:pt>
                <c:pt idx="11">
                  <c:v>218.33333333333329</c:v>
                </c:pt>
                <c:pt idx="12">
                  <c:v>229.99999999999994</c:v>
                </c:pt>
                <c:pt idx="13">
                  <c:v>241.6666666666666</c:v>
                </c:pt>
                <c:pt idx="14">
                  <c:v>253.33333333333326</c:v>
                </c:pt>
                <c:pt idx="15">
                  <c:v>265</c:v>
                </c:pt>
              </c:numCache>
            </c:numRef>
          </c:cat>
          <c:val>
            <c:numRef>
              <c:f>'Power Losses'!$P$57:$AE$57</c:f>
              <c:numCache>
                <c:formatCode>0.000</c:formatCode>
                <c:ptCount val="16"/>
                <c:pt idx="0">
                  <c:v>1.8200000000000001E-2</c:v>
                </c:pt>
                <c:pt idx="1">
                  <c:v>1.8200000000000001E-2</c:v>
                </c:pt>
                <c:pt idx="2">
                  <c:v>1.8200000000000001E-2</c:v>
                </c:pt>
                <c:pt idx="3">
                  <c:v>1.8200000000000001E-2</c:v>
                </c:pt>
                <c:pt idx="4">
                  <c:v>1.8200000000000001E-2</c:v>
                </c:pt>
                <c:pt idx="5">
                  <c:v>1.8200000000000001E-2</c:v>
                </c:pt>
                <c:pt idx="6">
                  <c:v>1.8200000000000001E-2</c:v>
                </c:pt>
                <c:pt idx="7">
                  <c:v>1.8200000000000001E-2</c:v>
                </c:pt>
                <c:pt idx="8">
                  <c:v>1.8200000000000001E-2</c:v>
                </c:pt>
                <c:pt idx="9">
                  <c:v>1.8200000000000001E-2</c:v>
                </c:pt>
                <c:pt idx="10">
                  <c:v>1.8200000000000001E-2</c:v>
                </c:pt>
                <c:pt idx="11">
                  <c:v>1.8200000000000001E-2</c:v>
                </c:pt>
                <c:pt idx="12">
                  <c:v>1.8200000000000001E-2</c:v>
                </c:pt>
                <c:pt idx="13">
                  <c:v>1.8200000000000001E-2</c:v>
                </c:pt>
                <c:pt idx="14">
                  <c:v>1.8200000000000001E-2</c:v>
                </c:pt>
                <c:pt idx="15">
                  <c:v>1.8200000000000001E-2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'Power Losses'!$O$58</c:f>
              <c:strCache>
                <c:ptCount val="1"/>
                <c:pt idx="0">
                  <c:v>Ptotal</c:v>
                </c:pt>
              </c:strCache>
            </c:strRef>
          </c:tx>
          <c:cat>
            <c:numRef>
              <c:f>'Power Losses'!$P$49:$AE$49</c:f>
              <c:numCache>
                <c:formatCode>0</c:formatCode>
                <c:ptCount val="16"/>
                <c:pt idx="0">
                  <c:v>90</c:v>
                </c:pt>
                <c:pt idx="1">
                  <c:v>101.66666666666667</c:v>
                </c:pt>
                <c:pt idx="2">
                  <c:v>113.33333333333334</c:v>
                </c:pt>
                <c:pt idx="3">
                  <c:v>125.00000000000001</c:v>
                </c:pt>
                <c:pt idx="4">
                  <c:v>136.66666666666669</c:v>
                </c:pt>
                <c:pt idx="5">
                  <c:v>148.33333333333334</c:v>
                </c:pt>
                <c:pt idx="6">
                  <c:v>160</c:v>
                </c:pt>
                <c:pt idx="7">
                  <c:v>171.66666666666666</c:v>
                </c:pt>
                <c:pt idx="8">
                  <c:v>183.33333333333331</c:v>
                </c:pt>
                <c:pt idx="9">
                  <c:v>194.99999999999997</c:v>
                </c:pt>
                <c:pt idx="10">
                  <c:v>206.66666666666663</c:v>
                </c:pt>
                <c:pt idx="11">
                  <c:v>218.33333333333329</c:v>
                </c:pt>
                <c:pt idx="12">
                  <c:v>229.99999999999994</c:v>
                </c:pt>
                <c:pt idx="13">
                  <c:v>241.6666666666666</c:v>
                </c:pt>
                <c:pt idx="14">
                  <c:v>253.33333333333326</c:v>
                </c:pt>
                <c:pt idx="15">
                  <c:v>265</c:v>
                </c:pt>
              </c:numCache>
            </c:numRef>
          </c:cat>
          <c:val>
            <c:numRef>
              <c:f>'Power Losses'!$P$58:$AE$58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08672"/>
        <c:axId val="170510208"/>
      </c:lineChart>
      <c:catAx>
        <c:axId val="1705086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70510208"/>
        <c:crosses val="autoZero"/>
        <c:auto val="1"/>
        <c:lblAlgn val="ctr"/>
        <c:lblOffset val="100"/>
        <c:noMultiLvlLbl val="0"/>
      </c:catAx>
      <c:valAx>
        <c:axId val="17051020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70508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w="15875" cap="rnd" cmpd="dbl">
      <a:solidFill>
        <a:srgbClr val="FF0000"/>
      </a:solidFill>
    </a:ln>
  </c:sp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148167</xdr:colOff>
      <xdr:row>138</xdr:row>
      <xdr:rowOff>186267</xdr:rowOff>
    </xdr:from>
    <xdr:to>
      <xdr:col>9</xdr:col>
      <xdr:colOff>431801</xdr:colOff>
      <xdr:row>156</xdr:row>
      <xdr:rowOff>186266</xdr:rowOff>
    </xdr:to>
    <xdr:graphicFrame macro="">
      <xdr:nvGraphicFramePr>
        <xdr:cNvPr id="2" name="Chart 7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138643</xdr:colOff>
      <xdr:row>157</xdr:row>
      <xdr:rowOff>164040</xdr:rowOff>
    </xdr:from>
    <xdr:to>
      <xdr:col>9</xdr:col>
      <xdr:colOff>422276</xdr:colOff>
      <xdr:row>173</xdr:row>
      <xdr:rowOff>100541</xdr:rowOff>
    </xdr:to>
    <xdr:graphicFrame macro="">
      <xdr:nvGraphicFramePr>
        <xdr:cNvPr id="3" name="Chart 7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38100</xdr:colOff>
      <xdr:row>0</xdr:row>
      <xdr:rowOff>0</xdr:rowOff>
    </xdr:from>
    <xdr:to>
      <xdr:col>1</xdr:col>
      <xdr:colOff>1476375</xdr:colOff>
      <xdr:row>4</xdr:row>
      <xdr:rowOff>121997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19075" y="0"/>
          <a:ext cx="1438275" cy="883997"/>
        </a:xfrm>
        <a:prstGeom prst="rect">
          <a:avLst/>
        </a:prstGeom>
      </xdr:spPr>
    </xdr:pic>
    <xdr:clientData/>
  </xdr:twoCellAnchor>
  <xdr:twoCellAnchor>
    <xdr:from>
      <xdr:col>4</xdr:col>
      <xdr:colOff>63874</xdr:colOff>
      <xdr:row>123</xdr:row>
      <xdr:rowOff>122537</xdr:rowOff>
    </xdr:from>
    <xdr:to>
      <xdr:col>5</xdr:col>
      <xdr:colOff>121024</xdr:colOff>
      <xdr:row>124</xdr:row>
      <xdr:rowOff>95250</xdr:rowOff>
    </xdr:to>
    <xdr:sp macro="" textlink="">
      <xdr:nvSpPr>
        <xdr:cNvPr id="4" name="Rectangle 3"/>
        <xdr:cNvSpPr/>
      </xdr:nvSpPr>
      <xdr:spPr>
        <a:xfrm>
          <a:off x="4344521" y="24276816"/>
          <a:ext cx="522194" cy="163213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328333</xdr:colOff>
      <xdr:row>128</xdr:row>
      <xdr:rowOff>154640</xdr:rowOff>
    </xdr:from>
    <xdr:to>
      <xdr:col>7</xdr:col>
      <xdr:colOff>194983</xdr:colOff>
      <xdr:row>129</xdr:row>
      <xdr:rowOff>118782</xdr:rowOff>
    </xdr:to>
    <xdr:sp macro="" textlink="">
      <xdr:nvSpPr>
        <xdr:cNvPr id="10" name="Rectangle 9"/>
        <xdr:cNvSpPr/>
      </xdr:nvSpPr>
      <xdr:spPr>
        <a:xfrm>
          <a:off x="5370980" y="25339861"/>
          <a:ext cx="522194" cy="17145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457200</xdr:colOff>
          <xdr:row>33</xdr:row>
          <xdr:rowOff>104775</xdr:rowOff>
        </xdr:from>
        <xdr:to>
          <xdr:col>8</xdr:col>
          <xdr:colOff>276225</xdr:colOff>
          <xdr:row>40</xdr:row>
          <xdr:rowOff>123825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123</xdr:row>
          <xdr:rowOff>57150</xdr:rowOff>
        </xdr:from>
        <xdr:to>
          <xdr:col>10</xdr:col>
          <xdr:colOff>47625</xdr:colOff>
          <xdr:row>133</xdr:row>
          <xdr:rowOff>142875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40</xdr:row>
      <xdr:rowOff>60325</xdr:rowOff>
    </xdr:from>
    <xdr:to>
      <xdr:col>13</xdr:col>
      <xdr:colOff>204258</xdr:colOff>
      <xdr:row>59</xdr:row>
      <xdr:rowOff>102658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furukawa.co.jp/makisen/eng/product/texe_series.ht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24FC29"/>
  </sheetPr>
  <dimension ref="A1:AO1977"/>
  <sheetViews>
    <sheetView topLeftCell="A52" zoomScaleNormal="100" workbookViewId="0">
      <selection activeCell="AK72" sqref="AK72"/>
    </sheetView>
  </sheetViews>
  <sheetFormatPr defaultColWidth="11.42578125" defaultRowHeight="15"/>
  <cols>
    <col min="1" max="1" width="2.7109375" style="2" customWidth="1"/>
    <col min="2" max="2" width="48" style="2" customWidth="1"/>
    <col min="3" max="3" width="11" style="2" customWidth="1"/>
    <col min="4" max="4" width="4.42578125" style="2" customWidth="1"/>
    <col min="5" max="5" width="7" style="2" customWidth="1"/>
    <col min="6" max="6" width="4.42578125" style="2" customWidth="1"/>
    <col min="7" max="7" width="9.85546875" style="2" customWidth="1"/>
    <col min="8" max="8" width="4.42578125" style="2" customWidth="1"/>
    <col min="9" max="10" width="10.5703125" style="2" customWidth="1"/>
    <col min="11" max="11" width="8.7109375" style="2" customWidth="1"/>
    <col min="12" max="12" width="5" style="2" customWidth="1"/>
    <col min="13" max="13" width="15.28515625" style="2" hidden="1" customWidth="1"/>
    <col min="14" max="36" width="11.42578125" style="2" hidden="1" customWidth="1"/>
    <col min="37" max="16384" width="11.42578125" style="2"/>
  </cols>
  <sheetData>
    <row r="1" spans="1:14">
      <c r="A1" s="1"/>
      <c r="B1" s="1"/>
      <c r="C1" s="123"/>
      <c r="D1" s="124"/>
      <c r="E1" s="124"/>
      <c r="F1" s="124"/>
      <c r="G1" s="124"/>
      <c r="H1" s="124"/>
      <c r="I1" s="1"/>
      <c r="J1" s="1"/>
      <c r="K1" s="1"/>
      <c r="L1" s="1"/>
    </row>
    <row r="2" spans="1:14">
      <c r="A2" s="1"/>
      <c r="B2" s="1"/>
      <c r="C2" s="140" t="s">
        <v>448</v>
      </c>
      <c r="D2" s="3" t="s">
        <v>449</v>
      </c>
      <c r="E2" s="124"/>
      <c r="F2" s="124"/>
      <c r="G2" s="124"/>
      <c r="H2" s="124"/>
      <c r="I2" s="1"/>
      <c r="J2" s="1"/>
      <c r="K2" s="1"/>
      <c r="L2" s="1"/>
    </row>
    <row r="3" spans="1:14">
      <c r="A3" s="1"/>
      <c r="B3" s="1"/>
      <c r="C3" s="125" t="s">
        <v>447</v>
      </c>
      <c r="D3" s="3" t="s">
        <v>1</v>
      </c>
      <c r="F3" s="4"/>
      <c r="G3" s="4"/>
      <c r="H3" s="1"/>
      <c r="I3" s="1"/>
      <c r="J3" s="1"/>
      <c r="K3" s="1"/>
      <c r="L3" s="1"/>
    </row>
    <row r="4" spans="1:14">
      <c r="A4" s="1"/>
      <c r="B4" s="1"/>
      <c r="C4" s="126" t="s">
        <v>0</v>
      </c>
      <c r="D4" s="3" t="s">
        <v>2</v>
      </c>
      <c r="F4" s="3"/>
      <c r="G4" s="3"/>
      <c r="H4" s="1"/>
      <c r="I4" s="1"/>
      <c r="J4" s="1"/>
      <c r="K4" s="1"/>
      <c r="L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>
      <c r="A6" s="199" t="s">
        <v>3</v>
      </c>
      <c r="B6" s="199"/>
      <c r="C6" s="199"/>
      <c r="D6" s="199"/>
      <c r="E6" s="199"/>
      <c r="F6" s="199"/>
      <c r="G6" s="199"/>
      <c r="H6" s="199"/>
      <c r="I6" s="199"/>
      <c r="J6" s="199"/>
      <c r="K6" s="1"/>
      <c r="L6" s="1"/>
    </row>
    <row r="7" spans="1:14" ht="18.75">
      <c r="A7" s="1"/>
      <c r="B7" s="1" t="s">
        <v>4</v>
      </c>
      <c r="C7" s="5">
        <v>90</v>
      </c>
      <c r="D7" s="1" t="s">
        <v>5</v>
      </c>
      <c r="E7" s="1"/>
      <c r="F7" s="1"/>
      <c r="G7" s="1"/>
      <c r="H7" s="1"/>
      <c r="I7" s="1"/>
      <c r="J7" s="1"/>
      <c r="K7" s="1"/>
      <c r="L7" s="1"/>
    </row>
    <row r="8" spans="1:14" ht="18.75">
      <c r="A8" s="1"/>
      <c r="B8" s="1" t="s">
        <v>6</v>
      </c>
      <c r="C8" s="5">
        <v>265</v>
      </c>
      <c r="D8" s="1" t="s">
        <v>5</v>
      </c>
      <c r="E8" s="1"/>
      <c r="F8" s="1"/>
      <c r="G8" s="1"/>
      <c r="H8" s="1"/>
      <c r="I8" s="1"/>
      <c r="J8" s="1"/>
      <c r="K8" s="1"/>
      <c r="L8" s="1"/>
    </row>
    <row r="9" spans="1:14" ht="16.5">
      <c r="A9" s="1"/>
      <c r="B9" s="1" t="s">
        <v>7</v>
      </c>
      <c r="C9" s="5">
        <v>50</v>
      </c>
      <c r="D9" s="1" t="s">
        <v>8</v>
      </c>
      <c r="E9" s="1"/>
      <c r="F9" s="1"/>
      <c r="G9" s="1"/>
      <c r="H9" s="1"/>
      <c r="I9" s="1"/>
      <c r="J9" s="1"/>
      <c r="K9" s="1"/>
      <c r="L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ht="17.25">
      <c r="A11" s="1"/>
      <c r="B11" s="6"/>
      <c r="C11" s="19" t="s">
        <v>9</v>
      </c>
      <c r="D11" s="6"/>
      <c r="E11" s="19" t="s">
        <v>10</v>
      </c>
      <c r="F11" s="6"/>
      <c r="G11" s="19" t="s">
        <v>11</v>
      </c>
      <c r="H11" s="7"/>
      <c r="I11" s="19" t="s">
        <v>12</v>
      </c>
      <c r="J11" s="1"/>
      <c r="K11" s="1"/>
      <c r="L11" s="1"/>
      <c r="N11" s="8"/>
    </row>
    <row r="12" spans="1:14">
      <c r="A12" s="1"/>
      <c r="B12" s="1" t="s">
        <v>13</v>
      </c>
      <c r="C12" s="9">
        <v>12</v>
      </c>
      <c r="D12" s="1" t="s">
        <v>14</v>
      </c>
      <c r="E12" s="10">
        <v>1.1000000000000001</v>
      </c>
      <c r="F12" s="1" t="s">
        <v>15</v>
      </c>
      <c r="G12" s="127">
        <f t="shared" ref="G12:G17" si="0">C12*E12</f>
        <v>13.200000000000001</v>
      </c>
      <c r="H12" s="12" t="s">
        <v>16</v>
      </c>
      <c r="I12" s="127">
        <f t="shared" ref="I12:I18" si="1">G12/C$19*100</f>
        <v>99.099099099099107</v>
      </c>
      <c r="J12" s="12" t="s">
        <v>17</v>
      </c>
      <c r="K12" s="1"/>
      <c r="L12" s="1"/>
      <c r="N12" s="8"/>
    </row>
    <row r="13" spans="1:14">
      <c r="A13" s="1"/>
      <c r="B13" s="1" t="s">
        <v>18</v>
      </c>
      <c r="C13" s="9"/>
      <c r="D13" s="1" t="s">
        <v>14</v>
      </c>
      <c r="E13" s="10"/>
      <c r="F13" s="1" t="s">
        <v>15</v>
      </c>
      <c r="G13" s="127">
        <f t="shared" si="0"/>
        <v>0</v>
      </c>
      <c r="H13" s="12" t="s">
        <v>16</v>
      </c>
      <c r="I13" s="127">
        <f t="shared" si="1"/>
        <v>0</v>
      </c>
      <c r="J13" s="12" t="s">
        <v>17</v>
      </c>
      <c r="K13" s="1"/>
      <c r="L13" s="1"/>
      <c r="N13" s="8"/>
    </row>
    <row r="14" spans="1:14">
      <c r="A14" s="1"/>
      <c r="B14" s="1" t="s">
        <v>19</v>
      </c>
      <c r="C14" s="9"/>
      <c r="D14" s="1" t="s">
        <v>14</v>
      </c>
      <c r="E14" s="10"/>
      <c r="F14" s="1" t="s">
        <v>15</v>
      </c>
      <c r="G14" s="127">
        <f t="shared" si="0"/>
        <v>0</v>
      </c>
      <c r="H14" s="12" t="s">
        <v>16</v>
      </c>
      <c r="I14" s="127">
        <f t="shared" si="1"/>
        <v>0</v>
      </c>
      <c r="J14" s="12" t="s">
        <v>17</v>
      </c>
      <c r="K14" s="1"/>
      <c r="L14" s="1"/>
      <c r="N14" s="8"/>
    </row>
    <row r="15" spans="1:14">
      <c r="A15" s="1"/>
      <c r="B15" s="1" t="s">
        <v>20</v>
      </c>
      <c r="C15" s="9"/>
      <c r="D15" s="1" t="s">
        <v>14</v>
      </c>
      <c r="E15" s="10"/>
      <c r="F15" s="1" t="s">
        <v>15</v>
      </c>
      <c r="G15" s="127">
        <f t="shared" si="0"/>
        <v>0</v>
      </c>
      <c r="H15" s="12" t="s">
        <v>16</v>
      </c>
      <c r="I15" s="127">
        <f t="shared" si="1"/>
        <v>0</v>
      </c>
      <c r="J15" s="12" t="s">
        <v>17</v>
      </c>
      <c r="K15" s="1"/>
      <c r="L15" s="1"/>
      <c r="N15" s="8"/>
    </row>
    <row r="16" spans="1:14">
      <c r="A16" s="1"/>
      <c r="B16" s="1" t="s">
        <v>21</v>
      </c>
      <c r="C16" s="9"/>
      <c r="D16" s="1" t="s">
        <v>14</v>
      </c>
      <c r="E16" s="10"/>
      <c r="F16" s="1" t="s">
        <v>15</v>
      </c>
      <c r="G16" s="127">
        <f t="shared" si="0"/>
        <v>0</v>
      </c>
      <c r="H16" s="12" t="s">
        <v>16</v>
      </c>
      <c r="I16" s="127">
        <f t="shared" si="1"/>
        <v>0</v>
      </c>
      <c r="J16" s="12" t="s">
        <v>17</v>
      </c>
      <c r="K16" s="1"/>
      <c r="L16" s="1"/>
      <c r="N16" s="8"/>
    </row>
    <row r="17" spans="1:14">
      <c r="A17" s="1"/>
      <c r="B17" s="1" t="s">
        <v>22</v>
      </c>
      <c r="C17" s="9"/>
      <c r="D17" s="1" t="s">
        <v>14</v>
      </c>
      <c r="E17" s="10"/>
      <c r="F17" s="1" t="s">
        <v>15</v>
      </c>
      <c r="G17" s="127">
        <f t="shared" si="0"/>
        <v>0</v>
      </c>
      <c r="H17" s="12" t="s">
        <v>16</v>
      </c>
      <c r="I17" s="127">
        <f>G17/C$19*100</f>
        <v>0</v>
      </c>
      <c r="J17" s="12" t="s">
        <v>17</v>
      </c>
      <c r="K17" s="1"/>
      <c r="L17" s="1"/>
      <c r="N17" s="8"/>
    </row>
    <row r="18" spans="1:14">
      <c r="A18" s="1"/>
      <c r="B18" s="1" t="s">
        <v>445</v>
      </c>
      <c r="C18" s="9">
        <v>15</v>
      </c>
      <c r="D18" s="1" t="s">
        <v>14</v>
      </c>
      <c r="E18" s="183">
        <v>8.0000000000000002E-3</v>
      </c>
      <c r="F18" s="1" t="s">
        <v>15</v>
      </c>
      <c r="G18" s="127">
        <f>C18*E18</f>
        <v>0.12</v>
      </c>
      <c r="H18" s="12" t="s">
        <v>16</v>
      </c>
      <c r="I18" s="127">
        <f t="shared" si="1"/>
        <v>0.90090090090090091</v>
      </c>
      <c r="J18" s="12" t="s">
        <v>17</v>
      </c>
      <c r="K18" s="1"/>
      <c r="L18" s="1"/>
      <c r="N18" s="8"/>
    </row>
    <row r="19" spans="1:14" ht="17.25">
      <c r="A19" s="1"/>
      <c r="B19" s="12" t="s">
        <v>23</v>
      </c>
      <c r="C19" s="127">
        <f>SUM(G12:G18)</f>
        <v>13.32</v>
      </c>
      <c r="D19" s="12" t="s">
        <v>16</v>
      </c>
      <c r="E19" s="1"/>
      <c r="F19" s="1"/>
      <c r="G19" s="1"/>
      <c r="H19" s="1"/>
      <c r="I19" s="1"/>
      <c r="J19" s="1"/>
      <c r="K19" s="1"/>
      <c r="L19" s="1"/>
      <c r="N19" s="8"/>
    </row>
    <row r="20" spans="1:14" ht="16.5">
      <c r="A20" s="1"/>
      <c r="B20" s="1" t="s">
        <v>24</v>
      </c>
      <c r="C20" s="5">
        <v>82</v>
      </c>
      <c r="D20" s="1" t="s">
        <v>17</v>
      </c>
      <c r="E20" s="1"/>
      <c r="F20" s="1"/>
      <c r="G20" s="1"/>
      <c r="H20" s="1"/>
      <c r="I20" s="1"/>
      <c r="J20" s="1"/>
      <c r="K20" s="1"/>
      <c r="L20" s="1"/>
      <c r="N20" s="8"/>
    </row>
    <row r="21" spans="1:14" ht="17.25">
      <c r="A21" s="1"/>
      <c r="B21" s="12" t="s">
        <v>25</v>
      </c>
      <c r="C21" s="127">
        <f>Po/Eff</f>
        <v>16.243902439024392</v>
      </c>
      <c r="D21" s="12" t="s">
        <v>16</v>
      </c>
      <c r="E21" s="1"/>
      <c r="F21" s="1"/>
      <c r="G21" s="1"/>
      <c r="H21" s="1"/>
      <c r="I21" s="1"/>
      <c r="J21" s="1"/>
      <c r="K21" s="1"/>
      <c r="L21" s="1"/>
      <c r="N21" s="8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N22" s="8"/>
    </row>
    <row r="23" spans="1:14">
      <c r="A23" s="199" t="s">
        <v>26</v>
      </c>
      <c r="B23" s="199"/>
      <c r="C23" s="199"/>
      <c r="D23" s="199"/>
      <c r="E23" s="199"/>
      <c r="F23" s="199"/>
      <c r="G23" s="199"/>
      <c r="H23" s="199"/>
      <c r="I23" s="199"/>
      <c r="J23" s="199"/>
      <c r="K23" s="1"/>
      <c r="L23" s="1"/>
      <c r="N23" s="8"/>
    </row>
    <row r="24" spans="1:14" ht="16.5">
      <c r="A24" s="1"/>
      <c r="B24" s="1" t="s">
        <v>27</v>
      </c>
      <c r="C24" s="5">
        <v>22</v>
      </c>
      <c r="D24" s="1" t="s">
        <v>28</v>
      </c>
      <c r="E24" s="1"/>
      <c r="F24" s="1"/>
      <c r="G24" s="1"/>
      <c r="H24" s="1"/>
      <c r="I24" s="1"/>
      <c r="J24" s="1"/>
      <c r="K24" s="1"/>
      <c r="L24" s="1"/>
      <c r="N24" s="8"/>
    </row>
    <row r="25" spans="1:14" ht="18">
      <c r="A25" s="1"/>
      <c r="B25" s="12" t="s">
        <v>29</v>
      </c>
      <c r="C25" s="127">
        <f>SQRT(2*V_line_min^2-Pin*(1-0.27)/Cdc/fL)</f>
        <v>73.620348098212588</v>
      </c>
      <c r="D25" s="12" t="s">
        <v>14</v>
      </c>
      <c r="E25" s="1"/>
      <c r="F25" s="1"/>
      <c r="G25" s="1"/>
      <c r="H25" s="1"/>
      <c r="I25" s="1"/>
      <c r="J25" s="1"/>
      <c r="K25" s="1"/>
      <c r="L25" s="1"/>
      <c r="N25" s="8"/>
    </row>
    <row r="26" spans="1:14" ht="18">
      <c r="A26" s="1"/>
      <c r="B26" s="12" t="s">
        <v>30</v>
      </c>
      <c r="C26" s="127">
        <f>SQRT(2)*V_line_max</f>
        <v>374.7665940288702</v>
      </c>
      <c r="D26" s="12" t="s">
        <v>14</v>
      </c>
      <c r="E26" s="1"/>
      <c r="F26" s="1"/>
      <c r="G26" s="1"/>
      <c r="H26" s="1"/>
      <c r="I26" s="1"/>
      <c r="J26" s="1"/>
      <c r="K26" s="1"/>
      <c r="L26" s="1"/>
      <c r="N26" s="8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N27" s="8"/>
    </row>
    <row r="28" spans="1:14">
      <c r="A28" s="199" t="s">
        <v>31</v>
      </c>
      <c r="B28" s="199"/>
      <c r="C28" s="199"/>
      <c r="D28" s="199"/>
      <c r="E28" s="199"/>
      <c r="F28" s="199"/>
      <c r="G28" s="199"/>
      <c r="H28" s="199"/>
      <c r="I28" s="199"/>
      <c r="J28" s="199"/>
      <c r="K28" s="1"/>
      <c r="L28" s="1"/>
      <c r="N28" s="8"/>
    </row>
    <row r="29" spans="1:14" ht="16.5">
      <c r="A29" s="1"/>
      <c r="B29" s="1" t="s">
        <v>32</v>
      </c>
      <c r="C29" s="5">
        <v>0.62</v>
      </c>
      <c r="D29" s="1"/>
      <c r="E29" s="1"/>
      <c r="F29" s="14"/>
      <c r="G29" s="1"/>
      <c r="H29" s="1"/>
      <c r="I29" s="1"/>
      <c r="J29" s="1"/>
      <c r="K29" s="1"/>
      <c r="L29" s="1"/>
      <c r="N29" s="8"/>
    </row>
    <row r="30" spans="1:14" ht="18">
      <c r="A30" s="1"/>
      <c r="B30" s="12" t="s">
        <v>33</v>
      </c>
      <c r="C30" s="127">
        <f>SQRT(2)*V_line_max+VRO</f>
        <v>494.88400408384865</v>
      </c>
      <c r="D30" s="12" t="s">
        <v>14</v>
      </c>
      <c r="E30" s="1"/>
      <c r="F30" s="1"/>
      <c r="G30" s="1"/>
      <c r="H30" s="1"/>
      <c r="I30" s="1"/>
      <c r="J30" s="1"/>
      <c r="K30" s="1"/>
      <c r="L30" s="1"/>
      <c r="N30" s="8"/>
    </row>
    <row r="31" spans="1:14" ht="17.25">
      <c r="A31" s="1"/>
      <c r="B31" s="12" t="s">
        <v>34</v>
      </c>
      <c r="C31" s="127">
        <f>Dmax/(1-Dmax)*Vdc_min</f>
        <v>120.11741005497844</v>
      </c>
      <c r="D31" s="12" t="s">
        <v>14</v>
      </c>
      <c r="E31" s="1"/>
      <c r="F31" s="1"/>
      <c r="G31" s="1"/>
      <c r="H31" s="1"/>
      <c r="I31" s="1"/>
      <c r="J31" s="1"/>
      <c r="K31" s="1"/>
      <c r="L31" s="1"/>
      <c r="N31" s="8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8"/>
    </row>
    <row r="33" spans="1:41">
      <c r="A33" s="199" t="s">
        <v>35</v>
      </c>
      <c r="B33" s="199"/>
      <c r="C33" s="199"/>
      <c r="D33" s="199"/>
      <c r="E33" s="199"/>
      <c r="F33" s="199"/>
      <c r="G33" s="199"/>
      <c r="H33" s="199"/>
      <c r="I33" s="199"/>
      <c r="J33" s="199"/>
      <c r="K33" s="1"/>
      <c r="L33" s="1"/>
      <c r="N33" s="8"/>
    </row>
    <row r="34" spans="1:41">
      <c r="A34" s="92"/>
      <c r="B34" s="94" t="s">
        <v>362</v>
      </c>
      <c r="C34" s="203" t="s">
        <v>425</v>
      </c>
      <c r="D34" s="203"/>
      <c r="E34" s="92"/>
      <c r="F34" s="92"/>
      <c r="G34" s="92"/>
      <c r="H34" s="92"/>
      <c r="I34" s="92"/>
      <c r="J34" s="92"/>
      <c r="K34" s="1"/>
      <c r="L34" s="1"/>
      <c r="N34" s="8"/>
    </row>
    <row r="35" spans="1:41" ht="16.5">
      <c r="A35" s="1"/>
      <c r="B35" s="1" t="s">
        <v>363</v>
      </c>
      <c r="C35" s="141">
        <f>VLOOKUP(C34,M42:AJ151,12,FALSE)</f>
        <v>50</v>
      </c>
      <c r="D35" s="12" t="s">
        <v>36</v>
      </c>
      <c r="E35" s="1"/>
      <c r="F35" s="1"/>
      <c r="G35" s="1"/>
      <c r="H35" s="1"/>
      <c r="I35" s="1"/>
      <c r="J35" s="1"/>
      <c r="K35" s="1"/>
      <c r="L35" s="1"/>
      <c r="N35" s="8"/>
    </row>
    <row r="36" spans="1:41" ht="16.5">
      <c r="A36" s="1"/>
      <c r="B36" s="1" t="s">
        <v>37</v>
      </c>
      <c r="C36" s="5">
        <v>0.73</v>
      </c>
      <c r="D36" s="1"/>
      <c r="E36" s="1"/>
      <c r="F36" s="1"/>
      <c r="G36" s="1"/>
      <c r="H36" s="1"/>
      <c r="I36" s="1"/>
      <c r="J36" s="1"/>
      <c r="K36" s="1"/>
      <c r="L36" s="1"/>
      <c r="N36" s="8"/>
    </row>
    <row r="37" spans="1:41" ht="17.25">
      <c r="A37" s="1"/>
      <c r="B37" s="12" t="s">
        <v>38</v>
      </c>
      <c r="C37" s="11">
        <f>(Vdc_min*Dmax)^2/(2*Pin*Fsmin*KRF)*1000000</f>
        <v>1756.9762040994913</v>
      </c>
      <c r="D37" s="12" t="s">
        <v>39</v>
      </c>
      <c r="E37" s="1"/>
      <c r="F37" s="1"/>
      <c r="G37" s="1"/>
      <c r="H37" s="1"/>
      <c r="I37" s="1"/>
      <c r="J37" s="1"/>
      <c r="K37" s="1"/>
      <c r="L37" s="1"/>
      <c r="M37" s="2" t="s">
        <v>358</v>
      </c>
      <c r="N37" s="8"/>
    </row>
    <row r="38" spans="1:41" ht="18">
      <c r="A38" s="1"/>
      <c r="B38" s="12" t="s">
        <v>40</v>
      </c>
      <c r="C38" s="15">
        <f>Pin/(Vdc_min*Dmax)+Vdc_min*Dmax/(2*Lm*Fsmin)</f>
        <v>0.61566847949347336</v>
      </c>
      <c r="D38" s="12" t="s">
        <v>15</v>
      </c>
      <c r="E38" s="1"/>
      <c r="F38" s="1"/>
      <c r="G38" s="1"/>
      <c r="H38" s="1"/>
      <c r="I38" s="1"/>
      <c r="J38" s="1"/>
      <c r="K38" s="1"/>
      <c r="L38" s="1"/>
      <c r="M38" s="2" t="s">
        <v>359</v>
      </c>
      <c r="N38" s="8"/>
    </row>
    <row r="39" spans="1:41" ht="18">
      <c r="A39" s="1"/>
      <c r="B39" s="12" t="s">
        <v>41</v>
      </c>
      <c r="C39" s="15">
        <f>SQRT((3*(Pin/Vdc_min/Dmax)^2+(Vdc_min*Dmax/Lm/Fsmin/2)^2)*Dmax/3)</f>
        <v>0.30408969718501244</v>
      </c>
      <c r="D39" s="12" t="s">
        <v>15</v>
      </c>
      <c r="E39" s="16"/>
      <c r="F39" s="1">
        <f>SQRT(Pin/VRO^2*Lm*fs)*VRO/(1-SQRT(Pin/VRO^2*Lm*fs))</f>
        <v>55.106075671198447</v>
      </c>
      <c r="G39" s="1"/>
      <c r="H39" s="1"/>
      <c r="I39" s="1"/>
      <c r="J39" s="1"/>
      <c r="K39" s="1"/>
      <c r="L39" s="1"/>
      <c r="N39" s="8"/>
    </row>
    <row r="40" spans="1:41" ht="18">
      <c r="A40" s="1"/>
      <c r="B40" s="12" t="s">
        <v>42</v>
      </c>
      <c r="C40" s="127">
        <f>IF(1/(1/SQRT(2*Lm*Fsmin*Pin)-1/VRO)&gt;0,IF(1/(1/SQRT(2*Lm*Fsmin*Pin)-1/VRO)&gt;Vdc_max,Vdc_max,1/(1/SQRT(2*Lm*Fsmin*Pin)-1/VRO)),Vdc_max)</f>
        <v>96.215387405510299</v>
      </c>
      <c r="D40" s="12" t="s">
        <v>14</v>
      </c>
      <c r="E40" s="1"/>
      <c r="F40" s="1"/>
      <c r="G40" s="1"/>
      <c r="H40" s="1"/>
      <c r="I40" s="1"/>
      <c r="J40" s="1"/>
      <c r="K40" s="1"/>
      <c r="L40" s="1"/>
      <c r="M40" s="2">
        <v>1</v>
      </c>
      <c r="N40" s="2">
        <f>M40+1</f>
        <v>2</v>
      </c>
      <c r="O40" s="2">
        <f>N40+1</f>
        <v>3</v>
      </c>
      <c r="P40" s="2">
        <f t="shared" ref="P40:AJ40" si="2">O40+1</f>
        <v>4</v>
      </c>
      <c r="Q40" s="2">
        <f t="shared" si="2"/>
        <v>5</v>
      </c>
      <c r="R40" s="2">
        <f t="shared" si="2"/>
        <v>6</v>
      </c>
      <c r="S40" s="2">
        <f t="shared" si="2"/>
        <v>7</v>
      </c>
      <c r="T40" s="2">
        <f t="shared" si="2"/>
        <v>8</v>
      </c>
      <c r="U40" s="2">
        <f t="shared" si="2"/>
        <v>9</v>
      </c>
      <c r="V40" s="2">
        <f t="shared" si="2"/>
        <v>10</v>
      </c>
      <c r="W40" s="2">
        <f t="shared" si="2"/>
        <v>11</v>
      </c>
      <c r="X40" s="2">
        <f t="shared" si="2"/>
        <v>12</v>
      </c>
      <c r="Y40" s="2">
        <f t="shared" si="2"/>
        <v>13</v>
      </c>
      <c r="Z40" s="2">
        <f t="shared" si="2"/>
        <v>14</v>
      </c>
      <c r="AA40" s="2">
        <f t="shared" si="2"/>
        <v>15</v>
      </c>
      <c r="AB40" s="2">
        <f t="shared" si="2"/>
        <v>16</v>
      </c>
      <c r="AC40" s="2">
        <f t="shared" si="2"/>
        <v>17</v>
      </c>
      <c r="AD40" s="2">
        <f t="shared" si="2"/>
        <v>18</v>
      </c>
      <c r="AE40" s="2">
        <f t="shared" si="2"/>
        <v>19</v>
      </c>
      <c r="AF40" s="2">
        <f t="shared" si="2"/>
        <v>20</v>
      </c>
      <c r="AG40" s="2">
        <f t="shared" si="2"/>
        <v>21</v>
      </c>
      <c r="AH40" s="2">
        <f t="shared" si="2"/>
        <v>22</v>
      </c>
      <c r="AI40" s="2">
        <f t="shared" si="2"/>
        <v>23</v>
      </c>
      <c r="AJ40" s="2">
        <f t="shared" si="2"/>
        <v>24</v>
      </c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97" t="str">
        <f>Converters!B2</f>
        <v>Converter</v>
      </c>
      <c r="N41" s="97" t="str">
        <f>Converters!C2</f>
        <v>VBRdss (V)</v>
      </c>
      <c r="O41" s="97" t="str">
        <f>Converters!D2</f>
        <v>Rds(on)max</v>
      </c>
      <c r="P41" s="97" t="str">
        <f>Converters!E2</f>
        <v>Coss (pF)</v>
      </c>
      <c r="Q41" s="97" t="str">
        <f>Converters!F2</f>
        <v>Vcc (on)</v>
      </c>
      <c r="R41" s="97" t="str">
        <f>Converters!G2</f>
        <v>Iop (mA)</v>
      </c>
      <c r="S41" s="97" t="str">
        <f>Converters!H2</f>
        <v>Tr (ns)</v>
      </c>
      <c r="T41" s="97" t="str">
        <f>Converters!I2</f>
        <v>Tf (ns)</v>
      </c>
      <c r="U41" s="97" t="str">
        <f>Converters!J2</f>
        <v>Rthj-pin</v>
      </c>
      <c r="V41" s="97" t="str">
        <f>Converters!K2</f>
        <v>Rthj-c</v>
      </c>
      <c r="W41" s="97" t="str">
        <f>Converters!L2</f>
        <v>Rthj-a</v>
      </c>
      <c r="X41" s="97" t="str">
        <f>Converters!M2</f>
        <v>Fsmin (KHz)</v>
      </c>
      <c r="Y41" s="97" t="str">
        <f>Converters!N2</f>
        <v>Fsw (KHz)</v>
      </c>
      <c r="Z41" s="97" t="str">
        <f>Converters!O2</f>
        <v>Fsmax (KHz)</v>
      </c>
      <c r="AA41" s="97" t="str">
        <f>Converters!P2</f>
        <v>Ilimit Typ (A)</v>
      </c>
      <c r="AB41" s="97" t="str">
        <f>Converters!Q2</f>
        <v>Dmax</v>
      </c>
      <c r="AC41" s="97" t="str">
        <f>Converters!R2</f>
        <v>Vfb (V)</v>
      </c>
      <c r="AD41" s="97" t="str">
        <f>Converters!S2</f>
        <v>Zfb (KΩ)</v>
      </c>
      <c r="AE41" s="97" t="str">
        <f>Converters!T2</f>
        <v>Package</v>
      </c>
      <c r="AF41" s="97" t="str">
        <f>Converters!U2</f>
        <v>Espaço 1</v>
      </c>
      <c r="AG41" s="97" t="str">
        <f>Converters!V2</f>
        <v>Espaço 2</v>
      </c>
      <c r="AH41" s="97" t="str">
        <f>Converters!W2</f>
        <v>Espaço 3</v>
      </c>
      <c r="AI41" s="97" t="str">
        <f>Converters!X2</f>
        <v>Espaço 4</v>
      </c>
      <c r="AJ41" s="97" t="str">
        <f>Converters!Y2</f>
        <v>Espaço 5</v>
      </c>
      <c r="AK41" s="97"/>
      <c r="AL41" s="97"/>
      <c r="AM41" s="97"/>
      <c r="AN41" s="97"/>
      <c r="AO41" s="97"/>
    </row>
    <row r="42" spans="1:41">
      <c r="A42" s="199" t="s">
        <v>356</v>
      </c>
      <c r="B42" s="199"/>
      <c r="C42" s="199"/>
      <c r="D42" s="199"/>
      <c r="E42" s="199"/>
      <c r="F42" s="199"/>
      <c r="G42" s="199"/>
      <c r="H42" s="199"/>
      <c r="I42" s="199"/>
      <c r="J42" s="199"/>
      <c r="K42" s="1"/>
      <c r="L42" s="1"/>
      <c r="M42" s="2" t="str">
        <f>IF(Converters!B3="","",Converters!B3)</f>
        <v>Altair04-900</v>
      </c>
      <c r="N42" s="2">
        <f>IF(Converters!C3="","",Converters!C3)</f>
        <v>900</v>
      </c>
      <c r="O42" s="2">
        <f>IF(Converters!D3="","",Converters!D3)</f>
        <v>38</v>
      </c>
      <c r="P42" s="2">
        <f>IF(Converters!E3="","",Converters!E3)</f>
        <v>2</v>
      </c>
      <c r="Q42" s="2">
        <f>IF(Converters!F3="","",Converters!F3)</f>
        <v>13</v>
      </c>
      <c r="R42" s="2">
        <f>IF(Converters!G3="","",Converters!G3)</f>
        <v>1.4</v>
      </c>
      <c r="S42" s="2">
        <f>IF(Converters!H3="","",Converters!H3)</f>
        <v>40</v>
      </c>
      <c r="T42" s="2">
        <f>IF(Converters!I3="","",Converters!I3)</f>
        <v>40</v>
      </c>
      <c r="U42" s="2">
        <f>IF(Converters!J3="","",Converters!J3)</f>
        <v>10</v>
      </c>
      <c r="V42" s="2" t="str">
        <f>IF(Converters!K3="","",Converters!K3)</f>
        <v/>
      </c>
      <c r="W42" s="2">
        <f>IF(Converters!L3="","",Converters!L3)</f>
        <v>110</v>
      </c>
      <c r="X42" s="2">
        <f>IF(Converters!M3="","",Converters!M3)</f>
        <v>50</v>
      </c>
      <c r="Y42" s="2" t="str">
        <f>IF(Converters!N3="","",Converters!N3)</f>
        <v/>
      </c>
      <c r="Z42" s="2" t="str">
        <f>IF(Converters!O3="","",Converters!O3)</f>
        <v/>
      </c>
      <c r="AA42" s="2" t="str">
        <f>IF(Converters!P3="","",Converters!P3)</f>
        <v>External</v>
      </c>
      <c r="AB42" s="2">
        <f>IF(Converters!Q3="","",Converters!Q3)</f>
        <v>0.7</v>
      </c>
      <c r="AC42" s="2">
        <f>IF(Converters!R3="","",Converters!R3)</f>
        <v>2.5</v>
      </c>
      <c r="AD42" s="2" t="str">
        <f>IF(Converters!S3="","",Converters!S3)</f>
        <v/>
      </c>
      <c r="AE42" s="2" t="str">
        <f>IF(Converters!T3="","",Converters!T3)</f>
        <v>SO-16</v>
      </c>
      <c r="AF42" s="2" t="str">
        <f>IF(Converters!U3="","",Converters!U3)</f>
        <v/>
      </c>
      <c r="AG42" s="2" t="str">
        <f>IF(Converters!V3="","",Converters!V3)</f>
        <v/>
      </c>
      <c r="AH42" s="2" t="str">
        <f>IF(Converters!W3="","",Converters!W3)</f>
        <v/>
      </c>
      <c r="AI42" s="2" t="str">
        <f>IF(Converters!X3="","",Converters!X3)</f>
        <v/>
      </c>
      <c r="AJ42" s="2" t="str">
        <f>IF(Converters!Y3="","",Converters!Y3)</f>
        <v/>
      </c>
    </row>
    <row r="43" spans="1:41">
      <c r="A43" s="92"/>
      <c r="B43" s="94" t="s">
        <v>426</v>
      </c>
      <c r="C43" s="103" t="str">
        <f>VLOOKUP(C34,M42:AD152,15,FALSE)</f>
        <v>External</v>
      </c>
      <c r="D43" s="104" t="s">
        <v>15</v>
      </c>
      <c r="E43" s="17" t="str">
        <f>IF(C43&gt;Ipk,"&gt;","&lt;")</f>
        <v>&gt;</v>
      </c>
      <c r="F43" s="202">
        <f>Ipk</f>
        <v>0.61566847949347336</v>
      </c>
      <c r="G43" s="202"/>
      <c r="H43" s="12" t="s">
        <v>15</v>
      </c>
      <c r="I43" s="92"/>
      <c r="J43" s="92"/>
      <c r="K43" s="1"/>
      <c r="L43" s="1"/>
      <c r="M43" s="2" t="str">
        <f>IF(Converters!B4="","",Converters!B4)</f>
        <v>Altair05T-800</v>
      </c>
      <c r="N43" s="2">
        <f>IF(Converters!C4="","",Converters!C4)</f>
        <v>800</v>
      </c>
      <c r="O43" s="2">
        <f>IF(Converters!D4="","",Converters!D4)</f>
        <v>28</v>
      </c>
      <c r="P43" s="2">
        <f>IF(Converters!E4="","",Converters!E4)</f>
        <v>2</v>
      </c>
      <c r="Q43" s="2">
        <f>IF(Converters!F4="","",Converters!F4)</f>
        <v>13</v>
      </c>
      <c r="R43" s="2">
        <f>IF(Converters!G4="","",Converters!G4)</f>
        <v>1.4</v>
      </c>
      <c r="S43" s="2">
        <f>IF(Converters!H4="","",Converters!H4)</f>
        <v>40</v>
      </c>
      <c r="T43" s="2">
        <f>IF(Converters!I4="","",Converters!I4)</f>
        <v>40</v>
      </c>
      <c r="U43" s="2">
        <f>IF(Converters!J4="","",Converters!J4)</f>
        <v>10</v>
      </c>
      <c r="V43" s="2" t="str">
        <f>IF(Converters!K4="","",Converters!K4)</f>
        <v/>
      </c>
      <c r="W43" s="2">
        <f>IF(Converters!L4="","",Converters!L4)</f>
        <v>110</v>
      </c>
      <c r="X43" s="2">
        <f>IF(Converters!M4="","",Converters!M4)</f>
        <v>50</v>
      </c>
      <c r="Y43" s="2" t="str">
        <f>IF(Converters!N4="","",Converters!N4)</f>
        <v/>
      </c>
      <c r="Z43" s="2" t="str">
        <f>IF(Converters!O4="","",Converters!O4)</f>
        <v/>
      </c>
      <c r="AA43" s="2" t="str">
        <f>IF(Converters!P4="","",Converters!P4)</f>
        <v>External</v>
      </c>
      <c r="AB43" s="2">
        <f>IF(Converters!Q4="","",Converters!Q4)</f>
        <v>0.7</v>
      </c>
      <c r="AC43" s="2">
        <f>IF(Converters!R4="","",Converters!R4)</f>
        <v>2.5</v>
      </c>
      <c r="AD43" s="2" t="str">
        <f>IF(Converters!S4="","",Converters!S4)</f>
        <v/>
      </c>
      <c r="AE43" s="2" t="str">
        <f>IF(Converters!T4="","",Converters!T4)</f>
        <v>SO-16</v>
      </c>
      <c r="AF43" s="2" t="str">
        <f>IF(Converters!U4="","",Converters!U4)</f>
        <v/>
      </c>
      <c r="AG43" s="2" t="str">
        <f>IF(Converters!V4="","",Converters!V4)</f>
        <v/>
      </c>
      <c r="AH43" s="2" t="str">
        <f>IF(Converters!W4="","",Converters!W4)</f>
        <v/>
      </c>
      <c r="AI43" s="2" t="str">
        <f>IF(Converters!X4="","",Converters!X4)</f>
        <v/>
      </c>
      <c r="AJ43" s="2" t="str">
        <f>IF(Converters!Y4="","",Converters!Y4)</f>
        <v/>
      </c>
    </row>
    <row r="44" spans="1:41">
      <c r="A44" s="92"/>
      <c r="B44" s="94" t="s">
        <v>360</v>
      </c>
      <c r="C44" s="102" t="s">
        <v>358</v>
      </c>
      <c r="D44" s="92"/>
      <c r="E44" s="107" t="str">
        <f>IF(C43="External","--&gt; Current Limit must be adjusted, select yes!","")</f>
        <v>--&gt; Current Limit must be adjusted, select yes!</v>
      </c>
      <c r="F44" s="92"/>
      <c r="G44" s="92"/>
      <c r="H44" s="92"/>
      <c r="I44" s="92"/>
      <c r="J44" s="92"/>
      <c r="K44" s="1"/>
      <c r="L44" s="1"/>
      <c r="M44" s="2" t="str">
        <f>IF(Converters!B5="","",Converters!B5)</f>
        <v>Viper06XN</v>
      </c>
      <c r="N44" s="2">
        <f>IF(Converters!C5="","",Converters!C5)</f>
        <v>800</v>
      </c>
      <c r="O44" s="2">
        <f>IF(Converters!D5="","",Converters!D5)</f>
        <v>67</v>
      </c>
      <c r="P44" s="2">
        <f>IF(Converters!E5="","",Converters!E5)</f>
        <v>10</v>
      </c>
      <c r="Q44" s="2">
        <f>IF(Converters!F5="","",Converters!F5)</f>
        <v>13</v>
      </c>
      <c r="R44" s="2">
        <f>IF(Converters!G5="","",Converters!G5)</f>
        <v>1.3</v>
      </c>
      <c r="S44" s="2">
        <f>IF(Converters!H5="","",Converters!H5)</f>
        <v>40</v>
      </c>
      <c r="T44" s="2">
        <f>IF(Converters!I5="","",Converters!I5)</f>
        <v>40</v>
      </c>
      <c r="U44" s="2">
        <f>IF(Converters!J5="","",Converters!J5)</f>
        <v>40</v>
      </c>
      <c r="V44" s="2" t="str">
        <f>IF(Converters!K5="","",Converters!K5)</f>
        <v/>
      </c>
      <c r="W44" s="2">
        <f>IF(Converters!L5="","",Converters!L5)</f>
        <v>90</v>
      </c>
      <c r="X44" s="2">
        <f>IF(Converters!M5="","",Converters!M5)</f>
        <v>27</v>
      </c>
      <c r="Y44" s="2">
        <f>IF(Converters!N5="","",Converters!N5)</f>
        <v>30</v>
      </c>
      <c r="Z44" s="2">
        <f>IF(Converters!O5="","",Converters!O5)</f>
        <v>33</v>
      </c>
      <c r="AA44" s="2">
        <f>IF(Converters!P5="","",Converters!P5)</f>
        <v>0.35</v>
      </c>
      <c r="AB44" s="2">
        <f>IF(Converters!Q5="","",Converters!Q5)</f>
        <v>0.7</v>
      </c>
      <c r="AC44" s="2">
        <f>IF(Converters!R5="","",Converters!R5)</f>
        <v>3.3</v>
      </c>
      <c r="AD44" s="2">
        <f>IF(Converters!S5="","",Converters!S5)</f>
        <v>15</v>
      </c>
      <c r="AE44" s="2" t="str">
        <f>IF(Converters!T5="","",Converters!T5)</f>
        <v>DIP-7</v>
      </c>
      <c r="AF44" s="2" t="str">
        <f>IF(Converters!U5="","",Converters!U5)</f>
        <v/>
      </c>
      <c r="AG44" s="2" t="str">
        <f>IF(Converters!V5="","",Converters!V5)</f>
        <v/>
      </c>
      <c r="AH44" s="2" t="str">
        <f>IF(Converters!W5="","",Converters!W5)</f>
        <v/>
      </c>
      <c r="AI44" s="2" t="str">
        <f>IF(Converters!X5="","",Converters!X5)</f>
        <v/>
      </c>
      <c r="AJ44" s="2" t="str">
        <f>IF(Converters!Y5="","",Converters!Y5)</f>
        <v/>
      </c>
    </row>
    <row r="45" spans="1:41">
      <c r="A45" s="92"/>
      <c r="B45" s="94" t="s">
        <v>427</v>
      </c>
      <c r="C45" s="102">
        <v>5</v>
      </c>
      <c r="D45" s="94" t="s">
        <v>17</v>
      </c>
      <c r="F45" s="92"/>
      <c r="G45" s="92"/>
      <c r="H45" s="92"/>
      <c r="I45" s="92"/>
      <c r="J45" s="92"/>
      <c r="K45" s="1"/>
      <c r="L45" s="1"/>
      <c r="M45" s="2" t="str">
        <f>IF(Converters!B6="","",Converters!B6)</f>
        <v>Viper06LN</v>
      </c>
      <c r="N45" s="2">
        <f>IF(Converters!C6="","",Converters!C6)</f>
        <v>800</v>
      </c>
      <c r="O45" s="2">
        <f>IF(Converters!D6="","",Converters!D6)</f>
        <v>67</v>
      </c>
      <c r="P45" s="2">
        <f>IF(Converters!E6="","",Converters!E6)</f>
        <v>10</v>
      </c>
      <c r="Q45" s="2">
        <f>IF(Converters!F6="","",Converters!F6)</f>
        <v>13</v>
      </c>
      <c r="R45" s="2">
        <f>IF(Converters!G6="","",Converters!G6)</f>
        <v>1.45</v>
      </c>
      <c r="S45" s="2">
        <f>IF(Converters!H6="","",Converters!H6)</f>
        <v>40</v>
      </c>
      <c r="T45" s="2">
        <f>IF(Converters!I6="","",Converters!I6)</f>
        <v>40</v>
      </c>
      <c r="U45" s="2">
        <f>IF(Converters!J6="","",Converters!J6)</f>
        <v>40</v>
      </c>
      <c r="V45" s="2" t="str">
        <f>IF(Converters!K6="","",Converters!K6)</f>
        <v/>
      </c>
      <c r="W45" s="2">
        <f>IF(Converters!L6="","",Converters!L6)</f>
        <v>90</v>
      </c>
      <c r="X45" s="2">
        <f>IF(Converters!M6="","",Converters!M6)</f>
        <v>54</v>
      </c>
      <c r="Y45" s="2">
        <f>IF(Converters!N6="","",Converters!N6)</f>
        <v>60</v>
      </c>
      <c r="Z45" s="2">
        <f>IF(Converters!O6="","",Converters!O6)</f>
        <v>66</v>
      </c>
      <c r="AA45" s="2">
        <f>IF(Converters!P6="","",Converters!P6)</f>
        <v>0.35</v>
      </c>
      <c r="AB45" s="2">
        <f>IF(Converters!Q6="","",Converters!Q6)</f>
        <v>0.7</v>
      </c>
      <c r="AC45" s="2">
        <f>IF(Converters!R6="","",Converters!R6)</f>
        <v>3.3</v>
      </c>
      <c r="AD45" s="2">
        <f>IF(Converters!S6="","",Converters!S6)</f>
        <v>15</v>
      </c>
      <c r="AE45" s="2" t="str">
        <f>IF(Converters!T6="","",Converters!T6)</f>
        <v>DIP-8</v>
      </c>
      <c r="AF45" s="2" t="str">
        <f>IF(Converters!U6="","",Converters!U6)</f>
        <v/>
      </c>
      <c r="AG45" s="2" t="str">
        <f>IF(Converters!V6="","",Converters!V6)</f>
        <v/>
      </c>
      <c r="AH45" s="2" t="str">
        <f>IF(Converters!W6="","",Converters!W6)</f>
        <v/>
      </c>
      <c r="AI45" s="2" t="str">
        <f>IF(Converters!X6="","",Converters!X6)</f>
        <v/>
      </c>
      <c r="AJ45" s="2" t="str">
        <f>IF(Converters!Y6="","",Converters!Y6)</f>
        <v/>
      </c>
    </row>
    <row r="46" spans="1:41">
      <c r="B46" s="1" t="s">
        <v>361</v>
      </c>
      <c r="C46" s="105">
        <f>IF(C44="No",C43,Ipk*(1+C45/100))</f>
        <v>0.64645190346814707</v>
      </c>
      <c r="D46" s="106" t="s">
        <v>43</v>
      </c>
      <c r="E46" s="101" t="str">
        <f>IF(C43="External","OK",IF(C43*0.9&lt;Ipk,"Higher current limit is required, choose another controller!!!","-&gt;O.K."))</f>
        <v>OK</v>
      </c>
      <c r="J46" s="1"/>
      <c r="K46" s="1"/>
      <c r="L46" s="1"/>
      <c r="M46" s="2" t="str">
        <f>IF(Converters!B7="","",Converters!B7)</f>
        <v>Viper06HN</v>
      </c>
      <c r="N46" s="2">
        <f>IF(Converters!C7="","",Converters!C7)</f>
        <v>800</v>
      </c>
      <c r="O46" s="2">
        <f>IF(Converters!D7="","",Converters!D7)</f>
        <v>67</v>
      </c>
      <c r="P46" s="2">
        <f>IF(Converters!E7="","",Converters!E7)</f>
        <v>10</v>
      </c>
      <c r="Q46" s="2">
        <f>IF(Converters!F7="","",Converters!F7)</f>
        <v>13</v>
      </c>
      <c r="R46" s="2">
        <f>IF(Converters!G7="","",Converters!G7)</f>
        <v>1.6</v>
      </c>
      <c r="S46" s="2">
        <f>IF(Converters!H7="","",Converters!H7)</f>
        <v>40</v>
      </c>
      <c r="T46" s="2">
        <f>IF(Converters!I7="","",Converters!I7)</f>
        <v>40</v>
      </c>
      <c r="U46" s="2">
        <f>IF(Converters!J7="","",Converters!J7)</f>
        <v>40</v>
      </c>
      <c r="V46" s="2" t="str">
        <f>IF(Converters!K7="","",Converters!K7)</f>
        <v/>
      </c>
      <c r="W46" s="2">
        <f>IF(Converters!L7="","",Converters!L7)</f>
        <v>90</v>
      </c>
      <c r="X46" s="2">
        <f>IF(Converters!M7="","",Converters!M7)</f>
        <v>103</v>
      </c>
      <c r="Y46" s="2">
        <f>IF(Converters!N7="","",Converters!N7)</f>
        <v>115</v>
      </c>
      <c r="Z46" s="2">
        <f>IF(Converters!O7="","",Converters!O7)</f>
        <v>127</v>
      </c>
      <c r="AA46" s="2">
        <f>IF(Converters!P7="","",Converters!P7)</f>
        <v>0.35</v>
      </c>
      <c r="AB46" s="2">
        <f>IF(Converters!Q7="","",Converters!Q7)</f>
        <v>0.7</v>
      </c>
      <c r="AC46" s="2">
        <f>IF(Converters!R7="","",Converters!R7)</f>
        <v>3.3</v>
      </c>
      <c r="AD46" s="2">
        <f>IF(Converters!S7="","",Converters!S7)</f>
        <v>15</v>
      </c>
      <c r="AE46" s="2" t="str">
        <f>IF(Converters!T7="","",Converters!T7)</f>
        <v>DIP-9</v>
      </c>
      <c r="AF46" s="2" t="str">
        <f>IF(Converters!U7="","",Converters!U7)</f>
        <v/>
      </c>
      <c r="AG46" s="2" t="str">
        <f>IF(Converters!V7="","",Converters!V7)</f>
        <v/>
      </c>
      <c r="AH46" s="2" t="str">
        <f>IF(Converters!W7="","",Converters!W7)</f>
        <v/>
      </c>
      <c r="AI46" s="2" t="str">
        <f>IF(Converters!X7="","",Converters!X7)</f>
        <v/>
      </c>
      <c r="AJ46" s="2" t="str">
        <f>IF(Converters!Y7="","",Converters!Y7)</f>
        <v/>
      </c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 t="str">
        <f>IF(Converters!B8="","",Converters!B8)</f>
        <v>Viper06XS</v>
      </c>
      <c r="N47" s="2">
        <f>IF(Converters!C8="","",Converters!C8)</f>
        <v>800</v>
      </c>
      <c r="O47" s="2">
        <f>IF(Converters!D8="","",Converters!D8)</f>
        <v>67</v>
      </c>
      <c r="P47" s="2">
        <f>IF(Converters!E8="","",Converters!E8)</f>
        <v>10</v>
      </c>
      <c r="Q47" s="2">
        <f>IF(Converters!F8="","",Converters!F8)</f>
        <v>13</v>
      </c>
      <c r="R47" s="2">
        <f>IF(Converters!G8="","",Converters!G8)</f>
        <v>1.3</v>
      </c>
      <c r="S47" s="2">
        <f>IF(Converters!H8="","",Converters!H8)</f>
        <v>40</v>
      </c>
      <c r="T47" s="2">
        <f>IF(Converters!I8="","",Converters!I8)</f>
        <v>40</v>
      </c>
      <c r="U47" s="2">
        <f>IF(Converters!J8="","",Converters!J8)</f>
        <v>35</v>
      </c>
      <c r="V47" s="2" t="str">
        <f>IF(Converters!K8="","",Converters!K8)</f>
        <v/>
      </c>
      <c r="W47" s="2">
        <f>IF(Converters!L8="","",Converters!L8)</f>
        <v>80</v>
      </c>
      <c r="X47" s="2">
        <f>IF(Converters!M8="","",Converters!M8)</f>
        <v>27</v>
      </c>
      <c r="Y47" s="2">
        <f>IF(Converters!N8="","",Converters!N8)</f>
        <v>30</v>
      </c>
      <c r="Z47" s="2">
        <f>IF(Converters!O8="","",Converters!O8)</f>
        <v>33</v>
      </c>
      <c r="AA47" s="2">
        <f>IF(Converters!P8="","",Converters!P8)</f>
        <v>0.35</v>
      </c>
      <c r="AB47" s="2">
        <f>IF(Converters!Q8="","",Converters!Q8)</f>
        <v>0.7</v>
      </c>
      <c r="AC47" s="2">
        <f>IF(Converters!R8="","",Converters!R8)</f>
        <v>3.3</v>
      </c>
      <c r="AD47" s="2">
        <f>IF(Converters!S8="","",Converters!S8)</f>
        <v>15</v>
      </c>
      <c r="AE47" s="2" t="str">
        <f>IF(Converters!T8="","",Converters!T8)</f>
        <v>SSO10</v>
      </c>
      <c r="AF47" s="2" t="str">
        <f>IF(Converters!U8="","",Converters!U8)</f>
        <v/>
      </c>
      <c r="AG47" s="2" t="str">
        <f>IF(Converters!V8="","",Converters!V8)</f>
        <v/>
      </c>
      <c r="AH47" s="2" t="str">
        <f>IF(Converters!W8="","",Converters!W8)</f>
        <v/>
      </c>
      <c r="AI47" s="2" t="str">
        <f>IF(Converters!X8="","",Converters!X8)</f>
        <v/>
      </c>
      <c r="AJ47" s="2" t="str">
        <f>IF(Converters!Y8="","",Converters!Y8)</f>
        <v/>
      </c>
    </row>
    <row r="48" spans="1:41">
      <c r="A48" s="199" t="s">
        <v>44</v>
      </c>
      <c r="B48" s="199"/>
      <c r="C48" s="199"/>
      <c r="D48" s="199"/>
      <c r="E48" s="199"/>
      <c r="F48" s="199"/>
      <c r="G48" s="199"/>
      <c r="H48" s="199"/>
      <c r="I48" s="199"/>
      <c r="J48" s="199"/>
      <c r="K48" s="1"/>
      <c r="L48" s="1"/>
      <c r="M48" s="2" t="str">
        <f>IF(Converters!B9="","",Converters!B9)</f>
        <v>Viper06LS</v>
      </c>
      <c r="N48" s="2">
        <f>IF(Converters!C9="","",Converters!C9)</f>
        <v>800</v>
      </c>
      <c r="O48" s="2">
        <f>IF(Converters!D9="","",Converters!D9)</f>
        <v>67</v>
      </c>
      <c r="P48" s="2">
        <f>IF(Converters!E9="","",Converters!E9)</f>
        <v>10</v>
      </c>
      <c r="Q48" s="2">
        <f>IF(Converters!F9="","",Converters!F9)</f>
        <v>13</v>
      </c>
      <c r="R48" s="2">
        <f>IF(Converters!G9="","",Converters!G9)</f>
        <v>1.45</v>
      </c>
      <c r="S48" s="2">
        <f>IF(Converters!H9="","",Converters!H9)</f>
        <v>40</v>
      </c>
      <c r="T48" s="2">
        <f>IF(Converters!I9="","",Converters!I9)</f>
        <v>40</v>
      </c>
      <c r="U48" s="2">
        <f>IF(Converters!J9="","",Converters!J9)</f>
        <v>35</v>
      </c>
      <c r="V48" s="2" t="str">
        <f>IF(Converters!K9="","",Converters!K9)</f>
        <v/>
      </c>
      <c r="W48" s="2">
        <f>IF(Converters!L9="","",Converters!L9)</f>
        <v>80</v>
      </c>
      <c r="X48" s="2">
        <f>IF(Converters!M9="","",Converters!M9)</f>
        <v>54</v>
      </c>
      <c r="Y48" s="2">
        <f>IF(Converters!N9="","",Converters!N9)</f>
        <v>60</v>
      </c>
      <c r="Z48" s="2">
        <f>IF(Converters!O9="","",Converters!O9)</f>
        <v>66</v>
      </c>
      <c r="AA48" s="2">
        <f>IF(Converters!P9="","",Converters!P9)</f>
        <v>0.35</v>
      </c>
      <c r="AB48" s="2">
        <f>IF(Converters!Q9="","",Converters!Q9)</f>
        <v>0.7</v>
      </c>
      <c r="AC48" s="2">
        <f>IF(Converters!R9="","",Converters!R9)</f>
        <v>3.3</v>
      </c>
      <c r="AD48" s="2">
        <f>IF(Converters!S9="","",Converters!S9)</f>
        <v>15</v>
      </c>
      <c r="AE48" s="2" t="str">
        <f>IF(Converters!T9="","",Converters!T9)</f>
        <v>SSO10</v>
      </c>
      <c r="AF48" s="2" t="str">
        <f>IF(Converters!U9="","",Converters!U9)</f>
        <v/>
      </c>
      <c r="AG48" s="2" t="str">
        <f>IF(Converters!V9="","",Converters!V9)</f>
        <v/>
      </c>
      <c r="AH48" s="2" t="str">
        <f>IF(Converters!W9="","",Converters!W9)</f>
        <v/>
      </c>
      <c r="AI48" s="2" t="str">
        <f>IF(Converters!X9="","",Converters!X9)</f>
        <v/>
      </c>
      <c r="AJ48" s="2" t="str">
        <f>IF(Converters!Y9="","",Converters!Y9)</f>
        <v/>
      </c>
    </row>
    <row r="49" spans="1:36" ht="16.5">
      <c r="A49" s="1"/>
      <c r="B49" s="1" t="s">
        <v>45</v>
      </c>
      <c r="C49" s="10">
        <v>0.32</v>
      </c>
      <c r="D49" s="1" t="s">
        <v>46</v>
      </c>
      <c r="E49" s="16"/>
      <c r="F49" s="1"/>
      <c r="G49" s="1"/>
      <c r="H49" s="1"/>
      <c r="I49" s="1"/>
      <c r="J49" s="1"/>
      <c r="K49" s="1"/>
      <c r="L49" s="1"/>
      <c r="M49" s="2" t="str">
        <f>IF(Converters!B10="","",Converters!B10)</f>
        <v>Viper06HS</v>
      </c>
      <c r="N49" s="2">
        <f>IF(Converters!C10="","",Converters!C10)</f>
        <v>800</v>
      </c>
      <c r="O49" s="2">
        <f>IF(Converters!D10="","",Converters!D10)</f>
        <v>67</v>
      </c>
      <c r="P49" s="2">
        <f>IF(Converters!E10="","",Converters!E10)</f>
        <v>10</v>
      </c>
      <c r="Q49" s="2">
        <f>IF(Converters!F10="","",Converters!F10)</f>
        <v>13</v>
      </c>
      <c r="R49" s="2">
        <f>IF(Converters!G10="","",Converters!G10)</f>
        <v>1.6</v>
      </c>
      <c r="S49" s="2">
        <f>IF(Converters!H10="","",Converters!H10)</f>
        <v>40</v>
      </c>
      <c r="T49" s="2">
        <f>IF(Converters!I10="","",Converters!I10)</f>
        <v>40</v>
      </c>
      <c r="U49" s="2">
        <f>IF(Converters!J10="","",Converters!J10)</f>
        <v>35</v>
      </c>
      <c r="V49" s="2" t="str">
        <f>IF(Converters!K10="","",Converters!K10)</f>
        <v/>
      </c>
      <c r="W49" s="2">
        <f>IF(Converters!L10="","",Converters!L10)</f>
        <v>80</v>
      </c>
      <c r="X49" s="2">
        <f>IF(Converters!M10="","",Converters!M10)</f>
        <v>103</v>
      </c>
      <c r="Y49" s="2">
        <f>IF(Converters!N10="","",Converters!N10)</f>
        <v>115</v>
      </c>
      <c r="Z49" s="2">
        <f>IF(Converters!O10="","",Converters!O10)</f>
        <v>127</v>
      </c>
      <c r="AA49" s="2">
        <f>IF(Converters!P10="","",Converters!P10)</f>
        <v>0.35</v>
      </c>
      <c r="AB49" s="2">
        <f>IF(Converters!Q10="","",Converters!Q10)</f>
        <v>0.7</v>
      </c>
      <c r="AC49" s="2">
        <f>IF(Converters!R10="","",Converters!R10)</f>
        <v>3.3</v>
      </c>
      <c r="AD49" s="2">
        <f>IF(Converters!S10="","",Converters!S10)</f>
        <v>15</v>
      </c>
      <c r="AE49" s="2" t="str">
        <f>IF(Converters!T10="","",Converters!T10)</f>
        <v>SSO10</v>
      </c>
      <c r="AF49" s="2" t="str">
        <f>IF(Converters!U10="","",Converters!U10)</f>
        <v/>
      </c>
      <c r="AG49" s="2" t="str">
        <f>IF(Converters!V10="","",Converters!V10)</f>
        <v/>
      </c>
      <c r="AH49" s="2" t="str">
        <f>IF(Converters!W10="","",Converters!W10)</f>
        <v/>
      </c>
      <c r="AI49" s="2" t="str">
        <f>IF(Converters!X10="","",Converters!X10)</f>
        <v/>
      </c>
      <c r="AJ49" s="2" t="str">
        <f>IF(Converters!Y10="","",Converters!Y10)</f>
        <v/>
      </c>
    </row>
    <row r="50" spans="1:36" ht="18.75">
      <c r="A50" s="1"/>
      <c r="B50" s="1" t="s">
        <v>47</v>
      </c>
      <c r="C50" s="5">
        <v>32.1</v>
      </c>
      <c r="D50" s="1" t="s">
        <v>48</v>
      </c>
      <c r="E50" s="16"/>
      <c r="F50" s="1"/>
      <c r="G50" s="2" t="s">
        <v>459</v>
      </c>
      <c r="H50" s="1"/>
      <c r="I50" s="1"/>
      <c r="J50" s="1"/>
      <c r="K50" s="1"/>
      <c r="L50" s="1"/>
      <c r="M50" s="2" t="str">
        <f>IF(Converters!B11="","",Converters!B11)</f>
        <v>Viper16LN</v>
      </c>
      <c r="N50" s="2">
        <f>IF(Converters!C11="","",Converters!C11)</f>
        <v>800</v>
      </c>
      <c r="O50" s="2">
        <f>IF(Converters!D11="","",Converters!D11)</f>
        <v>48</v>
      </c>
      <c r="P50" s="2">
        <f>IF(Converters!E11="","",Converters!E11)</f>
        <v>10</v>
      </c>
      <c r="Q50" s="2">
        <f>IF(Converters!F11="","",Converters!F11)</f>
        <v>13</v>
      </c>
      <c r="R50" s="2">
        <f>IF(Converters!G11="","",Converters!G11)</f>
        <v>1.3</v>
      </c>
      <c r="S50" s="2">
        <f>IF(Converters!H11="","",Converters!H11)</f>
        <v>40</v>
      </c>
      <c r="T50" s="2">
        <f>IF(Converters!I11="","",Converters!I11)</f>
        <v>40</v>
      </c>
      <c r="U50" s="2">
        <f>IF(Converters!J11="","",Converters!J11)</f>
        <v>40</v>
      </c>
      <c r="V50" s="2" t="str">
        <f>IF(Converters!K11="","",Converters!K11)</f>
        <v/>
      </c>
      <c r="W50" s="2">
        <f>IF(Converters!L11="","",Converters!L11)</f>
        <v>90</v>
      </c>
      <c r="X50" s="2">
        <f>IF(Converters!M11="","",Converters!M11)</f>
        <v>54</v>
      </c>
      <c r="Y50" s="2">
        <f>IF(Converters!N11="","",Converters!N11)</f>
        <v>60</v>
      </c>
      <c r="Z50" s="2">
        <f>IF(Converters!O11="","",Converters!O11)</f>
        <v>66</v>
      </c>
      <c r="AA50" s="2">
        <f>IF(Converters!P11="","",Converters!P11)</f>
        <v>0.4</v>
      </c>
      <c r="AB50" s="2">
        <f>IF(Converters!Q11="","",Converters!Q11)</f>
        <v>0.7</v>
      </c>
      <c r="AC50" s="2">
        <f>IF(Converters!R11="","",Converters!R11)</f>
        <v>3.3</v>
      </c>
      <c r="AD50" s="2">
        <f>IF(Converters!S11="","",Converters!S11)</f>
        <v>15</v>
      </c>
      <c r="AE50" s="2" t="str">
        <f>IF(Converters!T11="","",Converters!T11)</f>
        <v>DIP-7</v>
      </c>
      <c r="AF50" s="2" t="str">
        <f>IF(Converters!U11="","",Converters!U11)</f>
        <v/>
      </c>
      <c r="AG50" s="2" t="str">
        <f>IF(Converters!V11="","",Converters!V11)</f>
        <v/>
      </c>
      <c r="AH50" s="2" t="str">
        <f>IF(Converters!W11="","",Converters!W11)</f>
        <v/>
      </c>
      <c r="AI50" s="2" t="str">
        <f>IF(Converters!X11="","",Converters!X11)</f>
        <v/>
      </c>
      <c r="AJ50" s="2" t="str">
        <f>IF(Converters!Y11="","",Converters!Y11)</f>
        <v/>
      </c>
    </row>
    <row r="51" spans="1:36" ht="18">
      <c r="A51" s="1"/>
      <c r="B51" s="12" t="s">
        <v>49</v>
      </c>
      <c r="C51" s="13">
        <f>Lm*Ilim/Bsat/Ae*1000000</f>
        <v>110.57248943617169</v>
      </c>
      <c r="D51" s="12" t="s">
        <v>46</v>
      </c>
      <c r="E51" s="16"/>
      <c r="F51" s="1"/>
      <c r="G51" s="1"/>
      <c r="H51" s="1"/>
      <c r="I51" s="1"/>
      <c r="J51" s="1"/>
      <c r="K51" s="1"/>
      <c r="L51" s="1"/>
      <c r="M51" s="2" t="str">
        <f>IF(Converters!B12="","",Converters!B12)</f>
        <v>Viper16HN</v>
      </c>
      <c r="N51" s="2">
        <f>IF(Converters!C12="","",Converters!C12)</f>
        <v>800</v>
      </c>
      <c r="O51" s="2">
        <f>IF(Converters!D12="","",Converters!D12)</f>
        <v>48</v>
      </c>
      <c r="P51" s="2">
        <f>IF(Converters!E12="","",Converters!E12)</f>
        <v>10</v>
      </c>
      <c r="Q51" s="2">
        <f>IF(Converters!F12="","",Converters!F12)</f>
        <v>13</v>
      </c>
      <c r="R51" s="2">
        <f>IF(Converters!G12="","",Converters!G12)</f>
        <v>1.5</v>
      </c>
      <c r="S51" s="2">
        <f>IF(Converters!H12="","",Converters!H12)</f>
        <v>40</v>
      </c>
      <c r="T51" s="2">
        <f>IF(Converters!I12="","",Converters!I12)</f>
        <v>40</v>
      </c>
      <c r="U51" s="2">
        <f>IF(Converters!J12="","",Converters!J12)</f>
        <v>40</v>
      </c>
      <c r="V51" s="2" t="str">
        <f>IF(Converters!K12="","",Converters!K12)</f>
        <v/>
      </c>
      <c r="W51" s="2">
        <f>IF(Converters!L12="","",Converters!L12)</f>
        <v>90</v>
      </c>
      <c r="X51" s="2">
        <f>IF(Converters!M12="","",Converters!M12)</f>
        <v>103</v>
      </c>
      <c r="Y51" s="2">
        <f>IF(Converters!N12="","",Converters!N12)</f>
        <v>115</v>
      </c>
      <c r="Z51" s="2">
        <f>IF(Converters!O12="","",Converters!O12)</f>
        <v>127</v>
      </c>
      <c r="AA51" s="2">
        <f>IF(Converters!P12="","",Converters!P12)</f>
        <v>0.4</v>
      </c>
      <c r="AB51" s="2">
        <f>IF(Converters!Q12="","",Converters!Q12)</f>
        <v>0.7</v>
      </c>
      <c r="AC51" s="2">
        <f>IF(Converters!R12="","",Converters!R12)</f>
        <v>3.3</v>
      </c>
      <c r="AD51" s="2">
        <f>IF(Converters!S12="","",Converters!S12)</f>
        <v>15</v>
      </c>
      <c r="AE51" s="2" t="str">
        <f>IF(Converters!T12="","",Converters!T12)</f>
        <v>DIP-7</v>
      </c>
      <c r="AF51" s="2" t="str">
        <f>IF(Converters!U12="","",Converters!U12)</f>
        <v/>
      </c>
      <c r="AG51" s="2" t="str">
        <f>IF(Converters!V12="","",Converters!V12)</f>
        <v/>
      </c>
      <c r="AH51" s="2" t="str">
        <f>IF(Converters!W12="","",Converters!W12)</f>
        <v/>
      </c>
      <c r="AI51" s="2" t="str">
        <f>IF(Converters!X12="","",Converters!X12)</f>
        <v/>
      </c>
      <c r="AJ51" s="2" t="str">
        <f>IF(Converters!Y12="","",Converters!Y12)</f>
        <v/>
      </c>
    </row>
    <row r="52" spans="1:36">
      <c r="A52" s="1"/>
      <c r="B52" s="1"/>
      <c r="C52" s="1"/>
      <c r="D52" s="1"/>
      <c r="E52" s="1"/>
      <c r="F52" s="12"/>
      <c r="G52" s="12"/>
      <c r="H52" s="12"/>
      <c r="I52" s="12"/>
      <c r="J52" s="1"/>
      <c r="K52" s="1"/>
      <c r="L52" s="1"/>
      <c r="M52" s="2" t="str">
        <f>IF(Converters!B13="","",Converters!B13)</f>
        <v>Viper16HD</v>
      </c>
      <c r="N52" s="2">
        <f>IF(Converters!C13="","",Converters!C13)</f>
        <v>800</v>
      </c>
      <c r="O52" s="2">
        <f>IF(Converters!D13="","",Converters!D13)</f>
        <v>48</v>
      </c>
      <c r="P52" s="2">
        <f>IF(Converters!E13="","",Converters!E13)</f>
        <v>10</v>
      </c>
      <c r="Q52" s="2">
        <f>IF(Converters!F13="","",Converters!F13)</f>
        <v>13</v>
      </c>
      <c r="R52" s="2">
        <f>IF(Converters!G13="","",Converters!G13)</f>
        <v>1.5</v>
      </c>
      <c r="S52" s="2">
        <f>IF(Converters!H13="","",Converters!H13)</f>
        <v>40</v>
      </c>
      <c r="T52" s="2">
        <f>IF(Converters!I13="","",Converters!I13)</f>
        <v>40</v>
      </c>
      <c r="U52" s="2">
        <f>IF(Converters!J13="","",Converters!J13)</f>
        <v>35</v>
      </c>
      <c r="V52" s="2" t="str">
        <f>IF(Converters!K13="","",Converters!K13)</f>
        <v/>
      </c>
      <c r="W52" s="2">
        <f>IF(Converters!L13="","",Converters!L13)</f>
        <v>80</v>
      </c>
      <c r="X52" s="2">
        <f>IF(Converters!M13="","",Converters!M13)</f>
        <v>103</v>
      </c>
      <c r="Y52" s="2">
        <f>IF(Converters!N13="","",Converters!N13)</f>
        <v>115</v>
      </c>
      <c r="Z52" s="2">
        <f>IF(Converters!O13="","",Converters!O13)</f>
        <v>127</v>
      </c>
      <c r="AA52" s="2">
        <f>IF(Converters!P13="","",Converters!P13)</f>
        <v>0.4</v>
      </c>
      <c r="AB52" s="2">
        <f>IF(Converters!Q13="","",Converters!Q13)</f>
        <v>0.7</v>
      </c>
      <c r="AC52" s="2">
        <f>IF(Converters!R13="","",Converters!R13)</f>
        <v>3.3</v>
      </c>
      <c r="AD52" s="2">
        <f>IF(Converters!S13="","",Converters!S13)</f>
        <v>15</v>
      </c>
      <c r="AE52" s="2" t="str">
        <f>IF(Converters!T13="","",Converters!T13)</f>
        <v>SO-16</v>
      </c>
      <c r="AF52" s="2" t="str">
        <f>IF(Converters!U13="","",Converters!U13)</f>
        <v/>
      </c>
      <c r="AG52" s="2" t="str">
        <f>IF(Converters!V13="","",Converters!V13)</f>
        <v/>
      </c>
      <c r="AH52" s="2" t="str">
        <f>IF(Converters!W13="","",Converters!W13)</f>
        <v/>
      </c>
      <c r="AI52" s="2" t="str">
        <f>IF(Converters!X13="","",Converters!X13)</f>
        <v/>
      </c>
      <c r="AJ52" s="2" t="str">
        <f>IF(Converters!Y13="","",Converters!Y13)</f>
        <v/>
      </c>
    </row>
    <row r="53" spans="1:36">
      <c r="A53" s="199" t="s">
        <v>444</v>
      </c>
      <c r="B53" s="199"/>
      <c r="C53" s="199"/>
      <c r="D53" s="199"/>
      <c r="E53" s="199"/>
      <c r="F53" s="199"/>
      <c r="G53" s="199"/>
      <c r="H53" s="199"/>
      <c r="I53" s="199"/>
      <c r="J53" s="199"/>
      <c r="K53" s="1"/>
      <c r="L53" s="1"/>
      <c r="M53" s="2" t="str">
        <f>IF(Converters!B14="","",Converters!B14)</f>
        <v>Viper16LD</v>
      </c>
      <c r="N53" s="2">
        <f>IF(Converters!C14="","",Converters!C14)</f>
        <v>800</v>
      </c>
      <c r="O53" s="2">
        <f>IF(Converters!D14="","",Converters!D14)</f>
        <v>48</v>
      </c>
      <c r="P53" s="2">
        <f>IF(Converters!E14="","",Converters!E14)</f>
        <v>10</v>
      </c>
      <c r="Q53" s="2">
        <f>IF(Converters!F14="","",Converters!F14)</f>
        <v>13</v>
      </c>
      <c r="R53" s="2">
        <f>IF(Converters!G14="","",Converters!G14)</f>
        <v>1.3</v>
      </c>
      <c r="S53" s="2">
        <f>IF(Converters!H14="","",Converters!H14)</f>
        <v>40</v>
      </c>
      <c r="T53" s="2">
        <f>IF(Converters!I14="","",Converters!I14)</f>
        <v>40</v>
      </c>
      <c r="U53" s="2">
        <f>IF(Converters!J14="","",Converters!J14)</f>
        <v>35</v>
      </c>
      <c r="V53" s="2" t="str">
        <f>IF(Converters!K14="","",Converters!K14)</f>
        <v/>
      </c>
      <c r="W53" s="2">
        <f>IF(Converters!L14="","",Converters!L14)</f>
        <v>80</v>
      </c>
      <c r="X53" s="2">
        <f>IF(Converters!M14="","",Converters!M14)</f>
        <v>54</v>
      </c>
      <c r="Y53" s="2">
        <f>IF(Converters!N14="","",Converters!N14)</f>
        <v>60</v>
      </c>
      <c r="Z53" s="2">
        <f>IF(Converters!O14="","",Converters!O14)</f>
        <v>66</v>
      </c>
      <c r="AA53" s="2">
        <f>IF(Converters!P14="","",Converters!P14)</f>
        <v>0.4</v>
      </c>
      <c r="AB53" s="2">
        <f>IF(Converters!Q14="","",Converters!Q14)</f>
        <v>0.7</v>
      </c>
      <c r="AC53" s="2">
        <f>IF(Converters!R14="","",Converters!R14)</f>
        <v>3.3</v>
      </c>
      <c r="AD53" s="2">
        <f>IF(Converters!S14="","",Converters!S14)</f>
        <v>15</v>
      </c>
      <c r="AE53" s="2" t="str">
        <f>IF(Converters!T14="","",Converters!T14)</f>
        <v>SO-16</v>
      </c>
      <c r="AF53" s="2" t="str">
        <f>IF(Converters!U14="","",Converters!U14)</f>
        <v/>
      </c>
      <c r="AG53" s="2" t="str">
        <f>IF(Converters!V14="","",Converters!V14)</f>
        <v/>
      </c>
      <c r="AH53" s="2" t="str">
        <f>IF(Converters!W14="","",Converters!W14)</f>
        <v/>
      </c>
      <c r="AI53" s="2" t="str">
        <f>IF(Converters!X14="","",Converters!X14)</f>
        <v/>
      </c>
      <c r="AJ53" s="2" t="str">
        <f>IF(Converters!Y14="","",Converters!Y14)</f>
        <v/>
      </c>
    </row>
    <row r="54" spans="1:36">
      <c r="A54" s="1"/>
      <c r="B54" s="1"/>
      <c r="C54" s="1"/>
      <c r="D54" s="1"/>
      <c r="E54" s="1"/>
      <c r="F54" s="1"/>
      <c r="G54" s="1"/>
      <c r="H54" s="1"/>
      <c r="I54" s="1"/>
      <c r="J54" s="1"/>
      <c r="L54" s="8"/>
      <c r="M54" s="2" t="str">
        <f>IF(Converters!B15="","",Converters!B15)</f>
        <v>Viper26LN</v>
      </c>
      <c r="N54" s="2">
        <f>IF(Converters!C15="","",Converters!C15)</f>
        <v>800</v>
      </c>
      <c r="O54" s="2">
        <f>IF(Converters!D15="","",Converters!D15)</f>
        <v>14</v>
      </c>
      <c r="P54" s="2">
        <f>IF(Converters!E15="","",Converters!E15)</f>
        <v>40</v>
      </c>
      <c r="Q54" s="2">
        <f>IF(Converters!F15="","",Converters!F15)</f>
        <v>13</v>
      </c>
      <c r="R54" s="2">
        <f>IF(Converters!G15="","",Converters!G15)</f>
        <v>2.5</v>
      </c>
      <c r="S54" s="2">
        <f>IF(Converters!H15="","",Converters!H15)</f>
        <v>40</v>
      </c>
      <c r="T54" s="2">
        <f>IF(Converters!I15="","",Converters!I15)</f>
        <v>40</v>
      </c>
      <c r="U54" s="2">
        <f>IF(Converters!J15="","",Converters!J15)</f>
        <v>35</v>
      </c>
      <c r="V54" s="2" t="str">
        <f>IF(Converters!K15="","",Converters!K15)</f>
        <v/>
      </c>
      <c r="W54" s="2">
        <f>IF(Converters!L15="","",Converters!L15)</f>
        <v>80</v>
      </c>
      <c r="X54" s="2">
        <f>IF(Converters!M15="","",Converters!M15)</f>
        <v>54</v>
      </c>
      <c r="Y54" s="2">
        <f>IF(Converters!N15="","",Converters!N15)</f>
        <v>60</v>
      </c>
      <c r="Z54" s="2">
        <f>IF(Converters!O15="","",Converters!O15)</f>
        <v>66</v>
      </c>
      <c r="AA54" s="2">
        <f>IF(Converters!P15="","",Converters!P15)</f>
        <v>0.7</v>
      </c>
      <c r="AB54" s="2">
        <f>IF(Converters!Q15="","",Converters!Q15)</f>
        <v>0.7</v>
      </c>
      <c r="AC54" s="2">
        <f>IF(Converters!R15="","",Converters!R15)</f>
        <v>3.3</v>
      </c>
      <c r="AD54" s="2">
        <f>IF(Converters!S15="","",Converters!S15)</f>
        <v>15</v>
      </c>
      <c r="AE54" s="2" t="str">
        <f>IF(Converters!T15="","",Converters!T15)</f>
        <v>DIP-7</v>
      </c>
      <c r="AF54" s="2" t="str">
        <f>IF(Converters!U15="","",Converters!U15)</f>
        <v/>
      </c>
      <c r="AG54" s="2" t="str">
        <f>IF(Converters!V15="","",Converters!V15)</f>
        <v/>
      </c>
      <c r="AH54" s="2" t="str">
        <f>IF(Converters!W15="","",Converters!W15)</f>
        <v/>
      </c>
      <c r="AI54" s="2" t="str">
        <f>IF(Converters!X15="","",Converters!X15)</f>
        <v/>
      </c>
      <c r="AJ54" s="2" t="str">
        <f>IF(Converters!Y15="","",Converters!Y15)</f>
        <v/>
      </c>
    </row>
    <row r="55" spans="1:36" ht="17.25">
      <c r="A55" s="1"/>
      <c r="B55" s="129"/>
      <c r="C55" s="19" t="s">
        <v>9</v>
      </c>
      <c r="D55" s="6"/>
      <c r="E55" s="19" t="s">
        <v>50</v>
      </c>
      <c r="F55" s="6"/>
      <c r="G55" s="6"/>
      <c r="H55" s="20"/>
      <c r="I55" s="19" t="s">
        <v>51</v>
      </c>
      <c r="J55" s="20"/>
      <c r="L55" s="8"/>
      <c r="M55" s="2" t="str">
        <f>IF(Converters!B16="","",Converters!B16)</f>
        <v>Viper26HN</v>
      </c>
      <c r="N55" s="2">
        <f>IF(Converters!C16="","",Converters!C16)</f>
        <v>800</v>
      </c>
      <c r="O55" s="2">
        <f>IF(Converters!D16="","",Converters!D16)</f>
        <v>14</v>
      </c>
      <c r="P55" s="2">
        <f>IF(Converters!E16="","",Converters!E16)</f>
        <v>40</v>
      </c>
      <c r="Q55" s="2">
        <f>IF(Converters!F16="","",Converters!F16)</f>
        <v>13</v>
      </c>
      <c r="R55" s="2">
        <f>IF(Converters!G16="","",Converters!G16)</f>
        <v>3.5</v>
      </c>
      <c r="S55" s="2">
        <f>IF(Converters!H16="","",Converters!H16)</f>
        <v>40</v>
      </c>
      <c r="T55" s="2">
        <f>IF(Converters!I16="","",Converters!I16)</f>
        <v>40</v>
      </c>
      <c r="U55" s="2">
        <f>IF(Converters!J16="","",Converters!J16)</f>
        <v>35</v>
      </c>
      <c r="V55" s="2" t="str">
        <f>IF(Converters!K16="","",Converters!K16)</f>
        <v/>
      </c>
      <c r="W55" s="2">
        <f>IF(Converters!L16="","",Converters!L16)</f>
        <v>80</v>
      </c>
      <c r="X55" s="2">
        <f>IF(Converters!M16="","",Converters!M16)</f>
        <v>103</v>
      </c>
      <c r="Y55" s="2">
        <f>IF(Converters!N16="","",Converters!N16)</f>
        <v>115</v>
      </c>
      <c r="Z55" s="2">
        <f>IF(Converters!O16="","",Converters!O16)</f>
        <v>127</v>
      </c>
      <c r="AA55" s="2">
        <f>IF(Converters!P16="","",Converters!P16)</f>
        <v>0.7</v>
      </c>
      <c r="AB55" s="2">
        <f>IF(Converters!Q16="","",Converters!Q16)</f>
        <v>0.7</v>
      </c>
      <c r="AC55" s="2">
        <f>IF(Converters!R16="","",Converters!R16)</f>
        <v>3.3</v>
      </c>
      <c r="AD55" s="2">
        <f>IF(Converters!S16="","",Converters!S16)</f>
        <v>15</v>
      </c>
      <c r="AE55" s="2" t="str">
        <f>IF(Converters!T16="","",Converters!T16)</f>
        <v>DIP-7</v>
      </c>
      <c r="AF55" s="2" t="str">
        <f>IF(Converters!U16="","",Converters!U16)</f>
        <v/>
      </c>
      <c r="AG55" s="2" t="str">
        <f>IF(Converters!V16="","",Converters!V16)</f>
        <v/>
      </c>
      <c r="AH55" s="2" t="str">
        <f>IF(Converters!W16="","",Converters!W16)</f>
        <v/>
      </c>
      <c r="AI55" s="2" t="str">
        <f>IF(Converters!X16="","",Converters!X16)</f>
        <v/>
      </c>
      <c r="AJ55" s="2" t="str">
        <f>IF(Converters!Y16="","",Converters!Y16)</f>
        <v/>
      </c>
    </row>
    <row r="56" spans="1:36">
      <c r="A56" s="1"/>
      <c r="B56" s="128" t="s">
        <v>52</v>
      </c>
      <c r="C56" s="9">
        <v>15</v>
      </c>
      <c r="D56" s="1" t="s">
        <v>14</v>
      </c>
      <c r="E56" s="5">
        <v>1</v>
      </c>
      <c r="F56" s="1" t="s">
        <v>14</v>
      </c>
      <c r="G56" s="21">
        <f>_Ns1*(Vcc+VFC)/(_Vo1+_VF1)</f>
        <v>15.421686746987953</v>
      </c>
      <c r="H56" s="22" t="s">
        <v>53</v>
      </c>
      <c r="I56" s="23">
        <f t="shared" ref="I56:I62" si="3">ROUND(G56,0)</f>
        <v>15</v>
      </c>
      <c r="J56" s="12" t="s">
        <v>46</v>
      </c>
      <c r="L56" s="8"/>
      <c r="M56" s="2" t="str">
        <f>IF(Converters!B17="","",Converters!B17)</f>
        <v>Viper26HD</v>
      </c>
      <c r="N56" s="2">
        <f>IF(Converters!C17="","",Converters!C17)</f>
        <v>800</v>
      </c>
      <c r="O56" s="2">
        <f>IF(Converters!D17="","",Converters!D17)</f>
        <v>14</v>
      </c>
      <c r="P56" s="2">
        <f>IF(Converters!E17="","",Converters!E17)</f>
        <v>40</v>
      </c>
      <c r="Q56" s="2">
        <f>IF(Converters!F17="","",Converters!F17)</f>
        <v>13</v>
      </c>
      <c r="R56" s="2">
        <f>IF(Converters!G17="","",Converters!G17)</f>
        <v>3.5</v>
      </c>
      <c r="S56" s="2">
        <f>IF(Converters!H17="","",Converters!H17)</f>
        <v>40</v>
      </c>
      <c r="T56" s="2">
        <f>IF(Converters!I17="","",Converters!I17)</f>
        <v>40</v>
      </c>
      <c r="U56" s="2">
        <f>IF(Converters!J17="","",Converters!J17)</f>
        <v>25</v>
      </c>
      <c r="V56" s="2" t="str">
        <f>IF(Converters!K17="","",Converters!K17)</f>
        <v/>
      </c>
      <c r="W56" s="2">
        <f>IF(Converters!L17="","",Converters!L17)</f>
        <v>50</v>
      </c>
      <c r="X56" s="2">
        <f>IF(Converters!M17="","",Converters!M17)</f>
        <v>103</v>
      </c>
      <c r="Y56" s="2">
        <f>IF(Converters!N17="","",Converters!N17)</f>
        <v>115</v>
      </c>
      <c r="Z56" s="2">
        <f>IF(Converters!O17="","",Converters!O17)</f>
        <v>127</v>
      </c>
      <c r="AA56" s="2">
        <f>IF(Converters!P17="","",Converters!P17)</f>
        <v>0.7</v>
      </c>
      <c r="AB56" s="2">
        <f>IF(Converters!Q17="","",Converters!Q17)</f>
        <v>0.7</v>
      </c>
      <c r="AC56" s="2">
        <f>IF(Converters!R17="","",Converters!R17)</f>
        <v>3.3</v>
      </c>
      <c r="AD56" s="2">
        <f>IF(Converters!S17="","",Converters!S17)</f>
        <v>15</v>
      </c>
      <c r="AE56" s="2" t="str">
        <f>IF(Converters!T17="","",Converters!T17)</f>
        <v>SO-16N</v>
      </c>
      <c r="AF56" s="2" t="str">
        <f>IF(Converters!U17="","",Converters!U17)</f>
        <v/>
      </c>
      <c r="AG56" s="2" t="str">
        <f>IF(Converters!V17="","",Converters!V17)</f>
        <v/>
      </c>
      <c r="AH56" s="2" t="str">
        <f>IF(Converters!W17="","",Converters!W17)</f>
        <v/>
      </c>
      <c r="AI56" s="2" t="str">
        <f>IF(Converters!X17="","",Converters!X17)</f>
        <v/>
      </c>
      <c r="AJ56" s="2" t="str">
        <f>IF(Converters!Y17="","",Converters!Y17)</f>
        <v/>
      </c>
    </row>
    <row r="57" spans="1:36">
      <c r="A57" s="1"/>
      <c r="B57" s="128" t="s">
        <v>13</v>
      </c>
      <c r="C57" s="23">
        <f>_Vo1</f>
        <v>12</v>
      </c>
      <c r="D57" s="12" t="s">
        <v>14</v>
      </c>
      <c r="E57" s="5">
        <v>0.45</v>
      </c>
      <c r="F57" s="1" t="s">
        <v>14</v>
      </c>
      <c r="G57" s="5">
        <v>12</v>
      </c>
      <c r="H57" s="22" t="s">
        <v>53</v>
      </c>
      <c r="I57" s="23">
        <f t="shared" si="3"/>
        <v>12</v>
      </c>
      <c r="J57" s="12" t="s">
        <v>46</v>
      </c>
      <c r="L57" s="8"/>
      <c r="M57" s="2" t="str">
        <f>IF(Converters!B18="","",Converters!B18)</f>
        <v>Viper26LD</v>
      </c>
      <c r="N57" s="2">
        <f>IF(Converters!C18="","",Converters!C18)</f>
        <v>800</v>
      </c>
      <c r="O57" s="2">
        <f>IF(Converters!D18="","",Converters!D18)</f>
        <v>14</v>
      </c>
      <c r="P57" s="2">
        <f>IF(Converters!E18="","",Converters!E18)</f>
        <v>40</v>
      </c>
      <c r="Q57" s="2">
        <f>IF(Converters!F18="","",Converters!F18)</f>
        <v>13</v>
      </c>
      <c r="R57" s="2">
        <f>IF(Converters!G18="","",Converters!G18)</f>
        <v>2.5</v>
      </c>
      <c r="S57" s="2">
        <f>IF(Converters!H18="","",Converters!H18)</f>
        <v>40</v>
      </c>
      <c r="T57" s="2">
        <f>IF(Converters!I18="","",Converters!I18)</f>
        <v>40</v>
      </c>
      <c r="U57" s="2">
        <f>IF(Converters!J18="","",Converters!J18)</f>
        <v>25</v>
      </c>
      <c r="V57" s="2" t="str">
        <f>IF(Converters!K18="","",Converters!K18)</f>
        <v/>
      </c>
      <c r="W57" s="2">
        <f>IF(Converters!L18="","",Converters!L18)</f>
        <v>50</v>
      </c>
      <c r="X57" s="2">
        <f>IF(Converters!M18="","",Converters!M18)</f>
        <v>54</v>
      </c>
      <c r="Y57" s="2">
        <f>IF(Converters!N18="","",Converters!N18)</f>
        <v>60</v>
      </c>
      <c r="Z57" s="2">
        <f>IF(Converters!O18="","",Converters!O18)</f>
        <v>66</v>
      </c>
      <c r="AA57" s="2">
        <f>IF(Converters!P18="","",Converters!P18)</f>
        <v>0.7</v>
      </c>
      <c r="AB57" s="2">
        <f>IF(Converters!Q18="","",Converters!Q18)</f>
        <v>0.7</v>
      </c>
      <c r="AC57" s="2">
        <f>IF(Converters!R18="","",Converters!R18)</f>
        <v>3.3</v>
      </c>
      <c r="AD57" s="2">
        <f>IF(Converters!S18="","",Converters!S18)</f>
        <v>15</v>
      </c>
      <c r="AE57" s="2" t="str">
        <f>IF(Converters!T18="","",Converters!T18)</f>
        <v>SO-16N</v>
      </c>
      <c r="AF57" s="2" t="str">
        <f>IF(Converters!U18="","",Converters!U18)</f>
        <v/>
      </c>
      <c r="AG57" s="2" t="str">
        <f>IF(Converters!V18="","",Converters!V18)</f>
        <v/>
      </c>
      <c r="AH57" s="2" t="str">
        <f>IF(Converters!W18="","",Converters!W18)</f>
        <v/>
      </c>
      <c r="AI57" s="2" t="str">
        <f>IF(Converters!X18="","",Converters!X18)</f>
        <v/>
      </c>
      <c r="AJ57" s="2" t="str">
        <f>IF(Converters!Y18="","",Converters!Y18)</f>
        <v/>
      </c>
    </row>
    <row r="58" spans="1:36">
      <c r="A58" s="1"/>
      <c r="B58" s="128" t="s">
        <v>18</v>
      </c>
      <c r="C58" s="23">
        <f>_Vo2</f>
        <v>0</v>
      </c>
      <c r="D58" s="12" t="s">
        <v>14</v>
      </c>
      <c r="E58" s="5"/>
      <c r="F58" s="1" t="s">
        <v>14</v>
      </c>
      <c r="G58" s="21">
        <f>_Ns1*(_Vo2+_VF2)/(_Vo1+_VF1)</f>
        <v>0</v>
      </c>
      <c r="H58" s="22" t="s">
        <v>53</v>
      </c>
      <c r="I58" s="23">
        <f t="shared" si="3"/>
        <v>0</v>
      </c>
      <c r="J58" s="12" t="s">
        <v>46</v>
      </c>
      <c r="L58" s="8"/>
      <c r="M58" s="2" t="str">
        <f>IF(Converters!B19="","",Converters!B19)</f>
        <v>Viper17LN</v>
      </c>
      <c r="N58" s="2">
        <f>IF(Converters!C19="","",Converters!C19)</f>
        <v>800</v>
      </c>
      <c r="O58" s="2">
        <f>IF(Converters!D19="","",Converters!D19)</f>
        <v>48</v>
      </c>
      <c r="P58" s="2">
        <f>IF(Converters!E19="","",Converters!E19)</f>
        <v>10</v>
      </c>
      <c r="Q58" s="2">
        <f>IF(Converters!F19="","",Converters!F19)</f>
        <v>14</v>
      </c>
      <c r="R58" s="2">
        <f>IF(Converters!G19="","",Converters!G19)</f>
        <v>1.8</v>
      </c>
      <c r="S58" s="2">
        <f>IF(Converters!H19="","",Converters!H19)</f>
        <v>40</v>
      </c>
      <c r="T58" s="2">
        <f>IF(Converters!I19="","",Converters!I19)</f>
        <v>40</v>
      </c>
      <c r="U58" s="2">
        <f>IF(Converters!J19="","",Converters!J19)</f>
        <v>40</v>
      </c>
      <c r="V58" s="2" t="str">
        <f>IF(Converters!K19="","",Converters!K19)</f>
        <v/>
      </c>
      <c r="W58" s="2">
        <f>IF(Converters!L19="","",Converters!L19)</f>
        <v>90</v>
      </c>
      <c r="X58" s="2">
        <f>IF(Converters!M19="","",Converters!M19)</f>
        <v>54</v>
      </c>
      <c r="Y58" s="2">
        <f>IF(Converters!N19="","",Converters!N19)</f>
        <v>60</v>
      </c>
      <c r="Z58" s="2">
        <f>IF(Converters!O19="","",Converters!O19)</f>
        <v>66</v>
      </c>
      <c r="AA58" s="2">
        <f>IF(Converters!P19="","",Converters!P19)</f>
        <v>0.4</v>
      </c>
      <c r="AB58" s="2">
        <f>IF(Converters!Q19="","",Converters!Q19)</f>
        <v>0.7</v>
      </c>
      <c r="AC58" s="2">
        <f>IF(Converters!R19="","",Converters!R19)</f>
        <v>3.3</v>
      </c>
      <c r="AD58" s="2">
        <f>IF(Converters!S19="","",Converters!S19)</f>
        <v>16.5</v>
      </c>
      <c r="AE58" s="2" t="str">
        <f>IF(Converters!T19="","",Converters!T19)</f>
        <v>DIP-7</v>
      </c>
      <c r="AF58" s="2" t="str">
        <f>IF(Converters!U19="","",Converters!U19)</f>
        <v/>
      </c>
      <c r="AG58" s="2" t="str">
        <f>IF(Converters!V19="","",Converters!V19)</f>
        <v/>
      </c>
      <c r="AH58" s="2" t="str">
        <f>IF(Converters!W19="","",Converters!W19)</f>
        <v/>
      </c>
      <c r="AI58" s="2" t="str">
        <f>IF(Converters!X19="","",Converters!X19)</f>
        <v/>
      </c>
      <c r="AJ58" s="2" t="str">
        <f>IF(Converters!Y19="","",Converters!Y19)</f>
        <v/>
      </c>
    </row>
    <row r="59" spans="1:36">
      <c r="A59" s="1"/>
      <c r="B59" s="128" t="s">
        <v>19</v>
      </c>
      <c r="C59" s="23">
        <f>_Vo3</f>
        <v>0</v>
      </c>
      <c r="D59" s="12" t="s">
        <v>14</v>
      </c>
      <c r="E59" s="5"/>
      <c r="F59" s="1" t="s">
        <v>14</v>
      </c>
      <c r="G59" s="21">
        <f>_Ns1*(_Vo3+_VF3)/(_Vo1+_VF1)</f>
        <v>0</v>
      </c>
      <c r="H59" s="22" t="s">
        <v>53</v>
      </c>
      <c r="I59" s="23">
        <f t="shared" si="3"/>
        <v>0</v>
      </c>
      <c r="J59" s="12" t="s">
        <v>46</v>
      </c>
      <c r="L59" s="8"/>
      <c r="M59" s="2" t="str">
        <f>IF(Converters!B20="","",Converters!B20)</f>
        <v>Viper17HN</v>
      </c>
      <c r="N59" s="2">
        <f>IF(Converters!C20="","",Converters!C20)</f>
        <v>800</v>
      </c>
      <c r="O59" s="2">
        <f>IF(Converters!D20="","",Converters!D20)</f>
        <v>48</v>
      </c>
      <c r="P59" s="2">
        <f>IF(Converters!E20="","",Converters!E20)</f>
        <v>10</v>
      </c>
      <c r="Q59" s="2">
        <f>IF(Converters!F20="","",Converters!F20)</f>
        <v>14</v>
      </c>
      <c r="R59" s="2">
        <f>IF(Converters!G20="","",Converters!G20)</f>
        <v>2</v>
      </c>
      <c r="S59" s="2">
        <f>IF(Converters!H20="","",Converters!H20)</f>
        <v>40</v>
      </c>
      <c r="T59" s="2">
        <f>IF(Converters!I20="","",Converters!I20)</f>
        <v>40</v>
      </c>
      <c r="U59" s="2">
        <f>IF(Converters!J20="","",Converters!J20)</f>
        <v>40</v>
      </c>
      <c r="V59" s="2" t="str">
        <f>IF(Converters!K20="","",Converters!K20)</f>
        <v/>
      </c>
      <c r="W59" s="2">
        <f>IF(Converters!L20="","",Converters!L20)</f>
        <v>90</v>
      </c>
      <c r="X59" s="2">
        <f>IF(Converters!M20="","",Converters!M20)</f>
        <v>103</v>
      </c>
      <c r="Y59" s="2">
        <f>IF(Converters!N20="","",Converters!N20)</f>
        <v>115</v>
      </c>
      <c r="Z59" s="2">
        <f>IF(Converters!O20="","",Converters!O20)</f>
        <v>127</v>
      </c>
      <c r="AA59" s="2">
        <f>IF(Converters!P20="","",Converters!P20)</f>
        <v>0.4</v>
      </c>
      <c r="AB59" s="2">
        <f>IF(Converters!Q20="","",Converters!Q20)</f>
        <v>0.7</v>
      </c>
      <c r="AC59" s="2">
        <f>IF(Converters!R20="","",Converters!R20)</f>
        <v>3.3</v>
      </c>
      <c r="AD59" s="2">
        <f>IF(Converters!S20="","",Converters!S20)</f>
        <v>16.5</v>
      </c>
      <c r="AE59" s="2" t="str">
        <f>IF(Converters!T20="","",Converters!T20)</f>
        <v>DIP-7</v>
      </c>
      <c r="AF59" s="2" t="str">
        <f>IF(Converters!U20="","",Converters!U20)</f>
        <v/>
      </c>
      <c r="AG59" s="2" t="str">
        <f>IF(Converters!V20="","",Converters!V20)</f>
        <v/>
      </c>
      <c r="AH59" s="2" t="str">
        <f>IF(Converters!W20="","",Converters!W20)</f>
        <v/>
      </c>
      <c r="AI59" s="2" t="str">
        <f>IF(Converters!X20="","",Converters!X20)</f>
        <v/>
      </c>
      <c r="AJ59" s="2" t="str">
        <f>IF(Converters!Y20="","",Converters!Y20)</f>
        <v/>
      </c>
    </row>
    <row r="60" spans="1:36">
      <c r="A60" s="1"/>
      <c r="B60" s="128" t="s">
        <v>20</v>
      </c>
      <c r="C60" s="23">
        <f>_Vo4</f>
        <v>0</v>
      </c>
      <c r="D60" s="12" t="s">
        <v>14</v>
      </c>
      <c r="E60" s="5"/>
      <c r="F60" s="1" t="s">
        <v>14</v>
      </c>
      <c r="G60" s="21">
        <f>_Ns1*(_Vo4+_VF4)/(_Vo1+_VF1)</f>
        <v>0</v>
      </c>
      <c r="H60" s="22" t="s">
        <v>53</v>
      </c>
      <c r="I60" s="23">
        <f t="shared" si="3"/>
        <v>0</v>
      </c>
      <c r="J60" s="12" t="s">
        <v>46</v>
      </c>
      <c r="L60" s="8"/>
      <c r="M60" s="2" t="str">
        <f>IF(Converters!B21="","",Converters!B21)</f>
        <v>Viper17HD</v>
      </c>
      <c r="N60" s="2">
        <f>IF(Converters!C21="","",Converters!C21)</f>
        <v>800</v>
      </c>
      <c r="O60" s="2">
        <f>IF(Converters!D21="","",Converters!D21)</f>
        <v>48</v>
      </c>
      <c r="P60" s="2">
        <f>IF(Converters!E21="","",Converters!E21)</f>
        <v>10</v>
      </c>
      <c r="Q60" s="2">
        <f>IF(Converters!F21="","",Converters!F21)</f>
        <v>14</v>
      </c>
      <c r="R60" s="2">
        <f>IF(Converters!G21="","",Converters!G21)</f>
        <v>2</v>
      </c>
      <c r="S60" s="2">
        <f>IF(Converters!H21="","",Converters!H21)</f>
        <v>40</v>
      </c>
      <c r="T60" s="2">
        <f>IF(Converters!I21="","",Converters!I21)</f>
        <v>40</v>
      </c>
      <c r="U60" s="2">
        <f>IF(Converters!J21="","",Converters!J21)</f>
        <v>35</v>
      </c>
      <c r="V60" s="2" t="str">
        <f>IF(Converters!K21="","",Converters!K21)</f>
        <v/>
      </c>
      <c r="W60" s="2">
        <f>IF(Converters!L21="","",Converters!L21)</f>
        <v>80</v>
      </c>
      <c r="X60" s="2">
        <f>IF(Converters!M21="","",Converters!M21)</f>
        <v>103</v>
      </c>
      <c r="Y60" s="2">
        <f>IF(Converters!N21="","",Converters!N21)</f>
        <v>115</v>
      </c>
      <c r="Z60" s="2">
        <f>IF(Converters!O21="","",Converters!O21)</f>
        <v>127</v>
      </c>
      <c r="AA60" s="2">
        <f>IF(Converters!P21="","",Converters!P21)</f>
        <v>0.4</v>
      </c>
      <c r="AB60" s="2">
        <f>IF(Converters!Q21="","",Converters!Q21)</f>
        <v>0.7</v>
      </c>
      <c r="AC60" s="2">
        <f>IF(Converters!R21="","",Converters!R21)</f>
        <v>3.3</v>
      </c>
      <c r="AD60" s="2">
        <f>IF(Converters!S21="","",Converters!S21)</f>
        <v>16.5</v>
      </c>
      <c r="AE60" s="2" t="str">
        <f>IF(Converters!T21="","",Converters!T21)</f>
        <v>SO-16</v>
      </c>
      <c r="AF60" s="2" t="str">
        <f>IF(Converters!U21="","",Converters!U21)</f>
        <v/>
      </c>
      <c r="AG60" s="2" t="str">
        <f>IF(Converters!V21="","",Converters!V21)</f>
        <v/>
      </c>
      <c r="AH60" s="2" t="str">
        <f>IF(Converters!W21="","",Converters!W21)</f>
        <v/>
      </c>
      <c r="AI60" s="2" t="str">
        <f>IF(Converters!X21="","",Converters!X21)</f>
        <v/>
      </c>
      <c r="AJ60" s="2" t="str">
        <f>IF(Converters!Y21="","",Converters!Y21)</f>
        <v/>
      </c>
    </row>
    <row r="61" spans="1:36">
      <c r="A61" s="1"/>
      <c r="B61" s="128" t="s">
        <v>21</v>
      </c>
      <c r="C61" s="23">
        <f>_Vo5</f>
        <v>0</v>
      </c>
      <c r="D61" s="12" t="s">
        <v>14</v>
      </c>
      <c r="E61" s="5"/>
      <c r="F61" s="1" t="s">
        <v>14</v>
      </c>
      <c r="G61" s="21">
        <f>_Ns1*(_Vo5+_VF5)/(_Vo1+_VF1)</f>
        <v>0</v>
      </c>
      <c r="H61" s="22" t="s">
        <v>53</v>
      </c>
      <c r="I61" s="23">
        <f t="shared" si="3"/>
        <v>0</v>
      </c>
      <c r="J61" s="12" t="s">
        <v>46</v>
      </c>
      <c r="L61" s="8"/>
      <c r="M61" s="2" t="str">
        <f>IF(Converters!B22="","",Converters!B22)</f>
        <v>Viper17LD</v>
      </c>
      <c r="N61" s="2">
        <f>IF(Converters!C22="","",Converters!C22)</f>
        <v>800</v>
      </c>
      <c r="O61" s="2">
        <f>IF(Converters!D22="","",Converters!D22)</f>
        <v>48</v>
      </c>
      <c r="P61" s="2">
        <f>IF(Converters!E22="","",Converters!E22)</f>
        <v>10</v>
      </c>
      <c r="Q61" s="2">
        <f>IF(Converters!F22="","",Converters!F22)</f>
        <v>14</v>
      </c>
      <c r="R61" s="2">
        <f>IF(Converters!G22="","",Converters!G22)</f>
        <v>1.8</v>
      </c>
      <c r="S61" s="2">
        <f>IF(Converters!H22="","",Converters!H22)</f>
        <v>40</v>
      </c>
      <c r="T61" s="2">
        <f>IF(Converters!I22="","",Converters!I22)</f>
        <v>40</v>
      </c>
      <c r="U61" s="2">
        <f>IF(Converters!J22="","",Converters!J22)</f>
        <v>35</v>
      </c>
      <c r="V61" s="2" t="str">
        <f>IF(Converters!K22="","",Converters!K22)</f>
        <v/>
      </c>
      <c r="W61" s="2">
        <f>IF(Converters!L22="","",Converters!L22)</f>
        <v>80</v>
      </c>
      <c r="X61" s="2">
        <f>IF(Converters!M22="","",Converters!M22)</f>
        <v>54</v>
      </c>
      <c r="Y61" s="2">
        <f>IF(Converters!N22="","",Converters!N22)</f>
        <v>60</v>
      </c>
      <c r="Z61" s="2">
        <f>IF(Converters!O22="","",Converters!O22)</f>
        <v>66</v>
      </c>
      <c r="AA61" s="2">
        <f>IF(Converters!P22="","",Converters!P22)</f>
        <v>0.4</v>
      </c>
      <c r="AB61" s="2">
        <f>IF(Converters!Q22="","",Converters!Q22)</f>
        <v>0.7</v>
      </c>
      <c r="AC61" s="2">
        <f>IF(Converters!R22="","",Converters!R22)</f>
        <v>3.3</v>
      </c>
      <c r="AD61" s="2">
        <f>IF(Converters!S22="","",Converters!S22)</f>
        <v>16.5</v>
      </c>
      <c r="AE61" s="2" t="str">
        <f>IF(Converters!T22="","",Converters!T22)</f>
        <v>SO-16</v>
      </c>
      <c r="AF61" s="2" t="str">
        <f>IF(Converters!U22="","",Converters!U22)</f>
        <v/>
      </c>
      <c r="AG61" s="2" t="str">
        <f>IF(Converters!V22="","",Converters!V22)</f>
        <v/>
      </c>
      <c r="AH61" s="2" t="str">
        <f>IF(Converters!W22="","",Converters!W22)</f>
        <v/>
      </c>
      <c r="AI61" s="2" t="str">
        <f>IF(Converters!X22="","",Converters!X22)</f>
        <v/>
      </c>
      <c r="AJ61" s="2" t="str">
        <f>IF(Converters!Y22="","",Converters!Y22)</f>
        <v/>
      </c>
    </row>
    <row r="62" spans="1:36">
      <c r="A62" s="1"/>
      <c r="B62" s="128" t="s">
        <v>22</v>
      </c>
      <c r="C62" s="23">
        <f>_Vo6</f>
        <v>0</v>
      </c>
      <c r="D62" s="12" t="s">
        <v>14</v>
      </c>
      <c r="E62" s="5"/>
      <c r="F62" s="1" t="s">
        <v>14</v>
      </c>
      <c r="G62" s="21">
        <f>_Ns1*(_Vo6+_VF6)/(_Vo1+_VF1)</f>
        <v>0</v>
      </c>
      <c r="H62" s="22" t="s">
        <v>53</v>
      </c>
      <c r="I62" s="23">
        <f t="shared" si="3"/>
        <v>0</v>
      </c>
      <c r="J62" s="12" t="s">
        <v>46</v>
      </c>
      <c r="L62" s="8"/>
      <c r="M62" s="2" t="str">
        <f>IF(Converters!B23="","",Converters!B23)</f>
        <v>Viper27LN</v>
      </c>
      <c r="N62" s="2">
        <f>IF(Converters!C23="","",Converters!C23)</f>
        <v>800</v>
      </c>
      <c r="O62" s="2">
        <f>IF(Converters!D23="","",Converters!D23)</f>
        <v>14</v>
      </c>
      <c r="P62" s="2">
        <f>IF(Converters!E23="","",Converters!E23)</f>
        <v>40</v>
      </c>
      <c r="Q62" s="2">
        <f>IF(Converters!F23="","",Converters!F23)</f>
        <v>14</v>
      </c>
      <c r="R62" s="2">
        <f>IF(Converters!G23="","",Converters!G23)</f>
        <v>2.5</v>
      </c>
      <c r="S62" s="2">
        <f>IF(Converters!H23="","",Converters!H23)</f>
        <v>40</v>
      </c>
      <c r="T62" s="2">
        <f>IF(Converters!I23="","",Converters!I23)</f>
        <v>40</v>
      </c>
      <c r="U62" s="2">
        <f>IF(Converters!J23="","",Converters!J23)</f>
        <v>35</v>
      </c>
      <c r="V62" s="2" t="str">
        <f>IF(Converters!K23="","",Converters!K23)</f>
        <v/>
      </c>
      <c r="W62" s="2">
        <f>IF(Converters!L23="","",Converters!L23)</f>
        <v>80</v>
      </c>
      <c r="X62" s="2">
        <f>IF(Converters!M23="","",Converters!M23)</f>
        <v>54</v>
      </c>
      <c r="Y62" s="2">
        <f>IF(Converters!N23="","",Converters!N23)</f>
        <v>60</v>
      </c>
      <c r="Z62" s="2">
        <f>IF(Converters!O23="","",Converters!O23)</f>
        <v>66</v>
      </c>
      <c r="AA62" s="2">
        <f>IF(Converters!P23="","",Converters!P23)</f>
        <v>0.7</v>
      </c>
      <c r="AB62" s="2">
        <f>IF(Converters!Q23="","",Converters!Q23)</f>
        <v>0.7</v>
      </c>
      <c r="AC62" s="2">
        <f>IF(Converters!R23="","",Converters!R23)</f>
        <v>3.5</v>
      </c>
      <c r="AD62" s="2">
        <f>IF(Converters!S23="","",Converters!S23)</f>
        <v>17.5</v>
      </c>
      <c r="AE62" s="2" t="str">
        <f>IF(Converters!T23="","",Converters!T23)</f>
        <v>DIP-7</v>
      </c>
      <c r="AF62" s="2" t="str">
        <f>IF(Converters!U23="","",Converters!U23)</f>
        <v/>
      </c>
      <c r="AG62" s="2" t="str">
        <f>IF(Converters!V23="","",Converters!V23)</f>
        <v/>
      </c>
      <c r="AH62" s="2" t="str">
        <f>IF(Converters!W23="","",Converters!W23)</f>
        <v/>
      </c>
      <c r="AI62" s="2" t="str">
        <f>IF(Converters!X23="","",Converters!X23)</f>
        <v/>
      </c>
      <c r="AJ62" s="2" t="str">
        <f>IF(Converters!Y23="","",Converters!Y23)</f>
        <v/>
      </c>
    </row>
    <row r="63" spans="1:36" ht="17.25">
      <c r="A63" s="1"/>
      <c r="B63" s="131" t="s">
        <v>54</v>
      </c>
      <c r="C63" s="27"/>
      <c r="E63" s="24" t="s">
        <v>55</v>
      </c>
      <c r="I63" s="11">
        <f>VRO/(C57+E57)*_Ns1</f>
        <v>115.77581692046114</v>
      </c>
      <c r="J63" s="12" t="s">
        <v>46</v>
      </c>
      <c r="L63" s="8"/>
      <c r="M63" s="2" t="str">
        <f>IF(Converters!B24="","",Converters!B24)</f>
        <v>Viper27HN</v>
      </c>
      <c r="N63" s="2">
        <f>IF(Converters!C24="","",Converters!C24)</f>
        <v>800</v>
      </c>
      <c r="O63" s="2">
        <f>IF(Converters!D24="","",Converters!D24)</f>
        <v>14</v>
      </c>
      <c r="P63" s="2">
        <f>IF(Converters!E24="","",Converters!E24)</f>
        <v>40</v>
      </c>
      <c r="Q63" s="2">
        <f>IF(Converters!F24="","",Converters!F24)</f>
        <v>14</v>
      </c>
      <c r="R63" s="2">
        <f>IF(Converters!G24="","",Converters!G24)</f>
        <v>3.5</v>
      </c>
      <c r="S63" s="2">
        <f>IF(Converters!H24="","",Converters!H24)</f>
        <v>40</v>
      </c>
      <c r="T63" s="2">
        <f>IF(Converters!I24="","",Converters!I24)</f>
        <v>40</v>
      </c>
      <c r="U63" s="2">
        <f>IF(Converters!J24="","",Converters!J24)</f>
        <v>35</v>
      </c>
      <c r="V63" s="2" t="str">
        <f>IF(Converters!K24="","",Converters!K24)</f>
        <v/>
      </c>
      <c r="W63" s="2">
        <f>IF(Converters!L24="","",Converters!L24)</f>
        <v>80</v>
      </c>
      <c r="X63" s="2">
        <f>IF(Converters!M24="","",Converters!M24)</f>
        <v>103</v>
      </c>
      <c r="Y63" s="2">
        <f>IF(Converters!N24="","",Converters!N24)</f>
        <v>115</v>
      </c>
      <c r="Z63" s="2">
        <f>IF(Converters!O24="","",Converters!O24)</f>
        <v>127</v>
      </c>
      <c r="AA63" s="2">
        <f>IF(Converters!P24="","",Converters!P24)</f>
        <v>0.7</v>
      </c>
      <c r="AB63" s="2">
        <f>IF(Converters!Q24="","",Converters!Q24)</f>
        <v>0.7</v>
      </c>
      <c r="AC63" s="2">
        <f>IF(Converters!R24="","",Converters!R24)</f>
        <v>3.5</v>
      </c>
      <c r="AD63" s="2">
        <f>IF(Converters!S24="","",Converters!S24)</f>
        <v>17.5</v>
      </c>
      <c r="AE63" s="2" t="str">
        <f>IF(Converters!T24="","",Converters!T24)</f>
        <v>DIP-7</v>
      </c>
      <c r="AF63" s="2" t="str">
        <f>IF(Converters!U24="","",Converters!U24)</f>
        <v/>
      </c>
      <c r="AG63" s="2" t="str">
        <f>IF(Converters!V24="","",Converters!V24)</f>
        <v/>
      </c>
      <c r="AH63" s="2" t="str">
        <f>IF(Converters!W24="","",Converters!W24)</f>
        <v/>
      </c>
      <c r="AI63" s="2" t="str">
        <f>IF(Converters!X24="","",Converters!X24)</f>
        <v/>
      </c>
      <c r="AJ63" s="2" t="str">
        <f>IF(Converters!Y24="","",Converters!Y24)</f>
        <v/>
      </c>
    </row>
    <row r="64" spans="1:36">
      <c r="A64" s="1"/>
      <c r="B64" s="114"/>
      <c r="C64" s="137"/>
      <c r="H64" s="144" t="str">
        <f>IF(I63&lt;C51,"More turns required !!!","Enough turns")</f>
        <v>Enough turns</v>
      </c>
      <c r="K64" s="1"/>
      <c r="L64" s="1"/>
      <c r="M64" s="2" t="str">
        <f>IF(Converters!B25="","",Converters!B25)</f>
        <v>Viper27HD</v>
      </c>
      <c r="N64" s="2">
        <f>IF(Converters!C25="","",Converters!C25)</f>
        <v>800</v>
      </c>
      <c r="O64" s="2">
        <f>IF(Converters!D25="","",Converters!D25)</f>
        <v>14</v>
      </c>
      <c r="P64" s="2">
        <f>IF(Converters!E25="","",Converters!E25)</f>
        <v>40</v>
      </c>
      <c r="Q64" s="2">
        <f>IF(Converters!F25="","",Converters!F25)</f>
        <v>14</v>
      </c>
      <c r="R64" s="2">
        <f>IF(Converters!G25="","",Converters!G25)</f>
        <v>3.5</v>
      </c>
      <c r="S64" s="2">
        <f>IF(Converters!H25="","",Converters!H25)</f>
        <v>40</v>
      </c>
      <c r="T64" s="2">
        <f>IF(Converters!I25="","",Converters!I25)</f>
        <v>40</v>
      </c>
      <c r="U64" s="2">
        <f>IF(Converters!J25="","",Converters!J25)</f>
        <v>25</v>
      </c>
      <c r="V64" s="2" t="str">
        <f>IF(Converters!K25="","",Converters!K25)</f>
        <v/>
      </c>
      <c r="W64" s="2">
        <f>IF(Converters!L25="","",Converters!L25)</f>
        <v>50</v>
      </c>
      <c r="X64" s="2">
        <f>IF(Converters!M25="","",Converters!M25)</f>
        <v>103</v>
      </c>
      <c r="Y64" s="2">
        <f>IF(Converters!N25="","",Converters!N25)</f>
        <v>115</v>
      </c>
      <c r="Z64" s="2">
        <f>IF(Converters!O25="","",Converters!O25)</f>
        <v>127</v>
      </c>
      <c r="AA64" s="2">
        <f>IF(Converters!P25="","",Converters!P25)</f>
        <v>0.7</v>
      </c>
      <c r="AB64" s="2">
        <f>IF(Converters!Q25="","",Converters!Q25)</f>
        <v>0.7</v>
      </c>
      <c r="AC64" s="2">
        <f>IF(Converters!R25="","",Converters!R25)</f>
        <v>3.5</v>
      </c>
      <c r="AD64" s="2">
        <f>IF(Converters!S25="","",Converters!S25)</f>
        <v>17.5</v>
      </c>
      <c r="AE64" s="2" t="str">
        <f>IF(Converters!T25="","",Converters!T25)</f>
        <v>SO-16</v>
      </c>
      <c r="AF64" s="2" t="str">
        <f>IF(Converters!U25="","",Converters!U25)</f>
        <v/>
      </c>
      <c r="AG64" s="2" t="str">
        <f>IF(Converters!V25="","",Converters!V25)</f>
        <v/>
      </c>
      <c r="AH64" s="2" t="str">
        <f>IF(Converters!W25="","",Converters!W25)</f>
        <v/>
      </c>
      <c r="AI64" s="2" t="str">
        <f>IF(Converters!X25="","",Converters!X25)</f>
        <v/>
      </c>
      <c r="AJ64" s="2" t="str">
        <f>IF(Converters!Y25="","",Converters!Y25)</f>
        <v/>
      </c>
    </row>
    <row r="65" spans="1:36" ht="18">
      <c r="A65" s="1"/>
      <c r="B65" s="1" t="s">
        <v>56</v>
      </c>
      <c r="C65" s="5">
        <v>1680</v>
      </c>
      <c r="D65" s="1" t="s">
        <v>450</v>
      </c>
      <c r="E65" s="114"/>
      <c r="F65" s="135"/>
      <c r="G65" s="135"/>
      <c r="H65" s="135"/>
      <c r="I65" s="135"/>
      <c r="J65" s="135"/>
      <c r="K65" s="1"/>
      <c r="L65" s="1"/>
      <c r="M65" s="2" t="str">
        <f>IF(Converters!B26="","",Converters!B26)</f>
        <v>Viper27LD</v>
      </c>
      <c r="N65" s="2">
        <f>IF(Converters!C26="","",Converters!C26)</f>
        <v>800</v>
      </c>
      <c r="O65" s="2">
        <f>IF(Converters!D26="","",Converters!D26)</f>
        <v>14</v>
      </c>
      <c r="P65" s="2">
        <f>IF(Converters!E26="","",Converters!E26)</f>
        <v>40</v>
      </c>
      <c r="Q65" s="2">
        <f>IF(Converters!F26="","",Converters!F26)</f>
        <v>14</v>
      </c>
      <c r="R65" s="2">
        <f>IF(Converters!G26="","",Converters!G26)</f>
        <v>2.5</v>
      </c>
      <c r="S65" s="2">
        <f>IF(Converters!H26="","",Converters!H26)</f>
        <v>40</v>
      </c>
      <c r="T65" s="2">
        <f>IF(Converters!I26="","",Converters!I26)</f>
        <v>40</v>
      </c>
      <c r="U65" s="2">
        <f>IF(Converters!J26="","",Converters!J26)</f>
        <v>25</v>
      </c>
      <c r="V65" s="2" t="str">
        <f>IF(Converters!K26="","",Converters!K26)</f>
        <v/>
      </c>
      <c r="W65" s="2">
        <f>IF(Converters!L26="","",Converters!L26)</f>
        <v>50</v>
      </c>
      <c r="X65" s="2">
        <f>IF(Converters!M26="","",Converters!M26)</f>
        <v>54</v>
      </c>
      <c r="Y65" s="2">
        <f>IF(Converters!N26="","",Converters!N26)</f>
        <v>60</v>
      </c>
      <c r="Z65" s="2">
        <f>IF(Converters!O26="","",Converters!O26)</f>
        <v>66</v>
      </c>
      <c r="AA65" s="2">
        <f>IF(Converters!P26="","",Converters!P26)</f>
        <v>0.7</v>
      </c>
      <c r="AB65" s="2">
        <f>IF(Converters!Q26="","",Converters!Q26)</f>
        <v>0.7</v>
      </c>
      <c r="AC65" s="2">
        <f>IF(Converters!R26="","",Converters!R26)</f>
        <v>3.5</v>
      </c>
      <c r="AD65" s="2">
        <f>IF(Converters!S26="","",Converters!S26)</f>
        <v>17.5</v>
      </c>
      <c r="AE65" s="2" t="str">
        <f>IF(Converters!T26="","",Converters!T26)</f>
        <v>SO-16</v>
      </c>
      <c r="AF65" s="2" t="str">
        <f>IF(Converters!U26="","",Converters!U26)</f>
        <v/>
      </c>
      <c r="AG65" s="2" t="str">
        <f>IF(Converters!V26="","",Converters!V26)</f>
        <v/>
      </c>
      <c r="AH65" s="2" t="str">
        <f>IF(Converters!W26="","",Converters!W26)</f>
        <v/>
      </c>
      <c r="AI65" s="2" t="str">
        <f>IF(Converters!X26="","",Converters!X26)</f>
        <v/>
      </c>
      <c r="AJ65" s="2" t="str">
        <f>IF(Converters!Y26="","",Converters!Y26)</f>
        <v/>
      </c>
    </row>
    <row r="66" spans="1:36" ht="17.25">
      <c r="A66" s="1"/>
      <c r="B66" s="12" t="s">
        <v>57</v>
      </c>
      <c r="C66" s="15">
        <f>0.4*3.14*Ae*(Np^2/10^9/Lm-1/AL)</f>
        <v>0.28358596677879688</v>
      </c>
      <c r="D66" s="12" t="s">
        <v>72</v>
      </c>
      <c r="E66" s="114"/>
      <c r="F66" s="114"/>
      <c r="G66" s="114"/>
      <c r="H66" s="114"/>
      <c r="I66" s="114"/>
      <c r="J66" s="135"/>
      <c r="K66" s="1"/>
      <c r="L66" s="1"/>
      <c r="M66" s="2" t="str">
        <f>IF(Converters!B27="","",Converters!B27)</f>
        <v>Viper37LE</v>
      </c>
      <c r="N66" s="2">
        <f>IF(Converters!C27="","",Converters!C27)</f>
        <v>800</v>
      </c>
      <c r="O66" s="2">
        <f>IF(Converters!D27="","",Converters!D27)</f>
        <v>9</v>
      </c>
      <c r="P66" s="2">
        <f>IF(Converters!E27="","",Converters!E27)</f>
        <v>17</v>
      </c>
      <c r="Q66" s="2">
        <f>IF(Converters!F27="","",Converters!F27)</f>
        <v>14</v>
      </c>
      <c r="R66" s="2">
        <f>IF(Converters!G27="","",Converters!G27)</f>
        <v>2.5</v>
      </c>
      <c r="S66" s="2">
        <f>IF(Converters!H27="","",Converters!H27)</f>
        <v>40</v>
      </c>
      <c r="T66" s="2">
        <f>IF(Converters!I27="","",Converters!I27)</f>
        <v>40</v>
      </c>
      <c r="U66" s="2">
        <f>IF(Converters!J27="","",Converters!J27)</f>
        <v>35</v>
      </c>
      <c r="V66" s="2" t="str">
        <f>IF(Converters!K27="","",Converters!K27)</f>
        <v/>
      </c>
      <c r="W66" s="2">
        <f>IF(Converters!L27="","",Converters!L27)</f>
        <v>65</v>
      </c>
      <c r="X66" s="2">
        <f>IF(Converters!M27="","",Converters!M27)</f>
        <v>54</v>
      </c>
      <c r="Y66" s="2">
        <f>IF(Converters!N27="","",Converters!N27)</f>
        <v>60</v>
      </c>
      <c r="Z66" s="2">
        <f>IF(Converters!O27="","",Converters!O27)</f>
        <v>66</v>
      </c>
      <c r="AA66" s="2">
        <f>IF(Converters!P27="","",Converters!P27)</f>
        <v>1</v>
      </c>
      <c r="AB66" s="2">
        <f>IF(Converters!Q27="","",Converters!Q27)</f>
        <v>0.7</v>
      </c>
      <c r="AC66" s="2">
        <f>IF(Converters!R27="","",Converters!R27)</f>
        <v>3.5</v>
      </c>
      <c r="AD66" s="2">
        <f>IF(Converters!S27="","",Converters!S27)</f>
        <v>17.5</v>
      </c>
      <c r="AE66" s="2" t="str">
        <f>IF(Converters!T27="","",Converters!T27)</f>
        <v>SDIP-10</v>
      </c>
      <c r="AF66" s="2" t="str">
        <f>IF(Converters!U27="","",Converters!U27)</f>
        <v/>
      </c>
      <c r="AG66" s="2" t="str">
        <f>IF(Converters!V27="","",Converters!V27)</f>
        <v/>
      </c>
      <c r="AH66" s="2" t="str">
        <f>IF(Converters!W27="","",Converters!W27)</f>
        <v/>
      </c>
      <c r="AI66" s="2" t="str">
        <f>IF(Converters!X27="","",Converters!X27)</f>
        <v/>
      </c>
      <c r="AJ66" s="2" t="str">
        <f>IF(Converters!Y27="","",Converters!Y27)</f>
        <v/>
      </c>
    </row>
    <row r="67" spans="1:36">
      <c r="A67" s="1"/>
      <c r="B67" s="12"/>
      <c r="C67" s="137"/>
      <c r="D67" s="12"/>
      <c r="E67" s="114"/>
      <c r="F67" s="114"/>
      <c r="G67" s="114"/>
      <c r="H67" s="114"/>
      <c r="I67" s="114"/>
      <c r="J67" s="135"/>
      <c r="K67" s="1"/>
      <c r="L67" s="1"/>
      <c r="M67" s="2" t="str">
        <f>IF(Converters!B28="","",Converters!B28)</f>
        <v>Viper37HE</v>
      </c>
      <c r="N67" s="2">
        <f>IF(Converters!C28="","",Converters!C28)</f>
        <v>800</v>
      </c>
      <c r="O67" s="2">
        <f>IF(Converters!D28="","",Converters!D28)</f>
        <v>9</v>
      </c>
      <c r="P67" s="2">
        <f>IF(Converters!E28="","",Converters!E28)</f>
        <v>17</v>
      </c>
      <c r="Q67" s="2">
        <f>IF(Converters!F28="","",Converters!F28)</f>
        <v>14</v>
      </c>
      <c r="R67" s="2">
        <f>IF(Converters!G28="","",Converters!G28)</f>
        <v>3.5</v>
      </c>
      <c r="S67" s="2">
        <f>IF(Converters!H28="","",Converters!H28)</f>
        <v>40</v>
      </c>
      <c r="T67" s="2">
        <f>IF(Converters!I28="","",Converters!I28)</f>
        <v>40</v>
      </c>
      <c r="U67" s="2">
        <f>IF(Converters!J28="","",Converters!J28)</f>
        <v>35</v>
      </c>
      <c r="V67" s="2" t="str">
        <f>IF(Converters!K28="","",Converters!K28)</f>
        <v/>
      </c>
      <c r="W67" s="2">
        <f>IF(Converters!L28="","",Converters!L28)</f>
        <v>65</v>
      </c>
      <c r="X67" s="2">
        <f>IF(Converters!M28="","",Converters!M28)</f>
        <v>103</v>
      </c>
      <c r="Y67" s="2">
        <f>IF(Converters!N28="","",Converters!N28)</f>
        <v>115</v>
      </c>
      <c r="Z67" s="2">
        <f>IF(Converters!O28="","",Converters!O28)</f>
        <v>127</v>
      </c>
      <c r="AA67" s="2">
        <f>IF(Converters!P28="","",Converters!P28)</f>
        <v>1</v>
      </c>
      <c r="AB67" s="2">
        <f>IF(Converters!Q28="","",Converters!Q28)</f>
        <v>0.7</v>
      </c>
      <c r="AC67" s="2">
        <f>IF(Converters!R28="","",Converters!R28)</f>
        <v>3.5</v>
      </c>
      <c r="AD67" s="2">
        <f>IF(Converters!S28="","",Converters!S28)</f>
        <v>17.5</v>
      </c>
      <c r="AE67" s="2" t="str">
        <f>IF(Converters!T28="","",Converters!T28)</f>
        <v>SDIP-10</v>
      </c>
      <c r="AF67" s="2" t="str">
        <f>IF(Converters!U28="","",Converters!U28)</f>
        <v/>
      </c>
      <c r="AG67" s="2" t="str">
        <f>IF(Converters!V28="","",Converters!V28)</f>
        <v/>
      </c>
      <c r="AH67" s="2" t="str">
        <f>IF(Converters!W28="","",Converters!W28)</f>
        <v/>
      </c>
      <c r="AI67" s="2" t="str">
        <f>IF(Converters!X28="","",Converters!X28)</f>
        <v/>
      </c>
      <c r="AJ67" s="2" t="str">
        <f>IF(Converters!Y28="","",Converters!Y28)</f>
        <v/>
      </c>
    </row>
    <row r="68" spans="1:36">
      <c r="A68" s="199" t="s">
        <v>446</v>
      </c>
      <c r="B68" s="199"/>
      <c r="C68" s="199"/>
      <c r="D68" s="199"/>
      <c r="E68" s="199"/>
      <c r="F68" s="199"/>
      <c r="G68" s="199"/>
      <c r="H68" s="199"/>
      <c r="I68" s="199"/>
      <c r="J68" s="199"/>
      <c r="K68" s="1"/>
      <c r="L68" s="1"/>
      <c r="M68" s="2" t="str">
        <f>IF(Converters!B29="","",Converters!B29)</f>
        <v>Viper25LN</v>
      </c>
      <c r="N68" s="2">
        <f>IF(Converters!C29="","",Converters!C29)</f>
        <v>800</v>
      </c>
      <c r="O68" s="2">
        <f>IF(Converters!D29="","",Converters!D29)</f>
        <v>14</v>
      </c>
      <c r="P68" s="2">
        <f>IF(Converters!E29="","",Converters!E29)</f>
        <v>40</v>
      </c>
      <c r="Q68" s="2">
        <f>IF(Converters!F29="","",Converters!F29)</f>
        <v>14</v>
      </c>
      <c r="R68" s="2">
        <f>IF(Converters!G29="","",Converters!G29)</f>
        <v>2.5</v>
      </c>
      <c r="S68" s="2">
        <f>IF(Converters!H29="","",Converters!H29)</f>
        <v>40</v>
      </c>
      <c r="T68" s="2">
        <f>IF(Converters!I29="","",Converters!I29)</f>
        <v>40</v>
      </c>
      <c r="U68" s="2">
        <f>IF(Converters!J29="","",Converters!J29)</f>
        <v>35</v>
      </c>
      <c r="V68" s="2" t="str">
        <f>IF(Converters!K29="","",Converters!K29)</f>
        <v/>
      </c>
      <c r="W68" s="2">
        <f>IF(Converters!L29="","",Converters!L29)</f>
        <v>80</v>
      </c>
      <c r="X68" s="2">
        <f>IF(Converters!M29="","",Converters!M29)</f>
        <v>54</v>
      </c>
      <c r="Y68" s="2">
        <f>IF(Converters!N29="","",Converters!N29)</f>
        <v>60</v>
      </c>
      <c r="Z68" s="2">
        <f>IF(Converters!O29="","",Converters!O29)</f>
        <v>66</v>
      </c>
      <c r="AA68" s="2">
        <f>IF(Converters!P29="","",Converters!P29)</f>
        <v>0.7</v>
      </c>
      <c r="AB68" s="2">
        <f>IF(Converters!Q29="","",Converters!Q29)</f>
        <v>0.7</v>
      </c>
      <c r="AC68" s="2">
        <f>IF(Converters!R29="","",Converters!R29)</f>
        <v>3.5</v>
      </c>
      <c r="AD68" s="2">
        <f>IF(Converters!S29="","",Converters!S29)</f>
        <v>17.5</v>
      </c>
      <c r="AE68" s="2" t="str">
        <f>IF(Converters!T29="","",Converters!T29)</f>
        <v>DIP-7</v>
      </c>
      <c r="AF68" s="2" t="str">
        <f>IF(Converters!U29="","",Converters!U29)</f>
        <v/>
      </c>
      <c r="AG68" s="2" t="str">
        <f>IF(Converters!V29="","",Converters!V29)</f>
        <v/>
      </c>
      <c r="AH68" s="2" t="str">
        <f>IF(Converters!W29="","",Converters!W29)</f>
        <v/>
      </c>
      <c r="AI68" s="2" t="str">
        <f>IF(Converters!X29="","",Converters!X29)</f>
        <v/>
      </c>
      <c r="AJ68" s="2" t="str">
        <f>IF(Converters!Y29="","",Converters!Y29)</f>
        <v/>
      </c>
    </row>
    <row r="69" spans="1:36">
      <c r="A69" s="1"/>
      <c r="B69" s="25"/>
      <c r="C69" s="26"/>
      <c r="D69" s="4"/>
      <c r="E69" s="4"/>
      <c r="F69" s="1"/>
      <c r="G69" s="1"/>
      <c r="H69" s="1"/>
      <c r="I69" s="1"/>
      <c r="J69" s="1"/>
      <c r="K69" s="1"/>
      <c r="L69" s="1"/>
      <c r="M69" s="2" t="str">
        <f>IF(Converters!B30="","",Converters!B30)</f>
        <v>Viper25HN</v>
      </c>
      <c r="N69" s="2">
        <f>IF(Converters!C30="","",Converters!C30)</f>
        <v>800</v>
      </c>
      <c r="O69" s="2">
        <f>IF(Converters!D30="","",Converters!D30)</f>
        <v>14</v>
      </c>
      <c r="P69" s="2">
        <f>IF(Converters!E30="","",Converters!E30)</f>
        <v>40</v>
      </c>
      <c r="Q69" s="2">
        <f>IF(Converters!F30="","",Converters!F30)</f>
        <v>14</v>
      </c>
      <c r="R69" s="2">
        <f>IF(Converters!G30="","",Converters!G30)</f>
        <v>3.5</v>
      </c>
      <c r="S69" s="2">
        <f>IF(Converters!H30="","",Converters!H30)</f>
        <v>40</v>
      </c>
      <c r="T69" s="2">
        <f>IF(Converters!I30="","",Converters!I30)</f>
        <v>40</v>
      </c>
      <c r="U69" s="2">
        <f>IF(Converters!J30="","",Converters!J30)</f>
        <v>35</v>
      </c>
      <c r="V69" s="2" t="str">
        <f>IF(Converters!K30="","",Converters!K30)</f>
        <v/>
      </c>
      <c r="W69" s="2">
        <f>IF(Converters!L30="","",Converters!L30)</f>
        <v>80</v>
      </c>
      <c r="X69" s="2">
        <f>IF(Converters!M30="","",Converters!M30)</f>
        <v>103</v>
      </c>
      <c r="Y69" s="2">
        <f>IF(Converters!N30="","",Converters!N30)</f>
        <v>115</v>
      </c>
      <c r="Z69" s="2">
        <f>IF(Converters!O30="","",Converters!O30)</f>
        <v>127</v>
      </c>
      <c r="AA69" s="2">
        <f>IF(Converters!P30="","",Converters!P30)</f>
        <v>0.7</v>
      </c>
      <c r="AB69" s="2">
        <f>IF(Converters!Q30="","",Converters!Q30)</f>
        <v>0.7</v>
      </c>
      <c r="AC69" s="2">
        <f>IF(Converters!R30="","",Converters!R30)</f>
        <v>3.5</v>
      </c>
      <c r="AD69" s="2">
        <f>IF(Converters!S30="","",Converters!S30)</f>
        <v>17.5</v>
      </c>
      <c r="AE69" s="2" t="str">
        <f>IF(Converters!T30="","",Converters!T30)</f>
        <v>DIP-7</v>
      </c>
      <c r="AF69" s="2" t="str">
        <f>IF(Converters!U30="","",Converters!U30)</f>
        <v/>
      </c>
      <c r="AG69" s="2" t="str">
        <f>IF(Converters!V30="","",Converters!V30)</f>
        <v/>
      </c>
      <c r="AH69" s="2" t="str">
        <f>IF(Converters!W30="","",Converters!W30)</f>
        <v/>
      </c>
      <c r="AI69" s="2" t="str">
        <f>IF(Converters!X30="","",Converters!X30)</f>
        <v/>
      </c>
      <c r="AJ69" s="2" t="str">
        <f>IF(Converters!Y30="","",Converters!Y30)</f>
        <v/>
      </c>
    </row>
    <row r="70" spans="1:36" ht="17.25">
      <c r="A70" s="1"/>
      <c r="B70" s="129"/>
      <c r="C70" s="40" t="s">
        <v>59</v>
      </c>
      <c r="D70" s="40"/>
      <c r="E70" s="40" t="s">
        <v>60</v>
      </c>
      <c r="F70" s="40"/>
      <c r="G70" s="19" t="s">
        <v>61</v>
      </c>
      <c r="H70" s="40"/>
      <c r="I70" s="19" t="s">
        <v>62</v>
      </c>
      <c r="J70" s="19" t="s">
        <v>496</v>
      </c>
      <c r="K70" s="1"/>
      <c r="L70" s="1"/>
      <c r="M70" s="2" t="str">
        <f>IF(Converters!B31="","",Converters!B31)</f>
        <v>Viper25HD</v>
      </c>
      <c r="N70" s="2">
        <f>IF(Converters!C31="","",Converters!C31)</f>
        <v>800</v>
      </c>
      <c r="O70" s="2">
        <f>IF(Converters!D31="","",Converters!D31)</f>
        <v>14</v>
      </c>
      <c r="P70" s="2">
        <f>IF(Converters!E31="","",Converters!E31)</f>
        <v>40</v>
      </c>
      <c r="Q70" s="2">
        <f>IF(Converters!F31="","",Converters!F31)</f>
        <v>14</v>
      </c>
      <c r="R70" s="2">
        <f>IF(Converters!G31="","",Converters!G31)</f>
        <v>3.5</v>
      </c>
      <c r="S70" s="2">
        <f>IF(Converters!H31="","",Converters!H31)</f>
        <v>40</v>
      </c>
      <c r="T70" s="2">
        <f>IF(Converters!I31="","",Converters!I31)</f>
        <v>40</v>
      </c>
      <c r="U70" s="2">
        <f>IF(Converters!J31="","",Converters!J31)</f>
        <v>25</v>
      </c>
      <c r="V70" s="2" t="str">
        <f>IF(Converters!K31="","",Converters!K31)</f>
        <v/>
      </c>
      <c r="W70" s="2">
        <f>IF(Converters!L31="","",Converters!L31)</f>
        <v>50</v>
      </c>
      <c r="X70" s="2">
        <f>IF(Converters!M31="","",Converters!M31)</f>
        <v>103</v>
      </c>
      <c r="Y70" s="2">
        <f>IF(Converters!N31="","",Converters!N31)</f>
        <v>115</v>
      </c>
      <c r="Z70" s="2">
        <f>IF(Converters!O31="","",Converters!O31)</f>
        <v>127</v>
      </c>
      <c r="AA70" s="2">
        <f>IF(Converters!P31="","",Converters!P31)</f>
        <v>0.7</v>
      </c>
      <c r="AB70" s="2">
        <f>IF(Converters!Q31="","",Converters!Q31)</f>
        <v>0.7</v>
      </c>
      <c r="AC70" s="2">
        <f>IF(Converters!R31="","",Converters!R31)</f>
        <v>3.5</v>
      </c>
      <c r="AD70" s="2">
        <f>IF(Converters!S31="","",Converters!S31)</f>
        <v>17.5</v>
      </c>
      <c r="AE70" s="2" t="str">
        <f>IF(Converters!T31="","",Converters!T31)</f>
        <v>SO-16</v>
      </c>
      <c r="AF70" s="2" t="str">
        <f>IF(Converters!U31="","",Converters!U31)</f>
        <v/>
      </c>
      <c r="AG70" s="2" t="str">
        <f>IF(Converters!V31="","",Converters!V31)</f>
        <v/>
      </c>
      <c r="AH70" s="2" t="str">
        <f>IF(Converters!W31="","",Converters!W31)</f>
        <v/>
      </c>
      <c r="AI70" s="2" t="str">
        <f>IF(Converters!X31="","",Converters!X31)</f>
        <v/>
      </c>
      <c r="AJ70" s="2" t="str">
        <f>IF(Converters!Y31="","",Converters!Y31)</f>
        <v/>
      </c>
    </row>
    <row r="71" spans="1:36">
      <c r="A71" s="1"/>
      <c r="B71" s="128" t="s">
        <v>63</v>
      </c>
      <c r="C71" s="142">
        <f>IF(E71="",0,VLOOKUP(J71,'Wire Table'!$F$8:$P$76,3,FALSE))</f>
        <v>0.254</v>
      </c>
      <c r="D71" s="128" t="s">
        <v>58</v>
      </c>
      <c r="E71" s="130">
        <v>1</v>
      </c>
      <c r="F71" s="131" t="s">
        <v>46</v>
      </c>
      <c r="G71" s="154">
        <f>Irms</f>
        <v>0.30408969718501244</v>
      </c>
      <c r="H71" s="128" t="s">
        <v>15</v>
      </c>
      <c r="I71" s="132">
        <f>G71/E71/(3.14/4*C71^2)</f>
        <v>6.0043308702766351</v>
      </c>
      <c r="J71" s="164" t="s">
        <v>535</v>
      </c>
      <c r="K71" s="1"/>
      <c r="L71" s="1"/>
      <c r="M71" s="2" t="str">
        <f>IF(Converters!B32="","",Converters!B32)</f>
        <v>Viper25LD</v>
      </c>
      <c r="N71" s="2">
        <f>IF(Converters!C32="","",Converters!C32)</f>
        <v>800</v>
      </c>
      <c r="O71" s="2">
        <f>IF(Converters!D32="","",Converters!D32)</f>
        <v>14</v>
      </c>
      <c r="P71" s="2">
        <f>IF(Converters!E32="","",Converters!E32)</f>
        <v>40</v>
      </c>
      <c r="Q71" s="2">
        <f>IF(Converters!F32="","",Converters!F32)</f>
        <v>14</v>
      </c>
      <c r="R71" s="2">
        <f>IF(Converters!G32="","",Converters!G32)</f>
        <v>2.5</v>
      </c>
      <c r="S71" s="2">
        <f>IF(Converters!H32="","",Converters!H32)</f>
        <v>40</v>
      </c>
      <c r="T71" s="2">
        <f>IF(Converters!I32="","",Converters!I32)</f>
        <v>40</v>
      </c>
      <c r="U71" s="2">
        <f>IF(Converters!J32="","",Converters!J32)</f>
        <v>25</v>
      </c>
      <c r="V71" s="2" t="str">
        <f>IF(Converters!K32="","",Converters!K32)</f>
        <v/>
      </c>
      <c r="W71" s="2">
        <f>IF(Converters!L32="","",Converters!L32)</f>
        <v>50</v>
      </c>
      <c r="X71" s="2">
        <f>IF(Converters!M32="","",Converters!M32)</f>
        <v>54</v>
      </c>
      <c r="Y71" s="2">
        <f>IF(Converters!N32="","",Converters!N32)</f>
        <v>60</v>
      </c>
      <c r="Z71" s="2">
        <f>IF(Converters!O32="","",Converters!O32)</f>
        <v>66</v>
      </c>
      <c r="AA71" s="2">
        <f>IF(Converters!P32="","",Converters!P32)</f>
        <v>0.7</v>
      </c>
      <c r="AB71" s="2">
        <f>IF(Converters!Q32="","",Converters!Q32)</f>
        <v>0.7</v>
      </c>
      <c r="AC71" s="2">
        <f>IF(Converters!R32="","",Converters!R32)</f>
        <v>3.5</v>
      </c>
      <c r="AD71" s="2">
        <f>IF(Converters!S32="","",Converters!S32)</f>
        <v>17.5</v>
      </c>
      <c r="AE71" s="2" t="str">
        <f>IF(Converters!T32="","",Converters!T32)</f>
        <v>SO-16</v>
      </c>
      <c r="AF71" s="2" t="str">
        <f>IF(Converters!U32="","",Converters!U32)</f>
        <v/>
      </c>
      <c r="AG71" s="2" t="str">
        <f>IF(Converters!V32="","",Converters!V32)</f>
        <v/>
      </c>
      <c r="AH71" s="2" t="str">
        <f>IF(Converters!W32="","",Converters!W32)</f>
        <v/>
      </c>
      <c r="AI71" s="2" t="str">
        <f>IF(Converters!X32="","",Converters!X32)</f>
        <v/>
      </c>
      <c r="AJ71" s="2" t="str">
        <f>IF(Converters!Y32="","",Converters!Y32)</f>
        <v/>
      </c>
    </row>
    <row r="72" spans="1:36">
      <c r="A72" s="1"/>
      <c r="B72" s="128" t="s">
        <v>64</v>
      </c>
      <c r="C72" s="142">
        <f>IF(E72="",0,VLOOKUP(J72,'Wire Table'!$F$8:$P$76,3,FALSE))</f>
        <v>0.14224000000000001</v>
      </c>
      <c r="D72" s="128" t="s">
        <v>58</v>
      </c>
      <c r="E72" s="130">
        <v>2</v>
      </c>
      <c r="F72" s="131" t="s">
        <v>46</v>
      </c>
      <c r="G72" s="154">
        <f>Irms*SQRT((1-Dmax)/Dmax)*VRO*_KLc/(Vcc+VFC)</f>
        <v>1.6101289464927605E-2</v>
      </c>
      <c r="H72" s="128" t="s">
        <v>15</v>
      </c>
      <c r="I72" s="132">
        <f t="shared" ref="I72:I77" si="4">G72/E72/(3.14/4*C72^2)</f>
        <v>0.50689442887882974</v>
      </c>
      <c r="J72" s="164" t="s">
        <v>530</v>
      </c>
      <c r="K72" s="1"/>
      <c r="L72" s="1"/>
      <c r="M72" s="2" t="str">
        <f>IF(Converters!B33="","",Converters!B33)</f>
        <v>Viper15LN</v>
      </c>
      <c r="N72" s="2">
        <f>IF(Converters!C33="","",Converters!C33)</f>
        <v>800</v>
      </c>
      <c r="O72" s="2">
        <f>IF(Converters!D33="","",Converters!D33)</f>
        <v>48</v>
      </c>
      <c r="P72" s="2">
        <f>IF(Converters!E33="","",Converters!E33)</f>
        <v>10</v>
      </c>
      <c r="Q72" s="2">
        <f>IF(Converters!F33="","",Converters!F33)</f>
        <v>14</v>
      </c>
      <c r="R72" s="2">
        <f>IF(Converters!G33="","",Converters!G33)</f>
        <v>2.5</v>
      </c>
      <c r="S72" s="2">
        <f>IF(Converters!H33="","",Converters!H33)</f>
        <v>40</v>
      </c>
      <c r="T72" s="2">
        <f>IF(Converters!I33="","",Converters!I33)</f>
        <v>40</v>
      </c>
      <c r="U72" s="2">
        <f>IF(Converters!J33="","",Converters!J33)</f>
        <v>40</v>
      </c>
      <c r="V72" s="2" t="str">
        <f>IF(Converters!K33="","",Converters!K33)</f>
        <v/>
      </c>
      <c r="W72" s="2">
        <f>IF(Converters!L33="","",Converters!L33)</f>
        <v>90</v>
      </c>
      <c r="X72" s="2">
        <f>IF(Converters!M33="","",Converters!M33)</f>
        <v>122</v>
      </c>
      <c r="Y72" s="2">
        <f>IF(Converters!N33="","",Converters!N33)</f>
        <v>136</v>
      </c>
      <c r="Z72" s="2">
        <f>IF(Converters!O33="","",Converters!O33)</f>
        <v>150</v>
      </c>
      <c r="AA72" s="2">
        <f>IF(Converters!P33="","",Converters!P33)</f>
        <v>0.4</v>
      </c>
      <c r="AB72" s="2" t="str">
        <f>IF(Converters!Q33="","",Converters!Q33)</f>
        <v/>
      </c>
      <c r="AC72" s="2">
        <f>IF(Converters!R33="","",Converters!R33)</f>
        <v>3.3</v>
      </c>
      <c r="AD72" s="2">
        <f>IF(Converters!S33="","",Converters!S33)</f>
        <v>16.5</v>
      </c>
      <c r="AE72" s="2" t="str">
        <f>IF(Converters!T33="","",Converters!T33)</f>
        <v>DIP-7</v>
      </c>
      <c r="AF72" s="2" t="str">
        <f>IF(Converters!U33="","",Converters!U33)</f>
        <v/>
      </c>
      <c r="AG72" s="2" t="str">
        <f>IF(Converters!V33="","",Converters!V33)</f>
        <v/>
      </c>
      <c r="AH72" s="2" t="str">
        <f>IF(Converters!W33="","",Converters!W33)</f>
        <v/>
      </c>
      <c r="AI72" s="2" t="str">
        <f>IF(Converters!X33="","",Converters!X33)</f>
        <v/>
      </c>
      <c r="AJ72" s="2" t="str">
        <f>IF(Converters!Y33="","",Converters!Y33)</f>
        <v/>
      </c>
    </row>
    <row r="73" spans="1:36">
      <c r="A73" s="1"/>
      <c r="B73" s="128" t="s">
        <v>65</v>
      </c>
      <c r="C73" s="142">
        <f>IF(E73="",0,VLOOKUP(J73,'Wire Table'!$F$8:$P$76,3,FALSE))</f>
        <v>0.65</v>
      </c>
      <c r="D73" s="128" t="s">
        <v>58</v>
      </c>
      <c r="E73" s="130">
        <v>1</v>
      </c>
      <c r="F73" s="131" t="s">
        <v>46</v>
      </c>
      <c r="G73" s="154">
        <f>Irms*SQRT((1-Dmax)/Dmax)*VRO*_KL1/(_Vo1+_VF1)</f>
        <v>2.276166221547999</v>
      </c>
      <c r="H73" s="128" t="s">
        <v>15</v>
      </c>
      <c r="I73" s="132">
        <f>G73/E73/(3.14/4*C73^2)</f>
        <v>6.8628989456088609</v>
      </c>
      <c r="J73" s="164" t="s">
        <v>485</v>
      </c>
      <c r="K73" s="1"/>
      <c r="L73" s="1"/>
      <c r="M73" s="2" t="str">
        <f>IF(Converters!B34="","",Converters!B34)</f>
        <v>Viper15HN</v>
      </c>
      <c r="N73" s="2">
        <f>IF(Converters!C34="","",Converters!C34)</f>
        <v>800</v>
      </c>
      <c r="O73" s="2">
        <f>IF(Converters!D34="","",Converters!D34)</f>
        <v>48</v>
      </c>
      <c r="P73" s="2">
        <f>IF(Converters!E34="","",Converters!E34)</f>
        <v>10</v>
      </c>
      <c r="Q73" s="2">
        <f>IF(Converters!F34="","",Converters!F34)</f>
        <v>14</v>
      </c>
      <c r="R73" s="2">
        <f>IF(Converters!G34="","",Converters!G34)</f>
        <v>2.5</v>
      </c>
      <c r="S73" s="2">
        <f>IF(Converters!H34="","",Converters!H34)</f>
        <v>40</v>
      </c>
      <c r="T73" s="2">
        <f>IF(Converters!I34="","",Converters!I34)</f>
        <v>40</v>
      </c>
      <c r="U73" s="2">
        <f>IF(Converters!J34="","",Converters!J34)</f>
        <v>40</v>
      </c>
      <c r="V73" s="2" t="str">
        <f>IF(Converters!K34="","",Converters!K34)</f>
        <v/>
      </c>
      <c r="W73" s="2">
        <f>IF(Converters!L34="","",Converters!L34)</f>
        <v>90</v>
      </c>
      <c r="X73" s="2">
        <f>IF(Converters!M34="","",Converters!M34)</f>
        <v>200</v>
      </c>
      <c r="Y73" s="2">
        <f>IF(Converters!N34="","",Converters!N34)</f>
        <v>225</v>
      </c>
      <c r="Z73" s="2">
        <f>IF(Converters!O34="","",Converters!O34)</f>
        <v>250</v>
      </c>
      <c r="AA73" s="2">
        <f>IF(Converters!P34="","",Converters!P34)</f>
        <v>0.4</v>
      </c>
      <c r="AB73" s="2" t="str">
        <f>IF(Converters!Q34="","",Converters!Q34)</f>
        <v/>
      </c>
      <c r="AC73" s="2">
        <f>IF(Converters!R34="","",Converters!R34)</f>
        <v>3.3</v>
      </c>
      <c r="AD73" s="2">
        <f>IF(Converters!S34="","",Converters!S34)</f>
        <v>16.5</v>
      </c>
      <c r="AE73" s="2" t="str">
        <f>IF(Converters!T34="","",Converters!T34)</f>
        <v>DIP-7</v>
      </c>
      <c r="AF73" s="2" t="str">
        <f>IF(Converters!U34="","",Converters!U34)</f>
        <v/>
      </c>
      <c r="AG73" s="2" t="str">
        <f>IF(Converters!V34="","",Converters!V34)</f>
        <v/>
      </c>
      <c r="AH73" s="2" t="str">
        <f>IF(Converters!W34="","",Converters!W34)</f>
        <v/>
      </c>
      <c r="AI73" s="2" t="str">
        <f>IF(Converters!X34="","",Converters!X34)</f>
        <v/>
      </c>
      <c r="AJ73" s="2" t="str">
        <f>IF(Converters!Y34="","",Converters!Y34)</f>
        <v/>
      </c>
    </row>
    <row r="74" spans="1:36">
      <c r="A74" s="1"/>
      <c r="B74" s="128" t="s">
        <v>66</v>
      </c>
      <c r="C74" s="142">
        <f>IF(E74="",0,VLOOKUP(J74,'Wire Table'!$F$8:$P$76,3,FALSE))</f>
        <v>0</v>
      </c>
      <c r="D74" s="128" t="s">
        <v>58</v>
      </c>
      <c r="E74" s="130"/>
      <c r="F74" s="131" t="s">
        <v>46</v>
      </c>
      <c r="G74" s="154" t="e">
        <f>Irms*SQRT((1-Dmax)/Dmax)*VRO*_KL2/(_Vo2+_VF2)</f>
        <v>#DIV/0!</v>
      </c>
      <c r="H74" s="128" t="s">
        <v>15</v>
      </c>
      <c r="I74" s="133" t="e">
        <f t="shared" si="4"/>
        <v>#DIV/0!</v>
      </c>
      <c r="J74" s="164"/>
      <c r="K74" s="1"/>
      <c r="L74" s="1"/>
      <c r="M74" s="2" t="str">
        <f>IF(Converters!B35="","",Converters!B35)</f>
        <v>Viper15HD</v>
      </c>
      <c r="N74" s="2">
        <f>IF(Converters!C35="","",Converters!C35)</f>
        <v>800</v>
      </c>
      <c r="O74" s="2">
        <f>IF(Converters!D35="","",Converters!D35)</f>
        <v>48</v>
      </c>
      <c r="P74" s="2">
        <f>IF(Converters!E35="","",Converters!E35)</f>
        <v>10</v>
      </c>
      <c r="Q74" s="2">
        <f>IF(Converters!F35="","",Converters!F35)</f>
        <v>14</v>
      </c>
      <c r="R74" s="2">
        <f>IF(Converters!G35="","",Converters!G35)</f>
        <v>2.5</v>
      </c>
      <c r="S74" s="2">
        <f>IF(Converters!H35="","",Converters!H35)</f>
        <v>40</v>
      </c>
      <c r="T74" s="2">
        <f>IF(Converters!I35="","",Converters!I35)</f>
        <v>40</v>
      </c>
      <c r="U74" s="2">
        <f>IF(Converters!J35="","",Converters!J35)</f>
        <v>35</v>
      </c>
      <c r="V74" s="2" t="str">
        <f>IF(Converters!K35="","",Converters!K35)</f>
        <v/>
      </c>
      <c r="W74" s="2">
        <f>IF(Converters!L35="","",Converters!L35)</f>
        <v>80</v>
      </c>
      <c r="X74" s="2">
        <f>IF(Converters!M35="","",Converters!M35)</f>
        <v>200</v>
      </c>
      <c r="Y74" s="2">
        <f>IF(Converters!N35="","",Converters!N35)</f>
        <v>225</v>
      </c>
      <c r="Z74" s="2">
        <f>IF(Converters!O35="","",Converters!O35)</f>
        <v>250</v>
      </c>
      <c r="AA74" s="2">
        <f>IF(Converters!P35="","",Converters!P35)</f>
        <v>0.4</v>
      </c>
      <c r="AB74" s="2" t="str">
        <f>IF(Converters!Q35="","",Converters!Q35)</f>
        <v/>
      </c>
      <c r="AC74" s="2">
        <f>IF(Converters!R35="","",Converters!R35)</f>
        <v>3.3</v>
      </c>
      <c r="AD74" s="2">
        <f>IF(Converters!S35="","",Converters!S35)</f>
        <v>16.5</v>
      </c>
      <c r="AE74" s="2" t="str">
        <f>IF(Converters!T35="","",Converters!T35)</f>
        <v>SO-16</v>
      </c>
      <c r="AF74" s="2" t="str">
        <f>IF(Converters!U35="","",Converters!U35)</f>
        <v/>
      </c>
      <c r="AG74" s="2" t="str">
        <f>IF(Converters!V35="","",Converters!V35)</f>
        <v/>
      </c>
      <c r="AH74" s="2" t="str">
        <f>IF(Converters!W35="","",Converters!W35)</f>
        <v/>
      </c>
      <c r="AI74" s="2" t="str">
        <f>IF(Converters!X35="","",Converters!X35)</f>
        <v/>
      </c>
      <c r="AJ74" s="2" t="str">
        <f>IF(Converters!Y35="","",Converters!Y35)</f>
        <v/>
      </c>
    </row>
    <row r="75" spans="1:36">
      <c r="A75" s="1"/>
      <c r="B75" s="128" t="s">
        <v>67</v>
      </c>
      <c r="C75" s="142">
        <f>IF(E75="",0,VLOOKUP(J75,'Wire Table'!$F$8:$P$76,3,FALSE))</f>
        <v>0</v>
      </c>
      <c r="D75" s="128" t="s">
        <v>58</v>
      </c>
      <c r="E75" s="130"/>
      <c r="F75" s="131" t="s">
        <v>46</v>
      </c>
      <c r="G75" s="154" t="e">
        <f>Irms*SQRT((1-Dmax)/Dmax)*VRO*_KL3/(_Vo3+_VF3)</f>
        <v>#DIV/0!</v>
      </c>
      <c r="H75" s="128" t="s">
        <v>15</v>
      </c>
      <c r="I75" s="133" t="e">
        <f t="shared" si="4"/>
        <v>#DIV/0!</v>
      </c>
      <c r="J75" s="164"/>
      <c r="K75" s="1"/>
      <c r="L75" s="1"/>
      <c r="M75" s="2" t="str">
        <f>IF(Converters!B36="","",Converters!B36)</f>
        <v>Viper15LD</v>
      </c>
      <c r="N75" s="2">
        <f>IF(Converters!C36="","",Converters!C36)</f>
        <v>800</v>
      </c>
      <c r="O75" s="2">
        <f>IF(Converters!D36="","",Converters!D36)</f>
        <v>48</v>
      </c>
      <c r="P75" s="2">
        <f>IF(Converters!E36="","",Converters!E36)</f>
        <v>10</v>
      </c>
      <c r="Q75" s="2">
        <f>IF(Converters!F36="","",Converters!F36)</f>
        <v>14</v>
      </c>
      <c r="R75" s="2">
        <f>IF(Converters!G36="","",Converters!G36)</f>
        <v>2.5</v>
      </c>
      <c r="S75" s="2">
        <f>IF(Converters!H36="","",Converters!H36)</f>
        <v>40</v>
      </c>
      <c r="T75" s="2">
        <f>IF(Converters!I36="","",Converters!I36)</f>
        <v>40</v>
      </c>
      <c r="U75" s="2">
        <f>IF(Converters!J36="","",Converters!J36)</f>
        <v>35</v>
      </c>
      <c r="V75" s="2" t="str">
        <f>IF(Converters!K36="","",Converters!K36)</f>
        <v/>
      </c>
      <c r="W75" s="2">
        <f>IF(Converters!L36="","",Converters!L36)</f>
        <v>80</v>
      </c>
      <c r="X75" s="2">
        <f>IF(Converters!M36="","",Converters!M36)</f>
        <v>122</v>
      </c>
      <c r="Y75" s="2">
        <f>IF(Converters!N36="","",Converters!N36)</f>
        <v>136</v>
      </c>
      <c r="Z75" s="2">
        <f>IF(Converters!O36="","",Converters!O36)</f>
        <v>150</v>
      </c>
      <c r="AA75" s="2">
        <f>IF(Converters!P36="","",Converters!P36)</f>
        <v>0.4</v>
      </c>
      <c r="AB75" s="2" t="str">
        <f>IF(Converters!Q36="","",Converters!Q36)</f>
        <v/>
      </c>
      <c r="AC75" s="2">
        <f>IF(Converters!R36="","",Converters!R36)</f>
        <v>3.3</v>
      </c>
      <c r="AD75" s="2">
        <f>IF(Converters!S36="","",Converters!S36)</f>
        <v>16.5</v>
      </c>
      <c r="AE75" s="2" t="str">
        <f>IF(Converters!T36="","",Converters!T36)</f>
        <v>SO-16</v>
      </c>
      <c r="AF75" s="2" t="str">
        <f>IF(Converters!U36="","",Converters!U36)</f>
        <v/>
      </c>
      <c r="AG75" s="2" t="str">
        <f>IF(Converters!V36="","",Converters!V36)</f>
        <v/>
      </c>
      <c r="AH75" s="2" t="str">
        <f>IF(Converters!W36="","",Converters!W36)</f>
        <v/>
      </c>
      <c r="AI75" s="2" t="str">
        <f>IF(Converters!X36="","",Converters!X36)</f>
        <v/>
      </c>
      <c r="AJ75" s="2" t="str">
        <f>IF(Converters!Y36="","",Converters!Y36)</f>
        <v/>
      </c>
    </row>
    <row r="76" spans="1:36">
      <c r="A76" s="1"/>
      <c r="B76" s="128" t="s">
        <v>68</v>
      </c>
      <c r="C76" s="142">
        <f>IF(E76="",0,VLOOKUP(J76,'Wire Table'!$F$8:$P$76,3,FALSE))</f>
        <v>0</v>
      </c>
      <c r="D76" s="128" t="s">
        <v>58</v>
      </c>
      <c r="E76" s="130"/>
      <c r="F76" s="131" t="s">
        <v>46</v>
      </c>
      <c r="G76" s="154" t="e">
        <f>Irms*SQRT((1-Dmax)/Dmax)*VRO*_KL4/(_Vo4+_VF4)</f>
        <v>#DIV/0!</v>
      </c>
      <c r="H76" s="128" t="s">
        <v>15</v>
      </c>
      <c r="I76" s="133" t="e">
        <f t="shared" si="4"/>
        <v>#DIV/0!</v>
      </c>
      <c r="J76" s="164"/>
      <c r="K76" s="1"/>
      <c r="L76" s="1"/>
      <c r="M76" s="2" t="str">
        <f>IF(Converters!B37="","",Converters!B37)</f>
        <v>Viper28LN</v>
      </c>
      <c r="N76" s="2">
        <f>IF(Converters!C37="","",Converters!C37)</f>
        <v>800</v>
      </c>
      <c r="O76" s="2">
        <f>IF(Converters!D37="","",Converters!D37)</f>
        <v>14</v>
      </c>
      <c r="P76" s="2">
        <f>IF(Converters!E37="","",Converters!E37)</f>
        <v>40</v>
      </c>
      <c r="Q76" s="2">
        <f>IF(Converters!F37="","",Converters!F37)</f>
        <v>14</v>
      </c>
      <c r="R76" s="2">
        <f>IF(Converters!G37="","",Converters!G37)</f>
        <v>2.5</v>
      </c>
      <c r="S76" s="2">
        <f>IF(Converters!H37="","",Converters!H37)</f>
        <v>40</v>
      </c>
      <c r="T76" s="2">
        <f>IF(Converters!I37="","",Converters!I37)</f>
        <v>40</v>
      </c>
      <c r="U76" s="2">
        <f>IF(Converters!J37="","",Converters!J37)</f>
        <v>35</v>
      </c>
      <c r="V76" s="2" t="str">
        <f>IF(Converters!K37="","",Converters!K37)</f>
        <v/>
      </c>
      <c r="W76" s="2">
        <f>IF(Converters!L37="","",Converters!L37)</f>
        <v>80</v>
      </c>
      <c r="X76" s="2">
        <f>IF(Converters!M37="","",Converters!M37)</f>
        <v>54</v>
      </c>
      <c r="Y76" s="2">
        <f>IF(Converters!N37="","",Converters!N37)</f>
        <v>60</v>
      </c>
      <c r="Z76" s="2">
        <f>IF(Converters!O37="","",Converters!O37)</f>
        <v>66</v>
      </c>
      <c r="AA76" s="2">
        <f>IF(Converters!P37="","",Converters!P37)</f>
        <v>0.8</v>
      </c>
      <c r="AB76" s="2">
        <f>IF(Converters!Q37="","",Converters!Q37)</f>
        <v>0.7</v>
      </c>
      <c r="AC76" s="2">
        <f>IF(Converters!R37="","",Converters!R37)</f>
        <v>3.5</v>
      </c>
      <c r="AD76" s="2">
        <f>IF(Converters!S37="","",Converters!S37)</f>
        <v>17</v>
      </c>
      <c r="AE76" s="2" t="str">
        <f>IF(Converters!T37="","",Converters!T37)</f>
        <v>DIP-7</v>
      </c>
      <c r="AF76" s="2" t="str">
        <f>IF(Converters!U37="","",Converters!U37)</f>
        <v/>
      </c>
      <c r="AG76" s="2" t="str">
        <f>IF(Converters!V37="","",Converters!V37)</f>
        <v/>
      </c>
      <c r="AH76" s="2" t="str">
        <f>IF(Converters!W37="","",Converters!W37)</f>
        <v/>
      </c>
      <c r="AI76" s="2" t="str">
        <f>IF(Converters!X37="","",Converters!X37)</f>
        <v/>
      </c>
      <c r="AJ76" s="2" t="str">
        <f>IF(Converters!Y37="","",Converters!Y37)</f>
        <v/>
      </c>
    </row>
    <row r="77" spans="1:36">
      <c r="A77" s="1"/>
      <c r="B77" s="128" t="s">
        <v>69</v>
      </c>
      <c r="C77" s="142">
        <f>IF(E77="",0,VLOOKUP(J77,'Wire Table'!$F$8:$P$76,3,FALSE))</f>
        <v>0</v>
      </c>
      <c r="D77" s="128" t="s">
        <v>58</v>
      </c>
      <c r="E77" s="130"/>
      <c r="F77" s="131" t="s">
        <v>46</v>
      </c>
      <c r="G77" s="154" t="e">
        <f>Irms*SQRT((1-Dmax)/Dmax)*VRO*_KL5/(_Vo5+_VF5)</f>
        <v>#DIV/0!</v>
      </c>
      <c r="H77" s="128" t="s">
        <v>15</v>
      </c>
      <c r="I77" s="133" t="e">
        <f t="shared" si="4"/>
        <v>#DIV/0!</v>
      </c>
      <c r="J77" s="164"/>
      <c r="K77" s="1"/>
      <c r="L77" s="1"/>
      <c r="M77" s="2" t="str">
        <f>IF(Converters!B38="","",Converters!B38)</f>
        <v>Viper28HN</v>
      </c>
      <c r="N77" s="2">
        <f>IF(Converters!C38="","",Converters!C38)</f>
        <v>800</v>
      </c>
      <c r="O77" s="2">
        <f>IF(Converters!D38="","",Converters!D38)</f>
        <v>14</v>
      </c>
      <c r="P77" s="2">
        <f>IF(Converters!E38="","",Converters!E38)</f>
        <v>40</v>
      </c>
      <c r="Q77" s="2">
        <f>IF(Converters!F38="","",Converters!F38)</f>
        <v>14</v>
      </c>
      <c r="R77" s="2">
        <f>IF(Converters!G38="","",Converters!G38)</f>
        <v>3.5</v>
      </c>
      <c r="S77" s="2">
        <f>IF(Converters!H38="","",Converters!H38)</f>
        <v>40</v>
      </c>
      <c r="T77" s="2">
        <f>IF(Converters!I38="","",Converters!I38)</f>
        <v>40</v>
      </c>
      <c r="U77" s="2">
        <f>IF(Converters!J38="","",Converters!J38)</f>
        <v>35</v>
      </c>
      <c r="V77" s="2" t="str">
        <f>IF(Converters!K38="","",Converters!K38)</f>
        <v/>
      </c>
      <c r="W77" s="2">
        <f>IF(Converters!L38="","",Converters!L38)</f>
        <v>80</v>
      </c>
      <c r="X77" s="2">
        <f>IF(Converters!M38="","",Converters!M38)</f>
        <v>103</v>
      </c>
      <c r="Y77" s="2">
        <f>IF(Converters!N38="","",Converters!N38)</f>
        <v>115</v>
      </c>
      <c r="Z77" s="2">
        <f>IF(Converters!O38="","",Converters!O38)</f>
        <v>127</v>
      </c>
      <c r="AA77" s="2">
        <f>IF(Converters!P38="","",Converters!P38)</f>
        <v>0.8</v>
      </c>
      <c r="AB77" s="2">
        <f>IF(Converters!Q38="","",Converters!Q38)</f>
        <v>0.7</v>
      </c>
      <c r="AC77" s="2">
        <f>IF(Converters!R38="","",Converters!R38)</f>
        <v>3.5</v>
      </c>
      <c r="AD77" s="2">
        <f>IF(Converters!S38="","",Converters!S38)</f>
        <v>17</v>
      </c>
      <c r="AE77" s="2" t="str">
        <f>IF(Converters!T38="","",Converters!T38)</f>
        <v>DIP-7</v>
      </c>
      <c r="AF77" s="2" t="str">
        <f>IF(Converters!U38="","",Converters!U38)</f>
        <v/>
      </c>
      <c r="AG77" s="2" t="str">
        <f>IF(Converters!V38="","",Converters!V38)</f>
        <v/>
      </c>
      <c r="AH77" s="2" t="str">
        <f>IF(Converters!W38="","",Converters!W38)</f>
        <v/>
      </c>
      <c r="AI77" s="2" t="str">
        <f>IF(Converters!X38="","",Converters!X38)</f>
        <v/>
      </c>
      <c r="AJ77" s="2" t="str">
        <f>IF(Converters!Y38="","",Converters!Y38)</f>
        <v/>
      </c>
    </row>
    <row r="78" spans="1:36">
      <c r="A78" s="1"/>
      <c r="B78" s="128" t="s">
        <v>70</v>
      </c>
      <c r="C78" s="142">
        <f>IF(E78="",0,VLOOKUP(J78,'Wire Table'!$F$8:$P$76,3,FALSE))</f>
        <v>0</v>
      </c>
      <c r="D78" s="128" t="s">
        <v>58</v>
      </c>
      <c r="E78" s="130"/>
      <c r="F78" s="131" t="s">
        <v>46</v>
      </c>
      <c r="G78" s="154" t="e">
        <f>Irms*SQRT((1-Dmax)/Dmax)*VRO*_KL6/(_Vo6+_VF6)</f>
        <v>#DIV/0!</v>
      </c>
      <c r="H78" s="128" t="s">
        <v>15</v>
      </c>
      <c r="I78" s="133" t="e">
        <f>G78/E78/(3.14/4*C78^2)</f>
        <v>#DIV/0!</v>
      </c>
      <c r="J78" s="164"/>
      <c r="K78" s="1"/>
      <c r="L78" s="1"/>
      <c r="M78" s="2" t="str">
        <f>IF(Converters!B39="","",Converters!B39)</f>
        <v>Viper28LE</v>
      </c>
      <c r="N78" s="2">
        <f>IF(Converters!C39="","",Converters!C39)</f>
        <v>800</v>
      </c>
      <c r="O78" s="2">
        <f>IF(Converters!D39="","",Converters!D39)</f>
        <v>14</v>
      </c>
      <c r="P78" s="2">
        <f>IF(Converters!E39="","",Converters!E39)</f>
        <v>40</v>
      </c>
      <c r="Q78" s="2">
        <f>IF(Converters!F39="","",Converters!F39)</f>
        <v>14</v>
      </c>
      <c r="R78" s="2">
        <f>IF(Converters!G39="","",Converters!G39)</f>
        <v>2.5</v>
      </c>
      <c r="S78" s="2">
        <f>IF(Converters!H39="","",Converters!H39)</f>
        <v>40</v>
      </c>
      <c r="T78" s="2">
        <f>IF(Converters!I39="","",Converters!I39)</f>
        <v>40</v>
      </c>
      <c r="U78" s="2">
        <f>IF(Converters!J39="","",Converters!J39)</f>
        <v>35</v>
      </c>
      <c r="V78" s="2" t="str">
        <f>IF(Converters!K39="","",Converters!K39)</f>
        <v/>
      </c>
      <c r="W78" s="2">
        <f>IF(Converters!L39="","",Converters!L39)</f>
        <v>65</v>
      </c>
      <c r="X78" s="2">
        <f>IF(Converters!M39="","",Converters!M39)</f>
        <v>54</v>
      </c>
      <c r="Y78" s="2">
        <f>IF(Converters!N39="","",Converters!N39)</f>
        <v>60</v>
      </c>
      <c r="Z78" s="2">
        <f>IF(Converters!O39="","",Converters!O39)</f>
        <v>66</v>
      </c>
      <c r="AA78" s="2">
        <f>IF(Converters!P39="","",Converters!P39)</f>
        <v>0.8</v>
      </c>
      <c r="AB78" s="2">
        <f>IF(Converters!Q39="","",Converters!Q39)</f>
        <v>0.7</v>
      </c>
      <c r="AC78" s="2">
        <f>IF(Converters!R39="","",Converters!R39)</f>
        <v>3.5</v>
      </c>
      <c r="AD78" s="2">
        <f>IF(Converters!S39="","",Converters!S39)</f>
        <v>17</v>
      </c>
      <c r="AE78" s="2" t="str">
        <f>IF(Converters!T39="","",Converters!T39)</f>
        <v>SDIP-10</v>
      </c>
      <c r="AF78" s="2" t="str">
        <f>IF(Converters!U39="","",Converters!U39)</f>
        <v/>
      </c>
      <c r="AG78" s="2" t="str">
        <f>IF(Converters!V39="","",Converters!V39)</f>
        <v/>
      </c>
      <c r="AH78" s="2" t="str">
        <f>IF(Converters!W39="","",Converters!W39)</f>
        <v/>
      </c>
      <c r="AI78" s="2" t="str">
        <f>IF(Converters!X39="","",Converters!X39)</f>
        <v/>
      </c>
      <c r="AJ78" s="2" t="str">
        <f>IF(Converters!Y39="","",Converters!Y39)</f>
        <v/>
      </c>
    </row>
    <row r="79" spans="1:36" ht="17.25">
      <c r="A79" s="31"/>
      <c r="B79" s="114" t="s">
        <v>71</v>
      </c>
      <c r="C79" s="132">
        <f>C71^2/4*3.14*E71*Np +C72^2/4*3.14*E72*_Nc +C73^2/4*3.14*E73*_Ns1 +C74^2/4*3.14*E74*_Ns2 +C75^2/4*3.14*E75*_Ns3 +C76^2/4*3.14*E76*_Ns4 +C77^2/4*3.14*E77*_Ns5 +C78^2/4*3.14*E78*_Ns6</f>
        <v>10.319891918965771</v>
      </c>
      <c r="D79" s="128" t="s">
        <v>72</v>
      </c>
      <c r="E79" s="134"/>
      <c r="F79" s="135"/>
      <c r="G79" s="135"/>
      <c r="H79" s="114"/>
      <c r="I79" s="135"/>
      <c r="J79" s="114"/>
      <c r="K79" s="1"/>
      <c r="L79" s="1"/>
      <c r="M79" s="2" t="str">
        <f>IF(Converters!B40="","",Converters!B40)</f>
        <v>Viper28HE</v>
      </c>
      <c r="N79" s="2">
        <f>IF(Converters!C40="","",Converters!C40)</f>
        <v>800</v>
      </c>
      <c r="O79" s="2">
        <f>IF(Converters!D40="","",Converters!D40)</f>
        <v>14</v>
      </c>
      <c r="P79" s="2">
        <f>IF(Converters!E40="","",Converters!E40)</f>
        <v>40</v>
      </c>
      <c r="Q79" s="2">
        <f>IF(Converters!F40="","",Converters!F40)</f>
        <v>14</v>
      </c>
      <c r="R79" s="2">
        <f>IF(Converters!G40="","",Converters!G40)</f>
        <v>3.5</v>
      </c>
      <c r="S79" s="2">
        <f>IF(Converters!H40="","",Converters!H40)</f>
        <v>40</v>
      </c>
      <c r="T79" s="2">
        <f>IF(Converters!I40="","",Converters!I40)</f>
        <v>40</v>
      </c>
      <c r="U79" s="2">
        <f>IF(Converters!J40="","",Converters!J40)</f>
        <v>35</v>
      </c>
      <c r="V79" s="2" t="str">
        <f>IF(Converters!K40="","",Converters!K40)</f>
        <v/>
      </c>
      <c r="W79" s="2">
        <f>IF(Converters!L40="","",Converters!L40)</f>
        <v>65</v>
      </c>
      <c r="X79" s="2">
        <f>IF(Converters!M40="","",Converters!M40)</f>
        <v>103</v>
      </c>
      <c r="Y79" s="2">
        <f>IF(Converters!N40="","",Converters!N40)</f>
        <v>115</v>
      </c>
      <c r="Z79" s="2">
        <f>IF(Converters!O40="","",Converters!O40)</f>
        <v>127</v>
      </c>
      <c r="AA79" s="2">
        <f>IF(Converters!P40="","",Converters!P40)</f>
        <v>0.8</v>
      </c>
      <c r="AB79" s="2">
        <f>IF(Converters!Q40="","",Converters!Q40)</f>
        <v>0.7</v>
      </c>
      <c r="AC79" s="2">
        <f>IF(Converters!R40="","",Converters!R40)</f>
        <v>3.5</v>
      </c>
      <c r="AD79" s="2">
        <f>IF(Converters!S40="","",Converters!S40)</f>
        <v>17</v>
      </c>
      <c r="AE79" s="2" t="str">
        <f>IF(Converters!T40="","",Converters!T40)</f>
        <v>SDIP-10</v>
      </c>
      <c r="AF79" s="2" t="str">
        <f>IF(Converters!U40="","",Converters!U40)</f>
        <v/>
      </c>
      <c r="AG79" s="2" t="str">
        <f>IF(Converters!V40="","",Converters!V40)</f>
        <v/>
      </c>
      <c r="AH79" s="2" t="str">
        <f>IF(Converters!W40="","",Converters!W40)</f>
        <v/>
      </c>
      <c r="AI79" s="2" t="str">
        <f>IF(Converters!X40="","",Converters!X40)</f>
        <v/>
      </c>
      <c r="AJ79" s="2" t="str">
        <f>IF(Converters!Y40="","",Converters!Y40)</f>
        <v/>
      </c>
    </row>
    <row r="80" spans="1:36" ht="16.5">
      <c r="A80" s="31"/>
      <c r="B80" s="131" t="s">
        <v>73</v>
      </c>
      <c r="C80" s="130">
        <v>0.18</v>
      </c>
      <c r="D80" s="131"/>
      <c r="E80" s="114"/>
      <c r="F80" s="135"/>
      <c r="G80" s="135"/>
      <c r="H80" s="135"/>
      <c r="I80" s="135"/>
      <c r="J80" s="135"/>
      <c r="K80" s="1"/>
      <c r="L80" s="1"/>
      <c r="M80" s="2" t="str">
        <f>IF(Converters!B41="","",Converters!B41)</f>
        <v>Viper28HD</v>
      </c>
      <c r="N80" s="2">
        <f>IF(Converters!C41="","",Converters!C41)</f>
        <v>800</v>
      </c>
      <c r="O80" s="2">
        <f>IF(Converters!D41="","",Converters!D41)</f>
        <v>14</v>
      </c>
      <c r="P80" s="2">
        <f>IF(Converters!E41="","",Converters!E41)</f>
        <v>40</v>
      </c>
      <c r="Q80" s="2">
        <f>IF(Converters!F41="","",Converters!F41)</f>
        <v>14</v>
      </c>
      <c r="R80" s="2">
        <f>IF(Converters!G41="","",Converters!G41)</f>
        <v>3.5</v>
      </c>
      <c r="S80" s="2">
        <f>IF(Converters!H41="","",Converters!H41)</f>
        <v>40</v>
      </c>
      <c r="T80" s="2">
        <f>IF(Converters!I41="","",Converters!I41)</f>
        <v>40</v>
      </c>
      <c r="U80" s="2">
        <f>IF(Converters!J41="","",Converters!J41)</f>
        <v>25</v>
      </c>
      <c r="V80" s="2" t="str">
        <f>IF(Converters!K41="","",Converters!K41)</f>
        <v/>
      </c>
      <c r="W80" s="2">
        <f>IF(Converters!L41="","",Converters!L41)</f>
        <v>50</v>
      </c>
      <c r="X80" s="2">
        <f>IF(Converters!M41="","",Converters!M41)</f>
        <v>103</v>
      </c>
      <c r="Y80" s="2">
        <f>IF(Converters!N41="","",Converters!N41)</f>
        <v>115</v>
      </c>
      <c r="Z80" s="2">
        <f>IF(Converters!O41="","",Converters!O41)</f>
        <v>127</v>
      </c>
      <c r="AA80" s="2">
        <f>IF(Converters!P41="","",Converters!P41)</f>
        <v>0.8</v>
      </c>
      <c r="AB80" s="2">
        <f>IF(Converters!Q41="","",Converters!Q41)</f>
        <v>0.7</v>
      </c>
      <c r="AC80" s="2">
        <f>IF(Converters!R41="","",Converters!R41)</f>
        <v>3.5</v>
      </c>
      <c r="AD80" s="2">
        <f>IF(Converters!S41="","",Converters!S41)</f>
        <v>17</v>
      </c>
      <c r="AE80" s="2" t="str">
        <f>IF(Converters!T41="","",Converters!T41)</f>
        <v>SO-16</v>
      </c>
      <c r="AF80" s="2" t="str">
        <f>IF(Converters!U41="","",Converters!U41)</f>
        <v/>
      </c>
      <c r="AG80" s="2" t="str">
        <f>IF(Converters!V41="","",Converters!V41)</f>
        <v/>
      </c>
      <c r="AH80" s="2" t="str">
        <f>IF(Converters!W41="","",Converters!W41)</f>
        <v/>
      </c>
      <c r="AI80" s="2" t="str">
        <f>IF(Converters!X41="","",Converters!X41)</f>
        <v/>
      </c>
      <c r="AJ80" s="2" t="str">
        <f>IF(Converters!Y41="","",Converters!Y41)</f>
        <v/>
      </c>
    </row>
    <row r="81" spans="1:36" ht="17.25">
      <c r="A81" s="32"/>
      <c r="B81" s="136" t="s">
        <v>74</v>
      </c>
      <c r="C81" s="132">
        <f>C79/C80</f>
        <v>57.332732883143173</v>
      </c>
      <c r="D81" s="128" t="s">
        <v>72</v>
      </c>
      <c r="E81" s="114"/>
      <c r="F81" s="114"/>
      <c r="G81" s="114"/>
      <c r="H81" s="114"/>
      <c r="I81" s="114"/>
      <c r="J81" s="135"/>
      <c r="K81" s="1"/>
      <c r="L81" s="1"/>
      <c r="M81" s="2" t="str">
        <f>IF(Converters!B42="","",Converters!B42)</f>
        <v>Viper28LD</v>
      </c>
      <c r="N81" s="2">
        <f>IF(Converters!C42="","",Converters!C42)</f>
        <v>800</v>
      </c>
      <c r="O81" s="2">
        <f>IF(Converters!D42="","",Converters!D42)</f>
        <v>14</v>
      </c>
      <c r="P81" s="2">
        <f>IF(Converters!E42="","",Converters!E42)</f>
        <v>40</v>
      </c>
      <c r="Q81" s="2">
        <f>IF(Converters!F42="","",Converters!F42)</f>
        <v>14</v>
      </c>
      <c r="R81" s="2">
        <f>IF(Converters!G42="","",Converters!G42)</f>
        <v>2.5</v>
      </c>
      <c r="S81" s="2">
        <f>IF(Converters!H42="","",Converters!H42)</f>
        <v>40</v>
      </c>
      <c r="T81" s="2">
        <f>IF(Converters!I42="","",Converters!I42)</f>
        <v>40</v>
      </c>
      <c r="U81" s="2">
        <f>IF(Converters!J42="","",Converters!J42)</f>
        <v>25</v>
      </c>
      <c r="V81" s="2" t="str">
        <f>IF(Converters!K42="","",Converters!K42)</f>
        <v/>
      </c>
      <c r="W81" s="2">
        <f>IF(Converters!L42="","",Converters!L42)</f>
        <v>50</v>
      </c>
      <c r="X81" s="2">
        <f>IF(Converters!M42="","",Converters!M42)</f>
        <v>54</v>
      </c>
      <c r="Y81" s="2">
        <f>IF(Converters!N42="","",Converters!N42)</f>
        <v>60</v>
      </c>
      <c r="Z81" s="2">
        <f>IF(Converters!O42="","",Converters!O42)</f>
        <v>66</v>
      </c>
      <c r="AA81" s="2">
        <f>IF(Converters!P42="","",Converters!P42)</f>
        <v>0.8</v>
      </c>
      <c r="AB81" s="2">
        <f>IF(Converters!Q42="","",Converters!Q42)</f>
        <v>0.7</v>
      </c>
      <c r="AC81" s="2">
        <f>IF(Converters!R42="","",Converters!R42)</f>
        <v>3.5</v>
      </c>
      <c r="AD81" s="2">
        <f>IF(Converters!S42="","",Converters!S42)</f>
        <v>17</v>
      </c>
      <c r="AE81" s="2" t="str">
        <f>IF(Converters!T42="","",Converters!T42)</f>
        <v>SO-16</v>
      </c>
      <c r="AF81" s="2" t="str">
        <f>IF(Converters!U42="","",Converters!U42)</f>
        <v/>
      </c>
      <c r="AG81" s="2" t="str">
        <f>IF(Converters!V42="","",Converters!V42)</f>
        <v/>
      </c>
      <c r="AH81" s="2" t="str">
        <f>IF(Converters!W42="","",Converters!W42)</f>
        <v/>
      </c>
      <c r="AI81" s="2" t="str">
        <f>IF(Converters!X42="","",Converters!X42)</f>
        <v/>
      </c>
      <c r="AJ81" s="2" t="str">
        <f>IF(Converters!Y42="","",Converters!Y42)</f>
        <v/>
      </c>
    </row>
    <row r="82" spans="1:3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 t="str">
        <f>IF(Converters!B43="","",Converters!B43)</f>
        <v>Viper100A-E</v>
      </c>
      <c r="N82" s="2">
        <f>IF(Converters!C43="","",Converters!C43)</f>
        <v>700</v>
      </c>
      <c r="O82" s="2">
        <f>IF(Converters!D43="","",Converters!D43)</f>
        <v>5</v>
      </c>
      <c r="P82" s="2">
        <f>IF(Converters!E43="","",Converters!E43)</f>
        <v>150</v>
      </c>
      <c r="Q82" s="2">
        <f>IF(Converters!F43="","",Converters!F43)</f>
        <v>11</v>
      </c>
      <c r="R82" s="2">
        <f>IF(Converters!G43="","",Converters!G43)</f>
        <v>15.5</v>
      </c>
      <c r="S82" s="2">
        <f>IF(Converters!H43="","",Converters!H43)</f>
        <v>100</v>
      </c>
      <c r="T82" s="2">
        <f>IF(Converters!I43="","",Converters!I43)</f>
        <v>50</v>
      </c>
      <c r="U82" s="2" t="str">
        <f>IF(Converters!J43="","",Converters!J43)</f>
        <v/>
      </c>
      <c r="V82" s="2">
        <f>IF(Converters!K43="","",Converters!K43)</f>
        <v>1.4</v>
      </c>
      <c r="W82" s="2">
        <f>IF(Converters!L43="","",Converters!L43)</f>
        <v>60</v>
      </c>
      <c r="X82" s="2">
        <f>IF(Converters!M43="","",Converters!M43)</f>
        <v>90</v>
      </c>
      <c r="Y82" s="2">
        <f>IF(Converters!N43="","",Converters!N43)</f>
        <v>100</v>
      </c>
      <c r="Z82" s="2">
        <f>IF(Converters!O43="","",Converters!O43)</f>
        <v>110</v>
      </c>
      <c r="AA82" s="2">
        <f>IF(Converters!P43="","",Converters!P43)</f>
        <v>4</v>
      </c>
      <c r="AB82" s="2" t="str">
        <f>IF(Converters!Q43="","",Converters!Q43)</f>
        <v/>
      </c>
      <c r="AC82" s="2">
        <f>IF(Converters!R43="","",Converters!R43)</f>
        <v>2.5</v>
      </c>
      <c r="AD82" s="2">
        <f>IF(Converters!S43="","",Converters!S43)</f>
        <v>22</v>
      </c>
      <c r="AE82" s="2" t="str">
        <f>IF(Converters!T43="","",Converters!T43)</f>
        <v>Pentawatt HV</v>
      </c>
      <c r="AF82" s="2" t="str">
        <f>IF(Converters!U43="","",Converters!U43)</f>
        <v/>
      </c>
      <c r="AG82" s="2" t="str">
        <f>IF(Converters!V43="","",Converters!V43)</f>
        <v/>
      </c>
      <c r="AH82" s="2" t="str">
        <f>IF(Converters!W43="","",Converters!W43)</f>
        <v/>
      </c>
      <c r="AI82" s="2" t="str">
        <f>IF(Converters!X43="","",Converters!X43)</f>
        <v/>
      </c>
      <c r="AJ82" s="2" t="str">
        <f>IF(Converters!Y43="","",Converters!Y43)</f>
        <v/>
      </c>
    </row>
    <row r="83" spans="1:36">
      <c r="A83" s="199" t="s">
        <v>75</v>
      </c>
      <c r="B83" s="199"/>
      <c r="C83" s="199"/>
      <c r="D83" s="199"/>
      <c r="E83" s="199"/>
      <c r="F83" s="199"/>
      <c r="G83" s="199"/>
      <c r="H83" s="199"/>
      <c r="I83" s="199"/>
      <c r="J83" s="199"/>
      <c r="K83" s="1"/>
      <c r="L83" s="1"/>
      <c r="M83" s="2" t="str">
        <f>IF(Converters!B44="","",Converters!B44)</f>
        <v>Viper100ASP-E</v>
      </c>
      <c r="N83" s="2">
        <f>IF(Converters!C44="","",Converters!C44)</f>
        <v>700</v>
      </c>
      <c r="O83" s="2">
        <f>IF(Converters!D44="","",Converters!D44)</f>
        <v>5</v>
      </c>
      <c r="P83" s="2">
        <f>IF(Converters!E44="","",Converters!E44)</f>
        <v>150</v>
      </c>
      <c r="Q83" s="2">
        <f>IF(Converters!F44="","",Converters!F44)</f>
        <v>11</v>
      </c>
      <c r="R83" s="2">
        <f>IF(Converters!G44="","",Converters!G44)</f>
        <v>15.5</v>
      </c>
      <c r="S83" s="2">
        <f>IF(Converters!H44="","",Converters!H44)</f>
        <v>100</v>
      </c>
      <c r="T83" s="2">
        <f>IF(Converters!I44="","",Converters!I44)</f>
        <v>50</v>
      </c>
      <c r="U83" s="2" t="str">
        <f>IF(Converters!J44="","",Converters!J44)</f>
        <v/>
      </c>
      <c r="V83" s="2" t="str">
        <f>IF(Converters!K44="","",Converters!K44)</f>
        <v/>
      </c>
      <c r="W83" s="2">
        <f>IF(Converters!L44="","",Converters!L44)</f>
        <v>60</v>
      </c>
      <c r="X83" s="2">
        <f>IF(Converters!M44="","",Converters!M44)</f>
        <v>90</v>
      </c>
      <c r="Y83" s="2">
        <f>IF(Converters!N44="","",Converters!N44)</f>
        <v>100</v>
      </c>
      <c r="Z83" s="2">
        <f>IF(Converters!O44="","",Converters!O44)</f>
        <v>110</v>
      </c>
      <c r="AA83" s="2">
        <f>IF(Converters!P44="","",Converters!P44)</f>
        <v>4</v>
      </c>
      <c r="AB83" s="2" t="str">
        <f>IF(Converters!Q44="","",Converters!Q44)</f>
        <v/>
      </c>
      <c r="AC83" s="2">
        <f>IF(Converters!R44="","",Converters!R44)</f>
        <v>2.5</v>
      </c>
      <c r="AD83" s="2">
        <f>IF(Converters!S44="","",Converters!S44)</f>
        <v>22</v>
      </c>
      <c r="AE83" s="2" t="str">
        <f>IF(Converters!T44="","",Converters!T44)</f>
        <v>PowerSO-10</v>
      </c>
      <c r="AF83" s="2" t="str">
        <f>IF(Converters!U44="","",Converters!U44)</f>
        <v/>
      </c>
      <c r="AG83" s="2" t="str">
        <f>IF(Converters!V44="","",Converters!V44)</f>
        <v/>
      </c>
      <c r="AH83" s="2" t="str">
        <f>IF(Converters!W44="","",Converters!W44)</f>
        <v/>
      </c>
      <c r="AI83" s="2" t="str">
        <f>IF(Converters!X44="","",Converters!X44)</f>
        <v/>
      </c>
      <c r="AJ83" s="2" t="str">
        <f>IF(Converters!Y44="","",Converters!Y44)</f>
        <v/>
      </c>
    </row>
    <row r="84" spans="1:36">
      <c r="A84" s="1"/>
      <c r="B84" s="25"/>
      <c r="C84" s="26"/>
      <c r="D84" s="4"/>
      <c r="E84" s="4"/>
      <c r="F84" s="1"/>
      <c r="G84" s="1"/>
      <c r="H84" s="1"/>
      <c r="I84" s="1"/>
      <c r="J84" s="1"/>
      <c r="K84" s="1"/>
      <c r="L84" s="12"/>
      <c r="M84" s="2" t="str">
        <f>IF(Converters!B45="","",Converters!B45)</f>
        <v>Viper100A-22-E</v>
      </c>
      <c r="N84" s="2">
        <f>IF(Converters!C45="","",Converters!C45)</f>
        <v>700</v>
      </c>
      <c r="O84" s="2">
        <f>IF(Converters!D45="","",Converters!D45)</f>
        <v>5</v>
      </c>
      <c r="P84" s="2">
        <f>IF(Converters!E45="","",Converters!E45)</f>
        <v>150</v>
      </c>
      <c r="Q84" s="2">
        <f>IF(Converters!F45="","",Converters!F45)</f>
        <v>11</v>
      </c>
      <c r="R84" s="2">
        <f>IF(Converters!G45="","",Converters!G45)</f>
        <v>15.5</v>
      </c>
      <c r="S84" s="2">
        <f>IF(Converters!H45="","",Converters!H45)</f>
        <v>100</v>
      </c>
      <c r="T84" s="2">
        <f>IF(Converters!I45="","",Converters!I45)</f>
        <v>50</v>
      </c>
      <c r="U84" s="2" t="str">
        <f>IF(Converters!J45="","",Converters!J45)</f>
        <v/>
      </c>
      <c r="V84" s="2">
        <f>IF(Converters!K45="","",Converters!K45)</f>
        <v>1.4</v>
      </c>
      <c r="W84" s="2" t="str">
        <f>IF(Converters!L45="","",Converters!L45)</f>
        <v/>
      </c>
      <c r="X84" s="2">
        <f>IF(Converters!M45="","",Converters!M45)</f>
        <v>90</v>
      </c>
      <c r="Y84" s="2">
        <f>IF(Converters!N45="","",Converters!N45)</f>
        <v>100</v>
      </c>
      <c r="Z84" s="2">
        <f>IF(Converters!O45="","",Converters!O45)</f>
        <v>110</v>
      </c>
      <c r="AA84" s="2">
        <f>IF(Converters!P45="","",Converters!P45)</f>
        <v>4</v>
      </c>
      <c r="AB84" s="2" t="str">
        <f>IF(Converters!Q45="","",Converters!Q45)</f>
        <v/>
      </c>
      <c r="AC84" s="2">
        <f>IF(Converters!R45="","",Converters!R45)</f>
        <v>2.5</v>
      </c>
      <c r="AD84" s="2">
        <f>IF(Converters!S45="","",Converters!S45)</f>
        <v>22</v>
      </c>
      <c r="AE84" s="2" t="str">
        <f>IF(Converters!T45="","",Converters!T45)</f>
        <v>Pentawatt HV (022Y)</v>
      </c>
      <c r="AF84" s="2" t="str">
        <f>IF(Converters!U45="","",Converters!U45)</f>
        <v/>
      </c>
      <c r="AG84" s="2" t="str">
        <f>IF(Converters!V45="","",Converters!V45)</f>
        <v/>
      </c>
      <c r="AH84" s="2" t="str">
        <f>IF(Converters!W45="","",Converters!W45)</f>
        <v/>
      </c>
      <c r="AI84" s="2" t="str">
        <f>IF(Converters!X45="","",Converters!X45)</f>
        <v/>
      </c>
      <c r="AJ84" s="2" t="str">
        <f>IF(Converters!Y45="","",Converters!Y45)</f>
        <v/>
      </c>
    </row>
    <row r="85" spans="1:36" ht="17.25">
      <c r="A85" s="1"/>
      <c r="B85" s="6"/>
      <c r="C85" s="19" t="s">
        <v>76</v>
      </c>
      <c r="D85" s="7"/>
      <c r="E85" s="7"/>
      <c r="F85" s="7"/>
      <c r="G85" s="19" t="s">
        <v>77</v>
      </c>
      <c r="H85" s="7"/>
      <c r="I85" s="7"/>
      <c r="J85" s="33"/>
      <c r="K85" s="1"/>
      <c r="L85" s="12"/>
      <c r="M85" s="2" t="str">
        <f>IF(Converters!B46="","",Converters!B46)</f>
        <v>Viper12AS</v>
      </c>
      <c r="N85" s="2">
        <f>IF(Converters!C46="","",Converters!C46)</f>
        <v>730</v>
      </c>
      <c r="O85" s="2">
        <f>IF(Converters!D46="","",Converters!D46)</f>
        <v>54</v>
      </c>
      <c r="P85" s="2">
        <f>IF(Converters!E46="","",Converters!E46)</f>
        <v>40</v>
      </c>
      <c r="Q85" s="2">
        <f>IF(Converters!F46="","",Converters!F46)</f>
        <v>14.5</v>
      </c>
      <c r="R85" s="2">
        <f>IF(Converters!G46="","",Converters!G46)</f>
        <v>4.5</v>
      </c>
      <c r="S85" s="2">
        <f>IF(Converters!H46="","",Converters!H46)</f>
        <v>100</v>
      </c>
      <c r="T85" s="2">
        <f>IF(Converters!I46="","",Converters!I46)</f>
        <v>50</v>
      </c>
      <c r="U85" s="2" t="str">
        <f>IF(Converters!J46="","",Converters!J46)</f>
        <v/>
      </c>
      <c r="V85" s="2">
        <f>IF(Converters!K46="","",Converters!K46)</f>
        <v>25</v>
      </c>
      <c r="W85" s="2">
        <f>IF(Converters!L46="","",Converters!L46)</f>
        <v>55</v>
      </c>
      <c r="X85" s="2">
        <f>IF(Converters!M46="","",Converters!M46)</f>
        <v>54</v>
      </c>
      <c r="Y85" s="2">
        <f>IF(Converters!N46="","",Converters!N46)</f>
        <v>60</v>
      </c>
      <c r="Z85" s="2">
        <f>IF(Converters!O46="","",Converters!O46)</f>
        <v>66</v>
      </c>
      <c r="AA85" s="2">
        <f>IF(Converters!P46="","",Converters!P46)</f>
        <v>0.4</v>
      </c>
      <c r="AB85" s="2" t="str">
        <f>IF(Converters!Q46="","",Converters!Q46)</f>
        <v/>
      </c>
      <c r="AC85" s="2">
        <f>IF(Converters!R46="","",Converters!R46)</f>
        <v>1</v>
      </c>
      <c r="AD85" s="2">
        <f>IF(Converters!S46="","",Converters!S46)</f>
        <v>1.2</v>
      </c>
      <c r="AE85" s="2" t="str">
        <f>IF(Converters!T46="","",Converters!T46)</f>
        <v>SO-8</v>
      </c>
      <c r="AF85" s="2" t="str">
        <f>IF(Converters!U46="","",Converters!U46)</f>
        <v/>
      </c>
      <c r="AG85" s="2" t="str">
        <f>IF(Converters!V46="","",Converters!V46)</f>
        <v/>
      </c>
      <c r="AH85" s="2" t="str">
        <f>IF(Converters!W46="","",Converters!W46)</f>
        <v/>
      </c>
      <c r="AI85" s="2" t="str">
        <f>IF(Converters!X46="","",Converters!X46)</f>
        <v/>
      </c>
      <c r="AJ85" s="2" t="str">
        <f>IF(Converters!Y46="","",Converters!Y46)</f>
        <v/>
      </c>
    </row>
    <row r="86" spans="1:36" s="36" customFormat="1">
      <c r="A86" s="16"/>
      <c r="B86" s="31" t="s">
        <v>78</v>
      </c>
      <c r="C86" s="34">
        <v>0.3</v>
      </c>
      <c r="D86" s="31"/>
      <c r="E86" s="31"/>
      <c r="F86" s="31"/>
      <c r="G86" s="34">
        <v>0.5</v>
      </c>
      <c r="H86" s="32"/>
      <c r="I86" s="32"/>
      <c r="J86" s="16"/>
      <c r="K86" s="16"/>
      <c r="L86" s="35"/>
      <c r="M86" s="2" t="str">
        <f>IF(Converters!B47="","",Converters!B47)</f>
        <v>Viper12ADIP</v>
      </c>
      <c r="N86" s="2">
        <f>IF(Converters!C47="","",Converters!C47)</f>
        <v>730</v>
      </c>
      <c r="O86" s="2">
        <f>IF(Converters!D47="","",Converters!D47)</f>
        <v>54</v>
      </c>
      <c r="P86" s="2">
        <f>IF(Converters!E47="","",Converters!E47)</f>
        <v>40</v>
      </c>
      <c r="Q86" s="2">
        <f>IF(Converters!F47="","",Converters!F47)</f>
        <v>14.5</v>
      </c>
      <c r="R86" s="2">
        <f>IF(Converters!G47="","",Converters!G47)</f>
        <v>4.5</v>
      </c>
      <c r="S86" s="2">
        <f>IF(Converters!H47="","",Converters!H47)</f>
        <v>100</v>
      </c>
      <c r="T86" s="2">
        <f>IF(Converters!I47="","",Converters!I47)</f>
        <v>50</v>
      </c>
      <c r="U86" s="2" t="str">
        <f>IF(Converters!J47="","",Converters!J47)</f>
        <v/>
      </c>
      <c r="V86" s="2">
        <f>IF(Converters!K47="","",Converters!K47)</f>
        <v>15</v>
      </c>
      <c r="W86" s="2">
        <f>IF(Converters!L47="","",Converters!L47)</f>
        <v>45</v>
      </c>
      <c r="X86" s="2">
        <f>IF(Converters!M47="","",Converters!M47)</f>
        <v>54</v>
      </c>
      <c r="Y86" s="2">
        <f>IF(Converters!N47="","",Converters!N47)</f>
        <v>60</v>
      </c>
      <c r="Z86" s="2">
        <f>IF(Converters!O47="","",Converters!O47)</f>
        <v>66</v>
      </c>
      <c r="AA86" s="2">
        <f>IF(Converters!P47="","",Converters!P47)</f>
        <v>0.4</v>
      </c>
      <c r="AB86" s="2" t="str">
        <f>IF(Converters!Q47="","",Converters!Q47)</f>
        <v/>
      </c>
      <c r="AC86" s="2">
        <f>IF(Converters!R47="","",Converters!R47)</f>
        <v>1</v>
      </c>
      <c r="AD86" s="2">
        <f>IF(Converters!S47="","",Converters!S47)</f>
        <v>1.2</v>
      </c>
      <c r="AE86" s="2" t="str">
        <f>IF(Converters!T47="","",Converters!T47)</f>
        <v>DIP-8</v>
      </c>
      <c r="AF86" s="2" t="str">
        <f>IF(Converters!U47="","",Converters!U47)</f>
        <v/>
      </c>
      <c r="AG86" s="2" t="str">
        <f>IF(Converters!V47="","",Converters!V47)</f>
        <v/>
      </c>
      <c r="AH86" s="2" t="str">
        <f>IF(Converters!W47="","",Converters!W47)</f>
        <v/>
      </c>
      <c r="AI86" s="2" t="str">
        <f>IF(Converters!X47="","",Converters!X47)</f>
        <v/>
      </c>
      <c r="AJ86" s="2" t="str">
        <f>IF(Converters!Y47="","",Converters!Y47)</f>
        <v/>
      </c>
    </row>
    <row r="87" spans="1:36">
      <c r="A87" s="1"/>
      <c r="B87" s="12" t="s">
        <v>79</v>
      </c>
      <c r="C87" s="37">
        <f>Vcc+(Vdc_max*(Vcc+VFC)/VRO)* (1+C86)</f>
        <v>79.8960475607376</v>
      </c>
      <c r="D87" s="12" t="s">
        <v>14</v>
      </c>
      <c r="F87" s="1"/>
      <c r="G87" s="155">
        <f>G72*(1+G86)</f>
        <v>2.4151934197391409E-2</v>
      </c>
      <c r="H87" s="12" t="s">
        <v>15</v>
      </c>
      <c r="I87" s="38"/>
      <c r="J87" s="12"/>
      <c r="K87" s="12"/>
      <c r="L87" s="12"/>
      <c r="M87" s="2" t="str">
        <f>IF(Converters!B48="","",Converters!B48)</f>
        <v>Viper20A-E</v>
      </c>
      <c r="N87" s="2">
        <f>IF(Converters!C48="","",Converters!C48)</f>
        <v>700</v>
      </c>
      <c r="O87" s="2">
        <f>IF(Converters!D48="","",Converters!D48)</f>
        <v>32</v>
      </c>
      <c r="P87" s="2">
        <f>IF(Converters!E48="","",Converters!E48)</f>
        <v>90</v>
      </c>
      <c r="Q87" s="2">
        <f>IF(Converters!F48="","",Converters!F48)</f>
        <v>11</v>
      </c>
      <c r="R87" s="2">
        <f>IF(Converters!G48="","",Converters!G48)</f>
        <v>13</v>
      </c>
      <c r="S87" s="2">
        <f>IF(Converters!H48="","",Converters!H48)</f>
        <v>100</v>
      </c>
      <c r="T87" s="2">
        <f>IF(Converters!I48="","",Converters!I48)</f>
        <v>50</v>
      </c>
      <c r="U87" s="2" t="str">
        <f>IF(Converters!J48="","",Converters!J48)</f>
        <v/>
      </c>
      <c r="V87" s="2">
        <f>IF(Converters!K48="","",Converters!K48)</f>
        <v>2</v>
      </c>
      <c r="W87" s="2" t="str">
        <f>IF(Converters!L48="","",Converters!L48)</f>
        <v/>
      </c>
      <c r="X87" s="2">
        <f>IF(Converters!M48="","",Converters!M48)</f>
        <v>90</v>
      </c>
      <c r="Y87" s="2">
        <f>IF(Converters!N48="","",Converters!N48)</f>
        <v>100</v>
      </c>
      <c r="Z87" s="2">
        <f>IF(Converters!O48="","",Converters!O48)</f>
        <v>110</v>
      </c>
      <c r="AA87" s="2">
        <f>IF(Converters!P48="","",Converters!P48)</f>
        <v>0.67</v>
      </c>
      <c r="AB87" s="2" t="str">
        <f>IF(Converters!Q48="","",Converters!Q48)</f>
        <v/>
      </c>
      <c r="AC87" s="2">
        <f>IF(Converters!R48="","",Converters!R48)</f>
        <v>1</v>
      </c>
      <c r="AD87" s="2">
        <f>IF(Converters!S48="","",Converters!S48)</f>
        <v>1.2</v>
      </c>
      <c r="AE87" s="2" t="str">
        <f>IF(Converters!T48="","",Converters!T48)</f>
        <v>Pentawatt HV</v>
      </c>
      <c r="AF87" s="2" t="str">
        <f>IF(Converters!U48="","",Converters!U48)</f>
        <v/>
      </c>
      <c r="AG87" s="2" t="str">
        <f>IF(Converters!V48="","",Converters!V48)</f>
        <v/>
      </c>
      <c r="AH87" s="2" t="str">
        <f>IF(Converters!W48="","",Converters!W48)</f>
        <v/>
      </c>
      <c r="AI87" s="2" t="str">
        <f>IF(Converters!X48="","",Converters!X48)</f>
        <v/>
      </c>
      <c r="AJ87" s="2" t="str">
        <f>IF(Converters!Y48="","",Converters!Y48)</f>
        <v/>
      </c>
    </row>
    <row r="88" spans="1:36">
      <c r="A88" s="1"/>
      <c r="B88" s="12" t="s">
        <v>80</v>
      </c>
      <c r="C88" s="37">
        <f>_Vo1+(Vdc_max*(_Vo1+_VF1)/VRO)* (1+C86)</f>
        <v>62.497237008198937</v>
      </c>
      <c r="D88" s="12" t="s">
        <v>14</v>
      </c>
      <c r="F88" s="1"/>
      <c r="G88" s="155">
        <f>Io1rms*(1+G86)</f>
        <v>3.4142493323219982</v>
      </c>
      <c r="H88" s="12" t="s">
        <v>15</v>
      </c>
      <c r="I88" s="38"/>
      <c r="J88" s="12"/>
      <c r="K88" s="12"/>
      <c r="L88" s="1"/>
      <c r="M88" s="2" t="str">
        <f>IF(Converters!B49="","",Converters!B49)</f>
        <v>Viper20ASP-E</v>
      </c>
      <c r="N88" s="2">
        <f>IF(Converters!C49="","",Converters!C49)</f>
        <v>700</v>
      </c>
      <c r="O88" s="2">
        <f>IF(Converters!D49="","",Converters!D49)</f>
        <v>32</v>
      </c>
      <c r="P88" s="2">
        <f>IF(Converters!E49="","",Converters!E49)</f>
        <v>90</v>
      </c>
      <c r="Q88" s="2">
        <f>IF(Converters!F49="","",Converters!F49)</f>
        <v>11</v>
      </c>
      <c r="R88" s="2">
        <f>IF(Converters!G49="","",Converters!G49)</f>
        <v>13</v>
      </c>
      <c r="S88" s="2">
        <f>IF(Converters!H49="","",Converters!H49)</f>
        <v>100</v>
      </c>
      <c r="T88" s="2">
        <f>IF(Converters!I49="","",Converters!I49)</f>
        <v>50</v>
      </c>
      <c r="U88" s="2" t="str">
        <f>IF(Converters!J49="","",Converters!J49)</f>
        <v/>
      </c>
      <c r="V88" s="2">
        <f>IF(Converters!K49="","",Converters!K49)</f>
        <v>2</v>
      </c>
      <c r="W88" s="2" t="str">
        <f>IF(Converters!L49="","",Converters!L49)</f>
        <v/>
      </c>
      <c r="X88" s="2">
        <f>IF(Converters!M49="","",Converters!M49)</f>
        <v>90</v>
      </c>
      <c r="Y88" s="2">
        <f>IF(Converters!N49="","",Converters!N49)</f>
        <v>100</v>
      </c>
      <c r="Z88" s="2">
        <f>IF(Converters!O49="","",Converters!O49)</f>
        <v>110</v>
      </c>
      <c r="AA88" s="2">
        <f>IF(Converters!P49="","",Converters!P49)</f>
        <v>0.67</v>
      </c>
      <c r="AB88" s="2" t="str">
        <f>IF(Converters!Q49="","",Converters!Q49)</f>
        <v/>
      </c>
      <c r="AC88" s="2">
        <f>IF(Converters!R49="","",Converters!R49)</f>
        <v>1</v>
      </c>
      <c r="AD88" s="2">
        <f>IF(Converters!S49="","",Converters!S49)</f>
        <v>1.2</v>
      </c>
      <c r="AE88" s="2" t="str">
        <f>IF(Converters!T49="","",Converters!T49)</f>
        <v>PowerSO-10</v>
      </c>
      <c r="AF88" s="2" t="str">
        <f>IF(Converters!U49="","",Converters!U49)</f>
        <v/>
      </c>
      <c r="AG88" s="2" t="str">
        <f>IF(Converters!V49="","",Converters!V49)</f>
        <v/>
      </c>
      <c r="AH88" s="2" t="str">
        <f>IF(Converters!W49="","",Converters!W49)</f>
        <v/>
      </c>
      <c r="AI88" s="2" t="str">
        <f>IF(Converters!X49="","",Converters!X49)</f>
        <v/>
      </c>
      <c r="AJ88" s="2" t="str">
        <f>IF(Converters!Y49="","",Converters!Y49)</f>
        <v/>
      </c>
    </row>
    <row r="89" spans="1:36">
      <c r="A89" s="1"/>
      <c r="B89" s="12" t="s">
        <v>81</v>
      </c>
      <c r="C89" s="37">
        <f>_Vo2+Vdc_max*(_Vo2+_VF2)/VRO* (1+C86)</f>
        <v>0</v>
      </c>
      <c r="D89" s="12" t="s">
        <v>14</v>
      </c>
      <c r="F89" s="1"/>
      <c r="G89" s="155" t="e">
        <f>Io2rms* (1+G86)</f>
        <v>#DIV/0!</v>
      </c>
      <c r="H89" s="12" t="s">
        <v>15</v>
      </c>
      <c r="I89" s="38"/>
      <c r="J89" s="12"/>
      <c r="K89" s="12"/>
      <c r="L89" s="1"/>
      <c r="M89" s="2" t="str">
        <f>IF(Converters!B50="","",Converters!B50)</f>
        <v>Viper20DIP-E</v>
      </c>
      <c r="N89" s="2">
        <f>IF(Converters!C50="","",Converters!C50)</f>
        <v>700</v>
      </c>
      <c r="O89" s="2">
        <f>IF(Converters!D50="","",Converters!D50)</f>
        <v>32</v>
      </c>
      <c r="P89" s="2">
        <f>IF(Converters!E50="","",Converters!E50)</f>
        <v>90</v>
      </c>
      <c r="Q89" s="2">
        <f>IF(Converters!F50="","",Converters!F50)</f>
        <v>11</v>
      </c>
      <c r="R89" s="2">
        <f>IF(Converters!G50="","",Converters!G50)</f>
        <v>13</v>
      </c>
      <c r="S89" s="2">
        <f>IF(Converters!H50="","",Converters!H50)</f>
        <v>100</v>
      </c>
      <c r="T89" s="2">
        <f>IF(Converters!I50="","",Converters!I50)</f>
        <v>50</v>
      </c>
      <c r="U89" s="2" t="str">
        <f>IF(Converters!J50="","",Converters!J50)</f>
        <v/>
      </c>
      <c r="V89" s="2">
        <f>IF(Converters!K50="","",Converters!K50)</f>
        <v>35</v>
      </c>
      <c r="W89" s="2">
        <f>IF(Converters!L50="","",Converters!L50)</f>
        <v>20</v>
      </c>
      <c r="X89" s="2">
        <f>IF(Converters!M50="","",Converters!M50)</f>
        <v>90</v>
      </c>
      <c r="Y89" s="2">
        <f>IF(Converters!N50="","",Converters!N50)</f>
        <v>100</v>
      </c>
      <c r="Z89" s="2">
        <f>IF(Converters!O50="","",Converters!O50)</f>
        <v>110</v>
      </c>
      <c r="AA89" s="2">
        <f>IF(Converters!P50="","",Converters!P50)</f>
        <v>0.67</v>
      </c>
      <c r="AB89" s="2" t="str">
        <f>IF(Converters!Q50="","",Converters!Q50)</f>
        <v/>
      </c>
      <c r="AC89" s="2">
        <f>IF(Converters!R50="","",Converters!R50)</f>
        <v>1</v>
      </c>
      <c r="AD89" s="2">
        <f>IF(Converters!S50="","",Converters!S50)</f>
        <v>1.2</v>
      </c>
      <c r="AE89" s="2" t="str">
        <f>IF(Converters!T50="","",Converters!T50)</f>
        <v>DIP-8</v>
      </c>
      <c r="AF89" s="2" t="str">
        <f>IF(Converters!U50="","",Converters!U50)</f>
        <v/>
      </c>
      <c r="AG89" s="2" t="str">
        <f>IF(Converters!V50="","",Converters!V50)</f>
        <v/>
      </c>
      <c r="AH89" s="2" t="str">
        <f>IF(Converters!W50="","",Converters!W50)</f>
        <v/>
      </c>
      <c r="AI89" s="2" t="str">
        <f>IF(Converters!X50="","",Converters!X50)</f>
        <v/>
      </c>
      <c r="AJ89" s="2" t="str">
        <f>IF(Converters!Y50="","",Converters!Y50)</f>
        <v/>
      </c>
    </row>
    <row r="90" spans="1:36">
      <c r="A90" s="1"/>
      <c r="B90" s="12" t="s">
        <v>82</v>
      </c>
      <c r="C90" s="37">
        <f>_Vo3+Vdc_max*(_Vo3+_VF3)/VRO* (1+C86)</f>
        <v>0</v>
      </c>
      <c r="D90" s="12" t="s">
        <v>14</v>
      </c>
      <c r="F90" s="1"/>
      <c r="G90" s="155" t="e">
        <f>Io3rms* (1+G86)</f>
        <v>#DIV/0!</v>
      </c>
      <c r="H90" s="12" t="s">
        <v>15</v>
      </c>
      <c r="I90" s="1"/>
      <c r="J90" s="1"/>
      <c r="K90" s="1"/>
      <c r="L90" s="1"/>
      <c r="M90" s="2" t="str">
        <f>IF(Converters!B51="","",Converters!B51)</f>
        <v>Viper22AS</v>
      </c>
      <c r="N90" s="2">
        <f>IF(Converters!C51="","",Converters!C51)</f>
        <v>730</v>
      </c>
      <c r="O90" s="2">
        <f>IF(Converters!D51="","",Converters!D51)</f>
        <v>31</v>
      </c>
      <c r="P90" s="2">
        <f>IF(Converters!E51="","",Converters!E51)</f>
        <v>40</v>
      </c>
      <c r="Q90" s="2">
        <f>IF(Converters!F51="","",Converters!F51)</f>
        <v>14.5</v>
      </c>
      <c r="R90" s="2">
        <f>IF(Converters!G51="","",Converters!G51)</f>
        <v>4.5</v>
      </c>
      <c r="S90" s="2">
        <f>IF(Converters!H51="","",Converters!H51)</f>
        <v>100</v>
      </c>
      <c r="T90" s="2">
        <f>IF(Converters!I51="","",Converters!I51)</f>
        <v>50</v>
      </c>
      <c r="U90" s="2" t="str">
        <f>IF(Converters!J51="","",Converters!J51)</f>
        <v/>
      </c>
      <c r="V90" s="2">
        <f>IF(Converters!K51="","",Converters!K51)</f>
        <v>25</v>
      </c>
      <c r="W90" s="2">
        <f>IF(Converters!L51="","",Converters!L51)</f>
        <v>55</v>
      </c>
      <c r="X90" s="2">
        <f>IF(Converters!M51="","",Converters!M51)</f>
        <v>54</v>
      </c>
      <c r="Y90" s="2">
        <f>IF(Converters!N51="","",Converters!N51)</f>
        <v>60</v>
      </c>
      <c r="Z90" s="2">
        <f>IF(Converters!O51="","",Converters!O51)</f>
        <v>66</v>
      </c>
      <c r="AA90" s="2">
        <f>IF(Converters!P51="","",Converters!P51)</f>
        <v>0.7</v>
      </c>
      <c r="AB90" s="2" t="str">
        <f>IF(Converters!Q51="","",Converters!Q51)</f>
        <v/>
      </c>
      <c r="AC90" s="2">
        <f>IF(Converters!R51="","",Converters!R51)</f>
        <v>1</v>
      </c>
      <c r="AD90" s="2">
        <f>IF(Converters!S51="","",Converters!S51)</f>
        <v>1.2</v>
      </c>
      <c r="AE90" s="2" t="str">
        <f>IF(Converters!T51="","",Converters!T51)</f>
        <v>SO-8</v>
      </c>
      <c r="AF90" s="2" t="str">
        <f>IF(Converters!U51="","",Converters!U51)</f>
        <v/>
      </c>
      <c r="AG90" s="2" t="str">
        <f>IF(Converters!V51="","",Converters!V51)</f>
        <v/>
      </c>
      <c r="AH90" s="2" t="str">
        <f>IF(Converters!W51="","",Converters!W51)</f>
        <v/>
      </c>
      <c r="AI90" s="2" t="str">
        <f>IF(Converters!X51="","",Converters!X51)</f>
        <v/>
      </c>
      <c r="AJ90" s="2" t="str">
        <f>IF(Converters!Y51="","",Converters!Y51)</f>
        <v/>
      </c>
    </row>
    <row r="91" spans="1:36">
      <c r="A91" s="1"/>
      <c r="B91" s="12" t="s">
        <v>83</v>
      </c>
      <c r="C91" s="37">
        <f>_Vo4+Vdc_max*(_Vo4+_VF4)/VRO* (1+C86)</f>
        <v>0</v>
      </c>
      <c r="D91" s="12" t="s">
        <v>14</v>
      </c>
      <c r="F91" s="1"/>
      <c r="G91" s="155" t="e">
        <f>Io4rms* (1+G86)</f>
        <v>#DIV/0!</v>
      </c>
      <c r="H91" s="12" t="s">
        <v>15</v>
      </c>
      <c r="I91" s="1"/>
      <c r="J91" s="1"/>
      <c r="K91" s="1"/>
      <c r="L91" s="1"/>
      <c r="M91" s="2" t="str">
        <f>IF(Converters!B52="","",Converters!B52)</f>
        <v>Viper22ADIP</v>
      </c>
      <c r="N91" s="2">
        <f>IF(Converters!C52="","",Converters!C52)</f>
        <v>730</v>
      </c>
      <c r="O91" s="2">
        <f>IF(Converters!D52="","",Converters!D52)</f>
        <v>31</v>
      </c>
      <c r="P91" s="2">
        <f>IF(Converters!E52="","",Converters!E52)</f>
        <v>40</v>
      </c>
      <c r="Q91" s="2">
        <f>IF(Converters!F52="","",Converters!F52)</f>
        <v>14.5</v>
      </c>
      <c r="R91" s="2">
        <f>IF(Converters!G52="","",Converters!G52)</f>
        <v>4.5</v>
      </c>
      <c r="S91" s="2">
        <f>IF(Converters!H52="","",Converters!H52)</f>
        <v>100</v>
      </c>
      <c r="T91" s="2">
        <f>IF(Converters!I52="","",Converters!I52)</f>
        <v>50</v>
      </c>
      <c r="U91" s="2" t="str">
        <f>IF(Converters!J52="","",Converters!J52)</f>
        <v/>
      </c>
      <c r="V91" s="2">
        <f>IF(Converters!K52="","",Converters!K52)</f>
        <v>15</v>
      </c>
      <c r="W91" s="2">
        <f>IF(Converters!L52="","",Converters!L52)</f>
        <v>45</v>
      </c>
      <c r="X91" s="2">
        <f>IF(Converters!M52="","",Converters!M52)</f>
        <v>54</v>
      </c>
      <c r="Y91" s="2">
        <f>IF(Converters!N52="","",Converters!N52)</f>
        <v>60</v>
      </c>
      <c r="Z91" s="2">
        <f>IF(Converters!O52="","",Converters!O52)</f>
        <v>66</v>
      </c>
      <c r="AA91" s="2">
        <f>IF(Converters!P52="","",Converters!P52)</f>
        <v>0.7</v>
      </c>
      <c r="AB91" s="2" t="str">
        <f>IF(Converters!Q52="","",Converters!Q52)</f>
        <v/>
      </c>
      <c r="AC91" s="2">
        <f>IF(Converters!R52="","",Converters!R52)</f>
        <v>1</v>
      </c>
      <c r="AD91" s="2">
        <f>IF(Converters!S52="","",Converters!S52)</f>
        <v>1.2</v>
      </c>
      <c r="AE91" s="2" t="str">
        <f>IF(Converters!T52="","",Converters!T52)</f>
        <v>DIP-8</v>
      </c>
      <c r="AF91" s="2" t="str">
        <f>IF(Converters!U52="","",Converters!U52)</f>
        <v/>
      </c>
      <c r="AG91" s="2" t="str">
        <f>IF(Converters!V52="","",Converters!V52)</f>
        <v/>
      </c>
      <c r="AH91" s="2" t="str">
        <f>IF(Converters!W52="","",Converters!W52)</f>
        <v/>
      </c>
      <c r="AI91" s="2" t="str">
        <f>IF(Converters!X52="","",Converters!X52)</f>
        <v/>
      </c>
      <c r="AJ91" s="2" t="str">
        <f>IF(Converters!Y52="","",Converters!Y52)</f>
        <v/>
      </c>
    </row>
    <row r="92" spans="1:36">
      <c r="A92" s="1"/>
      <c r="B92" s="12" t="s">
        <v>84</v>
      </c>
      <c r="C92" s="37">
        <f>_Vo5+Vdc_max*(_Vo5+_VF5)/VRO* (1+C86)</f>
        <v>0</v>
      </c>
      <c r="D92" s="12" t="s">
        <v>14</v>
      </c>
      <c r="F92" s="1"/>
      <c r="G92" s="155" t="e">
        <f>Io5rms* (1+G86)</f>
        <v>#DIV/0!</v>
      </c>
      <c r="H92" s="12" t="s">
        <v>15</v>
      </c>
      <c r="I92" s="1"/>
      <c r="J92" s="1"/>
      <c r="K92" s="1"/>
      <c r="L92" s="1"/>
      <c r="M92" s="2" t="str">
        <f>IF(Converters!B53="","",Converters!B53)</f>
        <v>Viper50A-E</v>
      </c>
      <c r="N92" s="2">
        <f>IF(Converters!C53="","",Converters!C53)</f>
        <v>700</v>
      </c>
      <c r="O92" s="2">
        <f>IF(Converters!D53="","",Converters!D53)</f>
        <v>10.3</v>
      </c>
      <c r="P92" s="2">
        <f>IF(Converters!E53="","",Converters!E53)</f>
        <v>120</v>
      </c>
      <c r="Q92" s="2">
        <f>IF(Converters!F53="","",Converters!F53)</f>
        <v>11</v>
      </c>
      <c r="R92" s="2">
        <f>IF(Converters!G53="","",Converters!G53)</f>
        <v>14</v>
      </c>
      <c r="S92" s="2">
        <f>IF(Converters!H53="","",Converters!H53)</f>
        <v>100</v>
      </c>
      <c r="T92" s="2">
        <f>IF(Converters!I53="","",Converters!I53)</f>
        <v>50</v>
      </c>
      <c r="U92" s="2" t="str">
        <f>IF(Converters!J53="","",Converters!J53)</f>
        <v/>
      </c>
      <c r="V92" s="2">
        <f>IF(Converters!K53="","",Converters!K53)</f>
        <v>1.9</v>
      </c>
      <c r="W92" s="2">
        <f>IF(Converters!L53="","",Converters!L53)</f>
        <v>60</v>
      </c>
      <c r="X92" s="2">
        <f>IF(Converters!M53="","",Converters!M53)</f>
        <v>90</v>
      </c>
      <c r="Y92" s="2">
        <f>IF(Converters!N53="","",Converters!N53)</f>
        <v>100</v>
      </c>
      <c r="Z92" s="2">
        <f>IF(Converters!O53="","",Converters!O53)</f>
        <v>110</v>
      </c>
      <c r="AA92" s="2">
        <f>IF(Converters!P53="","",Converters!P53)</f>
        <v>2</v>
      </c>
      <c r="AB92" s="2" t="str">
        <f>IF(Converters!Q53="","",Converters!Q53)</f>
        <v/>
      </c>
      <c r="AC92" s="2">
        <f>IF(Converters!R53="","",Converters!R53)</f>
        <v>1</v>
      </c>
      <c r="AD92" s="2">
        <f>IF(Converters!S53="","",Converters!S53)</f>
        <v>1.2</v>
      </c>
      <c r="AE92" s="2" t="str">
        <f>IF(Converters!T53="","",Converters!T53)</f>
        <v>Pentawatt HV</v>
      </c>
      <c r="AF92" s="2" t="str">
        <f>IF(Converters!U53="","",Converters!U53)</f>
        <v/>
      </c>
      <c r="AG92" s="2" t="str">
        <f>IF(Converters!V53="","",Converters!V53)</f>
        <v/>
      </c>
      <c r="AH92" s="2" t="str">
        <f>IF(Converters!W53="","",Converters!W53)</f>
        <v/>
      </c>
      <c r="AI92" s="2" t="str">
        <f>IF(Converters!X53="","",Converters!X53)</f>
        <v/>
      </c>
      <c r="AJ92" s="2" t="str">
        <f>IF(Converters!Y53="","",Converters!Y53)</f>
        <v/>
      </c>
    </row>
    <row r="93" spans="1:36">
      <c r="A93" s="1"/>
      <c r="B93" s="12" t="s">
        <v>85</v>
      </c>
      <c r="C93" s="37">
        <f>_Vo6+Vdc_max*(_Vo6+_VF6)/VRO* (1+C86)</f>
        <v>0</v>
      </c>
      <c r="D93" s="12" t="s">
        <v>14</v>
      </c>
      <c r="F93" s="1"/>
      <c r="G93" s="155" t="e">
        <f>Io6rms* (1+G86)</f>
        <v>#DIV/0!</v>
      </c>
      <c r="H93" s="12" t="s">
        <v>15</v>
      </c>
      <c r="I93" s="1"/>
      <c r="J93" s="1"/>
      <c r="K93" s="1"/>
      <c r="L93" s="1"/>
      <c r="M93" s="2" t="str">
        <f>IF(Converters!B54="","",Converters!B54)</f>
        <v>Viper50ASP-E</v>
      </c>
      <c r="N93" s="2">
        <f>IF(Converters!C54="","",Converters!C54)</f>
        <v>700</v>
      </c>
      <c r="O93" s="2">
        <f>IF(Converters!D54="","",Converters!D54)</f>
        <v>10.3</v>
      </c>
      <c r="P93" s="2">
        <f>IF(Converters!E54="","",Converters!E54)</f>
        <v>120</v>
      </c>
      <c r="Q93" s="2">
        <f>IF(Converters!F54="","",Converters!F54)</f>
        <v>11</v>
      </c>
      <c r="R93" s="2">
        <f>IF(Converters!G54="","",Converters!G54)</f>
        <v>14</v>
      </c>
      <c r="S93" s="2">
        <f>IF(Converters!H54="","",Converters!H54)</f>
        <v>100</v>
      </c>
      <c r="T93" s="2">
        <f>IF(Converters!I54="","",Converters!I54)</f>
        <v>50</v>
      </c>
      <c r="U93" s="2" t="str">
        <f>IF(Converters!J54="","",Converters!J54)</f>
        <v/>
      </c>
      <c r="V93" s="2" t="str">
        <f>IF(Converters!K54="","",Converters!K54)</f>
        <v/>
      </c>
      <c r="W93" s="2" t="str">
        <f>IF(Converters!L54="","",Converters!L54)</f>
        <v/>
      </c>
      <c r="X93" s="2">
        <f>IF(Converters!M54="","",Converters!M54)</f>
        <v>90</v>
      </c>
      <c r="Y93" s="2">
        <f>IF(Converters!N54="","",Converters!N54)</f>
        <v>100</v>
      </c>
      <c r="Z93" s="2">
        <f>IF(Converters!O54="","",Converters!O54)</f>
        <v>110</v>
      </c>
      <c r="AA93" s="2">
        <f>IF(Converters!P54="","",Converters!P54)</f>
        <v>2</v>
      </c>
      <c r="AB93" s="2" t="str">
        <f>IF(Converters!Q54="","",Converters!Q54)</f>
        <v/>
      </c>
      <c r="AC93" s="2">
        <f>IF(Converters!R54="","",Converters!R54)</f>
        <v>1</v>
      </c>
      <c r="AD93" s="2">
        <f>IF(Converters!S54="","",Converters!S54)</f>
        <v>1.2</v>
      </c>
      <c r="AE93" s="2" t="str">
        <f>IF(Converters!T54="","",Converters!T54)</f>
        <v>PowerSO-10</v>
      </c>
      <c r="AF93" s="2" t="str">
        <f>IF(Converters!U54="","",Converters!U54)</f>
        <v/>
      </c>
      <c r="AG93" s="2" t="str">
        <f>IF(Converters!V54="","",Converters!V54)</f>
        <v/>
      </c>
      <c r="AH93" s="2" t="str">
        <f>IF(Converters!W54="","",Converters!W54)</f>
        <v/>
      </c>
      <c r="AI93" s="2" t="str">
        <f>IF(Converters!X54="","",Converters!X54)</f>
        <v/>
      </c>
      <c r="AJ93" s="2" t="str">
        <f>IF(Converters!Y54="","",Converters!Y54)</f>
        <v/>
      </c>
    </row>
    <row r="94" spans="1:3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 t="str">
        <f>IF(Converters!B55="","",Converters!B55)</f>
        <v>Viper50A-22-E</v>
      </c>
      <c r="N94" s="2">
        <f>IF(Converters!C55="","",Converters!C55)</f>
        <v>700</v>
      </c>
      <c r="O94" s="2">
        <f>IF(Converters!D55="","",Converters!D55)</f>
        <v>10.3</v>
      </c>
      <c r="P94" s="2">
        <f>IF(Converters!E55="","",Converters!E55)</f>
        <v>120</v>
      </c>
      <c r="Q94" s="2">
        <f>IF(Converters!F55="","",Converters!F55)</f>
        <v>11</v>
      </c>
      <c r="R94" s="2">
        <f>IF(Converters!G55="","",Converters!G55)</f>
        <v>14</v>
      </c>
      <c r="S94" s="2">
        <f>IF(Converters!H55="","",Converters!H55)</f>
        <v>100</v>
      </c>
      <c r="T94" s="2">
        <f>IF(Converters!I55="","",Converters!I55)</f>
        <v>50</v>
      </c>
      <c r="U94" s="2" t="str">
        <f>IF(Converters!J55="","",Converters!J55)</f>
        <v/>
      </c>
      <c r="V94" s="2" t="str">
        <f>IF(Converters!K55="","",Converters!K55)</f>
        <v/>
      </c>
      <c r="W94" s="2" t="str">
        <f>IF(Converters!L55="","",Converters!L55)</f>
        <v/>
      </c>
      <c r="X94" s="2">
        <f>IF(Converters!M55="","",Converters!M55)</f>
        <v>90</v>
      </c>
      <c r="Y94" s="2">
        <f>IF(Converters!N55="","",Converters!N55)</f>
        <v>100</v>
      </c>
      <c r="Z94" s="2">
        <f>IF(Converters!O55="","",Converters!O55)</f>
        <v>110</v>
      </c>
      <c r="AA94" s="2">
        <f>IF(Converters!P55="","",Converters!P55)</f>
        <v>2</v>
      </c>
      <c r="AB94" s="2" t="str">
        <f>IF(Converters!Q55="","",Converters!Q55)</f>
        <v/>
      </c>
      <c r="AC94" s="2">
        <f>IF(Converters!R55="","",Converters!R55)</f>
        <v>1</v>
      </c>
      <c r="AD94" s="2">
        <f>IF(Converters!S55="","",Converters!S55)</f>
        <v>1.2</v>
      </c>
      <c r="AE94" s="2" t="str">
        <f>IF(Converters!T55="","",Converters!T55)</f>
        <v>Pentawatt HV (022Y)</v>
      </c>
      <c r="AF94" s="2" t="str">
        <f>IF(Converters!U55="","",Converters!U55)</f>
        <v/>
      </c>
      <c r="AG94" s="2" t="str">
        <f>IF(Converters!V55="","",Converters!V55)</f>
        <v/>
      </c>
      <c r="AH94" s="2" t="str">
        <f>IF(Converters!W55="","",Converters!W55)</f>
        <v/>
      </c>
      <c r="AI94" s="2" t="str">
        <f>IF(Converters!X55="","",Converters!X55)</f>
        <v/>
      </c>
      <c r="AJ94" s="2" t="str">
        <f>IF(Converters!Y55="","",Converters!Y55)</f>
        <v/>
      </c>
    </row>
    <row r="95" spans="1:36">
      <c r="A95" s="199" t="s">
        <v>86</v>
      </c>
      <c r="B95" s="199"/>
      <c r="C95" s="199"/>
      <c r="D95" s="199"/>
      <c r="E95" s="199"/>
      <c r="F95" s="199"/>
      <c r="G95" s="199"/>
      <c r="H95" s="199"/>
      <c r="I95" s="199"/>
      <c r="J95" s="199"/>
      <c r="K95" s="1"/>
      <c r="L95" s="1"/>
      <c r="M95" s="2" t="str">
        <f>IF(Converters!B56="","",Converters!B56)</f>
        <v>Viper53DIP-E</v>
      </c>
      <c r="N95" s="2">
        <f>IF(Converters!C56="","",Converters!C56)</f>
        <v>620</v>
      </c>
      <c r="O95" s="2">
        <f>IF(Converters!D56="","",Converters!D56)</f>
        <v>1.7</v>
      </c>
      <c r="P95" s="2">
        <f>IF(Converters!E56="","",Converters!E56)</f>
        <v>60</v>
      </c>
      <c r="Q95" s="2">
        <f>IF(Converters!F56="","",Converters!F56)</f>
        <v>11.5</v>
      </c>
      <c r="R95" s="2">
        <f>IF(Converters!G56="","",Converters!G56)</f>
        <v>9</v>
      </c>
      <c r="S95" s="2">
        <f>IF(Converters!H56="","",Converters!H56)</f>
        <v>50</v>
      </c>
      <c r="T95" s="2">
        <f>IF(Converters!I56="","",Converters!I56)</f>
        <v>100</v>
      </c>
      <c r="U95" s="2" t="str">
        <f>IF(Converters!J56="","",Converters!J56)</f>
        <v/>
      </c>
      <c r="V95" s="2">
        <f>IF(Converters!K56="","",Converters!K56)</f>
        <v>20</v>
      </c>
      <c r="W95" s="2">
        <f>IF(Converters!L56="","",Converters!L56)</f>
        <v>80</v>
      </c>
      <c r="X95" s="2">
        <f>IF(Converters!M56="","",Converters!M56)</f>
        <v>93</v>
      </c>
      <c r="Y95" s="2">
        <f>IF(Converters!N56="","",Converters!N56)</f>
        <v>100</v>
      </c>
      <c r="Z95" s="2">
        <f>IF(Converters!O56="","",Converters!O56)</f>
        <v>107</v>
      </c>
      <c r="AA95" s="2">
        <f>IF(Converters!P56="","",Converters!P56)</f>
        <v>2</v>
      </c>
      <c r="AB95" s="2" t="str">
        <f>IF(Converters!Q56="","",Converters!Q56)</f>
        <v/>
      </c>
      <c r="AC95" s="2">
        <f>IF(Converters!R56="","",Converters!R56)</f>
        <v>1</v>
      </c>
      <c r="AD95" s="2">
        <f>IF(Converters!S56="","",Converters!S56)</f>
        <v>1.2</v>
      </c>
      <c r="AE95" s="2" t="str">
        <f>IF(Converters!T56="","",Converters!T56)</f>
        <v>DIP-8</v>
      </c>
      <c r="AF95" s="2" t="str">
        <f>IF(Converters!U56="","",Converters!U56)</f>
        <v/>
      </c>
      <c r="AG95" s="2" t="str">
        <f>IF(Converters!V56="","",Converters!V56)</f>
        <v/>
      </c>
      <c r="AH95" s="2" t="str">
        <f>IF(Converters!W56="","",Converters!W56)</f>
        <v/>
      </c>
      <c r="AI95" s="2" t="str">
        <f>IF(Converters!X56="","",Converters!X56)</f>
        <v/>
      </c>
      <c r="AJ95" s="2" t="str">
        <f>IF(Converters!Y56="","",Converters!Y56)</f>
        <v/>
      </c>
    </row>
    <row r="96" spans="1:36">
      <c r="A96" s="1"/>
      <c r="B96" s="25"/>
      <c r="C96" s="26"/>
      <c r="D96" s="4"/>
      <c r="E96" s="4"/>
      <c r="F96" s="1"/>
      <c r="G96" s="1"/>
      <c r="H96" s="1"/>
      <c r="I96" s="1"/>
      <c r="J96" s="1"/>
      <c r="K96" s="1"/>
      <c r="L96" s="1"/>
      <c r="M96" s="2" t="str">
        <f>IF(Converters!B57="","",Converters!B57)</f>
        <v>Viper53SP</v>
      </c>
      <c r="N96" s="2">
        <f>IF(Converters!C57="","",Converters!C57)</f>
        <v>620</v>
      </c>
      <c r="O96" s="2">
        <f>IF(Converters!D57="","",Converters!D57)</f>
        <v>1.7</v>
      </c>
      <c r="P96" s="2">
        <f>IF(Converters!E57="","",Converters!E57)</f>
        <v>60</v>
      </c>
      <c r="Q96" s="2">
        <f>IF(Converters!F57="","",Converters!F57)</f>
        <v>11.5</v>
      </c>
      <c r="R96" s="2">
        <f>IF(Converters!G57="","",Converters!G57)</f>
        <v>9</v>
      </c>
      <c r="S96" s="2">
        <f>IF(Converters!H57="","",Converters!H57)</f>
        <v>50</v>
      </c>
      <c r="T96" s="2">
        <f>IF(Converters!I57="","",Converters!I57)</f>
        <v>100</v>
      </c>
      <c r="U96" s="2" t="str">
        <f>IF(Converters!J57="","",Converters!J57)</f>
        <v/>
      </c>
      <c r="V96" s="2">
        <f>IF(Converters!K57="","",Converters!K57)</f>
        <v>2</v>
      </c>
      <c r="W96" s="2">
        <f>IF(Converters!L57="","",Converters!L57)</f>
        <v>60</v>
      </c>
      <c r="X96" s="2">
        <f>IF(Converters!M57="","",Converters!M57)</f>
        <v>93</v>
      </c>
      <c r="Y96" s="2">
        <f>IF(Converters!N57="","",Converters!N57)</f>
        <v>100</v>
      </c>
      <c r="Z96" s="2">
        <f>IF(Converters!O57="","",Converters!O57)</f>
        <v>107</v>
      </c>
      <c r="AA96" s="2">
        <f>IF(Converters!P57="","",Converters!P57)</f>
        <v>2</v>
      </c>
      <c r="AB96" s="2" t="str">
        <f>IF(Converters!Q57="","",Converters!Q57)</f>
        <v/>
      </c>
      <c r="AC96" s="2">
        <f>IF(Converters!R57="","",Converters!R57)</f>
        <v>1</v>
      </c>
      <c r="AD96" s="2">
        <f>IF(Converters!S57="","",Converters!S57)</f>
        <v>1.2</v>
      </c>
      <c r="AE96" s="2" t="str">
        <f>IF(Converters!T57="","",Converters!T57)</f>
        <v>PowerSO-10</v>
      </c>
      <c r="AF96" s="2" t="str">
        <f>IF(Converters!U57="","",Converters!U57)</f>
        <v/>
      </c>
      <c r="AG96" s="2" t="str">
        <f>IF(Converters!V57="","",Converters!V57)</f>
        <v/>
      </c>
      <c r="AH96" s="2" t="str">
        <f>IF(Converters!W57="","",Converters!W57)</f>
        <v/>
      </c>
      <c r="AI96" s="2" t="str">
        <f>IF(Converters!X57="","",Converters!X57)</f>
        <v/>
      </c>
      <c r="AJ96" s="2" t="str">
        <f>IF(Converters!Y57="","",Converters!Y57)</f>
        <v/>
      </c>
    </row>
    <row r="97" spans="1:36" ht="17.25">
      <c r="A97" s="1"/>
      <c r="B97" s="6"/>
      <c r="C97" s="19" t="s">
        <v>87</v>
      </c>
      <c r="D97" s="19"/>
      <c r="E97" s="39" t="s">
        <v>353</v>
      </c>
      <c r="F97" s="39"/>
      <c r="G97" s="19" t="s">
        <v>88</v>
      </c>
      <c r="H97" s="19"/>
      <c r="I97" s="19" t="s">
        <v>89</v>
      </c>
      <c r="J97" s="40"/>
      <c r="K97" s="1"/>
      <c r="L97" s="1"/>
      <c r="M97" s="2" t="str">
        <f>IF(Converters!B58="","",Converters!B58)</f>
        <v/>
      </c>
      <c r="N97" s="2" t="str">
        <f>IF(Converters!C58="","",Converters!C58)</f>
        <v/>
      </c>
      <c r="O97" s="2" t="str">
        <f>IF(Converters!D58="","",Converters!D58)</f>
        <v/>
      </c>
      <c r="P97" s="2" t="str">
        <f>IF(Converters!E58="","",Converters!E58)</f>
        <v/>
      </c>
      <c r="Q97" s="2" t="str">
        <f>IF(Converters!F58="","",Converters!F58)</f>
        <v/>
      </c>
      <c r="R97" s="2" t="str">
        <f>IF(Converters!G58="","",Converters!G58)</f>
        <v/>
      </c>
      <c r="S97" s="2" t="str">
        <f>IF(Converters!H58="","",Converters!H58)</f>
        <v/>
      </c>
      <c r="T97" s="2" t="str">
        <f>IF(Converters!I58="","",Converters!I58)</f>
        <v/>
      </c>
      <c r="U97" s="2" t="str">
        <f>IF(Converters!J58="","",Converters!J58)</f>
        <v/>
      </c>
      <c r="V97" s="2" t="str">
        <f>IF(Converters!K58="","",Converters!K58)</f>
        <v/>
      </c>
      <c r="W97" s="2" t="str">
        <f>IF(Converters!L58="","",Converters!L58)</f>
        <v/>
      </c>
      <c r="X97" s="2" t="str">
        <f>IF(Converters!M58="","",Converters!M58)</f>
        <v/>
      </c>
      <c r="Y97" s="2" t="str">
        <f>IF(Converters!N58="","",Converters!N58)</f>
        <v/>
      </c>
      <c r="Z97" s="2" t="str">
        <f>IF(Converters!O58="","",Converters!O58)</f>
        <v/>
      </c>
      <c r="AA97" s="2" t="str">
        <f>IF(Converters!P58="","",Converters!P58)</f>
        <v/>
      </c>
      <c r="AB97" s="2" t="str">
        <f>IF(Converters!Q58="","",Converters!Q58)</f>
        <v/>
      </c>
      <c r="AC97" s="2" t="str">
        <f>IF(Converters!R58="","",Converters!R58)</f>
        <v/>
      </c>
      <c r="AD97" s="2" t="str">
        <f>IF(Converters!S58="","",Converters!S58)</f>
        <v/>
      </c>
      <c r="AE97" s="2" t="str">
        <f>IF(Converters!T58="","",Converters!T58)</f>
        <v/>
      </c>
      <c r="AF97" s="2" t="str">
        <f>IF(Converters!U58="","",Converters!U58)</f>
        <v/>
      </c>
      <c r="AG97" s="2" t="str">
        <f>IF(Converters!V58="","",Converters!V58)</f>
        <v/>
      </c>
      <c r="AH97" s="2" t="str">
        <f>IF(Converters!W58="","",Converters!W58)</f>
        <v/>
      </c>
      <c r="AI97" s="2" t="str">
        <f>IF(Converters!X58="","",Converters!X58)</f>
        <v/>
      </c>
      <c r="AJ97" s="2" t="str">
        <f>IF(Converters!Y58="","",Converters!Y58)</f>
        <v/>
      </c>
    </row>
    <row r="98" spans="1:36">
      <c r="A98" s="1"/>
      <c r="B98" s="12" t="s">
        <v>90</v>
      </c>
      <c r="C98" s="28">
        <v>1000</v>
      </c>
      <c r="D98" s="1" t="s">
        <v>28</v>
      </c>
      <c r="E98" s="28">
        <v>30</v>
      </c>
      <c r="F98" s="4" t="s">
        <v>91</v>
      </c>
      <c r="G98" s="41">
        <f>SQRT(Io1rms^2-Io_1^2)</f>
        <v>1.9927199171273655</v>
      </c>
      <c r="H98" s="18" t="s">
        <v>15</v>
      </c>
      <c r="I98" s="30">
        <f>1000000*Io_1*Dmax/Co_1/fs+Ipk*VRO*Rc_1/1000/(_Vo1+_VF1)*_KL1</f>
        <v>0.19023340829299229</v>
      </c>
      <c r="J98" s="18" t="s">
        <v>14</v>
      </c>
      <c r="K98" s="1"/>
      <c r="L98" s="1"/>
      <c r="M98" s="2" t="str">
        <f>IF(Converters!B59="","",Converters!B59)</f>
        <v/>
      </c>
      <c r="N98" s="2" t="str">
        <f>IF(Converters!C59="","",Converters!C59)</f>
        <v/>
      </c>
      <c r="O98" s="2" t="str">
        <f>IF(Converters!D59="","",Converters!D59)</f>
        <v/>
      </c>
      <c r="P98" s="2" t="str">
        <f>IF(Converters!E59="","",Converters!E59)</f>
        <v/>
      </c>
      <c r="Q98" s="2" t="str">
        <f>IF(Converters!F59="","",Converters!F59)</f>
        <v/>
      </c>
      <c r="R98" s="2" t="str">
        <f>IF(Converters!G59="","",Converters!G59)</f>
        <v/>
      </c>
      <c r="S98" s="2" t="str">
        <f>IF(Converters!H59="","",Converters!H59)</f>
        <v/>
      </c>
      <c r="T98" s="2" t="str">
        <f>IF(Converters!I59="","",Converters!I59)</f>
        <v/>
      </c>
      <c r="U98" s="2" t="str">
        <f>IF(Converters!J59="","",Converters!J59)</f>
        <v/>
      </c>
      <c r="V98" s="2" t="str">
        <f>IF(Converters!K59="","",Converters!K59)</f>
        <v/>
      </c>
      <c r="W98" s="2" t="str">
        <f>IF(Converters!L59="","",Converters!L59)</f>
        <v/>
      </c>
      <c r="X98" s="2" t="str">
        <f>IF(Converters!M59="","",Converters!M59)</f>
        <v/>
      </c>
      <c r="Y98" s="2" t="str">
        <f>IF(Converters!N59="","",Converters!N59)</f>
        <v/>
      </c>
      <c r="Z98" s="2" t="str">
        <f>IF(Converters!O59="","",Converters!O59)</f>
        <v/>
      </c>
      <c r="AA98" s="2" t="str">
        <f>IF(Converters!P59="","",Converters!P59)</f>
        <v/>
      </c>
      <c r="AB98" s="2" t="str">
        <f>IF(Converters!Q59="","",Converters!Q59)</f>
        <v/>
      </c>
      <c r="AC98" s="2" t="str">
        <f>IF(Converters!R59="","",Converters!R59)</f>
        <v/>
      </c>
      <c r="AD98" s="2" t="str">
        <f>IF(Converters!S59="","",Converters!S59)</f>
        <v/>
      </c>
      <c r="AE98" s="2" t="str">
        <f>IF(Converters!T59="","",Converters!T59)</f>
        <v/>
      </c>
      <c r="AF98" s="2" t="str">
        <f>IF(Converters!U59="","",Converters!U59)</f>
        <v/>
      </c>
      <c r="AG98" s="2" t="str">
        <f>IF(Converters!V59="","",Converters!V59)</f>
        <v/>
      </c>
      <c r="AH98" s="2" t="str">
        <f>IF(Converters!W59="","",Converters!W59)</f>
        <v/>
      </c>
      <c r="AI98" s="2" t="str">
        <f>IF(Converters!X59="","",Converters!X59)</f>
        <v/>
      </c>
      <c r="AJ98" s="2" t="str">
        <f>IF(Converters!Y59="","",Converters!Y59)</f>
        <v/>
      </c>
    </row>
    <row r="99" spans="1:36">
      <c r="A99" s="1"/>
      <c r="B99" s="12" t="s">
        <v>92</v>
      </c>
      <c r="C99" s="28"/>
      <c r="D99" s="1" t="s">
        <v>28</v>
      </c>
      <c r="E99" s="28"/>
      <c r="F99" s="4" t="s">
        <v>91</v>
      </c>
      <c r="G99" s="41" t="e">
        <f>SQRT(Io2rms^2-Io_2^2)</f>
        <v>#DIV/0!</v>
      </c>
      <c r="H99" s="18" t="s">
        <v>15</v>
      </c>
      <c r="I99" s="30" t="e">
        <f>1000000*Io_2*Dmax/Co_2/fs+Ipk*VRO*Rc_2/1000/(_Vo2+_VF2)*_KL2</f>
        <v>#DIV/0!</v>
      </c>
      <c r="J99" s="18" t="s">
        <v>14</v>
      </c>
      <c r="K99" s="1"/>
      <c r="L99" s="1"/>
      <c r="M99" s="2" t="str">
        <f>IF(Converters!B60="","",Converters!B60)</f>
        <v/>
      </c>
      <c r="N99" s="2" t="str">
        <f>IF(Converters!C60="","",Converters!C60)</f>
        <v/>
      </c>
      <c r="O99" s="2" t="str">
        <f>IF(Converters!D60="","",Converters!D60)</f>
        <v/>
      </c>
      <c r="P99" s="2" t="str">
        <f>IF(Converters!E60="","",Converters!E60)</f>
        <v/>
      </c>
      <c r="Q99" s="2" t="str">
        <f>IF(Converters!F60="","",Converters!F60)</f>
        <v/>
      </c>
      <c r="R99" s="2" t="str">
        <f>IF(Converters!G60="","",Converters!G60)</f>
        <v/>
      </c>
      <c r="S99" s="2" t="str">
        <f>IF(Converters!H60="","",Converters!H60)</f>
        <v/>
      </c>
      <c r="T99" s="2" t="str">
        <f>IF(Converters!I60="","",Converters!I60)</f>
        <v/>
      </c>
      <c r="U99" s="2" t="str">
        <f>IF(Converters!J60="","",Converters!J60)</f>
        <v/>
      </c>
      <c r="V99" s="2" t="str">
        <f>IF(Converters!K60="","",Converters!K60)</f>
        <v/>
      </c>
      <c r="W99" s="2" t="str">
        <f>IF(Converters!L60="","",Converters!L60)</f>
        <v/>
      </c>
      <c r="X99" s="2" t="str">
        <f>IF(Converters!M60="","",Converters!M60)</f>
        <v/>
      </c>
      <c r="Y99" s="2" t="str">
        <f>IF(Converters!N60="","",Converters!N60)</f>
        <v/>
      </c>
      <c r="Z99" s="2" t="str">
        <f>IF(Converters!O60="","",Converters!O60)</f>
        <v/>
      </c>
      <c r="AA99" s="2" t="str">
        <f>IF(Converters!P60="","",Converters!P60)</f>
        <v/>
      </c>
      <c r="AB99" s="2" t="str">
        <f>IF(Converters!Q60="","",Converters!Q60)</f>
        <v/>
      </c>
      <c r="AC99" s="2" t="str">
        <f>IF(Converters!R60="","",Converters!R60)</f>
        <v/>
      </c>
      <c r="AD99" s="2" t="str">
        <f>IF(Converters!S60="","",Converters!S60)</f>
        <v/>
      </c>
      <c r="AE99" s="2" t="str">
        <f>IF(Converters!T60="","",Converters!T60)</f>
        <v/>
      </c>
      <c r="AF99" s="2" t="str">
        <f>IF(Converters!U60="","",Converters!U60)</f>
        <v/>
      </c>
      <c r="AG99" s="2" t="str">
        <f>IF(Converters!V60="","",Converters!V60)</f>
        <v/>
      </c>
      <c r="AH99" s="2" t="str">
        <f>IF(Converters!W60="","",Converters!W60)</f>
        <v/>
      </c>
      <c r="AI99" s="2" t="str">
        <f>IF(Converters!X60="","",Converters!X60)</f>
        <v/>
      </c>
      <c r="AJ99" s="2" t="str">
        <f>IF(Converters!Y60="","",Converters!Y60)</f>
        <v/>
      </c>
    </row>
    <row r="100" spans="1:36">
      <c r="A100" s="1"/>
      <c r="B100" s="12" t="s">
        <v>93</v>
      </c>
      <c r="C100" s="28"/>
      <c r="D100" s="1" t="s">
        <v>28</v>
      </c>
      <c r="E100" s="28"/>
      <c r="F100" s="4" t="s">
        <v>91</v>
      </c>
      <c r="G100" s="41" t="e">
        <f>SQRT(Io3rms^2-Io_3^2)</f>
        <v>#DIV/0!</v>
      </c>
      <c r="H100" s="18" t="s">
        <v>15</v>
      </c>
      <c r="I100" s="30" t="e">
        <f>1000000*Io_3*Dmax/Co_3/fs+Ipk*VRO*Rc_3/1000/(_Vo3+_VF3)*_KL3</f>
        <v>#DIV/0!</v>
      </c>
      <c r="J100" s="18" t="s">
        <v>14</v>
      </c>
      <c r="K100" s="1"/>
      <c r="L100" s="1"/>
      <c r="M100" s="2" t="str">
        <f>IF(Converters!B61="","",Converters!B61)</f>
        <v/>
      </c>
      <c r="N100" s="2" t="str">
        <f>IF(Converters!C61="","",Converters!C61)</f>
        <v/>
      </c>
      <c r="O100" s="2" t="str">
        <f>IF(Converters!D61="","",Converters!D61)</f>
        <v/>
      </c>
      <c r="P100" s="2" t="str">
        <f>IF(Converters!E61="","",Converters!E61)</f>
        <v/>
      </c>
      <c r="Q100" s="2" t="str">
        <f>IF(Converters!F61="","",Converters!F61)</f>
        <v/>
      </c>
      <c r="R100" s="2" t="str">
        <f>IF(Converters!G61="","",Converters!G61)</f>
        <v/>
      </c>
      <c r="S100" s="2" t="str">
        <f>IF(Converters!H61="","",Converters!H61)</f>
        <v/>
      </c>
      <c r="T100" s="2" t="str">
        <f>IF(Converters!I61="","",Converters!I61)</f>
        <v/>
      </c>
      <c r="U100" s="2" t="str">
        <f>IF(Converters!J61="","",Converters!J61)</f>
        <v/>
      </c>
      <c r="V100" s="2" t="str">
        <f>IF(Converters!K61="","",Converters!K61)</f>
        <v/>
      </c>
      <c r="W100" s="2" t="str">
        <f>IF(Converters!L61="","",Converters!L61)</f>
        <v/>
      </c>
      <c r="X100" s="2" t="str">
        <f>IF(Converters!M61="","",Converters!M61)</f>
        <v/>
      </c>
      <c r="Y100" s="2" t="str">
        <f>IF(Converters!N61="","",Converters!N61)</f>
        <v/>
      </c>
      <c r="Z100" s="2" t="str">
        <f>IF(Converters!O61="","",Converters!O61)</f>
        <v/>
      </c>
      <c r="AA100" s="2" t="str">
        <f>IF(Converters!P61="","",Converters!P61)</f>
        <v/>
      </c>
      <c r="AB100" s="2" t="str">
        <f>IF(Converters!Q61="","",Converters!Q61)</f>
        <v/>
      </c>
      <c r="AC100" s="2" t="str">
        <f>IF(Converters!R61="","",Converters!R61)</f>
        <v/>
      </c>
      <c r="AD100" s="2" t="str">
        <f>IF(Converters!S61="","",Converters!S61)</f>
        <v/>
      </c>
      <c r="AE100" s="2" t="str">
        <f>IF(Converters!T61="","",Converters!T61)</f>
        <v/>
      </c>
      <c r="AF100" s="2" t="str">
        <f>IF(Converters!U61="","",Converters!U61)</f>
        <v/>
      </c>
      <c r="AG100" s="2" t="str">
        <f>IF(Converters!V61="","",Converters!V61)</f>
        <v/>
      </c>
      <c r="AH100" s="2" t="str">
        <f>IF(Converters!W61="","",Converters!W61)</f>
        <v/>
      </c>
      <c r="AI100" s="2" t="str">
        <f>IF(Converters!X61="","",Converters!X61)</f>
        <v/>
      </c>
      <c r="AJ100" s="2" t="str">
        <f>IF(Converters!Y61="","",Converters!Y61)</f>
        <v/>
      </c>
    </row>
    <row r="101" spans="1:36">
      <c r="A101" s="1"/>
      <c r="B101" s="12" t="s">
        <v>94</v>
      </c>
      <c r="C101" s="28"/>
      <c r="D101" s="1" t="s">
        <v>28</v>
      </c>
      <c r="E101" s="28"/>
      <c r="F101" s="4" t="s">
        <v>91</v>
      </c>
      <c r="G101" s="41" t="e">
        <f>SQRT(Io4rms^2-Io_4^2)</f>
        <v>#DIV/0!</v>
      </c>
      <c r="H101" s="18" t="s">
        <v>15</v>
      </c>
      <c r="I101" s="30" t="e">
        <f>1000000*Io_4*Dmax/Co_4/fs+Ipk*VRO*Rc_4/1000/(_Vo4+_VF4)*_KL4</f>
        <v>#DIV/0!</v>
      </c>
      <c r="J101" s="18" t="s">
        <v>14</v>
      </c>
      <c r="K101" s="1"/>
      <c r="L101" s="1"/>
      <c r="M101" s="2" t="str">
        <f>IF(Converters!B62="","",Converters!B62)</f>
        <v/>
      </c>
      <c r="N101" s="2" t="str">
        <f>IF(Converters!C62="","",Converters!C62)</f>
        <v/>
      </c>
      <c r="O101" s="2" t="str">
        <f>IF(Converters!D62="","",Converters!D62)</f>
        <v/>
      </c>
      <c r="P101" s="2" t="str">
        <f>IF(Converters!E62="","",Converters!E62)</f>
        <v/>
      </c>
      <c r="Q101" s="2" t="str">
        <f>IF(Converters!F62="","",Converters!F62)</f>
        <v/>
      </c>
      <c r="R101" s="2" t="str">
        <f>IF(Converters!G62="","",Converters!G62)</f>
        <v/>
      </c>
      <c r="S101" s="2" t="str">
        <f>IF(Converters!H62="","",Converters!H62)</f>
        <v/>
      </c>
      <c r="T101" s="2" t="str">
        <f>IF(Converters!I62="","",Converters!I62)</f>
        <v/>
      </c>
      <c r="U101" s="2" t="str">
        <f>IF(Converters!J62="","",Converters!J62)</f>
        <v/>
      </c>
      <c r="V101" s="2" t="str">
        <f>IF(Converters!K62="","",Converters!K62)</f>
        <v/>
      </c>
      <c r="W101" s="2" t="str">
        <f>IF(Converters!L62="","",Converters!L62)</f>
        <v/>
      </c>
      <c r="X101" s="2" t="str">
        <f>IF(Converters!M62="","",Converters!M62)</f>
        <v/>
      </c>
      <c r="Y101" s="2" t="str">
        <f>IF(Converters!N62="","",Converters!N62)</f>
        <v/>
      </c>
      <c r="Z101" s="2" t="str">
        <f>IF(Converters!O62="","",Converters!O62)</f>
        <v/>
      </c>
      <c r="AA101" s="2" t="str">
        <f>IF(Converters!P62="","",Converters!P62)</f>
        <v/>
      </c>
      <c r="AB101" s="2" t="str">
        <f>IF(Converters!Q62="","",Converters!Q62)</f>
        <v/>
      </c>
      <c r="AC101" s="2" t="str">
        <f>IF(Converters!R62="","",Converters!R62)</f>
        <v/>
      </c>
      <c r="AD101" s="2" t="str">
        <f>IF(Converters!S62="","",Converters!S62)</f>
        <v/>
      </c>
      <c r="AE101" s="2" t="str">
        <f>IF(Converters!T62="","",Converters!T62)</f>
        <v/>
      </c>
      <c r="AF101" s="2" t="str">
        <f>IF(Converters!U62="","",Converters!U62)</f>
        <v/>
      </c>
      <c r="AG101" s="2" t="str">
        <f>IF(Converters!V62="","",Converters!V62)</f>
        <v/>
      </c>
      <c r="AH101" s="2" t="str">
        <f>IF(Converters!W62="","",Converters!W62)</f>
        <v/>
      </c>
      <c r="AI101" s="2" t="str">
        <f>IF(Converters!X62="","",Converters!X62)</f>
        <v/>
      </c>
      <c r="AJ101" s="2" t="str">
        <f>IF(Converters!Y62="","",Converters!Y62)</f>
        <v/>
      </c>
    </row>
    <row r="102" spans="1:36">
      <c r="A102" s="1"/>
      <c r="B102" s="12" t="s">
        <v>95</v>
      </c>
      <c r="C102" s="28"/>
      <c r="D102" s="1" t="s">
        <v>28</v>
      </c>
      <c r="E102" s="28"/>
      <c r="F102" s="4" t="s">
        <v>91</v>
      </c>
      <c r="G102" s="41" t="e">
        <f>SQRT(Io5rms^2-Io_5^2)</f>
        <v>#DIV/0!</v>
      </c>
      <c r="H102" s="18" t="s">
        <v>15</v>
      </c>
      <c r="I102" s="30" t="e">
        <f>1000000*Io_5*Dmax/Co_5/fs+Ipk*VRO*Rc_5/1000/(_Vo5+_VF5)*_KL5</f>
        <v>#DIV/0!</v>
      </c>
      <c r="J102" s="18" t="s">
        <v>14</v>
      </c>
      <c r="K102" s="1"/>
      <c r="L102" s="42"/>
      <c r="M102" s="2" t="str">
        <f>IF(Converters!B63="","",Converters!B63)</f>
        <v/>
      </c>
      <c r="N102" s="2" t="str">
        <f>IF(Converters!C63="","",Converters!C63)</f>
        <v/>
      </c>
      <c r="O102" s="2" t="str">
        <f>IF(Converters!D63="","",Converters!D63)</f>
        <v/>
      </c>
      <c r="P102" s="2" t="str">
        <f>IF(Converters!E63="","",Converters!E63)</f>
        <v/>
      </c>
      <c r="Q102" s="2" t="str">
        <f>IF(Converters!F63="","",Converters!F63)</f>
        <v/>
      </c>
      <c r="R102" s="2" t="str">
        <f>IF(Converters!G63="","",Converters!G63)</f>
        <v/>
      </c>
      <c r="S102" s="2" t="str">
        <f>IF(Converters!H63="","",Converters!H63)</f>
        <v/>
      </c>
      <c r="T102" s="2" t="str">
        <f>IF(Converters!I63="","",Converters!I63)</f>
        <v/>
      </c>
      <c r="U102" s="2" t="str">
        <f>IF(Converters!J63="","",Converters!J63)</f>
        <v/>
      </c>
      <c r="V102" s="2" t="str">
        <f>IF(Converters!K63="","",Converters!K63)</f>
        <v/>
      </c>
      <c r="W102" s="2" t="str">
        <f>IF(Converters!L63="","",Converters!L63)</f>
        <v/>
      </c>
      <c r="X102" s="2" t="str">
        <f>IF(Converters!M63="","",Converters!M63)</f>
        <v/>
      </c>
      <c r="Y102" s="2" t="str">
        <f>IF(Converters!N63="","",Converters!N63)</f>
        <v/>
      </c>
      <c r="Z102" s="2" t="str">
        <f>IF(Converters!O63="","",Converters!O63)</f>
        <v/>
      </c>
      <c r="AA102" s="2" t="str">
        <f>IF(Converters!P63="","",Converters!P63)</f>
        <v/>
      </c>
      <c r="AB102" s="2" t="str">
        <f>IF(Converters!Q63="","",Converters!Q63)</f>
        <v/>
      </c>
      <c r="AC102" s="2" t="str">
        <f>IF(Converters!R63="","",Converters!R63)</f>
        <v/>
      </c>
      <c r="AD102" s="2" t="str">
        <f>IF(Converters!S63="","",Converters!S63)</f>
        <v/>
      </c>
      <c r="AE102" s="2" t="str">
        <f>IF(Converters!T63="","",Converters!T63)</f>
        <v/>
      </c>
      <c r="AF102" s="2" t="str">
        <f>IF(Converters!U63="","",Converters!U63)</f>
        <v/>
      </c>
      <c r="AG102" s="2" t="str">
        <f>IF(Converters!V63="","",Converters!V63)</f>
        <v/>
      </c>
      <c r="AH102" s="2" t="str">
        <f>IF(Converters!W63="","",Converters!W63)</f>
        <v/>
      </c>
      <c r="AI102" s="2" t="str">
        <f>IF(Converters!X63="","",Converters!X63)</f>
        <v/>
      </c>
      <c r="AJ102" s="2" t="str">
        <f>IF(Converters!Y63="","",Converters!Y63)</f>
        <v/>
      </c>
    </row>
    <row r="103" spans="1:36">
      <c r="A103" s="1"/>
      <c r="B103" s="12" t="s">
        <v>96</v>
      </c>
      <c r="C103" s="28"/>
      <c r="D103" s="1" t="s">
        <v>28</v>
      </c>
      <c r="E103" s="28"/>
      <c r="F103" s="4" t="s">
        <v>91</v>
      </c>
      <c r="G103" s="41" t="e">
        <f>SQRT(Io6rms^2-Io_6^2)</f>
        <v>#DIV/0!</v>
      </c>
      <c r="H103" s="18" t="s">
        <v>15</v>
      </c>
      <c r="I103" s="30" t="e">
        <f>1000000*Io_6*Dmax/Co_6/fs+Ipk*VRO*Rc_6/1000/(_Vo6+_VF6)*_KL6</f>
        <v>#DIV/0!</v>
      </c>
      <c r="J103" s="18" t="s">
        <v>14</v>
      </c>
      <c r="K103" s="1"/>
      <c r="L103" s="42"/>
      <c r="M103" s="2" t="str">
        <f>IF(Converters!B64="","",Converters!B64)</f>
        <v/>
      </c>
      <c r="N103" s="2" t="str">
        <f>IF(Converters!C64="","",Converters!C64)</f>
        <v/>
      </c>
      <c r="O103" s="2" t="str">
        <f>IF(Converters!D64="","",Converters!D64)</f>
        <v/>
      </c>
      <c r="P103" s="2" t="str">
        <f>IF(Converters!E64="","",Converters!E64)</f>
        <v/>
      </c>
      <c r="Q103" s="2" t="str">
        <f>IF(Converters!F64="","",Converters!F64)</f>
        <v/>
      </c>
      <c r="R103" s="2" t="str">
        <f>IF(Converters!G64="","",Converters!G64)</f>
        <v/>
      </c>
      <c r="S103" s="2" t="str">
        <f>IF(Converters!H64="","",Converters!H64)</f>
        <v/>
      </c>
      <c r="T103" s="2" t="str">
        <f>IF(Converters!I64="","",Converters!I64)</f>
        <v/>
      </c>
      <c r="U103" s="2" t="str">
        <f>IF(Converters!J64="","",Converters!J64)</f>
        <v/>
      </c>
      <c r="V103" s="2" t="str">
        <f>IF(Converters!K64="","",Converters!K64)</f>
        <v/>
      </c>
      <c r="W103" s="2" t="str">
        <f>IF(Converters!L64="","",Converters!L64)</f>
        <v/>
      </c>
      <c r="X103" s="2" t="str">
        <f>IF(Converters!M64="","",Converters!M64)</f>
        <v/>
      </c>
      <c r="Y103" s="2" t="str">
        <f>IF(Converters!N64="","",Converters!N64)</f>
        <v/>
      </c>
      <c r="Z103" s="2" t="str">
        <f>IF(Converters!O64="","",Converters!O64)</f>
        <v/>
      </c>
      <c r="AA103" s="2" t="str">
        <f>IF(Converters!P64="","",Converters!P64)</f>
        <v/>
      </c>
      <c r="AB103" s="2" t="str">
        <f>IF(Converters!Q64="","",Converters!Q64)</f>
        <v/>
      </c>
      <c r="AC103" s="2" t="str">
        <f>IF(Converters!R64="","",Converters!R64)</f>
        <v/>
      </c>
      <c r="AD103" s="2" t="str">
        <f>IF(Converters!S64="","",Converters!S64)</f>
        <v/>
      </c>
      <c r="AE103" s="2" t="str">
        <f>IF(Converters!T64="","",Converters!T64)</f>
        <v/>
      </c>
      <c r="AF103" s="2" t="str">
        <f>IF(Converters!U64="","",Converters!U64)</f>
        <v/>
      </c>
      <c r="AG103" s="2" t="str">
        <f>IF(Converters!V64="","",Converters!V64)</f>
        <v/>
      </c>
      <c r="AH103" s="2" t="str">
        <f>IF(Converters!W64="","",Converters!W64)</f>
        <v/>
      </c>
      <c r="AI103" s="2" t="str">
        <f>IF(Converters!X64="","",Converters!X64)</f>
        <v/>
      </c>
      <c r="AJ103" s="2" t="str">
        <f>IF(Converters!Y64="","",Converters!Y64)</f>
        <v/>
      </c>
    </row>
    <row r="104" spans="1:3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42"/>
      <c r="M104" s="2" t="str">
        <f>IF(Converters!B65="","",Converters!B65)</f>
        <v/>
      </c>
      <c r="N104" s="2" t="str">
        <f>IF(Converters!C65="","",Converters!C65)</f>
        <v/>
      </c>
      <c r="O104" s="2" t="str">
        <f>IF(Converters!D65="","",Converters!D65)</f>
        <v/>
      </c>
      <c r="P104" s="2" t="str">
        <f>IF(Converters!E65="","",Converters!E65)</f>
        <v/>
      </c>
      <c r="Q104" s="2" t="str">
        <f>IF(Converters!F65="","",Converters!F65)</f>
        <v/>
      </c>
      <c r="R104" s="2" t="str">
        <f>IF(Converters!G65="","",Converters!G65)</f>
        <v/>
      </c>
      <c r="S104" s="2" t="str">
        <f>IF(Converters!H65="","",Converters!H65)</f>
        <v/>
      </c>
      <c r="T104" s="2" t="str">
        <f>IF(Converters!I65="","",Converters!I65)</f>
        <v/>
      </c>
      <c r="U104" s="2" t="str">
        <f>IF(Converters!J65="","",Converters!J65)</f>
        <v/>
      </c>
      <c r="V104" s="2" t="str">
        <f>IF(Converters!K65="","",Converters!K65)</f>
        <v/>
      </c>
      <c r="W104" s="2" t="str">
        <f>IF(Converters!L65="","",Converters!L65)</f>
        <v/>
      </c>
      <c r="X104" s="2" t="str">
        <f>IF(Converters!M65="","",Converters!M65)</f>
        <v/>
      </c>
      <c r="Y104" s="2" t="str">
        <f>IF(Converters!N65="","",Converters!N65)</f>
        <v/>
      </c>
      <c r="Z104" s="2" t="str">
        <f>IF(Converters!O65="","",Converters!O65)</f>
        <v/>
      </c>
      <c r="AA104" s="2" t="str">
        <f>IF(Converters!P65="","",Converters!P65)</f>
        <v/>
      </c>
      <c r="AB104" s="2" t="str">
        <f>IF(Converters!Q65="","",Converters!Q65)</f>
        <v/>
      </c>
      <c r="AC104" s="2" t="str">
        <f>IF(Converters!R65="","",Converters!R65)</f>
        <v/>
      </c>
      <c r="AD104" s="2" t="str">
        <f>IF(Converters!S65="","",Converters!S65)</f>
        <v/>
      </c>
      <c r="AE104" s="2" t="str">
        <f>IF(Converters!T65="","",Converters!T65)</f>
        <v/>
      </c>
      <c r="AF104" s="2" t="str">
        <f>IF(Converters!U65="","",Converters!U65)</f>
        <v/>
      </c>
      <c r="AG104" s="2" t="str">
        <f>IF(Converters!V65="","",Converters!V65)</f>
        <v/>
      </c>
      <c r="AH104" s="2" t="str">
        <f>IF(Converters!W65="","",Converters!W65)</f>
        <v/>
      </c>
      <c r="AI104" s="2" t="str">
        <f>IF(Converters!X65="","",Converters!X65)</f>
        <v/>
      </c>
      <c r="AJ104" s="2" t="str">
        <f>IF(Converters!Y65="","",Converters!Y65)</f>
        <v/>
      </c>
    </row>
    <row r="105" spans="1:36">
      <c r="A105" s="199" t="s">
        <v>97</v>
      </c>
      <c r="B105" s="199"/>
      <c r="C105" s="199"/>
      <c r="D105" s="199"/>
      <c r="E105" s="199"/>
      <c r="F105" s="199"/>
      <c r="G105" s="199"/>
      <c r="H105" s="199"/>
      <c r="I105" s="199"/>
      <c r="J105" s="199"/>
      <c r="K105" s="1"/>
      <c r="L105" s="42"/>
      <c r="M105" s="2" t="str">
        <f>IF(Converters!B66="","",Converters!B66)</f>
        <v/>
      </c>
      <c r="N105" s="2" t="str">
        <f>IF(Converters!C66="","",Converters!C66)</f>
        <v/>
      </c>
      <c r="O105" s="2" t="str">
        <f>IF(Converters!D66="","",Converters!D66)</f>
        <v/>
      </c>
      <c r="P105" s="2" t="str">
        <f>IF(Converters!E66="","",Converters!E66)</f>
        <v/>
      </c>
      <c r="Q105" s="2" t="str">
        <f>IF(Converters!F66="","",Converters!F66)</f>
        <v/>
      </c>
      <c r="R105" s="2" t="str">
        <f>IF(Converters!G66="","",Converters!G66)</f>
        <v/>
      </c>
      <c r="S105" s="2" t="str">
        <f>IF(Converters!H66="","",Converters!H66)</f>
        <v/>
      </c>
      <c r="T105" s="2" t="str">
        <f>IF(Converters!I66="","",Converters!I66)</f>
        <v/>
      </c>
      <c r="U105" s="2" t="str">
        <f>IF(Converters!J66="","",Converters!J66)</f>
        <v/>
      </c>
      <c r="V105" s="2" t="str">
        <f>IF(Converters!K66="","",Converters!K66)</f>
        <v/>
      </c>
      <c r="W105" s="2" t="str">
        <f>IF(Converters!L66="","",Converters!L66)</f>
        <v/>
      </c>
      <c r="X105" s="2" t="str">
        <f>IF(Converters!M66="","",Converters!M66)</f>
        <v/>
      </c>
      <c r="Y105" s="2" t="str">
        <f>IF(Converters!N66="","",Converters!N66)</f>
        <v/>
      </c>
      <c r="Z105" s="2" t="str">
        <f>IF(Converters!O66="","",Converters!O66)</f>
        <v/>
      </c>
      <c r="AA105" s="2" t="str">
        <f>IF(Converters!P66="","",Converters!P66)</f>
        <v/>
      </c>
      <c r="AB105" s="2" t="str">
        <f>IF(Converters!Q66="","",Converters!Q66)</f>
        <v/>
      </c>
      <c r="AC105" s="2" t="str">
        <f>IF(Converters!R66="","",Converters!R66)</f>
        <v/>
      </c>
      <c r="AD105" s="2" t="str">
        <f>IF(Converters!S66="","",Converters!S66)</f>
        <v/>
      </c>
      <c r="AE105" s="2" t="str">
        <f>IF(Converters!T66="","",Converters!T66)</f>
        <v/>
      </c>
      <c r="AF105" s="2" t="str">
        <f>IF(Converters!U66="","",Converters!U66)</f>
        <v/>
      </c>
      <c r="AG105" s="2" t="str">
        <f>IF(Converters!V66="","",Converters!V66)</f>
        <v/>
      </c>
      <c r="AH105" s="2" t="str">
        <f>IF(Converters!W66="","",Converters!W66)</f>
        <v/>
      </c>
      <c r="AI105" s="2" t="str">
        <f>IF(Converters!X66="","",Converters!X66)</f>
        <v/>
      </c>
      <c r="AJ105" s="2" t="str">
        <f>IF(Converters!Y66="","",Converters!Y66)</f>
        <v/>
      </c>
    </row>
    <row r="106" spans="1:36">
      <c r="A106" s="92"/>
      <c r="B106" s="92"/>
      <c r="C106" s="92"/>
      <c r="D106" s="92"/>
      <c r="E106" s="92"/>
      <c r="F106" s="92"/>
      <c r="G106" s="92"/>
      <c r="H106" s="92"/>
      <c r="I106" s="92"/>
      <c r="J106" s="92"/>
      <c r="K106" s="1"/>
      <c r="L106" s="42"/>
      <c r="M106" s="2" t="str">
        <f>IF(Converters!B67="","",Converters!B67)</f>
        <v/>
      </c>
      <c r="N106" s="2" t="str">
        <f>IF(Converters!C67="","",Converters!C67)</f>
        <v/>
      </c>
      <c r="O106" s="2" t="str">
        <f>IF(Converters!D67="","",Converters!D67)</f>
        <v/>
      </c>
      <c r="P106" s="2" t="str">
        <f>IF(Converters!E67="","",Converters!E67)</f>
        <v/>
      </c>
      <c r="Q106" s="2" t="str">
        <f>IF(Converters!F67="","",Converters!F67)</f>
        <v/>
      </c>
      <c r="R106" s="2" t="str">
        <f>IF(Converters!G67="","",Converters!G67)</f>
        <v/>
      </c>
      <c r="S106" s="2" t="str">
        <f>IF(Converters!H67="","",Converters!H67)</f>
        <v/>
      </c>
      <c r="T106" s="2" t="str">
        <f>IF(Converters!I67="","",Converters!I67)</f>
        <v/>
      </c>
      <c r="U106" s="2" t="str">
        <f>IF(Converters!J67="","",Converters!J67)</f>
        <v/>
      </c>
      <c r="V106" s="2" t="str">
        <f>IF(Converters!K67="","",Converters!K67)</f>
        <v/>
      </c>
      <c r="W106" s="2" t="str">
        <f>IF(Converters!L67="","",Converters!L67)</f>
        <v/>
      </c>
      <c r="X106" s="2" t="str">
        <f>IF(Converters!M67="","",Converters!M67)</f>
        <v/>
      </c>
      <c r="Y106" s="2" t="str">
        <f>IF(Converters!N67="","",Converters!N67)</f>
        <v/>
      </c>
      <c r="Z106" s="2" t="str">
        <f>IF(Converters!O67="","",Converters!O67)</f>
        <v/>
      </c>
      <c r="AA106" s="2" t="str">
        <f>IF(Converters!P67="","",Converters!P67)</f>
        <v/>
      </c>
      <c r="AB106" s="2" t="str">
        <f>IF(Converters!Q67="","",Converters!Q67)</f>
        <v/>
      </c>
      <c r="AC106" s="2" t="str">
        <f>IF(Converters!R67="","",Converters!R67)</f>
        <v/>
      </c>
      <c r="AD106" s="2" t="str">
        <f>IF(Converters!S67="","",Converters!S67)</f>
        <v/>
      </c>
      <c r="AE106" s="2" t="str">
        <f>IF(Converters!T67="","",Converters!T67)</f>
        <v/>
      </c>
      <c r="AF106" s="2" t="str">
        <f>IF(Converters!U67="","",Converters!U67)</f>
        <v/>
      </c>
      <c r="AG106" s="2" t="str">
        <f>IF(Converters!V67="","",Converters!V67)</f>
        <v/>
      </c>
      <c r="AH106" s="2" t="str">
        <f>IF(Converters!W67="","",Converters!W67)</f>
        <v/>
      </c>
      <c r="AI106" s="2" t="str">
        <f>IF(Converters!X67="","",Converters!X67)</f>
        <v/>
      </c>
      <c r="AJ106" s="2" t="str">
        <f>IF(Converters!Y67="","",Converters!Y67)</f>
        <v/>
      </c>
    </row>
    <row r="107" spans="1:36" ht="16.5" customHeight="1">
      <c r="A107" s="92"/>
      <c r="B107" s="1" t="s">
        <v>354</v>
      </c>
      <c r="C107" s="93">
        <v>2</v>
      </c>
      <c r="D107" s="94" t="s">
        <v>17</v>
      </c>
      <c r="E107" s="92"/>
      <c r="F107" s="92"/>
      <c r="G107" s="92"/>
      <c r="H107" s="92"/>
      <c r="I107" s="92"/>
      <c r="J107" s="92"/>
      <c r="K107" s="1"/>
      <c r="L107" s="42"/>
      <c r="M107" s="2" t="str">
        <f>IF(Converters!B68="","",Converters!B68)</f>
        <v/>
      </c>
      <c r="N107" s="2" t="str">
        <f>IF(Converters!C68="","",Converters!C68)</f>
        <v/>
      </c>
      <c r="O107" s="2" t="str">
        <f>IF(Converters!D68="","",Converters!D68)</f>
        <v/>
      </c>
      <c r="P107" s="2" t="str">
        <f>IF(Converters!E68="","",Converters!E68)</f>
        <v/>
      </c>
      <c r="Q107" s="2" t="str">
        <f>IF(Converters!F68="","",Converters!F68)</f>
        <v/>
      </c>
      <c r="R107" s="2" t="str">
        <f>IF(Converters!G68="","",Converters!G68)</f>
        <v/>
      </c>
      <c r="S107" s="2" t="str">
        <f>IF(Converters!H68="","",Converters!H68)</f>
        <v/>
      </c>
      <c r="T107" s="2" t="str">
        <f>IF(Converters!I68="","",Converters!I68)</f>
        <v/>
      </c>
      <c r="U107" s="2" t="str">
        <f>IF(Converters!J68="","",Converters!J68)</f>
        <v/>
      </c>
      <c r="V107" s="2" t="str">
        <f>IF(Converters!K68="","",Converters!K68)</f>
        <v/>
      </c>
      <c r="W107" s="2" t="str">
        <f>IF(Converters!L68="","",Converters!L68)</f>
        <v/>
      </c>
      <c r="X107" s="2" t="str">
        <f>IF(Converters!M68="","",Converters!M68)</f>
        <v/>
      </c>
      <c r="Y107" s="2" t="str">
        <f>IF(Converters!N68="","",Converters!N68)</f>
        <v/>
      </c>
      <c r="Z107" s="2" t="str">
        <f>IF(Converters!O68="","",Converters!O68)</f>
        <v/>
      </c>
      <c r="AA107" s="2" t="str">
        <f>IF(Converters!P68="","",Converters!P68)</f>
        <v/>
      </c>
      <c r="AB107" s="2" t="str">
        <f>IF(Converters!Q68="","",Converters!Q68)</f>
        <v/>
      </c>
      <c r="AC107" s="2" t="str">
        <f>IF(Converters!R68="","",Converters!R68)</f>
        <v/>
      </c>
      <c r="AD107" s="2" t="str">
        <f>IF(Converters!S68="","",Converters!S68)</f>
        <v/>
      </c>
      <c r="AE107" s="2" t="str">
        <f>IF(Converters!T68="","",Converters!T68)</f>
        <v/>
      </c>
      <c r="AF107" s="2" t="str">
        <f>IF(Converters!U68="","",Converters!U68)</f>
        <v/>
      </c>
      <c r="AG107" s="2" t="str">
        <f>IF(Converters!V68="","",Converters!V68)</f>
        <v/>
      </c>
      <c r="AH107" s="2" t="str">
        <f>IF(Converters!W68="","",Converters!W68)</f>
        <v/>
      </c>
      <c r="AI107" s="2" t="str">
        <f>IF(Converters!X68="","",Converters!X68)</f>
        <v/>
      </c>
      <c r="AJ107" s="2" t="str">
        <f>IF(Converters!Y68="","",Converters!Y68)</f>
        <v/>
      </c>
    </row>
    <row r="108" spans="1:36" ht="16.5">
      <c r="A108" s="1"/>
      <c r="B108" s="1" t="s">
        <v>98</v>
      </c>
      <c r="C108" s="95">
        <f>C37*C107/100</f>
        <v>35.139524081989826</v>
      </c>
      <c r="D108" s="1" t="s">
        <v>39</v>
      </c>
      <c r="E108" s="1"/>
      <c r="F108" s="1"/>
      <c r="G108" s="1"/>
      <c r="H108" s="1"/>
      <c r="I108" s="1"/>
      <c r="J108" s="1"/>
      <c r="K108" s="1"/>
      <c r="L108" s="42"/>
      <c r="M108" s="2" t="str">
        <f>IF(Converters!B69="","",Converters!B69)</f>
        <v/>
      </c>
      <c r="N108" s="2" t="str">
        <f>IF(Converters!C69="","",Converters!C69)</f>
        <v/>
      </c>
      <c r="O108" s="2" t="str">
        <f>IF(Converters!D69="","",Converters!D69)</f>
        <v/>
      </c>
      <c r="P108" s="2" t="str">
        <f>IF(Converters!E69="","",Converters!E69)</f>
        <v/>
      </c>
      <c r="Q108" s="2" t="str">
        <f>IF(Converters!F69="","",Converters!F69)</f>
        <v/>
      </c>
      <c r="R108" s="2" t="str">
        <f>IF(Converters!G69="","",Converters!G69)</f>
        <v/>
      </c>
      <c r="S108" s="2" t="str">
        <f>IF(Converters!H69="","",Converters!H69)</f>
        <v/>
      </c>
      <c r="T108" s="2" t="str">
        <f>IF(Converters!I69="","",Converters!I69)</f>
        <v/>
      </c>
      <c r="U108" s="2" t="str">
        <f>IF(Converters!J69="","",Converters!J69)</f>
        <v/>
      </c>
      <c r="V108" s="2" t="str">
        <f>IF(Converters!K69="","",Converters!K69)</f>
        <v/>
      </c>
      <c r="W108" s="2" t="str">
        <f>IF(Converters!L69="","",Converters!L69)</f>
        <v/>
      </c>
      <c r="X108" s="2" t="str">
        <f>IF(Converters!M69="","",Converters!M69)</f>
        <v/>
      </c>
      <c r="Y108" s="2" t="str">
        <f>IF(Converters!N69="","",Converters!N69)</f>
        <v/>
      </c>
      <c r="Z108" s="2" t="str">
        <f>IF(Converters!O69="","",Converters!O69)</f>
        <v/>
      </c>
      <c r="AA108" s="2" t="str">
        <f>IF(Converters!P69="","",Converters!P69)</f>
        <v/>
      </c>
      <c r="AB108" s="2" t="str">
        <f>IF(Converters!Q69="","",Converters!Q69)</f>
        <v/>
      </c>
      <c r="AC108" s="2" t="str">
        <f>IF(Converters!R69="","",Converters!R69)</f>
        <v/>
      </c>
      <c r="AD108" s="2" t="str">
        <f>IF(Converters!S69="","",Converters!S69)</f>
        <v/>
      </c>
      <c r="AE108" s="2" t="str">
        <f>IF(Converters!T69="","",Converters!T69)</f>
        <v/>
      </c>
      <c r="AF108" s="2" t="str">
        <f>IF(Converters!U69="","",Converters!U69)</f>
        <v/>
      </c>
      <c r="AG108" s="2" t="str">
        <f>IF(Converters!V69="","",Converters!V69)</f>
        <v/>
      </c>
      <c r="AH108" s="2" t="str">
        <f>IF(Converters!W69="","",Converters!W69)</f>
        <v/>
      </c>
      <c r="AI108" s="2" t="str">
        <f>IF(Converters!X69="","",Converters!X69)</f>
        <v/>
      </c>
      <c r="AJ108" s="2" t="str">
        <f>IF(Converters!Y69="","",Converters!Y69)</f>
        <v/>
      </c>
    </row>
    <row r="109" spans="1:36" ht="16.5">
      <c r="A109" s="1"/>
      <c r="B109" s="1" t="s">
        <v>99</v>
      </c>
      <c r="C109" s="5">
        <v>260</v>
      </c>
      <c r="D109" s="1" t="s">
        <v>14</v>
      </c>
      <c r="E109" s="1"/>
      <c r="F109" s="43"/>
      <c r="G109" s="1"/>
      <c r="H109" s="1"/>
      <c r="I109" s="1"/>
      <c r="J109" s="1"/>
      <c r="K109" s="1"/>
      <c r="L109" s="42"/>
      <c r="M109" s="2" t="str">
        <f>IF(Converters!B70="","",Converters!B70)</f>
        <v/>
      </c>
      <c r="N109" s="2" t="str">
        <f>IF(Converters!C70="","",Converters!C70)</f>
        <v/>
      </c>
      <c r="O109" s="2" t="str">
        <f>IF(Converters!D70="","",Converters!D70)</f>
        <v/>
      </c>
      <c r="P109" s="2" t="str">
        <f>IF(Converters!E70="","",Converters!E70)</f>
        <v/>
      </c>
      <c r="Q109" s="2" t="str">
        <f>IF(Converters!F70="","",Converters!F70)</f>
        <v/>
      </c>
      <c r="R109" s="2" t="str">
        <f>IF(Converters!G70="","",Converters!G70)</f>
        <v/>
      </c>
      <c r="S109" s="2" t="str">
        <f>IF(Converters!H70="","",Converters!H70)</f>
        <v/>
      </c>
      <c r="T109" s="2" t="str">
        <f>IF(Converters!I70="","",Converters!I70)</f>
        <v/>
      </c>
      <c r="U109" s="2" t="str">
        <f>IF(Converters!J70="","",Converters!J70)</f>
        <v/>
      </c>
      <c r="V109" s="2" t="str">
        <f>IF(Converters!K70="","",Converters!K70)</f>
        <v/>
      </c>
      <c r="W109" s="2" t="str">
        <f>IF(Converters!L70="","",Converters!L70)</f>
        <v/>
      </c>
      <c r="X109" s="2" t="str">
        <f>IF(Converters!M70="","",Converters!M70)</f>
        <v/>
      </c>
      <c r="Y109" s="2" t="str">
        <f>IF(Converters!N70="","",Converters!N70)</f>
        <v/>
      </c>
      <c r="Z109" s="2" t="str">
        <f>IF(Converters!O70="","",Converters!O70)</f>
        <v/>
      </c>
      <c r="AA109" s="2" t="str">
        <f>IF(Converters!P70="","",Converters!P70)</f>
        <v/>
      </c>
      <c r="AB109" s="2" t="str">
        <f>IF(Converters!Q70="","",Converters!Q70)</f>
        <v/>
      </c>
      <c r="AC109" s="2" t="str">
        <f>IF(Converters!R70="","",Converters!R70)</f>
        <v/>
      </c>
      <c r="AD109" s="2" t="str">
        <f>IF(Converters!S70="","",Converters!S70)</f>
        <v/>
      </c>
      <c r="AE109" s="2" t="str">
        <f>IF(Converters!T70="","",Converters!T70)</f>
        <v/>
      </c>
      <c r="AF109" s="2" t="str">
        <f>IF(Converters!U70="","",Converters!U70)</f>
        <v/>
      </c>
      <c r="AG109" s="2" t="str">
        <f>IF(Converters!V70="","",Converters!V70)</f>
        <v/>
      </c>
      <c r="AH109" s="2" t="str">
        <f>IF(Converters!W70="","",Converters!W70)</f>
        <v/>
      </c>
      <c r="AI109" s="2" t="str">
        <f>IF(Converters!X70="","",Converters!X70)</f>
        <v/>
      </c>
      <c r="AJ109" s="2" t="str">
        <f>IF(Converters!Y70="","",Converters!Y70)</f>
        <v/>
      </c>
    </row>
    <row r="110" spans="1:36">
      <c r="A110" s="1"/>
      <c r="B110" s="1" t="s">
        <v>100</v>
      </c>
      <c r="C110" s="5">
        <v>10</v>
      </c>
      <c r="D110" s="1" t="s">
        <v>17</v>
      </c>
      <c r="E110" s="1"/>
      <c r="F110" s="1"/>
      <c r="G110" s="1"/>
      <c r="H110" s="1"/>
      <c r="I110" s="1"/>
      <c r="J110" s="1"/>
      <c r="K110" s="1"/>
      <c r="L110" s="42"/>
      <c r="M110" s="2" t="str">
        <f>IF(Converters!B71="","",Converters!B71)</f>
        <v/>
      </c>
      <c r="N110" s="2" t="str">
        <f>IF(Converters!C71="","",Converters!C71)</f>
        <v/>
      </c>
      <c r="O110" s="2" t="str">
        <f>IF(Converters!D71="","",Converters!D71)</f>
        <v/>
      </c>
      <c r="P110" s="2" t="str">
        <f>IF(Converters!E71="","",Converters!E71)</f>
        <v/>
      </c>
      <c r="Q110" s="2" t="str">
        <f>IF(Converters!F71="","",Converters!F71)</f>
        <v/>
      </c>
      <c r="R110" s="2" t="str">
        <f>IF(Converters!G71="","",Converters!G71)</f>
        <v/>
      </c>
      <c r="S110" s="2" t="str">
        <f>IF(Converters!H71="","",Converters!H71)</f>
        <v/>
      </c>
      <c r="T110" s="2" t="str">
        <f>IF(Converters!I71="","",Converters!I71)</f>
        <v/>
      </c>
      <c r="U110" s="2" t="str">
        <f>IF(Converters!J71="","",Converters!J71)</f>
        <v/>
      </c>
      <c r="V110" s="2" t="str">
        <f>IF(Converters!K71="","",Converters!K71)</f>
        <v/>
      </c>
      <c r="W110" s="2" t="str">
        <f>IF(Converters!L71="","",Converters!L71)</f>
        <v/>
      </c>
      <c r="X110" s="2" t="str">
        <f>IF(Converters!M71="","",Converters!M71)</f>
        <v/>
      </c>
      <c r="Y110" s="2" t="str">
        <f>IF(Converters!N71="","",Converters!N71)</f>
        <v/>
      </c>
      <c r="Z110" s="2" t="str">
        <f>IF(Converters!O71="","",Converters!O71)</f>
        <v/>
      </c>
      <c r="AA110" s="2" t="str">
        <f>IF(Converters!P71="","",Converters!P71)</f>
        <v/>
      </c>
      <c r="AB110" s="2" t="str">
        <f>IF(Converters!Q71="","",Converters!Q71)</f>
        <v/>
      </c>
      <c r="AC110" s="2" t="str">
        <f>IF(Converters!R71="","",Converters!R71)</f>
        <v/>
      </c>
      <c r="AD110" s="2" t="str">
        <f>IF(Converters!S71="","",Converters!S71)</f>
        <v/>
      </c>
      <c r="AE110" s="2" t="str">
        <f>IF(Converters!T71="","",Converters!T71)</f>
        <v/>
      </c>
      <c r="AF110" s="2" t="str">
        <f>IF(Converters!U71="","",Converters!U71)</f>
        <v/>
      </c>
      <c r="AG110" s="2" t="str">
        <f>IF(Converters!V71="","",Converters!V71)</f>
        <v/>
      </c>
      <c r="AH110" s="2" t="str">
        <f>IF(Converters!W71="","",Converters!W71)</f>
        <v/>
      </c>
      <c r="AI110" s="2" t="str">
        <f>IF(Converters!X71="","",Converters!X71)</f>
        <v/>
      </c>
      <c r="AJ110" s="2" t="str">
        <f>IF(Converters!Y71="","",Converters!Y71)</f>
        <v/>
      </c>
    </row>
    <row r="111" spans="1:36" ht="17.25">
      <c r="A111" s="1"/>
      <c r="B111" s="12" t="s">
        <v>101</v>
      </c>
      <c r="C111" s="13">
        <f>Vsn^2/C113/1000</f>
        <v>109.221287019336</v>
      </c>
      <c r="D111" s="12" t="s">
        <v>102</v>
      </c>
      <c r="E111" s="1"/>
      <c r="F111" s="1"/>
      <c r="G111" s="1"/>
      <c r="H111" s="1"/>
      <c r="I111" s="1"/>
      <c r="J111" s="1"/>
      <c r="K111" s="1"/>
      <c r="L111" s="42"/>
      <c r="M111" s="2" t="str">
        <f>IF(Converters!B72="","",Converters!B72)</f>
        <v/>
      </c>
      <c r="N111" s="2" t="str">
        <f>IF(Converters!C72="","",Converters!C72)</f>
        <v/>
      </c>
      <c r="O111" s="2" t="str">
        <f>IF(Converters!D72="","",Converters!D72)</f>
        <v/>
      </c>
      <c r="P111" s="2" t="str">
        <f>IF(Converters!E72="","",Converters!E72)</f>
        <v/>
      </c>
      <c r="Q111" s="2" t="str">
        <f>IF(Converters!F72="","",Converters!F72)</f>
        <v/>
      </c>
      <c r="R111" s="2" t="str">
        <f>IF(Converters!G72="","",Converters!G72)</f>
        <v/>
      </c>
      <c r="S111" s="2" t="str">
        <f>IF(Converters!H72="","",Converters!H72)</f>
        <v/>
      </c>
      <c r="T111" s="2" t="str">
        <f>IF(Converters!I72="","",Converters!I72)</f>
        <v/>
      </c>
      <c r="U111" s="2" t="str">
        <f>IF(Converters!J72="","",Converters!J72)</f>
        <v/>
      </c>
      <c r="V111" s="2" t="str">
        <f>IF(Converters!K72="","",Converters!K72)</f>
        <v/>
      </c>
      <c r="W111" s="2" t="str">
        <f>IF(Converters!L72="","",Converters!L72)</f>
        <v/>
      </c>
      <c r="X111" s="2" t="str">
        <f>IF(Converters!M72="","",Converters!M72)</f>
        <v/>
      </c>
      <c r="Y111" s="2" t="str">
        <f>IF(Converters!N72="","",Converters!N72)</f>
        <v/>
      </c>
      <c r="Z111" s="2" t="str">
        <f>IF(Converters!O72="","",Converters!O72)</f>
        <v/>
      </c>
      <c r="AA111" s="2" t="str">
        <f>IF(Converters!P72="","",Converters!P72)</f>
        <v/>
      </c>
      <c r="AB111" s="2" t="str">
        <f>IF(Converters!Q72="","",Converters!Q72)</f>
        <v/>
      </c>
      <c r="AC111" s="2" t="str">
        <f>IF(Converters!R72="","",Converters!R72)</f>
        <v/>
      </c>
      <c r="AD111" s="2" t="str">
        <f>IF(Converters!S72="","",Converters!S72)</f>
        <v/>
      </c>
      <c r="AE111" s="2" t="str">
        <f>IF(Converters!T72="","",Converters!T72)</f>
        <v/>
      </c>
      <c r="AF111" s="2" t="str">
        <f>IF(Converters!U72="","",Converters!U72)</f>
        <v/>
      </c>
      <c r="AG111" s="2" t="str">
        <f>IF(Converters!V72="","",Converters!V72)</f>
        <v/>
      </c>
      <c r="AH111" s="2" t="str">
        <f>IF(Converters!W72="","",Converters!W72)</f>
        <v/>
      </c>
      <c r="AI111" s="2" t="str">
        <f>IF(Converters!X72="","",Converters!X72)</f>
        <v/>
      </c>
      <c r="AJ111" s="2" t="str">
        <f>IF(Converters!Y72="","",Converters!Y72)</f>
        <v/>
      </c>
    </row>
    <row r="112" spans="1:36" ht="17.25">
      <c r="A112" s="1"/>
      <c r="B112" s="12" t="s">
        <v>103</v>
      </c>
      <c r="C112" s="13">
        <f>100/C110/C111/1000/fs*10^9</f>
        <v>1.8311448753079882</v>
      </c>
      <c r="D112" s="12" t="s">
        <v>104</v>
      </c>
      <c r="E112" s="1"/>
      <c r="F112" s="1"/>
      <c r="G112" s="81">
        <f>VRO/(Vdc_max+VRO)</f>
        <v>0.24271831189481491</v>
      </c>
      <c r="H112" s="1"/>
      <c r="I112" s="1"/>
      <c r="J112" s="1"/>
      <c r="K112" s="1"/>
      <c r="L112" s="42"/>
      <c r="M112" s="2" t="str">
        <f>IF(Converters!B73="","",Converters!B73)</f>
        <v/>
      </c>
      <c r="N112" s="2" t="str">
        <f>IF(Converters!C73="","",Converters!C73)</f>
        <v/>
      </c>
      <c r="O112" s="2" t="str">
        <f>IF(Converters!D73="","",Converters!D73)</f>
        <v/>
      </c>
      <c r="P112" s="2" t="str">
        <f>IF(Converters!E73="","",Converters!E73)</f>
        <v/>
      </c>
      <c r="Q112" s="2" t="str">
        <f>IF(Converters!F73="","",Converters!F73)</f>
        <v/>
      </c>
      <c r="R112" s="2" t="str">
        <f>IF(Converters!G73="","",Converters!G73)</f>
        <v/>
      </c>
      <c r="S112" s="2" t="str">
        <f>IF(Converters!H73="","",Converters!H73)</f>
        <v/>
      </c>
      <c r="T112" s="2" t="str">
        <f>IF(Converters!I73="","",Converters!I73)</f>
        <v/>
      </c>
      <c r="U112" s="2" t="str">
        <f>IF(Converters!J73="","",Converters!J73)</f>
        <v/>
      </c>
      <c r="V112" s="2" t="str">
        <f>IF(Converters!K73="","",Converters!K73)</f>
        <v/>
      </c>
      <c r="W112" s="2" t="str">
        <f>IF(Converters!L73="","",Converters!L73)</f>
        <v/>
      </c>
      <c r="X112" s="2" t="str">
        <f>IF(Converters!M73="","",Converters!M73)</f>
        <v/>
      </c>
      <c r="Y112" s="2" t="str">
        <f>IF(Converters!N73="","",Converters!N73)</f>
        <v/>
      </c>
      <c r="Z112" s="2" t="str">
        <f>IF(Converters!O73="","",Converters!O73)</f>
        <v/>
      </c>
      <c r="AA112" s="2" t="str">
        <f>IF(Converters!P73="","",Converters!P73)</f>
        <v/>
      </c>
      <c r="AB112" s="2" t="str">
        <f>IF(Converters!Q73="","",Converters!Q73)</f>
        <v/>
      </c>
      <c r="AC112" s="2" t="str">
        <f>IF(Converters!R73="","",Converters!R73)</f>
        <v/>
      </c>
      <c r="AD112" s="2" t="str">
        <f>IF(Converters!S73="","",Converters!S73)</f>
        <v/>
      </c>
      <c r="AE112" s="2" t="str">
        <f>IF(Converters!T73="","",Converters!T73)</f>
        <v/>
      </c>
      <c r="AF112" s="2" t="str">
        <f>IF(Converters!U73="","",Converters!U73)</f>
        <v/>
      </c>
      <c r="AG112" s="2" t="str">
        <f>IF(Converters!V73="","",Converters!V73)</f>
        <v/>
      </c>
      <c r="AH112" s="2" t="str">
        <f>IF(Converters!W73="","",Converters!W73)</f>
        <v/>
      </c>
      <c r="AI112" s="2" t="str">
        <f>IF(Converters!X73="","",Converters!X73)</f>
        <v/>
      </c>
      <c r="AJ112" s="2" t="str">
        <f>IF(Converters!Y73="","",Converters!Y73)</f>
        <v/>
      </c>
    </row>
    <row r="113" spans="1:36" ht="17.25">
      <c r="A113" s="1"/>
      <c r="B113" s="12" t="s">
        <v>105</v>
      </c>
      <c r="C113" s="13">
        <f>0.5*Ipk^2*Llk/1000000*fs*Vsn/(Vsn-VRO)</f>
        <v>0.61892696785409995</v>
      </c>
      <c r="D113" s="12" t="s">
        <v>16</v>
      </c>
      <c r="E113" s="18" t="s">
        <v>106</v>
      </c>
      <c r="F113" s="18"/>
      <c r="G113" s="18"/>
      <c r="H113" s="18"/>
      <c r="I113" s="18"/>
      <c r="J113" s="1"/>
      <c r="K113" s="1"/>
      <c r="L113" s="44"/>
      <c r="M113" s="2" t="str">
        <f>IF(Converters!B74="","",Converters!B74)</f>
        <v/>
      </c>
      <c r="N113" s="2" t="str">
        <f>IF(Converters!C74="","",Converters!C74)</f>
        <v/>
      </c>
      <c r="O113" s="2" t="str">
        <f>IF(Converters!D74="","",Converters!D74)</f>
        <v/>
      </c>
      <c r="P113" s="2" t="str">
        <f>IF(Converters!E74="","",Converters!E74)</f>
        <v/>
      </c>
      <c r="Q113" s="2" t="str">
        <f>IF(Converters!F74="","",Converters!F74)</f>
        <v/>
      </c>
      <c r="R113" s="2" t="str">
        <f>IF(Converters!G74="","",Converters!G74)</f>
        <v/>
      </c>
      <c r="S113" s="2" t="str">
        <f>IF(Converters!H74="","",Converters!H74)</f>
        <v/>
      </c>
      <c r="T113" s="2" t="str">
        <f>IF(Converters!I74="","",Converters!I74)</f>
        <v/>
      </c>
      <c r="U113" s="2" t="str">
        <f>IF(Converters!J74="","",Converters!J74)</f>
        <v/>
      </c>
      <c r="V113" s="2" t="str">
        <f>IF(Converters!K74="","",Converters!K74)</f>
        <v/>
      </c>
      <c r="W113" s="2" t="str">
        <f>IF(Converters!L74="","",Converters!L74)</f>
        <v/>
      </c>
      <c r="X113" s="2" t="str">
        <f>IF(Converters!M74="","",Converters!M74)</f>
        <v/>
      </c>
      <c r="Y113" s="2" t="str">
        <f>IF(Converters!N74="","",Converters!N74)</f>
        <v/>
      </c>
      <c r="Z113" s="2" t="str">
        <f>IF(Converters!O74="","",Converters!O74)</f>
        <v/>
      </c>
      <c r="AA113" s="2" t="str">
        <f>IF(Converters!P74="","",Converters!P74)</f>
        <v/>
      </c>
      <c r="AB113" s="2" t="str">
        <f>IF(Converters!Q74="","",Converters!Q74)</f>
        <v/>
      </c>
      <c r="AC113" s="2" t="str">
        <f>IF(Converters!R74="","",Converters!R74)</f>
        <v/>
      </c>
      <c r="AD113" s="2" t="str">
        <f>IF(Converters!S74="","",Converters!S74)</f>
        <v/>
      </c>
      <c r="AE113" s="2" t="str">
        <f>IF(Converters!T74="","",Converters!T74)</f>
        <v/>
      </c>
      <c r="AF113" s="2" t="str">
        <f>IF(Converters!U74="","",Converters!U74)</f>
        <v/>
      </c>
      <c r="AG113" s="2" t="str">
        <f>IF(Converters!V74="","",Converters!V74)</f>
        <v/>
      </c>
      <c r="AH113" s="2" t="str">
        <f>IF(Converters!W74="","",Converters!W74)</f>
        <v/>
      </c>
      <c r="AI113" s="2" t="str">
        <f>IF(Converters!X74="","",Converters!X74)</f>
        <v/>
      </c>
      <c r="AJ113" s="2" t="str">
        <f>IF(Converters!Y74="","",Converters!Y74)</f>
        <v/>
      </c>
    </row>
    <row r="114" spans="1:36" ht="18">
      <c r="A114" s="1"/>
      <c r="B114" s="12" t="s">
        <v>107</v>
      </c>
      <c r="C114" s="15">
        <f>IF(Pin/(Vdc_max*G112)+Vdc_max*G112/Lm/fs/2&gt;SQRT(2*Pin/fs/Lm),Pin/(Vdc_max*G112)+Vdc_max*G112/Lm/fs/2,SQRT(2*Pin/fs/Lm))</f>
        <v>0.69630068068962747</v>
      </c>
      <c r="D114" s="12" t="s">
        <v>15</v>
      </c>
      <c r="E114" s="1"/>
      <c r="F114" s="1"/>
      <c r="G114" s="1"/>
      <c r="H114" s="1"/>
      <c r="I114" s="1"/>
      <c r="J114" s="1"/>
      <c r="K114" s="1"/>
      <c r="L114" s="1"/>
      <c r="M114" s="2" t="str">
        <f>IF(Converters!B75="","",Converters!B75)</f>
        <v/>
      </c>
      <c r="N114" s="2" t="str">
        <f>IF(Converters!C75="","",Converters!C75)</f>
        <v/>
      </c>
      <c r="O114" s="2" t="str">
        <f>IF(Converters!D75="","",Converters!D75)</f>
        <v/>
      </c>
      <c r="P114" s="2" t="str">
        <f>IF(Converters!E75="","",Converters!E75)</f>
        <v/>
      </c>
      <c r="Q114" s="2" t="str">
        <f>IF(Converters!F75="","",Converters!F75)</f>
        <v/>
      </c>
      <c r="R114" s="2" t="str">
        <f>IF(Converters!G75="","",Converters!G75)</f>
        <v/>
      </c>
      <c r="S114" s="2" t="str">
        <f>IF(Converters!H75="","",Converters!H75)</f>
        <v/>
      </c>
      <c r="T114" s="2" t="str">
        <f>IF(Converters!I75="","",Converters!I75)</f>
        <v/>
      </c>
      <c r="U114" s="2" t="str">
        <f>IF(Converters!J75="","",Converters!J75)</f>
        <v/>
      </c>
      <c r="V114" s="2" t="str">
        <f>IF(Converters!K75="","",Converters!K75)</f>
        <v/>
      </c>
      <c r="W114" s="2" t="str">
        <f>IF(Converters!L75="","",Converters!L75)</f>
        <v/>
      </c>
      <c r="X114" s="2" t="str">
        <f>IF(Converters!M75="","",Converters!M75)</f>
        <v/>
      </c>
      <c r="Y114" s="2" t="str">
        <f>IF(Converters!N75="","",Converters!N75)</f>
        <v/>
      </c>
      <c r="Z114" s="2" t="str">
        <f>IF(Converters!O75="","",Converters!O75)</f>
        <v/>
      </c>
      <c r="AA114" s="2" t="str">
        <f>IF(Converters!P75="","",Converters!P75)</f>
        <v/>
      </c>
      <c r="AB114" s="2" t="str">
        <f>IF(Converters!Q75="","",Converters!Q75)</f>
        <v/>
      </c>
      <c r="AC114" s="2" t="str">
        <f>IF(Converters!R75="","",Converters!R75)</f>
        <v/>
      </c>
      <c r="AD114" s="2" t="str">
        <f>IF(Converters!S75="","",Converters!S75)</f>
        <v/>
      </c>
      <c r="AE114" s="2" t="str">
        <f>IF(Converters!T75="","",Converters!T75)</f>
        <v/>
      </c>
      <c r="AF114" s="2" t="str">
        <f>IF(Converters!U75="","",Converters!U75)</f>
        <v/>
      </c>
      <c r="AG114" s="2" t="str">
        <f>IF(Converters!V75="","",Converters!V75)</f>
        <v/>
      </c>
      <c r="AH114" s="2" t="str">
        <f>IF(Converters!W75="","",Converters!W75)</f>
        <v/>
      </c>
      <c r="AI114" s="2" t="str">
        <f>IF(Converters!X75="","",Converters!X75)</f>
        <v/>
      </c>
      <c r="AJ114" s="2" t="str">
        <f>IF(Converters!Y75="","",Converters!Y75)</f>
        <v/>
      </c>
    </row>
    <row r="115" spans="1:36" ht="18">
      <c r="A115" s="1"/>
      <c r="B115" s="12" t="s">
        <v>108</v>
      </c>
      <c r="C115" s="11">
        <f>(VRO+SQRT(VRO^2+2*C111*Llk*C114^2*fs/1000))/2</f>
        <v>283.94871859726777</v>
      </c>
      <c r="D115" s="12" t="s">
        <v>14</v>
      </c>
      <c r="E115" s="1"/>
      <c r="F115" s="1"/>
      <c r="G115" s="1"/>
      <c r="H115" s="1"/>
      <c r="I115" s="1"/>
      <c r="J115" s="1"/>
      <c r="K115" s="1"/>
      <c r="L115" s="1"/>
      <c r="M115" s="2" t="str">
        <f>IF(Converters!B76="","",Converters!B76)</f>
        <v/>
      </c>
      <c r="N115" s="2" t="str">
        <f>IF(Converters!C76="","",Converters!C76)</f>
        <v/>
      </c>
      <c r="O115" s="2" t="str">
        <f>IF(Converters!D76="","",Converters!D76)</f>
        <v/>
      </c>
      <c r="P115" s="2" t="str">
        <f>IF(Converters!E76="","",Converters!E76)</f>
        <v/>
      </c>
      <c r="Q115" s="2" t="str">
        <f>IF(Converters!F76="","",Converters!F76)</f>
        <v/>
      </c>
      <c r="R115" s="2" t="str">
        <f>IF(Converters!G76="","",Converters!G76)</f>
        <v/>
      </c>
      <c r="S115" s="2" t="str">
        <f>IF(Converters!H76="","",Converters!H76)</f>
        <v/>
      </c>
      <c r="T115" s="2" t="str">
        <f>IF(Converters!I76="","",Converters!I76)</f>
        <v/>
      </c>
      <c r="U115" s="2" t="str">
        <f>IF(Converters!J76="","",Converters!J76)</f>
        <v/>
      </c>
      <c r="V115" s="2" t="str">
        <f>IF(Converters!K76="","",Converters!K76)</f>
        <v/>
      </c>
      <c r="W115" s="2" t="str">
        <f>IF(Converters!L76="","",Converters!L76)</f>
        <v/>
      </c>
      <c r="X115" s="2" t="str">
        <f>IF(Converters!M76="","",Converters!M76)</f>
        <v/>
      </c>
      <c r="Y115" s="2" t="str">
        <f>IF(Converters!N76="","",Converters!N76)</f>
        <v/>
      </c>
      <c r="Z115" s="2" t="str">
        <f>IF(Converters!O76="","",Converters!O76)</f>
        <v/>
      </c>
      <c r="AA115" s="2" t="str">
        <f>IF(Converters!P76="","",Converters!P76)</f>
        <v/>
      </c>
      <c r="AB115" s="2" t="str">
        <f>IF(Converters!Q76="","",Converters!Q76)</f>
        <v/>
      </c>
      <c r="AC115" s="2" t="str">
        <f>IF(Converters!R76="","",Converters!R76)</f>
        <v/>
      </c>
      <c r="AD115" s="2" t="str">
        <f>IF(Converters!S76="","",Converters!S76)</f>
        <v/>
      </c>
      <c r="AE115" s="2" t="str">
        <f>IF(Converters!T76="","",Converters!T76)</f>
        <v/>
      </c>
      <c r="AF115" s="2" t="str">
        <f>IF(Converters!U76="","",Converters!U76)</f>
        <v/>
      </c>
      <c r="AG115" s="2" t="str">
        <f>IF(Converters!V76="","",Converters!V76)</f>
        <v/>
      </c>
      <c r="AH115" s="2" t="str">
        <f>IF(Converters!W76="","",Converters!W76)</f>
        <v/>
      </c>
      <c r="AI115" s="2" t="str">
        <f>IF(Converters!X76="","",Converters!X76)</f>
        <v/>
      </c>
      <c r="AJ115" s="2" t="str">
        <f>IF(Converters!Y76="","",Converters!Y76)</f>
        <v/>
      </c>
    </row>
    <row r="116" spans="1:36" ht="18">
      <c r="A116" s="1"/>
      <c r="B116" s="12" t="s">
        <v>109</v>
      </c>
      <c r="C116" s="11">
        <f>Vdc_max+C115</f>
        <v>658.71531262613803</v>
      </c>
      <c r="D116" s="12" t="s">
        <v>14</v>
      </c>
      <c r="E116" s="1"/>
      <c r="F116" s="1"/>
      <c r="G116" s="1"/>
      <c r="H116" s="1"/>
      <c r="I116" s="1"/>
      <c r="J116" s="1"/>
      <c r="K116" s="1"/>
      <c r="L116" s="45"/>
      <c r="M116" s="2" t="str">
        <f>IF(Converters!B77="","",Converters!B77)</f>
        <v/>
      </c>
      <c r="N116" s="2" t="str">
        <f>IF(Converters!C77="","",Converters!C77)</f>
        <v/>
      </c>
      <c r="O116" s="2" t="str">
        <f>IF(Converters!D77="","",Converters!D77)</f>
        <v/>
      </c>
      <c r="P116" s="2" t="str">
        <f>IF(Converters!E77="","",Converters!E77)</f>
        <v/>
      </c>
      <c r="Q116" s="2" t="str">
        <f>IF(Converters!F77="","",Converters!F77)</f>
        <v/>
      </c>
      <c r="R116" s="2" t="str">
        <f>IF(Converters!G77="","",Converters!G77)</f>
        <v/>
      </c>
      <c r="S116" s="2" t="str">
        <f>IF(Converters!H77="","",Converters!H77)</f>
        <v/>
      </c>
      <c r="T116" s="2" t="str">
        <f>IF(Converters!I77="","",Converters!I77)</f>
        <v/>
      </c>
      <c r="U116" s="2" t="str">
        <f>IF(Converters!J77="","",Converters!J77)</f>
        <v/>
      </c>
      <c r="V116" s="2" t="str">
        <f>IF(Converters!K77="","",Converters!K77)</f>
        <v/>
      </c>
      <c r="W116" s="2" t="str">
        <f>IF(Converters!L77="","",Converters!L77)</f>
        <v/>
      </c>
      <c r="X116" s="2" t="str">
        <f>IF(Converters!M77="","",Converters!M77)</f>
        <v/>
      </c>
      <c r="Y116" s="2" t="str">
        <f>IF(Converters!N77="","",Converters!N77)</f>
        <v/>
      </c>
      <c r="Z116" s="2" t="str">
        <f>IF(Converters!O77="","",Converters!O77)</f>
        <v/>
      </c>
      <c r="AA116" s="2" t="str">
        <f>IF(Converters!P77="","",Converters!P77)</f>
        <v/>
      </c>
      <c r="AB116" s="2" t="str">
        <f>IF(Converters!Q77="","",Converters!Q77)</f>
        <v/>
      </c>
      <c r="AC116" s="2" t="str">
        <f>IF(Converters!R77="","",Converters!R77)</f>
        <v/>
      </c>
      <c r="AD116" s="2" t="str">
        <f>IF(Converters!S77="","",Converters!S77)</f>
        <v/>
      </c>
      <c r="AE116" s="2" t="str">
        <f>IF(Converters!T77="","",Converters!T77)</f>
        <v/>
      </c>
      <c r="AF116" s="2" t="str">
        <f>IF(Converters!U77="","",Converters!U77)</f>
        <v/>
      </c>
      <c r="AG116" s="2" t="str">
        <f>IF(Converters!V77="","",Converters!V77)</f>
        <v/>
      </c>
      <c r="AH116" s="2" t="str">
        <f>IF(Converters!W77="","",Converters!W77)</f>
        <v/>
      </c>
      <c r="AI116" s="2" t="str">
        <f>IF(Converters!X77="","",Converters!X77)</f>
        <v/>
      </c>
      <c r="AJ116" s="2" t="str">
        <f>IF(Converters!Y77="","",Converters!Y77)</f>
        <v/>
      </c>
    </row>
    <row r="117" spans="1:36">
      <c r="A117" s="1"/>
      <c r="B117" s="1"/>
      <c r="C117" s="1"/>
      <c r="D117" s="12"/>
      <c r="E117" s="1"/>
      <c r="F117" s="1"/>
      <c r="G117" s="1"/>
      <c r="H117" s="1"/>
      <c r="I117" s="1"/>
      <c r="J117" s="1"/>
      <c r="K117" s="1"/>
      <c r="L117" s="1"/>
      <c r="M117" s="2" t="str">
        <f>IF(Converters!B78="","",Converters!B78)</f>
        <v/>
      </c>
      <c r="N117" s="2" t="str">
        <f>IF(Converters!C78="","",Converters!C78)</f>
        <v/>
      </c>
      <c r="O117" s="2" t="str">
        <f>IF(Converters!D78="","",Converters!D78)</f>
        <v/>
      </c>
      <c r="P117" s="2" t="str">
        <f>IF(Converters!E78="","",Converters!E78)</f>
        <v/>
      </c>
      <c r="Q117" s="2" t="str">
        <f>IF(Converters!F78="","",Converters!F78)</f>
        <v/>
      </c>
      <c r="R117" s="2" t="str">
        <f>IF(Converters!G78="","",Converters!G78)</f>
        <v/>
      </c>
      <c r="S117" s="2" t="str">
        <f>IF(Converters!H78="","",Converters!H78)</f>
        <v/>
      </c>
      <c r="T117" s="2" t="str">
        <f>IF(Converters!I78="","",Converters!I78)</f>
        <v/>
      </c>
      <c r="U117" s="2" t="str">
        <f>IF(Converters!J78="","",Converters!J78)</f>
        <v/>
      </c>
      <c r="V117" s="2" t="str">
        <f>IF(Converters!K78="","",Converters!K78)</f>
        <v/>
      </c>
      <c r="W117" s="2" t="str">
        <f>IF(Converters!L78="","",Converters!L78)</f>
        <v/>
      </c>
      <c r="X117" s="2" t="str">
        <f>IF(Converters!M78="","",Converters!M78)</f>
        <v/>
      </c>
      <c r="Y117" s="2" t="str">
        <f>IF(Converters!N78="","",Converters!N78)</f>
        <v/>
      </c>
      <c r="Z117" s="2" t="str">
        <f>IF(Converters!O78="","",Converters!O78)</f>
        <v/>
      </c>
      <c r="AA117" s="2" t="str">
        <f>IF(Converters!P78="","",Converters!P78)</f>
        <v/>
      </c>
      <c r="AB117" s="2" t="str">
        <f>IF(Converters!Q78="","",Converters!Q78)</f>
        <v/>
      </c>
      <c r="AC117" s="2" t="str">
        <f>IF(Converters!R78="","",Converters!R78)</f>
        <v/>
      </c>
      <c r="AD117" s="2" t="str">
        <f>IF(Converters!S78="","",Converters!S78)</f>
        <v/>
      </c>
      <c r="AE117" s="2" t="str">
        <f>IF(Converters!T78="","",Converters!T78)</f>
        <v/>
      </c>
      <c r="AF117" s="2" t="str">
        <f>IF(Converters!U78="","",Converters!U78)</f>
        <v/>
      </c>
      <c r="AG117" s="2" t="str">
        <f>IF(Converters!V78="","",Converters!V78)</f>
        <v/>
      </c>
      <c r="AH117" s="2" t="str">
        <f>IF(Converters!W78="","",Converters!W78)</f>
        <v/>
      </c>
      <c r="AI117" s="2" t="str">
        <f>IF(Converters!X78="","",Converters!X78)</f>
        <v/>
      </c>
      <c r="AJ117" s="2" t="str">
        <f>IF(Converters!Y78="","",Converters!Y78)</f>
        <v/>
      </c>
    </row>
    <row r="118" spans="1:36">
      <c r="A118" s="199" t="s">
        <v>110</v>
      </c>
      <c r="B118" s="199"/>
      <c r="C118" s="199"/>
      <c r="D118" s="199"/>
      <c r="E118" s="199"/>
      <c r="F118" s="199"/>
      <c r="G118" s="199"/>
      <c r="H118" s="199"/>
      <c r="I118" s="199"/>
      <c r="J118" s="199"/>
      <c r="K118" s="1"/>
      <c r="L118" s="45"/>
      <c r="M118" s="2" t="str">
        <f>IF(Converters!B79="","",Converters!B79)</f>
        <v/>
      </c>
      <c r="N118" s="2" t="str">
        <f>IF(Converters!C79="","",Converters!C79)</f>
        <v/>
      </c>
      <c r="O118" s="2" t="str">
        <f>IF(Converters!D79="","",Converters!D79)</f>
        <v/>
      </c>
      <c r="P118" s="2" t="str">
        <f>IF(Converters!E79="","",Converters!E79)</f>
        <v/>
      </c>
      <c r="Q118" s="2" t="str">
        <f>IF(Converters!F79="","",Converters!F79)</f>
        <v/>
      </c>
      <c r="R118" s="2" t="str">
        <f>IF(Converters!G79="","",Converters!G79)</f>
        <v/>
      </c>
      <c r="S118" s="2" t="str">
        <f>IF(Converters!H79="","",Converters!H79)</f>
        <v/>
      </c>
      <c r="T118" s="2" t="str">
        <f>IF(Converters!I79="","",Converters!I79)</f>
        <v/>
      </c>
      <c r="U118" s="2" t="str">
        <f>IF(Converters!J79="","",Converters!J79)</f>
        <v/>
      </c>
      <c r="V118" s="2" t="str">
        <f>IF(Converters!K79="","",Converters!K79)</f>
        <v/>
      </c>
      <c r="W118" s="2" t="str">
        <f>IF(Converters!L79="","",Converters!L79)</f>
        <v/>
      </c>
      <c r="X118" s="2" t="str">
        <f>IF(Converters!M79="","",Converters!M79)</f>
        <v/>
      </c>
      <c r="Y118" s="2" t="str">
        <f>IF(Converters!N79="","",Converters!N79)</f>
        <v/>
      </c>
      <c r="Z118" s="2" t="str">
        <f>IF(Converters!O79="","",Converters!O79)</f>
        <v/>
      </c>
      <c r="AA118" s="2" t="str">
        <f>IF(Converters!P79="","",Converters!P79)</f>
        <v/>
      </c>
      <c r="AB118" s="2" t="str">
        <f>IF(Converters!Q79="","",Converters!Q79)</f>
        <v/>
      </c>
      <c r="AC118" s="2" t="str">
        <f>IF(Converters!R79="","",Converters!R79)</f>
        <v/>
      </c>
      <c r="AD118" s="2" t="str">
        <f>IF(Converters!S79="","",Converters!S79)</f>
        <v/>
      </c>
      <c r="AE118" s="2" t="str">
        <f>IF(Converters!T79="","",Converters!T79)</f>
        <v/>
      </c>
      <c r="AF118" s="2" t="str">
        <f>IF(Converters!U79="","",Converters!U79)</f>
        <v/>
      </c>
      <c r="AG118" s="2" t="str">
        <f>IF(Converters!V79="","",Converters!V79)</f>
        <v/>
      </c>
      <c r="AH118" s="2" t="str">
        <f>IF(Converters!W79="","",Converters!W79)</f>
        <v/>
      </c>
      <c r="AI118" s="2" t="str">
        <f>IF(Converters!X79="","",Converters!X79)</f>
        <v/>
      </c>
      <c r="AJ118" s="2" t="str">
        <f>IF(Converters!Y79="","",Converters!Y79)</f>
        <v/>
      </c>
    </row>
    <row r="119" spans="1:3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6"/>
      <c r="L119" s="1"/>
      <c r="M119" s="2" t="str">
        <f>IF(Converters!B80="","",Converters!B80)</f>
        <v/>
      </c>
      <c r="N119" s="2" t="str">
        <f>IF(Converters!C80="","",Converters!C80)</f>
        <v/>
      </c>
      <c r="O119" s="2" t="str">
        <f>IF(Converters!D80="","",Converters!D80)</f>
        <v/>
      </c>
      <c r="P119" s="2" t="str">
        <f>IF(Converters!E80="","",Converters!E80)</f>
        <v/>
      </c>
      <c r="Q119" s="2" t="str">
        <f>IF(Converters!F80="","",Converters!F80)</f>
        <v/>
      </c>
      <c r="R119" s="2" t="str">
        <f>IF(Converters!G80="","",Converters!G80)</f>
        <v/>
      </c>
      <c r="S119" s="2" t="str">
        <f>IF(Converters!H80="","",Converters!H80)</f>
        <v/>
      </c>
      <c r="T119" s="2" t="str">
        <f>IF(Converters!I80="","",Converters!I80)</f>
        <v/>
      </c>
      <c r="U119" s="2" t="str">
        <f>IF(Converters!J80="","",Converters!J80)</f>
        <v/>
      </c>
      <c r="V119" s="2" t="str">
        <f>IF(Converters!K80="","",Converters!K80)</f>
        <v/>
      </c>
      <c r="W119" s="2" t="str">
        <f>IF(Converters!L80="","",Converters!L80)</f>
        <v/>
      </c>
      <c r="X119" s="2" t="str">
        <f>IF(Converters!M80="","",Converters!M80)</f>
        <v/>
      </c>
      <c r="Y119" s="2" t="str">
        <f>IF(Converters!N80="","",Converters!N80)</f>
        <v/>
      </c>
      <c r="Z119" s="2" t="str">
        <f>IF(Converters!O80="","",Converters!O80)</f>
        <v/>
      </c>
      <c r="AA119" s="2" t="str">
        <f>IF(Converters!P80="","",Converters!P80)</f>
        <v/>
      </c>
      <c r="AB119" s="2" t="str">
        <f>IF(Converters!Q80="","",Converters!Q80)</f>
        <v/>
      </c>
      <c r="AC119" s="2" t="str">
        <f>IF(Converters!R80="","",Converters!R80)</f>
        <v/>
      </c>
      <c r="AD119" s="2" t="str">
        <f>IF(Converters!S80="","",Converters!S80)</f>
        <v/>
      </c>
      <c r="AE119" s="2" t="str">
        <f>IF(Converters!T80="","",Converters!T80)</f>
        <v/>
      </c>
      <c r="AF119" s="2" t="str">
        <f>IF(Converters!U80="","",Converters!U80)</f>
        <v/>
      </c>
      <c r="AG119" s="2" t="str">
        <f>IF(Converters!V80="","",Converters!V80)</f>
        <v/>
      </c>
      <c r="AH119" s="2" t="str">
        <f>IF(Converters!W80="","",Converters!W80)</f>
        <v/>
      </c>
      <c r="AI119" s="2" t="str">
        <f>IF(Converters!X80="","",Converters!X80)</f>
        <v/>
      </c>
      <c r="AJ119" s="2" t="str">
        <f>IF(Converters!Y80="","",Converters!Y80)</f>
        <v/>
      </c>
    </row>
    <row r="120" spans="1:36">
      <c r="A120" s="1"/>
      <c r="B120" s="46" t="s">
        <v>111</v>
      </c>
      <c r="C120" s="29">
        <f>Ilim*(_Vo1^2/Po)/Vfb*VRO/(_Vo1+_VF1)*Vdc_min/(Vdc_min+2*VRO)</f>
        <v>4.7927605964632125</v>
      </c>
      <c r="D120" s="47"/>
      <c r="E120" s="1"/>
      <c r="F120" s="1"/>
      <c r="G120" s="1"/>
      <c r="H120" s="1"/>
      <c r="I120" s="1"/>
      <c r="J120" s="1"/>
      <c r="K120" s="1"/>
      <c r="L120" s="48"/>
      <c r="M120" s="2" t="str">
        <f>IF(Converters!B81="","",Converters!B81)</f>
        <v/>
      </c>
      <c r="N120" s="2" t="str">
        <f>IF(Converters!C81="","",Converters!C81)</f>
        <v/>
      </c>
      <c r="O120" s="2" t="str">
        <f>IF(Converters!D81="","",Converters!D81)</f>
        <v/>
      </c>
      <c r="P120" s="2" t="str">
        <f>IF(Converters!E81="","",Converters!E81)</f>
        <v/>
      </c>
      <c r="Q120" s="2" t="str">
        <f>IF(Converters!F81="","",Converters!F81)</f>
        <v/>
      </c>
      <c r="R120" s="2" t="str">
        <f>IF(Converters!G81="","",Converters!G81)</f>
        <v/>
      </c>
      <c r="S120" s="2" t="str">
        <f>IF(Converters!H81="","",Converters!H81)</f>
        <v/>
      </c>
      <c r="T120" s="2" t="str">
        <f>IF(Converters!I81="","",Converters!I81)</f>
        <v/>
      </c>
      <c r="U120" s="2" t="str">
        <f>IF(Converters!J81="","",Converters!J81)</f>
        <v/>
      </c>
      <c r="V120" s="2" t="str">
        <f>IF(Converters!K81="","",Converters!K81)</f>
        <v/>
      </c>
      <c r="W120" s="2" t="str">
        <f>IF(Converters!L81="","",Converters!L81)</f>
        <v/>
      </c>
      <c r="X120" s="2" t="str">
        <f>IF(Converters!M81="","",Converters!M81)</f>
        <v/>
      </c>
      <c r="Y120" s="2" t="str">
        <f>IF(Converters!N81="","",Converters!N81)</f>
        <v/>
      </c>
      <c r="Z120" s="2" t="str">
        <f>IF(Converters!O81="","",Converters!O81)</f>
        <v/>
      </c>
      <c r="AA120" s="2" t="str">
        <f>IF(Converters!P81="","",Converters!P81)</f>
        <v/>
      </c>
      <c r="AB120" s="2" t="str">
        <f>IF(Converters!Q81="","",Converters!Q81)</f>
        <v/>
      </c>
      <c r="AC120" s="2" t="str">
        <f>IF(Converters!R81="","",Converters!R81)</f>
        <v/>
      </c>
      <c r="AD120" s="2" t="str">
        <f>IF(Converters!S81="","",Converters!S81)</f>
        <v/>
      </c>
      <c r="AE120" s="2" t="str">
        <f>IF(Converters!T81="","",Converters!T81)</f>
        <v/>
      </c>
      <c r="AF120" s="2" t="str">
        <f>IF(Converters!U81="","",Converters!U81)</f>
        <v/>
      </c>
      <c r="AG120" s="2" t="str">
        <f>IF(Converters!V81="","",Converters!V81)</f>
        <v/>
      </c>
      <c r="AH120" s="2" t="str">
        <f>IF(Converters!W81="","",Converters!W81)</f>
        <v/>
      </c>
      <c r="AI120" s="2" t="str">
        <f>IF(Converters!X81="","",Converters!X81)</f>
        <v/>
      </c>
      <c r="AJ120" s="2" t="str">
        <f>IF(Converters!Y81="","",Converters!Y81)</f>
        <v/>
      </c>
    </row>
    <row r="121" spans="1:36" ht="17.25">
      <c r="A121" s="1"/>
      <c r="B121" s="46" t="s">
        <v>112</v>
      </c>
      <c r="C121" s="37">
        <f>1/(Rc_1*Co_1)*10^9</f>
        <v>33333.333333333336</v>
      </c>
      <c r="D121" s="12" t="s">
        <v>113</v>
      </c>
      <c r="E121" s="12"/>
      <c r="F121" s="49" t="s">
        <v>114</v>
      </c>
      <c r="G121" s="200">
        <f>1/(2*3.14*Rc_1*Co_1)*10^9</f>
        <v>5307.8556263269638</v>
      </c>
      <c r="H121" s="200"/>
      <c r="I121" s="12" t="s">
        <v>8</v>
      </c>
      <c r="J121" s="1"/>
      <c r="K121" s="1"/>
      <c r="L121" s="50"/>
      <c r="M121" s="2" t="str">
        <f>IF(Converters!B82="","",Converters!B82)</f>
        <v/>
      </c>
      <c r="N121" s="2" t="str">
        <f>IF(Converters!C82="","",Converters!C82)</f>
        <v/>
      </c>
      <c r="O121" s="2" t="str">
        <f>IF(Converters!D82="","",Converters!D82)</f>
        <v/>
      </c>
      <c r="P121" s="2" t="str">
        <f>IF(Converters!E82="","",Converters!E82)</f>
        <v/>
      </c>
      <c r="Q121" s="2" t="str">
        <f>IF(Converters!F82="","",Converters!F82)</f>
        <v/>
      </c>
      <c r="R121" s="2" t="str">
        <f>IF(Converters!G82="","",Converters!G82)</f>
        <v/>
      </c>
      <c r="S121" s="2" t="str">
        <f>IF(Converters!H82="","",Converters!H82)</f>
        <v/>
      </c>
      <c r="T121" s="2" t="str">
        <f>IF(Converters!I82="","",Converters!I82)</f>
        <v/>
      </c>
      <c r="U121" s="2" t="str">
        <f>IF(Converters!J82="","",Converters!J82)</f>
        <v/>
      </c>
      <c r="V121" s="2" t="str">
        <f>IF(Converters!K82="","",Converters!K82)</f>
        <v/>
      </c>
      <c r="W121" s="2" t="str">
        <f>IF(Converters!L82="","",Converters!L82)</f>
        <v/>
      </c>
      <c r="X121" s="2" t="str">
        <f>IF(Converters!M82="","",Converters!M82)</f>
        <v/>
      </c>
      <c r="Y121" s="2" t="str">
        <f>IF(Converters!N82="","",Converters!N82)</f>
        <v/>
      </c>
      <c r="Z121" s="2" t="str">
        <f>IF(Converters!O82="","",Converters!O82)</f>
        <v/>
      </c>
      <c r="AA121" s="2" t="str">
        <f>IF(Converters!P82="","",Converters!P82)</f>
        <v/>
      </c>
      <c r="AB121" s="2" t="str">
        <f>IF(Converters!Q82="","",Converters!Q82)</f>
        <v/>
      </c>
      <c r="AC121" s="2" t="str">
        <f>IF(Converters!R82="","",Converters!R82)</f>
        <v/>
      </c>
      <c r="AD121" s="2" t="str">
        <f>IF(Converters!S82="","",Converters!S82)</f>
        <v/>
      </c>
      <c r="AE121" s="2" t="str">
        <f>IF(Converters!T82="","",Converters!T82)</f>
        <v/>
      </c>
      <c r="AF121" s="2" t="str">
        <f>IF(Converters!U82="","",Converters!U82)</f>
        <v/>
      </c>
      <c r="AG121" s="2" t="str">
        <f>IF(Converters!V82="","",Converters!V82)</f>
        <v/>
      </c>
      <c r="AH121" s="2" t="str">
        <f>IF(Converters!W82="","",Converters!W82)</f>
        <v/>
      </c>
      <c r="AI121" s="2" t="str">
        <f>IF(Converters!X82="","",Converters!X82)</f>
        <v/>
      </c>
      <c r="AJ121" s="2" t="str">
        <f>IF(Converters!Y82="","",Converters!Y82)</f>
        <v/>
      </c>
    </row>
    <row r="122" spans="1:36" ht="17.25">
      <c r="A122" s="1"/>
      <c r="B122" s="46" t="s">
        <v>115</v>
      </c>
      <c r="C122" s="37">
        <f>_Vo1/Io_1/Lm/Dmax*(1-Dmax)^2*(VRO/(_Vo1+_VF1))^2</f>
        <v>134608.16412511142</v>
      </c>
      <c r="D122" s="12" t="s">
        <v>113</v>
      </c>
      <c r="E122" s="1"/>
      <c r="F122" s="49" t="s">
        <v>116</v>
      </c>
      <c r="G122" s="200">
        <f>1/(2*3.14)*_Vo1/Io_1/Lm/Dmax*(1-Dmax)^2*(VRO/(_Vo1+_VF1))^2</f>
        <v>21434.42103903048</v>
      </c>
      <c r="H122" s="200"/>
      <c r="I122" s="12" t="s">
        <v>8</v>
      </c>
      <c r="J122" s="1"/>
      <c r="K122" s="1"/>
      <c r="L122" s="48"/>
      <c r="M122" s="2" t="str">
        <f>IF(Converters!B83="","",Converters!B83)</f>
        <v/>
      </c>
      <c r="N122" s="2" t="str">
        <f>IF(Converters!C83="","",Converters!C83)</f>
        <v/>
      </c>
      <c r="O122" s="2" t="str">
        <f>IF(Converters!D83="","",Converters!D83)</f>
        <v/>
      </c>
      <c r="P122" s="2" t="str">
        <f>IF(Converters!E83="","",Converters!E83)</f>
        <v/>
      </c>
      <c r="Q122" s="2" t="str">
        <f>IF(Converters!F83="","",Converters!F83)</f>
        <v/>
      </c>
      <c r="R122" s="2" t="str">
        <f>IF(Converters!G83="","",Converters!G83)</f>
        <v/>
      </c>
      <c r="S122" s="2" t="str">
        <f>IF(Converters!H83="","",Converters!H83)</f>
        <v/>
      </c>
      <c r="T122" s="2" t="str">
        <f>IF(Converters!I83="","",Converters!I83)</f>
        <v/>
      </c>
      <c r="U122" s="2" t="str">
        <f>IF(Converters!J83="","",Converters!J83)</f>
        <v/>
      </c>
      <c r="V122" s="2" t="str">
        <f>IF(Converters!K83="","",Converters!K83)</f>
        <v/>
      </c>
      <c r="W122" s="2" t="str">
        <f>IF(Converters!L83="","",Converters!L83)</f>
        <v/>
      </c>
      <c r="X122" s="2" t="str">
        <f>IF(Converters!M83="","",Converters!M83)</f>
        <v/>
      </c>
      <c r="Y122" s="2" t="str">
        <f>IF(Converters!N83="","",Converters!N83)</f>
        <v/>
      </c>
      <c r="Z122" s="2" t="str">
        <f>IF(Converters!O83="","",Converters!O83)</f>
        <v/>
      </c>
      <c r="AA122" s="2" t="str">
        <f>IF(Converters!P83="","",Converters!P83)</f>
        <v/>
      </c>
      <c r="AB122" s="2" t="str">
        <f>IF(Converters!Q83="","",Converters!Q83)</f>
        <v/>
      </c>
      <c r="AC122" s="2" t="str">
        <f>IF(Converters!R83="","",Converters!R83)</f>
        <v/>
      </c>
      <c r="AD122" s="2" t="str">
        <f>IF(Converters!S83="","",Converters!S83)</f>
        <v/>
      </c>
      <c r="AE122" s="2" t="str">
        <f>IF(Converters!T83="","",Converters!T83)</f>
        <v/>
      </c>
      <c r="AF122" s="2" t="str">
        <f>IF(Converters!U83="","",Converters!U83)</f>
        <v/>
      </c>
      <c r="AG122" s="2" t="str">
        <f>IF(Converters!V83="","",Converters!V83)</f>
        <v/>
      </c>
      <c r="AH122" s="2" t="str">
        <f>IF(Converters!W83="","",Converters!W83)</f>
        <v/>
      </c>
      <c r="AI122" s="2" t="str">
        <f>IF(Converters!X83="","",Converters!X83)</f>
        <v/>
      </c>
      <c r="AJ122" s="2" t="str">
        <f>IF(Converters!Y83="","",Converters!Y83)</f>
        <v/>
      </c>
    </row>
    <row r="123" spans="1:36" ht="17.25">
      <c r="A123" s="1"/>
      <c r="B123" s="46" t="s">
        <v>117</v>
      </c>
      <c r="C123" s="37">
        <f>(1+Dmax)/(_Vo1^2/Po*Co_1)*10^6</f>
        <v>149.85000000000002</v>
      </c>
      <c r="D123" s="12" t="s">
        <v>113</v>
      </c>
      <c r="E123" s="1"/>
      <c r="F123" s="49" t="s">
        <v>118</v>
      </c>
      <c r="G123" s="200">
        <f>(1+Dmax)/(2*3.14*_Vo1^2/Po*Co_1)*10^6</f>
        <v>23.86146496815287</v>
      </c>
      <c r="H123" s="200"/>
      <c r="I123" s="12" t="s">
        <v>8</v>
      </c>
      <c r="J123" s="1"/>
      <c r="K123" s="1"/>
      <c r="L123" s="48"/>
      <c r="M123" s="2" t="str">
        <f>IF(Converters!B84="","",Converters!B84)</f>
        <v/>
      </c>
      <c r="N123" s="2" t="str">
        <f>IF(Converters!C84="","",Converters!C84)</f>
        <v/>
      </c>
      <c r="O123" s="2" t="str">
        <f>IF(Converters!D84="","",Converters!D84)</f>
        <v/>
      </c>
      <c r="P123" s="2" t="str">
        <f>IF(Converters!E84="","",Converters!E84)</f>
        <v/>
      </c>
      <c r="Q123" s="2" t="str">
        <f>IF(Converters!F84="","",Converters!F84)</f>
        <v/>
      </c>
      <c r="R123" s="2" t="str">
        <f>IF(Converters!G84="","",Converters!G84)</f>
        <v/>
      </c>
      <c r="S123" s="2" t="str">
        <f>IF(Converters!H84="","",Converters!H84)</f>
        <v/>
      </c>
      <c r="T123" s="2" t="str">
        <f>IF(Converters!I84="","",Converters!I84)</f>
        <v/>
      </c>
      <c r="U123" s="2" t="str">
        <f>IF(Converters!J84="","",Converters!J84)</f>
        <v/>
      </c>
      <c r="V123" s="2" t="str">
        <f>IF(Converters!K84="","",Converters!K84)</f>
        <v/>
      </c>
      <c r="W123" s="2" t="str">
        <f>IF(Converters!L84="","",Converters!L84)</f>
        <v/>
      </c>
      <c r="X123" s="2" t="str">
        <f>IF(Converters!M84="","",Converters!M84)</f>
        <v/>
      </c>
      <c r="Y123" s="2" t="str">
        <f>IF(Converters!N84="","",Converters!N84)</f>
        <v/>
      </c>
      <c r="Z123" s="2" t="str">
        <f>IF(Converters!O84="","",Converters!O84)</f>
        <v/>
      </c>
      <c r="AA123" s="2" t="str">
        <f>IF(Converters!P84="","",Converters!P84)</f>
        <v/>
      </c>
      <c r="AB123" s="2" t="str">
        <f>IF(Converters!Q84="","",Converters!Q84)</f>
        <v/>
      </c>
      <c r="AC123" s="2" t="str">
        <f>IF(Converters!R84="","",Converters!R84)</f>
        <v/>
      </c>
      <c r="AD123" s="2" t="str">
        <f>IF(Converters!S84="","",Converters!S84)</f>
        <v/>
      </c>
      <c r="AE123" s="2" t="str">
        <f>IF(Converters!T84="","",Converters!T84)</f>
        <v/>
      </c>
      <c r="AF123" s="2" t="str">
        <f>IF(Converters!U84="","",Converters!U84)</f>
        <v/>
      </c>
      <c r="AG123" s="2" t="str">
        <f>IF(Converters!V84="","",Converters!V84)</f>
        <v/>
      </c>
      <c r="AH123" s="2" t="str">
        <f>IF(Converters!W84="","",Converters!W84)</f>
        <v/>
      </c>
      <c r="AI123" s="2" t="str">
        <f>IF(Converters!X84="","",Converters!X84)</f>
        <v/>
      </c>
      <c r="AJ123" s="2" t="str">
        <f>IF(Converters!Y84="","",Converters!Y84)</f>
        <v/>
      </c>
    </row>
    <row r="124" spans="1:3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48"/>
      <c r="M124" s="2" t="str">
        <f>IF(Converters!B85="","",Converters!B85)</f>
        <v/>
      </c>
      <c r="N124" s="2" t="str">
        <f>IF(Converters!C85="","",Converters!C85)</f>
        <v/>
      </c>
      <c r="O124" s="2" t="str">
        <f>IF(Converters!D85="","",Converters!D85)</f>
        <v/>
      </c>
      <c r="P124" s="2" t="str">
        <f>IF(Converters!E85="","",Converters!E85)</f>
        <v/>
      </c>
      <c r="Q124" s="2" t="str">
        <f>IF(Converters!F85="","",Converters!F85)</f>
        <v/>
      </c>
      <c r="R124" s="2" t="str">
        <f>IF(Converters!G85="","",Converters!G85)</f>
        <v/>
      </c>
      <c r="S124" s="2" t="str">
        <f>IF(Converters!H85="","",Converters!H85)</f>
        <v/>
      </c>
      <c r="T124" s="2" t="str">
        <f>IF(Converters!I85="","",Converters!I85)</f>
        <v/>
      </c>
      <c r="U124" s="2" t="str">
        <f>IF(Converters!J85="","",Converters!J85)</f>
        <v/>
      </c>
      <c r="V124" s="2" t="str">
        <f>IF(Converters!K85="","",Converters!K85)</f>
        <v/>
      </c>
      <c r="W124" s="2" t="str">
        <f>IF(Converters!L85="","",Converters!L85)</f>
        <v/>
      </c>
      <c r="X124" s="2" t="str">
        <f>IF(Converters!M85="","",Converters!M85)</f>
        <v/>
      </c>
      <c r="Y124" s="2" t="str">
        <f>IF(Converters!N85="","",Converters!N85)</f>
        <v/>
      </c>
      <c r="Z124" s="2" t="str">
        <f>IF(Converters!O85="","",Converters!O85)</f>
        <v/>
      </c>
      <c r="AA124" s="2" t="str">
        <f>IF(Converters!P85="","",Converters!P85)</f>
        <v/>
      </c>
      <c r="AB124" s="2" t="str">
        <f>IF(Converters!Q85="","",Converters!Q85)</f>
        <v/>
      </c>
      <c r="AC124" s="2" t="str">
        <f>IF(Converters!R85="","",Converters!R85)</f>
        <v/>
      </c>
      <c r="AD124" s="2" t="str">
        <f>IF(Converters!S85="","",Converters!S85)</f>
        <v/>
      </c>
      <c r="AE124" s="2" t="str">
        <f>IF(Converters!T85="","",Converters!T85)</f>
        <v/>
      </c>
      <c r="AF124" s="2" t="str">
        <f>IF(Converters!U85="","",Converters!U85)</f>
        <v/>
      </c>
      <c r="AG124" s="2" t="str">
        <f>IF(Converters!V85="","",Converters!V85)</f>
        <v/>
      </c>
      <c r="AH124" s="2" t="str">
        <f>IF(Converters!W85="","",Converters!W85)</f>
        <v/>
      </c>
      <c r="AI124" s="2" t="str">
        <f>IF(Converters!X85="","",Converters!X85)</f>
        <v/>
      </c>
      <c r="AJ124" s="2" t="str">
        <f>IF(Converters!Y85="","",Converters!Y85)</f>
        <v/>
      </c>
    </row>
    <row r="125" spans="1:36" ht="16.5">
      <c r="A125" s="1"/>
      <c r="B125" s="1" t="s">
        <v>119</v>
      </c>
      <c r="C125" s="51">
        <v>36</v>
      </c>
      <c r="D125" s="1" t="s">
        <v>451</v>
      </c>
      <c r="E125" s="1"/>
      <c r="F125" s="1"/>
      <c r="G125" s="1"/>
      <c r="H125" s="1"/>
      <c r="I125" s="1"/>
      <c r="J125" s="1"/>
      <c r="K125" s="1"/>
      <c r="L125" s="50"/>
      <c r="M125" s="2" t="str">
        <f>IF(Converters!B86="","",Converters!B86)</f>
        <v/>
      </c>
      <c r="N125" s="2" t="str">
        <f>IF(Converters!C86="","",Converters!C86)</f>
        <v/>
      </c>
      <c r="O125" s="2" t="str">
        <f>IF(Converters!D86="","",Converters!D86)</f>
        <v/>
      </c>
      <c r="P125" s="2" t="str">
        <f>IF(Converters!E86="","",Converters!E86)</f>
        <v/>
      </c>
      <c r="Q125" s="2" t="str">
        <f>IF(Converters!F86="","",Converters!F86)</f>
        <v/>
      </c>
      <c r="R125" s="2" t="str">
        <f>IF(Converters!G86="","",Converters!G86)</f>
        <v/>
      </c>
      <c r="S125" s="2" t="str">
        <f>IF(Converters!H86="","",Converters!H86)</f>
        <v/>
      </c>
      <c r="T125" s="2" t="str">
        <f>IF(Converters!I86="","",Converters!I86)</f>
        <v/>
      </c>
      <c r="U125" s="2" t="str">
        <f>IF(Converters!J86="","",Converters!J86)</f>
        <v/>
      </c>
      <c r="V125" s="2" t="str">
        <f>IF(Converters!K86="","",Converters!K86)</f>
        <v/>
      </c>
      <c r="W125" s="2" t="str">
        <f>IF(Converters!L86="","",Converters!L86)</f>
        <v/>
      </c>
      <c r="X125" s="2" t="str">
        <f>IF(Converters!M86="","",Converters!M86)</f>
        <v/>
      </c>
      <c r="Y125" s="2" t="str">
        <f>IF(Converters!N86="","",Converters!N86)</f>
        <v/>
      </c>
      <c r="Z125" s="2" t="str">
        <f>IF(Converters!O86="","",Converters!O86)</f>
        <v/>
      </c>
      <c r="AA125" s="2" t="str">
        <f>IF(Converters!P86="","",Converters!P86)</f>
        <v/>
      </c>
      <c r="AB125" s="2" t="str">
        <f>IF(Converters!Q86="","",Converters!Q86)</f>
        <v/>
      </c>
      <c r="AC125" s="2" t="str">
        <f>IF(Converters!R86="","",Converters!R86)</f>
        <v/>
      </c>
      <c r="AD125" s="2" t="str">
        <f>IF(Converters!S86="","",Converters!S86)</f>
        <v/>
      </c>
      <c r="AE125" s="2" t="str">
        <f>IF(Converters!T86="","",Converters!T86)</f>
        <v/>
      </c>
      <c r="AF125" s="2" t="str">
        <f>IF(Converters!U86="","",Converters!U86)</f>
        <v/>
      </c>
      <c r="AG125" s="2" t="str">
        <f>IF(Converters!V86="","",Converters!V86)</f>
        <v/>
      </c>
      <c r="AH125" s="2" t="str">
        <f>IF(Converters!W86="","",Converters!W86)</f>
        <v/>
      </c>
      <c r="AI125" s="2" t="str">
        <f>IF(Converters!X86="","",Converters!X86)</f>
        <v/>
      </c>
      <c r="AJ125" s="2" t="str">
        <f>IF(Converters!Y86="","",Converters!Y86)</f>
        <v/>
      </c>
    </row>
    <row r="126" spans="1:36" ht="17.25">
      <c r="A126" s="1"/>
      <c r="B126" s="46" t="s">
        <v>120</v>
      </c>
      <c r="C126" s="29">
        <f>2.5*R_1/(_Vo1-2.5)</f>
        <v>9.473684210526315</v>
      </c>
      <c r="D126" s="12" t="s">
        <v>452</v>
      </c>
      <c r="E126" s="1"/>
      <c r="F126" s="1"/>
      <c r="G126" s="1"/>
      <c r="H126" s="1"/>
      <c r="I126" s="1"/>
      <c r="J126" s="1"/>
      <c r="K126" s="1"/>
      <c r="L126" s="48"/>
      <c r="M126" s="2" t="str">
        <f>IF(Converters!B87="","",Converters!B87)</f>
        <v/>
      </c>
      <c r="N126" s="2" t="str">
        <f>IF(Converters!C87="","",Converters!C87)</f>
        <v/>
      </c>
      <c r="O126" s="2" t="str">
        <f>IF(Converters!D87="","",Converters!D87)</f>
        <v/>
      </c>
      <c r="P126" s="2" t="str">
        <f>IF(Converters!E87="","",Converters!E87)</f>
        <v/>
      </c>
      <c r="Q126" s="2" t="str">
        <f>IF(Converters!F87="","",Converters!F87)</f>
        <v/>
      </c>
      <c r="R126" s="2" t="str">
        <f>IF(Converters!G87="","",Converters!G87)</f>
        <v/>
      </c>
      <c r="S126" s="2" t="str">
        <f>IF(Converters!H87="","",Converters!H87)</f>
        <v/>
      </c>
      <c r="T126" s="2" t="str">
        <f>IF(Converters!I87="","",Converters!I87)</f>
        <v/>
      </c>
      <c r="U126" s="2" t="str">
        <f>IF(Converters!J87="","",Converters!J87)</f>
        <v/>
      </c>
      <c r="V126" s="2" t="str">
        <f>IF(Converters!K87="","",Converters!K87)</f>
        <v/>
      </c>
      <c r="W126" s="2" t="str">
        <f>IF(Converters!L87="","",Converters!L87)</f>
        <v/>
      </c>
      <c r="X126" s="2" t="str">
        <f>IF(Converters!M87="","",Converters!M87)</f>
        <v/>
      </c>
      <c r="Y126" s="2" t="str">
        <f>IF(Converters!N87="","",Converters!N87)</f>
        <v/>
      </c>
      <c r="Z126" s="2" t="str">
        <f>IF(Converters!O87="","",Converters!O87)</f>
        <v/>
      </c>
      <c r="AA126" s="2" t="str">
        <f>IF(Converters!P87="","",Converters!P87)</f>
        <v/>
      </c>
      <c r="AB126" s="2" t="str">
        <f>IF(Converters!Q87="","",Converters!Q87)</f>
        <v/>
      </c>
      <c r="AC126" s="2" t="str">
        <f>IF(Converters!R87="","",Converters!R87)</f>
        <v/>
      </c>
      <c r="AD126" s="2" t="str">
        <f>IF(Converters!S87="","",Converters!S87)</f>
        <v/>
      </c>
      <c r="AE126" s="2" t="str">
        <f>IF(Converters!T87="","",Converters!T87)</f>
        <v/>
      </c>
      <c r="AF126" s="2" t="str">
        <f>IF(Converters!U87="","",Converters!U87)</f>
        <v/>
      </c>
      <c r="AG126" s="2" t="str">
        <f>IF(Converters!V87="","",Converters!V87)</f>
        <v/>
      </c>
      <c r="AH126" s="2" t="str">
        <f>IF(Converters!W87="","",Converters!W87)</f>
        <v/>
      </c>
      <c r="AI126" s="2" t="str">
        <f>IF(Converters!X87="","",Converters!X87)</f>
        <v/>
      </c>
      <c r="AJ126" s="2" t="str">
        <f>IF(Converters!Y87="","",Converters!Y87)</f>
        <v/>
      </c>
    </row>
    <row r="127" spans="1:36" ht="16.5">
      <c r="A127" s="1"/>
      <c r="B127" s="1" t="s">
        <v>121</v>
      </c>
      <c r="C127" s="5">
        <v>1.5</v>
      </c>
      <c r="D127" s="1" t="s">
        <v>451</v>
      </c>
      <c r="E127" s="52"/>
      <c r="F127" s="4"/>
      <c r="G127" s="4"/>
      <c r="H127" s="1"/>
      <c r="I127" s="1"/>
      <c r="J127" s="1"/>
      <c r="K127" s="1"/>
      <c r="L127" s="53"/>
      <c r="M127" s="2" t="str">
        <f>IF(Converters!B88="","",Converters!B88)</f>
        <v/>
      </c>
      <c r="N127" s="2" t="str">
        <f>IF(Converters!C88="","",Converters!C88)</f>
        <v/>
      </c>
      <c r="O127" s="2" t="str">
        <f>IF(Converters!D88="","",Converters!D88)</f>
        <v/>
      </c>
      <c r="P127" s="2" t="str">
        <f>IF(Converters!E88="","",Converters!E88)</f>
        <v/>
      </c>
      <c r="Q127" s="2" t="str">
        <f>IF(Converters!F88="","",Converters!F88)</f>
        <v/>
      </c>
      <c r="R127" s="2" t="str">
        <f>IF(Converters!G88="","",Converters!G88)</f>
        <v/>
      </c>
      <c r="S127" s="2" t="str">
        <f>IF(Converters!H88="","",Converters!H88)</f>
        <v/>
      </c>
      <c r="T127" s="2" t="str">
        <f>IF(Converters!I88="","",Converters!I88)</f>
        <v/>
      </c>
      <c r="U127" s="2" t="str">
        <f>IF(Converters!J88="","",Converters!J88)</f>
        <v/>
      </c>
      <c r="V127" s="2" t="str">
        <f>IF(Converters!K88="","",Converters!K88)</f>
        <v/>
      </c>
      <c r="W127" s="2" t="str">
        <f>IF(Converters!L88="","",Converters!L88)</f>
        <v/>
      </c>
      <c r="X127" s="2" t="str">
        <f>IF(Converters!M88="","",Converters!M88)</f>
        <v/>
      </c>
      <c r="Y127" s="2" t="str">
        <f>IF(Converters!N88="","",Converters!N88)</f>
        <v/>
      </c>
      <c r="Z127" s="2" t="str">
        <f>IF(Converters!O88="","",Converters!O88)</f>
        <v/>
      </c>
      <c r="AA127" s="2" t="str">
        <f>IF(Converters!P88="","",Converters!P88)</f>
        <v/>
      </c>
      <c r="AB127" s="2" t="str">
        <f>IF(Converters!Q88="","",Converters!Q88)</f>
        <v/>
      </c>
      <c r="AC127" s="2" t="str">
        <f>IF(Converters!R88="","",Converters!R88)</f>
        <v/>
      </c>
      <c r="AD127" s="2" t="str">
        <f>IF(Converters!S88="","",Converters!S88)</f>
        <v/>
      </c>
      <c r="AE127" s="2" t="str">
        <f>IF(Converters!T88="","",Converters!T88)</f>
        <v/>
      </c>
      <c r="AF127" s="2" t="str">
        <f>IF(Converters!U88="","",Converters!U88)</f>
        <v/>
      </c>
      <c r="AG127" s="2" t="str">
        <f>IF(Converters!V88="","",Converters!V88)</f>
        <v/>
      </c>
      <c r="AH127" s="2" t="str">
        <f>IF(Converters!W88="","",Converters!W88)</f>
        <v/>
      </c>
      <c r="AI127" s="2" t="str">
        <f>IF(Converters!X88="","",Converters!X88)</f>
        <v/>
      </c>
      <c r="AJ127" s="2" t="str">
        <f>IF(Converters!Y88="","",Converters!Y88)</f>
        <v/>
      </c>
    </row>
    <row r="128" spans="1:36" ht="16.5">
      <c r="A128" s="1"/>
      <c r="B128" s="1" t="s">
        <v>122</v>
      </c>
      <c r="C128" s="5">
        <v>2.2000000000000002</v>
      </c>
      <c r="D128" s="1" t="s">
        <v>451</v>
      </c>
      <c r="E128" s="52"/>
      <c r="F128" s="4"/>
      <c r="G128" s="4"/>
      <c r="H128" s="1"/>
      <c r="I128" s="1"/>
      <c r="J128" s="1"/>
      <c r="K128" s="1"/>
      <c r="L128" s="44"/>
      <c r="M128" s="2" t="str">
        <f>IF(Converters!B89="","",Converters!B89)</f>
        <v/>
      </c>
      <c r="N128" s="2" t="str">
        <f>IF(Converters!C89="","",Converters!C89)</f>
        <v/>
      </c>
      <c r="O128" s="2" t="str">
        <f>IF(Converters!D89="","",Converters!D89)</f>
        <v/>
      </c>
      <c r="P128" s="2" t="str">
        <f>IF(Converters!E89="","",Converters!E89)</f>
        <v/>
      </c>
      <c r="Q128" s="2" t="str">
        <f>IF(Converters!F89="","",Converters!F89)</f>
        <v/>
      </c>
      <c r="R128" s="2" t="str">
        <f>IF(Converters!G89="","",Converters!G89)</f>
        <v/>
      </c>
      <c r="S128" s="2" t="str">
        <f>IF(Converters!H89="","",Converters!H89)</f>
        <v/>
      </c>
      <c r="T128" s="2" t="str">
        <f>IF(Converters!I89="","",Converters!I89)</f>
        <v/>
      </c>
      <c r="U128" s="2" t="str">
        <f>IF(Converters!J89="","",Converters!J89)</f>
        <v/>
      </c>
      <c r="V128" s="2" t="str">
        <f>IF(Converters!K89="","",Converters!K89)</f>
        <v/>
      </c>
      <c r="W128" s="2" t="str">
        <f>IF(Converters!L89="","",Converters!L89)</f>
        <v/>
      </c>
      <c r="X128" s="2" t="str">
        <f>IF(Converters!M89="","",Converters!M89)</f>
        <v/>
      </c>
      <c r="Y128" s="2" t="str">
        <f>IF(Converters!N89="","",Converters!N89)</f>
        <v/>
      </c>
      <c r="Z128" s="2" t="str">
        <f>IF(Converters!O89="","",Converters!O89)</f>
        <v/>
      </c>
      <c r="AA128" s="2" t="str">
        <f>IF(Converters!P89="","",Converters!P89)</f>
        <v/>
      </c>
      <c r="AB128" s="2" t="str">
        <f>IF(Converters!Q89="","",Converters!Q89)</f>
        <v/>
      </c>
      <c r="AC128" s="2" t="str">
        <f>IF(Converters!R89="","",Converters!R89)</f>
        <v/>
      </c>
      <c r="AD128" s="2" t="str">
        <f>IF(Converters!S89="","",Converters!S89)</f>
        <v/>
      </c>
      <c r="AE128" s="2" t="str">
        <f>IF(Converters!T89="","",Converters!T89)</f>
        <v/>
      </c>
      <c r="AF128" s="2" t="str">
        <f>IF(Converters!U89="","",Converters!U89)</f>
        <v/>
      </c>
      <c r="AG128" s="2" t="str">
        <f>IF(Converters!V89="","",Converters!V89)</f>
        <v/>
      </c>
      <c r="AH128" s="2" t="str">
        <f>IF(Converters!W89="","",Converters!W89)</f>
        <v/>
      </c>
      <c r="AI128" s="2" t="str">
        <f>IF(Converters!X89="","",Converters!X89)</f>
        <v/>
      </c>
      <c r="AJ128" s="2" t="str">
        <f>IF(Converters!Y89="","",Converters!Y89)</f>
        <v/>
      </c>
    </row>
    <row r="129" spans="1:36" ht="16.5">
      <c r="A129" s="1"/>
      <c r="B129" s="16" t="s">
        <v>123</v>
      </c>
      <c r="C129" s="5">
        <v>4.7</v>
      </c>
      <c r="D129" s="16" t="s">
        <v>104</v>
      </c>
      <c r="E129" s="1"/>
      <c r="F129" s="1"/>
      <c r="G129" s="1"/>
      <c r="H129" s="1"/>
      <c r="I129" s="1"/>
      <c r="J129" s="1"/>
      <c r="K129" s="1"/>
      <c r="L129" s="42"/>
      <c r="M129" s="2" t="str">
        <f>IF(Converters!B90="","",Converters!B90)</f>
        <v/>
      </c>
      <c r="N129" s="2" t="str">
        <f>IF(Converters!C90="","",Converters!C90)</f>
        <v/>
      </c>
      <c r="O129" s="2" t="str">
        <f>IF(Converters!D90="","",Converters!D90)</f>
        <v/>
      </c>
      <c r="P129" s="2" t="str">
        <f>IF(Converters!E90="","",Converters!E90)</f>
        <v/>
      </c>
      <c r="Q129" s="2" t="str">
        <f>IF(Converters!F90="","",Converters!F90)</f>
        <v/>
      </c>
      <c r="R129" s="2" t="str">
        <f>IF(Converters!G90="","",Converters!G90)</f>
        <v/>
      </c>
      <c r="S129" s="2" t="str">
        <f>IF(Converters!H90="","",Converters!H90)</f>
        <v/>
      </c>
      <c r="T129" s="2" t="str">
        <f>IF(Converters!I90="","",Converters!I90)</f>
        <v/>
      </c>
      <c r="U129" s="2" t="str">
        <f>IF(Converters!J90="","",Converters!J90)</f>
        <v/>
      </c>
      <c r="V129" s="2" t="str">
        <f>IF(Converters!K90="","",Converters!K90)</f>
        <v/>
      </c>
      <c r="W129" s="2" t="str">
        <f>IF(Converters!L90="","",Converters!L90)</f>
        <v/>
      </c>
      <c r="X129" s="2" t="str">
        <f>IF(Converters!M90="","",Converters!M90)</f>
        <v/>
      </c>
      <c r="Y129" s="2" t="str">
        <f>IF(Converters!N90="","",Converters!N90)</f>
        <v/>
      </c>
      <c r="Z129" s="2" t="str">
        <f>IF(Converters!O90="","",Converters!O90)</f>
        <v/>
      </c>
      <c r="AA129" s="2" t="str">
        <f>IF(Converters!P90="","",Converters!P90)</f>
        <v/>
      </c>
      <c r="AB129" s="2" t="str">
        <f>IF(Converters!Q90="","",Converters!Q90)</f>
        <v/>
      </c>
      <c r="AC129" s="2" t="str">
        <f>IF(Converters!R90="","",Converters!R90)</f>
        <v/>
      </c>
      <c r="AD129" s="2" t="str">
        <f>IF(Converters!S90="","",Converters!S90)</f>
        <v/>
      </c>
      <c r="AE129" s="2" t="str">
        <f>IF(Converters!T90="","",Converters!T90)</f>
        <v/>
      </c>
      <c r="AF129" s="2" t="str">
        <f>IF(Converters!U90="","",Converters!U90)</f>
        <v/>
      </c>
      <c r="AG129" s="2" t="str">
        <f>IF(Converters!V90="","",Converters!V90)</f>
        <v/>
      </c>
      <c r="AH129" s="2" t="str">
        <f>IF(Converters!W90="","",Converters!W90)</f>
        <v/>
      </c>
      <c r="AI129" s="2" t="str">
        <f>IF(Converters!X90="","",Converters!X90)</f>
        <v/>
      </c>
      <c r="AJ129" s="2" t="str">
        <f>IF(Converters!Y90="","",Converters!Y90)</f>
        <v/>
      </c>
    </row>
    <row r="130" spans="1:36" ht="16.5">
      <c r="A130" s="1"/>
      <c r="B130" s="16" t="s">
        <v>124</v>
      </c>
      <c r="C130" s="5">
        <v>47</v>
      </c>
      <c r="D130" s="16" t="s">
        <v>104</v>
      </c>
      <c r="E130" s="1"/>
      <c r="F130" s="1"/>
      <c r="G130" s="1"/>
      <c r="H130" s="1"/>
      <c r="I130" s="1"/>
      <c r="J130" s="1"/>
      <c r="K130" s="1"/>
      <c r="L130" s="42"/>
      <c r="M130" s="2" t="str">
        <f>IF(Converters!B91="","",Converters!B91)</f>
        <v/>
      </c>
      <c r="N130" s="2" t="str">
        <f>IF(Converters!C91="","",Converters!C91)</f>
        <v/>
      </c>
      <c r="O130" s="2" t="str">
        <f>IF(Converters!D91="","",Converters!D91)</f>
        <v/>
      </c>
      <c r="P130" s="2" t="str">
        <f>IF(Converters!E91="","",Converters!E91)</f>
        <v/>
      </c>
      <c r="Q130" s="2" t="str">
        <f>IF(Converters!F91="","",Converters!F91)</f>
        <v/>
      </c>
      <c r="R130" s="2" t="str">
        <f>IF(Converters!G91="","",Converters!G91)</f>
        <v/>
      </c>
      <c r="S130" s="2" t="str">
        <f>IF(Converters!H91="","",Converters!H91)</f>
        <v/>
      </c>
      <c r="T130" s="2" t="str">
        <f>IF(Converters!I91="","",Converters!I91)</f>
        <v/>
      </c>
      <c r="U130" s="2" t="str">
        <f>IF(Converters!J91="","",Converters!J91)</f>
        <v/>
      </c>
      <c r="V130" s="2" t="str">
        <f>IF(Converters!K91="","",Converters!K91)</f>
        <v/>
      </c>
      <c r="W130" s="2" t="str">
        <f>IF(Converters!L91="","",Converters!L91)</f>
        <v/>
      </c>
      <c r="X130" s="2" t="str">
        <f>IF(Converters!M91="","",Converters!M91)</f>
        <v/>
      </c>
      <c r="Y130" s="2" t="str">
        <f>IF(Converters!N91="","",Converters!N91)</f>
        <v/>
      </c>
      <c r="Z130" s="2" t="str">
        <f>IF(Converters!O91="","",Converters!O91)</f>
        <v/>
      </c>
      <c r="AA130" s="2" t="str">
        <f>IF(Converters!P91="","",Converters!P91)</f>
        <v/>
      </c>
      <c r="AB130" s="2" t="str">
        <f>IF(Converters!Q91="","",Converters!Q91)</f>
        <v/>
      </c>
      <c r="AC130" s="2" t="str">
        <f>IF(Converters!R91="","",Converters!R91)</f>
        <v/>
      </c>
      <c r="AD130" s="2" t="str">
        <f>IF(Converters!S91="","",Converters!S91)</f>
        <v/>
      </c>
      <c r="AE130" s="2" t="str">
        <f>IF(Converters!T91="","",Converters!T91)</f>
        <v/>
      </c>
      <c r="AF130" s="2" t="str">
        <f>IF(Converters!U91="","",Converters!U91)</f>
        <v/>
      </c>
      <c r="AG130" s="2" t="str">
        <f>IF(Converters!V91="","",Converters!V91)</f>
        <v/>
      </c>
      <c r="AH130" s="2" t="str">
        <f>IF(Converters!W91="","",Converters!W91)</f>
        <v/>
      </c>
      <c r="AI130" s="2" t="str">
        <f>IF(Converters!X91="","",Converters!X91)</f>
        <v/>
      </c>
      <c r="AJ130" s="2" t="str">
        <f>IF(Converters!Y91="","",Converters!Y91)</f>
        <v/>
      </c>
    </row>
    <row r="131" spans="1:36" ht="16.5">
      <c r="A131" s="1"/>
      <c r="B131" s="16" t="s">
        <v>125</v>
      </c>
      <c r="C131" s="5">
        <v>10</v>
      </c>
      <c r="D131" s="1" t="s">
        <v>451</v>
      </c>
      <c r="E131" s="1"/>
      <c r="F131" s="1"/>
      <c r="G131" s="1"/>
      <c r="H131" s="1"/>
      <c r="I131" s="1"/>
      <c r="J131" s="1"/>
      <c r="K131" s="1"/>
      <c r="L131" s="42"/>
      <c r="M131" s="2" t="str">
        <f>IF(Converters!B92="","",Converters!B92)</f>
        <v/>
      </c>
      <c r="N131" s="2" t="str">
        <f>IF(Converters!C92="","",Converters!C92)</f>
        <v/>
      </c>
      <c r="O131" s="2" t="str">
        <f>IF(Converters!D92="","",Converters!D92)</f>
        <v/>
      </c>
      <c r="P131" s="2" t="str">
        <f>IF(Converters!E92="","",Converters!E92)</f>
        <v/>
      </c>
      <c r="Q131" s="2" t="str">
        <f>IF(Converters!F92="","",Converters!F92)</f>
        <v/>
      </c>
      <c r="R131" s="2" t="str">
        <f>IF(Converters!G92="","",Converters!G92)</f>
        <v/>
      </c>
      <c r="S131" s="2" t="str">
        <f>IF(Converters!H92="","",Converters!H92)</f>
        <v/>
      </c>
      <c r="T131" s="2" t="str">
        <f>IF(Converters!I92="","",Converters!I92)</f>
        <v/>
      </c>
      <c r="U131" s="2" t="str">
        <f>IF(Converters!J92="","",Converters!J92)</f>
        <v/>
      </c>
      <c r="V131" s="2" t="str">
        <f>IF(Converters!K92="","",Converters!K92)</f>
        <v/>
      </c>
      <c r="W131" s="2" t="str">
        <f>IF(Converters!L92="","",Converters!L92)</f>
        <v/>
      </c>
      <c r="X131" s="2" t="str">
        <f>IF(Converters!M92="","",Converters!M92)</f>
        <v/>
      </c>
      <c r="Y131" s="2" t="str">
        <f>IF(Converters!N92="","",Converters!N92)</f>
        <v/>
      </c>
      <c r="Z131" s="2" t="str">
        <f>IF(Converters!O92="","",Converters!O92)</f>
        <v/>
      </c>
      <c r="AA131" s="2" t="str">
        <f>IF(Converters!P92="","",Converters!P92)</f>
        <v/>
      </c>
      <c r="AB131" s="2" t="str">
        <f>IF(Converters!Q92="","",Converters!Q92)</f>
        <v/>
      </c>
      <c r="AC131" s="2" t="str">
        <f>IF(Converters!R92="","",Converters!R92)</f>
        <v/>
      </c>
      <c r="AD131" s="2" t="str">
        <f>IF(Converters!S92="","",Converters!S92)</f>
        <v/>
      </c>
      <c r="AE131" s="2" t="str">
        <f>IF(Converters!T92="","",Converters!T92)</f>
        <v/>
      </c>
      <c r="AF131" s="2" t="str">
        <f>IF(Converters!U92="","",Converters!U92)</f>
        <v/>
      </c>
      <c r="AG131" s="2" t="str">
        <f>IF(Converters!V92="","",Converters!V92)</f>
        <v/>
      </c>
      <c r="AH131" s="2" t="str">
        <f>IF(Converters!W92="","",Converters!W92)</f>
        <v/>
      </c>
      <c r="AI131" s="2" t="str">
        <f>IF(Converters!X92="","",Converters!X92)</f>
        <v/>
      </c>
      <c r="AJ131" s="2" t="str">
        <f>IF(Converters!Y92="","",Converters!Y92)</f>
        <v/>
      </c>
    </row>
    <row r="132" spans="1:36">
      <c r="A132" s="1"/>
      <c r="B132" s="16" t="s">
        <v>126</v>
      </c>
      <c r="C132" s="5">
        <v>3.3</v>
      </c>
      <c r="D132" s="16" t="s">
        <v>14</v>
      </c>
      <c r="E132" s="1"/>
      <c r="F132" s="1"/>
      <c r="G132" s="1"/>
      <c r="H132" s="1"/>
      <c r="I132" s="1"/>
      <c r="J132" s="1"/>
      <c r="K132" s="1"/>
      <c r="L132" s="42"/>
      <c r="M132" s="2" t="str">
        <f>IF(Converters!B93="","",Converters!B93)</f>
        <v/>
      </c>
      <c r="N132" s="2" t="str">
        <f>IF(Converters!C93="","",Converters!C93)</f>
        <v/>
      </c>
      <c r="O132" s="2" t="str">
        <f>IF(Converters!D93="","",Converters!D93)</f>
        <v/>
      </c>
      <c r="P132" s="2" t="str">
        <f>IF(Converters!E93="","",Converters!E93)</f>
        <v/>
      </c>
      <c r="Q132" s="2" t="str">
        <f>IF(Converters!F93="","",Converters!F93)</f>
        <v/>
      </c>
      <c r="R132" s="2" t="str">
        <f>IF(Converters!G93="","",Converters!G93)</f>
        <v/>
      </c>
      <c r="S132" s="2" t="str">
        <f>IF(Converters!H93="","",Converters!H93)</f>
        <v/>
      </c>
      <c r="T132" s="2" t="str">
        <f>IF(Converters!I93="","",Converters!I93)</f>
        <v/>
      </c>
      <c r="U132" s="2" t="str">
        <f>IF(Converters!J93="","",Converters!J93)</f>
        <v/>
      </c>
      <c r="V132" s="2" t="str">
        <f>IF(Converters!K93="","",Converters!K93)</f>
        <v/>
      </c>
      <c r="W132" s="2" t="str">
        <f>IF(Converters!L93="","",Converters!L93)</f>
        <v/>
      </c>
      <c r="X132" s="2" t="str">
        <f>IF(Converters!M93="","",Converters!M93)</f>
        <v/>
      </c>
      <c r="Y132" s="2" t="str">
        <f>IF(Converters!N93="","",Converters!N93)</f>
        <v/>
      </c>
      <c r="Z132" s="2" t="str">
        <f>IF(Converters!O93="","",Converters!O93)</f>
        <v/>
      </c>
      <c r="AA132" s="2" t="str">
        <f>IF(Converters!P93="","",Converters!P93)</f>
        <v/>
      </c>
      <c r="AB132" s="2" t="str">
        <f>IF(Converters!Q93="","",Converters!Q93)</f>
        <v/>
      </c>
      <c r="AC132" s="2" t="str">
        <f>IF(Converters!R93="","",Converters!R93)</f>
        <v/>
      </c>
      <c r="AD132" s="2" t="str">
        <f>IF(Converters!S93="","",Converters!S93)</f>
        <v/>
      </c>
      <c r="AE132" s="2" t="str">
        <f>IF(Converters!T93="","",Converters!T93)</f>
        <v/>
      </c>
      <c r="AF132" s="2" t="str">
        <f>IF(Converters!U93="","",Converters!U93)</f>
        <v/>
      </c>
      <c r="AG132" s="2" t="str">
        <f>IF(Converters!V93="","",Converters!V93)</f>
        <v/>
      </c>
      <c r="AH132" s="2" t="str">
        <f>IF(Converters!W93="","",Converters!W93)</f>
        <v/>
      </c>
      <c r="AI132" s="2" t="str">
        <f>IF(Converters!X93="","",Converters!X93)</f>
        <v/>
      </c>
      <c r="AJ132" s="2" t="str">
        <f>IF(Converters!Y93="","",Converters!Y93)</f>
        <v/>
      </c>
    </row>
    <row r="133" spans="1:36">
      <c r="A133" s="1"/>
      <c r="B133" s="16" t="s">
        <v>127</v>
      </c>
      <c r="C133" s="5">
        <v>15</v>
      </c>
      <c r="D133" s="12" t="s">
        <v>452</v>
      </c>
      <c r="E133" s="1"/>
      <c r="F133" s="1"/>
      <c r="G133" s="1"/>
      <c r="H133" s="1"/>
      <c r="I133" s="1"/>
      <c r="J133" s="1"/>
      <c r="K133" s="1"/>
      <c r="L133" s="42"/>
      <c r="M133" s="2" t="str">
        <f>IF(Converters!B94="","",Converters!B94)</f>
        <v/>
      </c>
      <c r="N133" s="2" t="str">
        <f>IF(Converters!C95="","",Converters!C95)</f>
        <v/>
      </c>
      <c r="O133" s="2" t="str">
        <f>IF(Converters!D95="","",Converters!D95)</f>
        <v/>
      </c>
      <c r="P133" s="2" t="str">
        <f>IF(Converters!E95="","",Converters!E95)</f>
        <v/>
      </c>
      <c r="Q133" s="2" t="str">
        <f>IF(Converters!F95="","",Converters!F95)</f>
        <v/>
      </c>
      <c r="R133" s="2" t="str">
        <f>IF(Converters!G95="","",Converters!G95)</f>
        <v/>
      </c>
      <c r="S133" s="2" t="str">
        <f>IF(Converters!H95="","",Converters!H95)</f>
        <v/>
      </c>
      <c r="T133" s="2" t="str">
        <f>IF(Converters!I95="","",Converters!I95)</f>
        <v/>
      </c>
      <c r="U133" s="2" t="str">
        <f>IF(Converters!J95="","",Converters!J95)</f>
        <v/>
      </c>
      <c r="V133" s="2" t="str">
        <f>IF(Converters!K95="","",Converters!K95)</f>
        <v/>
      </c>
      <c r="W133" s="2" t="str">
        <f>IF(Converters!L95="","",Converters!L95)</f>
        <v/>
      </c>
      <c r="X133" s="2" t="str">
        <f>IF(Converters!M95="","",Converters!M95)</f>
        <v/>
      </c>
      <c r="Y133" s="2" t="str">
        <f>IF(Converters!N95="","",Converters!N95)</f>
        <v/>
      </c>
      <c r="Z133" s="2" t="str">
        <f>IF(Converters!O95="","",Converters!O95)</f>
        <v/>
      </c>
      <c r="AA133" s="2" t="str">
        <f>IF(Converters!P95="","",Converters!P95)</f>
        <v/>
      </c>
      <c r="AB133" s="2" t="str">
        <f>IF(Converters!Q95="","",Converters!Q95)</f>
        <v/>
      </c>
      <c r="AC133" s="2" t="str">
        <f>IF(Converters!R95="","",Converters!R95)</f>
        <v/>
      </c>
      <c r="AD133" s="2" t="str">
        <f>IF(Converters!S95="","",Converters!S95)</f>
        <v/>
      </c>
      <c r="AE133" s="2" t="str">
        <f>IF(Converters!T95="","",Converters!T95)</f>
        <v/>
      </c>
      <c r="AF133" s="2" t="str">
        <f>IF(Converters!U95="","",Converters!U95)</f>
        <v/>
      </c>
      <c r="AG133" s="2" t="str">
        <f>IF(Converters!V95="","",Converters!V95)</f>
        <v/>
      </c>
      <c r="AH133" s="2" t="str">
        <f>IF(Converters!W95="","",Converters!W95)</f>
        <v/>
      </c>
      <c r="AI133" s="2" t="str">
        <f>IF(Converters!X95="","",Converters!X95)</f>
        <v/>
      </c>
      <c r="AJ133" s="2" t="str">
        <f>IF(Converters!Y95="","",Converters!Y95)</f>
        <v/>
      </c>
    </row>
    <row r="134" spans="1:3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42"/>
      <c r="M134" s="2" t="str">
        <f>IF(Converters!B95="","",Converters!B95)</f>
        <v/>
      </c>
      <c r="N134" s="2" t="str">
        <f>IF(Converters!C96="","",Converters!C96)</f>
        <v/>
      </c>
      <c r="O134" s="2" t="str">
        <f>IF(Converters!D96="","",Converters!D96)</f>
        <v/>
      </c>
      <c r="P134" s="2" t="str">
        <f>IF(Converters!E96="","",Converters!E96)</f>
        <v/>
      </c>
      <c r="Q134" s="2" t="str">
        <f>IF(Converters!F96="","",Converters!F96)</f>
        <v/>
      </c>
      <c r="R134" s="2" t="str">
        <f>IF(Converters!G96="","",Converters!G96)</f>
        <v/>
      </c>
      <c r="S134" s="2" t="str">
        <f>IF(Converters!H96="","",Converters!H96)</f>
        <v/>
      </c>
      <c r="T134" s="2" t="str">
        <f>IF(Converters!I96="","",Converters!I96)</f>
        <v/>
      </c>
      <c r="U134" s="2" t="str">
        <f>IF(Converters!J96="","",Converters!J96)</f>
        <v/>
      </c>
      <c r="V134" s="2" t="str">
        <f>IF(Converters!K96="","",Converters!K96)</f>
        <v/>
      </c>
      <c r="W134" s="2" t="str">
        <f>IF(Converters!L96="","",Converters!L96)</f>
        <v/>
      </c>
      <c r="X134" s="2" t="str">
        <f>IF(Converters!M96="","",Converters!M96)</f>
        <v/>
      </c>
      <c r="Y134" s="2" t="str">
        <f>IF(Converters!N96="","",Converters!N96)</f>
        <v/>
      </c>
      <c r="Z134" s="2" t="str">
        <f>IF(Converters!O96="","",Converters!O96)</f>
        <v/>
      </c>
      <c r="AA134" s="2" t="str">
        <f>IF(Converters!P96="","",Converters!P96)</f>
        <v/>
      </c>
      <c r="AB134" s="2" t="str">
        <f>IF(Converters!Q96="","",Converters!Q96)</f>
        <v/>
      </c>
      <c r="AC134" s="2" t="str">
        <f>IF(Converters!R96="","",Converters!R96)</f>
        <v/>
      </c>
      <c r="AD134" s="2" t="str">
        <f>IF(Converters!S96="","",Converters!S96)</f>
        <v/>
      </c>
      <c r="AE134" s="2" t="str">
        <f>IF(Converters!T96="","",Converters!T96)</f>
        <v/>
      </c>
      <c r="AF134" s="2" t="str">
        <f>IF(Converters!U96="","",Converters!U96)</f>
        <v/>
      </c>
      <c r="AG134" s="2" t="str">
        <f>IF(Converters!V96="","",Converters!V96)</f>
        <v/>
      </c>
      <c r="AH134" s="2" t="str">
        <f>IF(Converters!W96="","",Converters!W96)</f>
        <v/>
      </c>
      <c r="AI134" s="2" t="str">
        <f>IF(Converters!X96="","",Converters!X96)</f>
        <v/>
      </c>
      <c r="AJ134" s="2" t="str">
        <f>IF(Converters!Y96="","",Converters!Y96)</f>
        <v/>
      </c>
    </row>
    <row r="135" spans="1:36" ht="17.25">
      <c r="A135" s="1"/>
      <c r="B135" s="12" t="s">
        <v>128</v>
      </c>
      <c r="C135" s="54">
        <f>Zfb/(C125*C127*C130)*1000000</f>
        <v>5910.1654846335696</v>
      </c>
      <c r="D135" s="12" t="s">
        <v>113</v>
      </c>
      <c r="E135" s="1"/>
      <c r="F135" s="49" t="s">
        <v>129</v>
      </c>
      <c r="G135" s="201">
        <f>Zfb/(2*3.14*C125*C127*C130)*1000000</f>
        <v>941.10915360407159</v>
      </c>
      <c r="H135" s="201"/>
      <c r="I135" s="12" t="s">
        <v>8</v>
      </c>
      <c r="J135" s="1"/>
      <c r="K135" s="1"/>
      <c r="L135" s="42"/>
      <c r="M135" s="2" t="str">
        <f>IF(Converters!B96="","",Converters!B96)</f>
        <v/>
      </c>
      <c r="N135" s="2" t="str">
        <f>IF(Converters!C97="","",Converters!C97)</f>
        <v/>
      </c>
      <c r="O135" s="2" t="str">
        <f>IF(Converters!D97="","",Converters!D97)</f>
        <v/>
      </c>
      <c r="P135" s="2" t="str">
        <f>IF(Converters!E97="","",Converters!E97)</f>
        <v/>
      </c>
      <c r="Q135" s="2" t="str">
        <f>IF(Converters!F97="","",Converters!F97)</f>
        <v/>
      </c>
      <c r="R135" s="2" t="str">
        <f>IF(Converters!G97="","",Converters!G97)</f>
        <v/>
      </c>
      <c r="S135" s="2" t="str">
        <f>IF(Converters!H97="","",Converters!H97)</f>
        <v/>
      </c>
      <c r="T135" s="2" t="str">
        <f>IF(Converters!I97="","",Converters!I97)</f>
        <v/>
      </c>
      <c r="U135" s="2" t="str">
        <f>IF(Converters!J97="","",Converters!J97)</f>
        <v/>
      </c>
      <c r="V135" s="2" t="str">
        <f>IF(Converters!K97="","",Converters!K97)</f>
        <v/>
      </c>
      <c r="W135" s="2" t="str">
        <f>IF(Converters!L97="","",Converters!L97)</f>
        <v/>
      </c>
      <c r="X135" s="2" t="str">
        <f>IF(Converters!M97="","",Converters!M97)</f>
        <v/>
      </c>
      <c r="Y135" s="2" t="str">
        <f>IF(Converters!N97="","",Converters!N97)</f>
        <v/>
      </c>
      <c r="Z135" s="2" t="str">
        <f>IF(Converters!O97="","",Converters!O97)</f>
        <v/>
      </c>
      <c r="AA135" s="2" t="str">
        <f>IF(Converters!P97="","",Converters!P97)</f>
        <v/>
      </c>
      <c r="AB135" s="2" t="str">
        <f>IF(Converters!Q97="","",Converters!Q97)</f>
        <v/>
      </c>
      <c r="AC135" s="2" t="str">
        <f>IF(Converters!R97="","",Converters!R97)</f>
        <v/>
      </c>
      <c r="AD135" s="2" t="str">
        <f>IF(Converters!S97="","",Converters!S97)</f>
        <v/>
      </c>
      <c r="AE135" s="2" t="str">
        <f>IF(Converters!T97="","",Converters!T97)</f>
        <v/>
      </c>
      <c r="AF135" s="2" t="str">
        <f>IF(Converters!U97="","",Converters!U97)</f>
        <v/>
      </c>
      <c r="AG135" s="2" t="str">
        <f>IF(Converters!V97="","",Converters!V97)</f>
        <v/>
      </c>
      <c r="AH135" s="2" t="str">
        <f>IF(Converters!W97="","",Converters!W97)</f>
        <v/>
      </c>
      <c r="AI135" s="2" t="str">
        <f>IF(Converters!X97="","",Converters!X97)</f>
        <v/>
      </c>
      <c r="AJ135" s="2" t="str">
        <f>IF(Converters!Y97="","",Converters!Y97)</f>
        <v/>
      </c>
    </row>
    <row r="136" spans="1:36" ht="17.25">
      <c r="A136" s="1"/>
      <c r="B136" s="46" t="s">
        <v>130</v>
      </c>
      <c r="C136" s="55">
        <f>1/(C130*(C131+C125))*10^6</f>
        <v>462.53469010175763</v>
      </c>
      <c r="D136" s="12" t="s">
        <v>113</v>
      </c>
      <c r="E136" s="1"/>
      <c r="F136" s="49" t="s">
        <v>131</v>
      </c>
      <c r="G136" s="198">
        <f>1/(2*3.14*C130*(C131+C125))*10^6</f>
        <v>73.652020716840383</v>
      </c>
      <c r="H136" s="198"/>
      <c r="I136" s="12" t="s">
        <v>8</v>
      </c>
      <c r="J136" s="1"/>
      <c r="K136" s="1"/>
      <c r="L136" s="42"/>
      <c r="M136" s="2" t="str">
        <f>IF(Converters!B97="","",Converters!B97)</f>
        <v/>
      </c>
      <c r="N136" s="2" t="str">
        <f>IF(Converters!C98="","",Converters!C98)</f>
        <v/>
      </c>
      <c r="O136" s="2" t="str">
        <f>IF(Converters!D98="","",Converters!D98)</f>
        <v/>
      </c>
      <c r="P136" s="2" t="str">
        <f>IF(Converters!E98="","",Converters!E98)</f>
        <v/>
      </c>
      <c r="Q136" s="2" t="str">
        <f>IF(Converters!F98="","",Converters!F98)</f>
        <v/>
      </c>
      <c r="R136" s="2" t="str">
        <f>IF(Converters!G98="","",Converters!G98)</f>
        <v/>
      </c>
      <c r="S136" s="2" t="str">
        <f>IF(Converters!H98="","",Converters!H98)</f>
        <v/>
      </c>
      <c r="T136" s="2" t="str">
        <f>IF(Converters!I98="","",Converters!I98)</f>
        <v/>
      </c>
      <c r="U136" s="2" t="str">
        <f>IF(Converters!J98="","",Converters!J98)</f>
        <v/>
      </c>
      <c r="V136" s="2" t="str">
        <f>IF(Converters!K98="","",Converters!K98)</f>
        <v/>
      </c>
      <c r="W136" s="2" t="str">
        <f>IF(Converters!L98="","",Converters!L98)</f>
        <v/>
      </c>
      <c r="X136" s="2" t="str">
        <f>IF(Converters!M98="","",Converters!M98)</f>
        <v/>
      </c>
      <c r="Y136" s="2" t="str">
        <f>IF(Converters!N98="","",Converters!N98)</f>
        <v/>
      </c>
      <c r="Z136" s="2" t="str">
        <f>IF(Converters!O98="","",Converters!O98)</f>
        <v/>
      </c>
      <c r="AA136" s="2" t="str">
        <f>IF(Converters!P98="","",Converters!P98)</f>
        <v/>
      </c>
      <c r="AB136" s="2" t="str">
        <f>IF(Converters!Q98="","",Converters!Q98)</f>
        <v/>
      </c>
      <c r="AC136" s="2" t="str">
        <f>IF(Converters!R98="","",Converters!R98)</f>
        <v/>
      </c>
      <c r="AD136" s="2" t="str">
        <f>IF(Converters!S98="","",Converters!S98)</f>
        <v/>
      </c>
      <c r="AE136" s="2" t="str">
        <f>IF(Converters!T98="","",Converters!T98)</f>
        <v/>
      </c>
      <c r="AF136" s="2" t="str">
        <f>IF(Converters!U98="","",Converters!U98)</f>
        <v/>
      </c>
      <c r="AG136" s="2" t="str">
        <f>IF(Converters!V98="","",Converters!V98)</f>
        <v/>
      </c>
      <c r="AH136" s="2" t="str">
        <f>IF(Converters!W98="","",Converters!W98)</f>
        <v/>
      </c>
      <c r="AI136" s="2" t="str">
        <f>IF(Converters!X98="","",Converters!X98)</f>
        <v/>
      </c>
      <c r="AJ136" s="2" t="str">
        <f>IF(Converters!Y98="","",Converters!Y98)</f>
        <v/>
      </c>
    </row>
    <row r="137" spans="1:36" ht="17.25">
      <c r="A137" s="1"/>
      <c r="B137" s="46" t="s">
        <v>132</v>
      </c>
      <c r="C137" s="55">
        <f>1/(Zfb*C129)*1000000</f>
        <v>14184.397163120568</v>
      </c>
      <c r="D137" s="12" t="s">
        <v>113</v>
      </c>
      <c r="E137" s="1"/>
      <c r="F137" s="49" t="s">
        <v>133</v>
      </c>
      <c r="G137" s="198">
        <f>1/(2*3.14*Zfb*C129)*1000000</f>
        <v>2258.661968649772</v>
      </c>
      <c r="H137" s="198"/>
      <c r="I137" s="12" t="s">
        <v>8</v>
      </c>
      <c r="J137" s="1"/>
      <c r="K137" s="1"/>
      <c r="L137" s="42"/>
      <c r="M137" s="2" t="str">
        <f>IF(Converters!B98="","",Converters!B98)</f>
        <v/>
      </c>
      <c r="N137" s="2" t="str">
        <f>IF(Converters!C99="","",Converters!C99)</f>
        <v/>
      </c>
      <c r="O137" s="2" t="str">
        <f>IF(Converters!D99="","",Converters!D99)</f>
        <v/>
      </c>
      <c r="P137" s="2" t="str">
        <f>IF(Converters!E99="","",Converters!E99)</f>
        <v/>
      </c>
      <c r="Q137" s="2" t="str">
        <f>IF(Converters!F99="","",Converters!F99)</f>
        <v/>
      </c>
      <c r="R137" s="2" t="str">
        <f>IF(Converters!G99="","",Converters!G99)</f>
        <v/>
      </c>
      <c r="S137" s="2" t="str">
        <f>IF(Converters!H99="","",Converters!H99)</f>
        <v/>
      </c>
      <c r="T137" s="2" t="str">
        <f>IF(Converters!I99="","",Converters!I99)</f>
        <v/>
      </c>
      <c r="U137" s="2" t="str">
        <f>IF(Converters!J99="","",Converters!J99)</f>
        <v/>
      </c>
      <c r="V137" s="2" t="str">
        <f>IF(Converters!K99="","",Converters!K99)</f>
        <v/>
      </c>
      <c r="W137" s="2" t="str">
        <f>IF(Converters!L99="","",Converters!L99)</f>
        <v/>
      </c>
      <c r="X137" s="2" t="str">
        <f>IF(Converters!M99="","",Converters!M99)</f>
        <v/>
      </c>
      <c r="Y137" s="2" t="str">
        <f>IF(Converters!N99="","",Converters!N99)</f>
        <v/>
      </c>
      <c r="Z137" s="2" t="str">
        <f>IF(Converters!O99="","",Converters!O99)</f>
        <v/>
      </c>
      <c r="AA137" s="2" t="str">
        <f>IF(Converters!P99="","",Converters!P99)</f>
        <v/>
      </c>
      <c r="AB137" s="2" t="str">
        <f>IF(Converters!Q99="","",Converters!Q99)</f>
        <v/>
      </c>
      <c r="AC137" s="2" t="str">
        <f>IF(Converters!R99="","",Converters!R99)</f>
        <v/>
      </c>
      <c r="AD137" s="2" t="str">
        <f>IF(Converters!S99="","",Converters!S99)</f>
        <v/>
      </c>
      <c r="AE137" s="2" t="str">
        <f>IF(Converters!T99="","",Converters!T99)</f>
        <v/>
      </c>
      <c r="AF137" s="2" t="str">
        <f>IF(Converters!U99="","",Converters!U99)</f>
        <v/>
      </c>
      <c r="AG137" s="2" t="str">
        <f>IF(Converters!V99="","",Converters!V99)</f>
        <v/>
      </c>
      <c r="AH137" s="2" t="str">
        <f>IF(Converters!W99="","",Converters!W99)</f>
        <v/>
      </c>
      <c r="AI137" s="2" t="str">
        <f>IF(Converters!X99="","",Converters!X99)</f>
        <v/>
      </c>
      <c r="AJ137" s="2" t="str">
        <f>IF(Converters!Y99="","",Converters!Y99)</f>
        <v/>
      </c>
    </row>
    <row r="138" spans="1:36">
      <c r="A138" s="1"/>
      <c r="B138" s="1"/>
      <c r="C138" s="1"/>
      <c r="D138" s="1"/>
      <c r="E138" s="16"/>
      <c r="F138" s="1"/>
      <c r="G138" s="1"/>
      <c r="H138" s="1"/>
      <c r="I138" s="1"/>
      <c r="J138" s="1"/>
      <c r="K138" s="1"/>
      <c r="L138" s="42"/>
      <c r="M138" s="2" t="str">
        <f>IF(Converters!B99="","",Converters!B99)</f>
        <v/>
      </c>
      <c r="N138" s="2" t="str">
        <f>IF(Converters!C100="","",Converters!C100)</f>
        <v/>
      </c>
      <c r="O138" s="2" t="str">
        <f>IF(Converters!D100="","",Converters!D100)</f>
        <v/>
      </c>
      <c r="P138" s="2" t="str">
        <f>IF(Converters!E100="","",Converters!E100)</f>
        <v/>
      </c>
      <c r="Q138" s="2" t="str">
        <f>IF(Converters!F100="","",Converters!F100)</f>
        <v/>
      </c>
      <c r="R138" s="2" t="str">
        <f>IF(Converters!G100="","",Converters!G100)</f>
        <v/>
      </c>
      <c r="S138" s="2" t="str">
        <f>IF(Converters!H100="","",Converters!H100)</f>
        <v/>
      </c>
      <c r="T138" s="2" t="str">
        <f>IF(Converters!I100="","",Converters!I100)</f>
        <v/>
      </c>
      <c r="U138" s="2" t="str">
        <f>IF(Converters!J100="","",Converters!J100)</f>
        <v/>
      </c>
      <c r="V138" s="2" t="str">
        <f>IF(Converters!K100="","",Converters!K100)</f>
        <v/>
      </c>
      <c r="W138" s="2" t="str">
        <f>IF(Converters!L100="","",Converters!L100)</f>
        <v/>
      </c>
      <c r="X138" s="2" t="str">
        <f>IF(Converters!M100="","",Converters!M100)</f>
        <v/>
      </c>
      <c r="Y138" s="2" t="str">
        <f>IF(Converters!N100="","",Converters!N100)</f>
        <v/>
      </c>
      <c r="Z138" s="2" t="str">
        <f>IF(Converters!O100="","",Converters!O100)</f>
        <v/>
      </c>
      <c r="AA138" s="2" t="str">
        <f>IF(Converters!P100="","",Converters!P100)</f>
        <v/>
      </c>
      <c r="AB138" s="2" t="str">
        <f>IF(Converters!Q100="","",Converters!Q100)</f>
        <v/>
      </c>
      <c r="AC138" s="2" t="str">
        <f>IF(Converters!R100="","",Converters!R100)</f>
        <v/>
      </c>
      <c r="AD138" s="2" t="str">
        <f>IF(Converters!S100="","",Converters!S100)</f>
        <v/>
      </c>
      <c r="AE138" s="2" t="str">
        <f>IF(Converters!T100="","",Converters!T100)</f>
        <v/>
      </c>
      <c r="AF138" s="2" t="str">
        <f>IF(Converters!U100="","",Converters!U100)</f>
        <v/>
      </c>
      <c r="AG138" s="2" t="str">
        <f>IF(Converters!V100="","",Converters!V100)</f>
        <v/>
      </c>
      <c r="AH138" s="2" t="str">
        <f>IF(Converters!W100="","",Converters!W100)</f>
        <v/>
      </c>
      <c r="AI138" s="2" t="str">
        <f>IF(Converters!X100="","",Converters!X100)</f>
        <v/>
      </c>
      <c r="AJ138" s="2" t="str">
        <f>IF(Converters!Y100="","",Converters!Y100)</f>
        <v/>
      </c>
    </row>
    <row r="139" spans="1:36" s="80" customFormat="1">
      <c r="A139" s="77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9"/>
      <c r="M139" s="2" t="str">
        <f>IF(Converters!B100="","",Converters!B100)</f>
        <v/>
      </c>
      <c r="N139" s="2" t="str">
        <f>IF(Converters!C101="","",Converters!C101)</f>
        <v/>
      </c>
      <c r="O139" s="2" t="str">
        <f>IF(Converters!D101="","",Converters!D101)</f>
        <v/>
      </c>
      <c r="P139" s="2" t="str">
        <f>IF(Converters!E101="","",Converters!E101)</f>
        <v/>
      </c>
      <c r="Q139" s="2" t="str">
        <f>IF(Converters!F101="","",Converters!F101)</f>
        <v/>
      </c>
      <c r="R139" s="2" t="str">
        <f>IF(Converters!G101="","",Converters!G101)</f>
        <v/>
      </c>
      <c r="S139" s="2" t="str">
        <f>IF(Converters!H101="","",Converters!H101)</f>
        <v/>
      </c>
      <c r="T139" s="2" t="str">
        <f>IF(Converters!I101="","",Converters!I101)</f>
        <v/>
      </c>
      <c r="U139" s="2" t="str">
        <f>IF(Converters!J101="","",Converters!J101)</f>
        <v/>
      </c>
      <c r="V139" s="2" t="str">
        <f>IF(Converters!K101="","",Converters!K101)</f>
        <v/>
      </c>
      <c r="W139" s="2" t="str">
        <f>IF(Converters!L101="","",Converters!L101)</f>
        <v/>
      </c>
      <c r="X139" s="2" t="str">
        <f>IF(Converters!M101="","",Converters!M101)</f>
        <v/>
      </c>
      <c r="Y139" s="2" t="str">
        <f>IF(Converters!N101="","",Converters!N101)</f>
        <v/>
      </c>
      <c r="Z139" s="2" t="str">
        <f>IF(Converters!O101="","",Converters!O101)</f>
        <v/>
      </c>
      <c r="AA139" s="2" t="str">
        <f>IF(Converters!P101="","",Converters!P101)</f>
        <v/>
      </c>
      <c r="AB139" s="2" t="str">
        <f>IF(Converters!Q101="","",Converters!Q101)</f>
        <v/>
      </c>
      <c r="AC139" s="2" t="str">
        <f>IF(Converters!R101="","",Converters!R101)</f>
        <v/>
      </c>
      <c r="AD139" s="2" t="str">
        <f>IF(Converters!S101="","",Converters!S101)</f>
        <v/>
      </c>
      <c r="AE139" s="2" t="str">
        <f>IF(Converters!T101="","",Converters!T101)</f>
        <v/>
      </c>
      <c r="AF139" s="2" t="str">
        <f>IF(Converters!U101="","",Converters!U101)</f>
        <v/>
      </c>
      <c r="AG139" s="2" t="str">
        <f>IF(Converters!V101="","",Converters!V101)</f>
        <v/>
      </c>
      <c r="AH139" s="2" t="str">
        <f>IF(Converters!W101="","",Converters!W101)</f>
        <v/>
      </c>
      <c r="AI139" s="2" t="str">
        <f>IF(Converters!X101="","",Converters!X101)</f>
        <v/>
      </c>
      <c r="AJ139" s="2" t="str">
        <f>IF(Converters!Y101="","",Converters!Y101)</f>
        <v/>
      </c>
    </row>
    <row r="140" spans="1:36" s="84" customFormat="1">
      <c r="A140" s="81"/>
      <c r="B140" s="82">
        <v>16</v>
      </c>
      <c r="C140" s="82">
        <f t="shared" ref="C140:C159" si="5">20*LOG(k_1*SQRT(1+B140^2/fz_1^2)*SQRT(1+B140^2/fzr^2)/SQRT(1+B140^2/fp_1^2))</f>
        <v>11.999214456657224</v>
      </c>
      <c r="D140" s="82">
        <f t="shared" ref="D140:D159" si="6">20*LOG(fi/B140*SQRT(1+B140^2/fz^2)/SQRT(1+B140^2/fp^2))</f>
        <v>35.590446542327847</v>
      </c>
      <c r="E140" s="82">
        <f t="shared" ref="E140:E159" si="7">SUM(C140:D140)</f>
        <v>47.589660998985067</v>
      </c>
      <c r="F140" s="82"/>
      <c r="G140" s="82">
        <v>16</v>
      </c>
      <c r="H140" s="82">
        <f t="shared" ref="H140:H159" si="8">180/3.14*(ATAN(G140/fz_1)-ATAN(G140/fzr)-ATAN(G140/fp_1))</f>
        <v>-33.73048051477371</v>
      </c>
      <c r="I140" s="82">
        <f t="shared" ref="I140:I159" si="9">180/3.14*(ATAN(G140/fz)-ATAN(G140/fp))-90</f>
        <v>-78.14348358376111</v>
      </c>
      <c r="J140" s="82">
        <f t="shared" ref="J140:J159" si="10">SUM(H140:I140)</f>
        <v>-111.87396409853483</v>
      </c>
      <c r="K140" s="82"/>
      <c r="L140" s="83"/>
      <c r="M140" s="2" t="str">
        <f>IF(Converters!B101="","",Converters!B101)</f>
        <v/>
      </c>
      <c r="N140" s="2" t="str">
        <f>IF(Converters!C102="","",Converters!C102)</f>
        <v/>
      </c>
      <c r="O140" s="2" t="str">
        <f>IF(Converters!D102="","",Converters!D102)</f>
        <v/>
      </c>
      <c r="P140" s="2" t="str">
        <f>IF(Converters!E102="","",Converters!E102)</f>
        <v/>
      </c>
      <c r="Q140" s="2" t="str">
        <f>IF(Converters!F102="","",Converters!F102)</f>
        <v/>
      </c>
      <c r="R140" s="2" t="str">
        <f>IF(Converters!G102="","",Converters!G102)</f>
        <v/>
      </c>
      <c r="S140" s="2" t="str">
        <f>IF(Converters!H102="","",Converters!H102)</f>
        <v/>
      </c>
      <c r="T140" s="2" t="str">
        <f>IF(Converters!I102="","",Converters!I102)</f>
        <v/>
      </c>
      <c r="U140" s="2" t="str">
        <f>IF(Converters!J102="","",Converters!J102)</f>
        <v/>
      </c>
      <c r="V140" s="2" t="str">
        <f>IF(Converters!K102="","",Converters!K102)</f>
        <v/>
      </c>
      <c r="W140" s="2" t="str">
        <f>IF(Converters!L102="","",Converters!L102)</f>
        <v/>
      </c>
      <c r="X140" s="2" t="str">
        <f>IF(Converters!M102="","",Converters!M102)</f>
        <v/>
      </c>
      <c r="Y140" s="2" t="str">
        <f>IF(Converters!N102="","",Converters!N102)</f>
        <v/>
      </c>
      <c r="Z140" s="2" t="str">
        <f>IF(Converters!O102="","",Converters!O102)</f>
        <v/>
      </c>
      <c r="AA140" s="2" t="str">
        <f>IF(Converters!P102="","",Converters!P102)</f>
        <v/>
      </c>
      <c r="AB140" s="2" t="str">
        <f>IF(Converters!Q102="","",Converters!Q102)</f>
        <v/>
      </c>
      <c r="AC140" s="2" t="str">
        <f>IF(Converters!R102="","",Converters!R102)</f>
        <v/>
      </c>
      <c r="AD140" s="2" t="str">
        <f>IF(Converters!S102="","",Converters!S102)</f>
        <v/>
      </c>
      <c r="AE140" s="2" t="str">
        <f>IF(Converters!T102="","",Converters!T102)</f>
        <v/>
      </c>
      <c r="AF140" s="2" t="str">
        <f>IF(Converters!U102="","",Converters!U102)</f>
        <v/>
      </c>
      <c r="AG140" s="2" t="str">
        <f>IF(Converters!V102="","",Converters!V102)</f>
        <v/>
      </c>
      <c r="AH140" s="2" t="str">
        <f>IF(Converters!W102="","",Converters!W102)</f>
        <v/>
      </c>
      <c r="AI140" s="2" t="str">
        <f>IF(Converters!X102="","",Converters!X102)</f>
        <v/>
      </c>
      <c r="AJ140" s="2" t="str">
        <f>IF(Converters!Y102="","",Converters!Y102)</f>
        <v/>
      </c>
    </row>
    <row r="141" spans="1:36" s="84" customFormat="1">
      <c r="A141" s="81"/>
      <c r="B141" s="82">
        <v>25</v>
      </c>
      <c r="C141" s="82">
        <f t="shared" si="5"/>
        <v>10.394371960354729</v>
      </c>
      <c r="D141" s="82">
        <f t="shared" si="6"/>
        <v>31.987055485623888</v>
      </c>
      <c r="E141" s="82">
        <f t="shared" si="7"/>
        <v>42.381427445978616</v>
      </c>
      <c r="F141" s="82"/>
      <c r="G141" s="82">
        <v>25</v>
      </c>
      <c r="H141" s="82">
        <f t="shared" si="8"/>
        <v>-46.155188262873445</v>
      </c>
      <c r="I141" s="82">
        <f t="shared" si="9"/>
        <v>-71.876005167873188</v>
      </c>
      <c r="J141" s="82">
        <f t="shared" si="10"/>
        <v>-118.03119343074664</v>
      </c>
      <c r="K141" s="82"/>
      <c r="L141" s="83"/>
      <c r="M141" s="2" t="str">
        <f>IF(Converters!B102="","",Converters!B102)</f>
        <v/>
      </c>
      <c r="N141" s="2" t="str">
        <f>IF(Converters!C103="","",Converters!C103)</f>
        <v/>
      </c>
      <c r="O141" s="2" t="str">
        <f>IF(Converters!D103="","",Converters!D103)</f>
        <v/>
      </c>
      <c r="P141" s="2" t="str">
        <f>IF(Converters!E103="","",Converters!E103)</f>
        <v/>
      </c>
      <c r="Q141" s="2" t="str">
        <f>IF(Converters!F103="","",Converters!F103)</f>
        <v/>
      </c>
      <c r="R141" s="2" t="str">
        <f>IF(Converters!G103="","",Converters!G103)</f>
        <v/>
      </c>
      <c r="S141" s="2" t="str">
        <f>IF(Converters!H103="","",Converters!H103)</f>
        <v/>
      </c>
      <c r="T141" s="2" t="str">
        <f>IF(Converters!I103="","",Converters!I103)</f>
        <v/>
      </c>
      <c r="U141" s="2" t="str">
        <f>IF(Converters!J103="","",Converters!J103)</f>
        <v/>
      </c>
      <c r="V141" s="2" t="str">
        <f>IF(Converters!K103="","",Converters!K103)</f>
        <v/>
      </c>
      <c r="W141" s="2" t="str">
        <f>IF(Converters!L103="","",Converters!L103)</f>
        <v/>
      </c>
      <c r="X141" s="2" t="str">
        <f>IF(Converters!M103="","",Converters!M103)</f>
        <v/>
      </c>
      <c r="Y141" s="2" t="str">
        <f>IF(Converters!N103="","",Converters!N103)</f>
        <v/>
      </c>
      <c r="Z141" s="2" t="str">
        <f>IF(Converters!O103="","",Converters!O103)</f>
        <v/>
      </c>
      <c r="AA141" s="2" t="str">
        <f>IF(Converters!P103="","",Converters!P103)</f>
        <v/>
      </c>
      <c r="AB141" s="2" t="str">
        <f>IF(Converters!Q103="","",Converters!Q103)</f>
        <v/>
      </c>
      <c r="AC141" s="2" t="str">
        <f>IF(Converters!R103="","",Converters!R103)</f>
        <v/>
      </c>
      <c r="AD141" s="2" t="str">
        <f>IF(Converters!S103="","",Converters!S103)</f>
        <v/>
      </c>
      <c r="AE141" s="2" t="str">
        <f>IF(Converters!T103="","",Converters!T103)</f>
        <v/>
      </c>
      <c r="AF141" s="2" t="str">
        <f>IF(Converters!U103="","",Converters!U103)</f>
        <v/>
      </c>
      <c r="AG141" s="2" t="str">
        <f>IF(Converters!V103="","",Converters!V103)</f>
        <v/>
      </c>
      <c r="AH141" s="2" t="str">
        <f>IF(Converters!W103="","",Converters!W103)</f>
        <v/>
      </c>
      <c r="AI141" s="2" t="str">
        <f>IF(Converters!X103="","",Converters!X103)</f>
        <v/>
      </c>
      <c r="AJ141" s="2" t="str">
        <f>IF(Converters!Y103="","",Converters!Y103)</f>
        <v/>
      </c>
    </row>
    <row r="142" spans="1:36" s="84" customFormat="1">
      <c r="A142" s="81"/>
      <c r="B142" s="82">
        <v>40</v>
      </c>
      <c r="C142" s="82">
        <f t="shared" si="5"/>
        <v>7.8025832305969125</v>
      </c>
      <c r="D142" s="82">
        <f t="shared" si="6"/>
        <v>28.552773382590473</v>
      </c>
      <c r="E142" s="82">
        <f t="shared" si="7"/>
        <v>36.355356613187382</v>
      </c>
      <c r="F142" s="82"/>
      <c r="G142" s="82">
        <v>40</v>
      </c>
      <c r="H142" s="82">
        <f t="shared" si="8"/>
        <v>-58.887379239899197</v>
      </c>
      <c r="I142" s="82">
        <f t="shared" si="9"/>
        <v>-62.494497936906441</v>
      </c>
      <c r="J142" s="82">
        <f t="shared" si="10"/>
        <v>-121.38187717680563</v>
      </c>
      <c r="K142" s="82"/>
      <c r="L142" s="83"/>
      <c r="M142" s="2" t="str">
        <f>IF(Converters!B103="","",Converters!B103)</f>
        <v/>
      </c>
      <c r="N142" s="2" t="str">
        <f>IF(Converters!C104="","",Converters!C104)</f>
        <v/>
      </c>
      <c r="O142" s="2" t="str">
        <f>IF(Converters!D104="","",Converters!D104)</f>
        <v/>
      </c>
      <c r="P142" s="2" t="str">
        <f>IF(Converters!E104="","",Converters!E104)</f>
        <v/>
      </c>
      <c r="Q142" s="2" t="str">
        <f>IF(Converters!F104="","",Converters!F104)</f>
        <v/>
      </c>
      <c r="R142" s="2" t="str">
        <f>IF(Converters!G104="","",Converters!G104)</f>
        <v/>
      </c>
      <c r="S142" s="2" t="str">
        <f>IF(Converters!H104="","",Converters!H104)</f>
        <v/>
      </c>
      <c r="T142" s="2" t="str">
        <f>IF(Converters!I104="","",Converters!I104)</f>
        <v/>
      </c>
      <c r="U142" s="2" t="str">
        <f>IF(Converters!J104="","",Converters!J104)</f>
        <v/>
      </c>
      <c r="V142" s="2" t="str">
        <f>IF(Converters!K104="","",Converters!K104)</f>
        <v/>
      </c>
      <c r="W142" s="2" t="str">
        <f>IF(Converters!L104="","",Converters!L104)</f>
        <v/>
      </c>
      <c r="X142" s="2" t="str">
        <f>IF(Converters!M104="","",Converters!M104)</f>
        <v/>
      </c>
      <c r="Y142" s="2" t="str">
        <f>IF(Converters!N104="","",Converters!N104)</f>
        <v/>
      </c>
      <c r="Z142" s="2" t="str">
        <f>IF(Converters!O104="","",Converters!O104)</f>
        <v/>
      </c>
      <c r="AA142" s="2" t="str">
        <f>IF(Converters!P104="","",Converters!P104)</f>
        <v/>
      </c>
      <c r="AB142" s="2" t="str">
        <f>IF(Converters!Q104="","",Converters!Q104)</f>
        <v/>
      </c>
      <c r="AC142" s="2" t="str">
        <f>IF(Converters!R104="","",Converters!R104)</f>
        <v/>
      </c>
      <c r="AD142" s="2" t="str">
        <f>IF(Converters!S104="","",Converters!S104)</f>
        <v/>
      </c>
      <c r="AE142" s="2" t="str">
        <f>IF(Converters!T104="","",Converters!T104)</f>
        <v/>
      </c>
      <c r="AF142" s="2" t="str">
        <f>IF(Converters!U104="","",Converters!U104)</f>
        <v/>
      </c>
      <c r="AG142" s="2" t="str">
        <f>IF(Converters!V104="","",Converters!V104)</f>
        <v/>
      </c>
      <c r="AH142" s="2" t="str">
        <f>IF(Converters!W104="","",Converters!W104)</f>
        <v/>
      </c>
      <c r="AI142" s="2" t="str">
        <f>IF(Converters!X104="","",Converters!X104)</f>
        <v/>
      </c>
      <c r="AJ142" s="2" t="str">
        <f>IF(Converters!Y104="","",Converters!Y104)</f>
        <v/>
      </c>
    </row>
    <row r="143" spans="1:36" s="84" customFormat="1">
      <c r="A143" s="81"/>
      <c r="B143" s="82">
        <v>63</v>
      </c>
      <c r="C143" s="82">
        <f t="shared" si="5"/>
        <v>4.5973075629811184</v>
      </c>
      <c r="D143" s="82">
        <f t="shared" si="6"/>
        <v>25.867248088315623</v>
      </c>
      <c r="E143" s="82">
        <f t="shared" si="7"/>
        <v>30.464555651296742</v>
      </c>
      <c r="F143" s="82"/>
      <c r="G143" s="82">
        <v>63</v>
      </c>
      <c r="H143" s="82">
        <f t="shared" si="8"/>
        <v>-68.778894714236685</v>
      </c>
      <c r="I143" s="82">
        <f t="shared" si="9"/>
        <v>-51.035152835355156</v>
      </c>
      <c r="J143" s="82">
        <f t="shared" si="10"/>
        <v>-119.81404754959183</v>
      </c>
      <c r="K143" s="82"/>
      <c r="L143" s="83"/>
      <c r="M143" s="2" t="str">
        <f>IF(Converters!B104="","",Converters!B104)</f>
        <v/>
      </c>
      <c r="N143" s="2" t="str">
        <f>IF(Converters!C105="","",Converters!C105)</f>
        <v/>
      </c>
      <c r="O143" s="2" t="str">
        <f>IF(Converters!D105="","",Converters!D105)</f>
        <v/>
      </c>
      <c r="P143" s="2" t="str">
        <f>IF(Converters!E105="","",Converters!E105)</f>
        <v/>
      </c>
      <c r="Q143" s="2" t="str">
        <f>IF(Converters!F105="","",Converters!F105)</f>
        <v/>
      </c>
      <c r="R143" s="2" t="str">
        <f>IF(Converters!G105="","",Converters!G105)</f>
        <v/>
      </c>
      <c r="S143" s="2" t="str">
        <f>IF(Converters!H105="","",Converters!H105)</f>
        <v/>
      </c>
      <c r="T143" s="2" t="str">
        <f>IF(Converters!I105="","",Converters!I105)</f>
        <v/>
      </c>
      <c r="U143" s="2" t="str">
        <f>IF(Converters!J105="","",Converters!J105)</f>
        <v/>
      </c>
      <c r="V143" s="2" t="str">
        <f>IF(Converters!K105="","",Converters!K105)</f>
        <v/>
      </c>
      <c r="W143" s="2" t="str">
        <f>IF(Converters!L105="","",Converters!L105)</f>
        <v/>
      </c>
      <c r="X143" s="2" t="str">
        <f>IF(Converters!M105="","",Converters!M105)</f>
        <v/>
      </c>
      <c r="Y143" s="2" t="str">
        <f>IF(Converters!N105="","",Converters!N105)</f>
        <v/>
      </c>
      <c r="Z143" s="2" t="str">
        <f>IF(Converters!O105="","",Converters!O105)</f>
        <v/>
      </c>
      <c r="AA143" s="2" t="str">
        <f>IF(Converters!P105="","",Converters!P105)</f>
        <v/>
      </c>
      <c r="AB143" s="2" t="str">
        <f>IF(Converters!Q105="","",Converters!Q105)</f>
        <v/>
      </c>
      <c r="AC143" s="2" t="str">
        <f>IF(Converters!R105="","",Converters!R105)</f>
        <v/>
      </c>
      <c r="AD143" s="2" t="str">
        <f>IF(Converters!S105="","",Converters!S105)</f>
        <v/>
      </c>
      <c r="AE143" s="2" t="str">
        <f>IF(Converters!T105="","",Converters!T105)</f>
        <v/>
      </c>
      <c r="AF143" s="2" t="str">
        <f>IF(Converters!U105="","",Converters!U105)</f>
        <v/>
      </c>
      <c r="AG143" s="2" t="str">
        <f>IF(Converters!V105="","",Converters!V105)</f>
        <v/>
      </c>
      <c r="AH143" s="2" t="str">
        <f>IF(Converters!W105="","",Converters!W105)</f>
        <v/>
      </c>
      <c r="AI143" s="2" t="str">
        <f>IF(Converters!X105="","",Converters!X105)</f>
        <v/>
      </c>
      <c r="AJ143" s="2" t="str">
        <f>IF(Converters!Y105="","",Converters!Y105)</f>
        <v/>
      </c>
    </row>
    <row r="144" spans="1:36" s="84" customFormat="1">
      <c r="A144" s="81"/>
      <c r="B144" s="82">
        <v>100</v>
      </c>
      <c r="C144" s="82">
        <f t="shared" si="5"/>
        <v>0.92680174155627082</v>
      </c>
      <c r="D144" s="82">
        <f t="shared" si="6"/>
        <v>24.002746746291116</v>
      </c>
      <c r="E144" s="82">
        <f t="shared" si="7"/>
        <v>24.929548487847388</v>
      </c>
      <c r="F144" s="82"/>
      <c r="G144" s="82">
        <v>100</v>
      </c>
      <c r="H144" s="82">
        <f t="shared" si="8"/>
        <v>-75.805752907465319</v>
      </c>
      <c r="I144" s="82">
        <f t="shared" si="9"/>
        <v>-38.8815394646222</v>
      </c>
      <c r="J144" s="82">
        <f t="shared" si="10"/>
        <v>-114.68729237208751</v>
      </c>
      <c r="K144" s="82"/>
      <c r="L144" s="83"/>
      <c r="M144" s="2" t="str">
        <f>IF(Converters!B105="","",Converters!B105)</f>
        <v/>
      </c>
      <c r="N144" s="2" t="str">
        <f>IF(Converters!C106="","",Converters!C106)</f>
        <v/>
      </c>
      <c r="O144" s="2" t="str">
        <f>IF(Converters!D106="","",Converters!D106)</f>
        <v/>
      </c>
      <c r="P144" s="2" t="str">
        <f>IF(Converters!E106="","",Converters!E106)</f>
        <v/>
      </c>
      <c r="Q144" s="2" t="str">
        <f>IF(Converters!F106="","",Converters!F106)</f>
        <v/>
      </c>
      <c r="R144" s="2" t="str">
        <f>IF(Converters!G106="","",Converters!G106)</f>
        <v/>
      </c>
      <c r="S144" s="2" t="str">
        <f>IF(Converters!H106="","",Converters!H106)</f>
        <v/>
      </c>
      <c r="T144" s="2" t="str">
        <f>IF(Converters!I106="","",Converters!I106)</f>
        <v/>
      </c>
      <c r="U144" s="2" t="str">
        <f>IF(Converters!J106="","",Converters!J106)</f>
        <v/>
      </c>
      <c r="V144" s="2" t="str">
        <f>IF(Converters!K106="","",Converters!K106)</f>
        <v/>
      </c>
      <c r="W144" s="2" t="str">
        <f>IF(Converters!L106="","",Converters!L106)</f>
        <v/>
      </c>
      <c r="X144" s="2" t="str">
        <f>IF(Converters!M106="","",Converters!M106)</f>
        <v/>
      </c>
      <c r="Y144" s="2" t="str">
        <f>IF(Converters!N106="","",Converters!N106)</f>
        <v/>
      </c>
      <c r="Z144" s="2" t="str">
        <f>IF(Converters!O106="","",Converters!O106)</f>
        <v/>
      </c>
      <c r="AA144" s="2" t="str">
        <f>IF(Converters!P106="","",Converters!P106)</f>
        <v/>
      </c>
      <c r="AB144" s="2" t="str">
        <f>IF(Converters!Q106="","",Converters!Q106)</f>
        <v/>
      </c>
      <c r="AC144" s="2" t="str">
        <f>IF(Converters!R106="","",Converters!R106)</f>
        <v/>
      </c>
      <c r="AD144" s="2" t="str">
        <f>IF(Converters!S106="","",Converters!S106)</f>
        <v/>
      </c>
      <c r="AE144" s="2" t="str">
        <f>IF(Converters!T106="","",Converters!T106)</f>
        <v/>
      </c>
      <c r="AF144" s="2" t="str">
        <f>IF(Converters!U106="","",Converters!U106)</f>
        <v/>
      </c>
      <c r="AG144" s="2" t="str">
        <f>IF(Converters!V106="","",Converters!V106)</f>
        <v/>
      </c>
      <c r="AH144" s="2" t="str">
        <f>IF(Converters!W106="","",Converters!W106)</f>
        <v/>
      </c>
      <c r="AI144" s="2" t="str">
        <f>IF(Converters!X106="","",Converters!X106)</f>
        <v/>
      </c>
      <c r="AJ144" s="2" t="str">
        <f>IF(Converters!Y106="","",Converters!Y106)</f>
        <v/>
      </c>
    </row>
    <row r="145" spans="1:36" s="84" customFormat="1">
      <c r="A145" s="81"/>
      <c r="B145" s="82">
        <v>160</v>
      </c>
      <c r="C145" s="82">
        <f t="shared" si="5"/>
        <v>-3.0080893458073845</v>
      </c>
      <c r="D145" s="82">
        <f t="shared" si="6"/>
        <v>22.94203295317574</v>
      </c>
      <c r="E145" s="82">
        <f t="shared" si="7"/>
        <v>19.933943607368356</v>
      </c>
      <c r="F145" s="82"/>
      <c r="G145" s="82">
        <v>160</v>
      </c>
      <c r="H145" s="82">
        <f t="shared" si="8"/>
        <v>-80.259528913576503</v>
      </c>
      <c r="I145" s="82">
        <f t="shared" si="9"/>
        <v>-28.73871932089115</v>
      </c>
      <c r="J145" s="82">
        <f t="shared" si="10"/>
        <v>-108.99824823446765</v>
      </c>
      <c r="K145" s="82"/>
      <c r="L145" s="83"/>
      <c r="M145" s="2" t="str">
        <f>IF(Converters!B106="","",Converters!B106)</f>
        <v/>
      </c>
      <c r="N145" s="2" t="str">
        <f>IF(Converters!C107="","",Converters!C107)</f>
        <v/>
      </c>
      <c r="O145" s="2" t="str">
        <f>IF(Converters!D107="","",Converters!D107)</f>
        <v/>
      </c>
      <c r="P145" s="2" t="str">
        <f>IF(Converters!E107="","",Converters!E107)</f>
        <v/>
      </c>
      <c r="Q145" s="2" t="str">
        <f>IF(Converters!F107="","",Converters!F107)</f>
        <v/>
      </c>
      <c r="R145" s="2" t="str">
        <f>IF(Converters!G107="","",Converters!G107)</f>
        <v/>
      </c>
      <c r="S145" s="2" t="str">
        <f>IF(Converters!H107="","",Converters!H107)</f>
        <v/>
      </c>
      <c r="T145" s="2" t="str">
        <f>IF(Converters!I107="","",Converters!I107)</f>
        <v/>
      </c>
      <c r="U145" s="2" t="str">
        <f>IF(Converters!J107="","",Converters!J107)</f>
        <v/>
      </c>
      <c r="V145" s="2" t="str">
        <f>IF(Converters!K107="","",Converters!K107)</f>
        <v/>
      </c>
      <c r="W145" s="2" t="str">
        <f>IF(Converters!L107="","",Converters!L107)</f>
        <v/>
      </c>
      <c r="X145" s="2" t="str">
        <f>IF(Converters!M107="","",Converters!M107)</f>
        <v/>
      </c>
      <c r="Y145" s="2" t="str">
        <f>IF(Converters!N107="","",Converters!N107)</f>
        <v/>
      </c>
      <c r="Z145" s="2" t="str">
        <f>IF(Converters!O107="","",Converters!O107)</f>
        <v/>
      </c>
      <c r="AA145" s="2" t="str">
        <f>IF(Converters!P107="","",Converters!P107)</f>
        <v/>
      </c>
      <c r="AB145" s="2" t="str">
        <f>IF(Converters!Q107="","",Converters!Q107)</f>
        <v/>
      </c>
      <c r="AC145" s="2" t="str">
        <f>IF(Converters!R107="","",Converters!R107)</f>
        <v/>
      </c>
      <c r="AD145" s="2" t="str">
        <f>IF(Converters!S107="","",Converters!S107)</f>
        <v/>
      </c>
      <c r="AE145" s="2" t="str">
        <f>IF(Converters!T107="","",Converters!T107)</f>
        <v/>
      </c>
      <c r="AF145" s="2" t="str">
        <f>IF(Converters!U107="","",Converters!U107)</f>
        <v/>
      </c>
      <c r="AG145" s="2" t="str">
        <f>IF(Converters!V107="","",Converters!V107)</f>
        <v/>
      </c>
      <c r="AH145" s="2" t="str">
        <f>IF(Converters!W107="","",Converters!W107)</f>
        <v/>
      </c>
      <c r="AI145" s="2" t="str">
        <f>IF(Converters!X107="","",Converters!X107)</f>
        <v/>
      </c>
      <c r="AJ145" s="2" t="str">
        <f>IF(Converters!Y107="","",Converters!Y107)</f>
        <v/>
      </c>
    </row>
    <row r="146" spans="1:36" s="84" customFormat="1">
      <c r="A146" s="81"/>
      <c r="B146" s="82">
        <v>250</v>
      </c>
      <c r="C146" s="82">
        <f t="shared" si="5"/>
        <v>-6.8223135810108779</v>
      </c>
      <c r="D146" s="82">
        <f t="shared" si="6"/>
        <v>22.437695758604924</v>
      </c>
      <c r="E146" s="82">
        <f t="shared" si="7"/>
        <v>15.615382177594046</v>
      </c>
      <c r="F146" s="82"/>
      <c r="G146" s="82">
        <v>250</v>
      </c>
      <c r="H146" s="82">
        <f t="shared" si="8"/>
        <v>-82.561325965213044</v>
      </c>
      <c r="I146" s="82">
        <f t="shared" si="9"/>
        <v>-22.697353961805931</v>
      </c>
      <c r="J146" s="82">
        <f t="shared" si="10"/>
        <v>-105.25867992701897</v>
      </c>
      <c r="K146" s="82"/>
      <c r="L146" s="83"/>
      <c r="M146" s="2" t="str">
        <f>IF(Converters!B107="","",Converters!B107)</f>
        <v/>
      </c>
      <c r="N146" s="2" t="str">
        <f>IF(Converters!C108="","",Converters!C108)</f>
        <v/>
      </c>
      <c r="O146" s="2" t="str">
        <f>IF(Converters!D108="","",Converters!D108)</f>
        <v/>
      </c>
      <c r="P146" s="2" t="str">
        <f>IF(Converters!E108="","",Converters!E108)</f>
        <v/>
      </c>
      <c r="Q146" s="2" t="str">
        <f>IF(Converters!F108="","",Converters!F108)</f>
        <v/>
      </c>
      <c r="R146" s="2" t="str">
        <f>IF(Converters!G108="","",Converters!G108)</f>
        <v/>
      </c>
      <c r="S146" s="2" t="str">
        <f>IF(Converters!H108="","",Converters!H108)</f>
        <v/>
      </c>
      <c r="T146" s="2" t="str">
        <f>IF(Converters!I108="","",Converters!I108)</f>
        <v/>
      </c>
      <c r="U146" s="2" t="str">
        <f>IF(Converters!J108="","",Converters!J108)</f>
        <v/>
      </c>
      <c r="V146" s="2" t="str">
        <f>IF(Converters!K108="","",Converters!K108)</f>
        <v/>
      </c>
      <c r="W146" s="2" t="str">
        <f>IF(Converters!L108="","",Converters!L108)</f>
        <v/>
      </c>
      <c r="X146" s="2" t="str">
        <f>IF(Converters!M108="","",Converters!M108)</f>
        <v/>
      </c>
      <c r="Y146" s="2" t="str">
        <f>IF(Converters!N108="","",Converters!N108)</f>
        <v/>
      </c>
      <c r="Z146" s="2" t="str">
        <f>IF(Converters!O108="","",Converters!O108)</f>
        <v/>
      </c>
      <c r="AA146" s="2" t="str">
        <f>IF(Converters!P108="","",Converters!P108)</f>
        <v/>
      </c>
      <c r="AB146" s="2" t="str">
        <f>IF(Converters!Q108="","",Converters!Q108)</f>
        <v/>
      </c>
      <c r="AC146" s="2" t="str">
        <f>IF(Converters!R108="","",Converters!R108)</f>
        <v/>
      </c>
      <c r="AD146" s="2" t="str">
        <f>IF(Converters!S108="","",Converters!S108)</f>
        <v/>
      </c>
      <c r="AE146" s="2" t="str">
        <f>IF(Converters!T108="","",Converters!T108)</f>
        <v/>
      </c>
      <c r="AF146" s="2" t="str">
        <f>IF(Converters!U108="","",Converters!U108)</f>
        <v/>
      </c>
      <c r="AG146" s="2" t="str">
        <f>IF(Converters!V108="","",Converters!V108)</f>
        <v/>
      </c>
      <c r="AH146" s="2" t="str">
        <f>IF(Converters!W108="","",Converters!W108)</f>
        <v/>
      </c>
      <c r="AI146" s="2" t="str">
        <f>IF(Converters!X108="","",Converters!X108)</f>
        <v/>
      </c>
      <c r="AJ146" s="2" t="str">
        <f>IF(Converters!Y108="","",Converters!Y108)</f>
        <v/>
      </c>
    </row>
    <row r="147" spans="1:36" s="84" customFormat="1">
      <c r="A147" s="81"/>
      <c r="B147" s="82">
        <v>400</v>
      </c>
      <c r="C147" s="82">
        <f t="shared" si="5"/>
        <v>-10.864863667841986</v>
      </c>
      <c r="D147" s="82">
        <f t="shared" si="6"/>
        <v>22.139792810309928</v>
      </c>
      <c r="E147" s="82">
        <f t="shared" si="7"/>
        <v>11.274929142467942</v>
      </c>
      <c r="F147" s="82"/>
      <c r="G147" s="82">
        <v>400</v>
      </c>
      <c r="H147" s="82">
        <f t="shared" si="8"/>
        <v>-83.387857996219651</v>
      </c>
      <c r="I147" s="82">
        <f t="shared" si="9"/>
        <v>-20.440479365577104</v>
      </c>
      <c r="J147" s="82">
        <f t="shared" si="10"/>
        <v>-103.82833736179676</v>
      </c>
      <c r="K147" s="82"/>
      <c r="L147" s="83"/>
      <c r="M147" s="2" t="str">
        <f>IF(Converters!B108="","",Converters!B108)</f>
        <v/>
      </c>
      <c r="N147" s="2" t="str">
        <f>IF(Converters!C109="","",Converters!C109)</f>
        <v/>
      </c>
      <c r="O147" s="2" t="str">
        <f>IF(Converters!D109="","",Converters!D109)</f>
        <v/>
      </c>
      <c r="P147" s="2" t="str">
        <f>IF(Converters!E109="","",Converters!E109)</f>
        <v/>
      </c>
      <c r="Q147" s="2" t="str">
        <f>IF(Converters!F109="","",Converters!F109)</f>
        <v/>
      </c>
      <c r="R147" s="2" t="str">
        <f>IF(Converters!G109="","",Converters!G109)</f>
        <v/>
      </c>
      <c r="S147" s="2" t="str">
        <f>IF(Converters!H109="","",Converters!H109)</f>
        <v/>
      </c>
      <c r="T147" s="2" t="str">
        <f>IF(Converters!I109="","",Converters!I109)</f>
        <v/>
      </c>
      <c r="U147" s="2" t="str">
        <f>IF(Converters!J109="","",Converters!J109)</f>
        <v/>
      </c>
      <c r="V147" s="2" t="str">
        <f>IF(Converters!K109="","",Converters!K109)</f>
        <v/>
      </c>
      <c r="W147" s="2" t="str">
        <f>IF(Converters!L109="","",Converters!L109)</f>
        <v/>
      </c>
      <c r="X147" s="2" t="str">
        <f>IF(Converters!M109="","",Converters!M109)</f>
        <v/>
      </c>
      <c r="Y147" s="2" t="str">
        <f>IF(Converters!N109="","",Converters!N109)</f>
        <v/>
      </c>
      <c r="Z147" s="2" t="str">
        <f>IF(Converters!O109="","",Converters!O109)</f>
        <v/>
      </c>
      <c r="AA147" s="2" t="str">
        <f>IF(Converters!P109="","",Converters!P109)</f>
        <v/>
      </c>
      <c r="AB147" s="2" t="str">
        <f>IF(Converters!Q109="","",Converters!Q109)</f>
        <v/>
      </c>
      <c r="AC147" s="2" t="str">
        <f>IF(Converters!R109="","",Converters!R109)</f>
        <v/>
      </c>
      <c r="AD147" s="2" t="str">
        <f>IF(Converters!S109="","",Converters!S109)</f>
        <v/>
      </c>
      <c r="AE147" s="2" t="str">
        <f>IF(Converters!T109="","",Converters!T109)</f>
        <v/>
      </c>
      <c r="AF147" s="2" t="str">
        <f>IF(Converters!U109="","",Converters!U109)</f>
        <v/>
      </c>
      <c r="AG147" s="2" t="str">
        <f>IF(Converters!V109="","",Converters!V109)</f>
        <v/>
      </c>
      <c r="AH147" s="2" t="str">
        <f>IF(Converters!W109="","",Converters!W109)</f>
        <v/>
      </c>
      <c r="AI147" s="2" t="str">
        <f>IF(Converters!X109="","",Converters!X109)</f>
        <v/>
      </c>
      <c r="AJ147" s="2" t="str">
        <f>IF(Converters!Y109="","",Converters!Y109)</f>
        <v/>
      </c>
    </row>
    <row r="148" spans="1:36" s="84" customFormat="1">
      <c r="A148" s="81"/>
      <c r="B148" s="82">
        <v>630</v>
      </c>
      <c r="C148" s="82">
        <f t="shared" si="5"/>
        <v>-14.762874127070182</v>
      </c>
      <c r="D148" s="82">
        <f t="shared" si="6"/>
        <v>21.862680640860574</v>
      </c>
      <c r="E148" s="82">
        <f t="shared" si="7"/>
        <v>7.0998065137903925</v>
      </c>
      <c r="F148" s="82"/>
      <c r="G148" s="82">
        <v>630</v>
      </c>
      <c r="H148" s="82">
        <f t="shared" si="8"/>
        <v>-82.787577899437181</v>
      </c>
      <c r="I148" s="82">
        <f t="shared" si="9"/>
        <v>-22.218881686664574</v>
      </c>
      <c r="J148" s="82">
        <f t="shared" si="10"/>
        <v>-105.00645958610176</v>
      </c>
      <c r="K148" s="82"/>
      <c r="L148" s="83"/>
      <c r="M148" s="2" t="str">
        <f>IF(Converters!B109="","",Converters!B109)</f>
        <v/>
      </c>
      <c r="N148" s="2" t="str">
        <f>IF(Converters!C110="","",Converters!C110)</f>
        <v/>
      </c>
      <c r="O148" s="2" t="str">
        <f>IF(Converters!D110="","",Converters!D110)</f>
        <v/>
      </c>
      <c r="P148" s="2" t="str">
        <f>IF(Converters!E110="","",Converters!E110)</f>
        <v/>
      </c>
      <c r="Q148" s="2" t="str">
        <f>IF(Converters!F110="","",Converters!F110)</f>
        <v/>
      </c>
      <c r="R148" s="2" t="str">
        <f>IF(Converters!G110="","",Converters!G110)</f>
        <v/>
      </c>
      <c r="S148" s="2" t="str">
        <f>IF(Converters!H110="","",Converters!H110)</f>
        <v/>
      </c>
      <c r="T148" s="2" t="str">
        <f>IF(Converters!I110="","",Converters!I110)</f>
        <v/>
      </c>
      <c r="U148" s="2" t="str">
        <f>IF(Converters!J110="","",Converters!J110)</f>
        <v/>
      </c>
      <c r="V148" s="2" t="str">
        <f>IF(Converters!K110="","",Converters!K110)</f>
        <v/>
      </c>
      <c r="W148" s="2" t="str">
        <f>IF(Converters!L110="","",Converters!L110)</f>
        <v/>
      </c>
      <c r="X148" s="2" t="str">
        <f>IF(Converters!M110="","",Converters!M110)</f>
        <v/>
      </c>
      <c r="Y148" s="2" t="str">
        <f>IF(Converters!N110="","",Converters!N110)</f>
        <v/>
      </c>
      <c r="Z148" s="2" t="str">
        <f>IF(Converters!O110="","",Converters!O110)</f>
        <v/>
      </c>
      <c r="AA148" s="2" t="str">
        <f>IF(Converters!P110="","",Converters!P110)</f>
        <v/>
      </c>
      <c r="AB148" s="2" t="str">
        <f>IF(Converters!Q110="","",Converters!Q110)</f>
        <v/>
      </c>
      <c r="AC148" s="2" t="str">
        <f>IF(Converters!R110="","",Converters!R110)</f>
        <v/>
      </c>
      <c r="AD148" s="2" t="str">
        <f>IF(Converters!S110="","",Converters!S110)</f>
        <v/>
      </c>
      <c r="AE148" s="2" t="str">
        <f>IF(Converters!T110="","",Converters!T110)</f>
        <v/>
      </c>
      <c r="AF148" s="2" t="str">
        <f>IF(Converters!U110="","",Converters!U110)</f>
        <v/>
      </c>
      <c r="AG148" s="2" t="str">
        <f>IF(Converters!V110="","",Converters!V110)</f>
        <v/>
      </c>
      <c r="AH148" s="2" t="str">
        <f>IF(Converters!W110="","",Converters!W110)</f>
        <v/>
      </c>
      <c r="AI148" s="2" t="str">
        <f>IF(Converters!X110="","",Converters!X110)</f>
        <v/>
      </c>
      <c r="AJ148" s="2" t="str">
        <f>IF(Converters!Y110="","",Converters!Y110)</f>
        <v/>
      </c>
    </row>
    <row r="149" spans="1:36" s="84" customFormat="1">
      <c r="A149" s="81"/>
      <c r="B149" s="82">
        <v>1000</v>
      </c>
      <c r="C149" s="82">
        <f t="shared" si="5"/>
        <v>-18.675894493473162</v>
      </c>
      <c r="D149" s="82">
        <f t="shared" si="6"/>
        <v>21.37522204810033</v>
      </c>
      <c r="E149" s="82">
        <f t="shared" si="7"/>
        <v>2.6993275546271676</v>
      </c>
      <c r="F149" s="82"/>
      <c r="G149" s="82">
        <v>1000</v>
      </c>
      <c r="H149" s="82">
        <f t="shared" si="8"/>
        <v>-80.675671713738069</v>
      </c>
      <c r="I149" s="82">
        <f t="shared" si="9"/>
        <v>-28.061832513529673</v>
      </c>
      <c r="J149" s="82">
        <f t="shared" si="10"/>
        <v>-108.73750422726775</v>
      </c>
      <c r="K149" s="82"/>
      <c r="L149" s="83"/>
      <c r="M149" s="2" t="str">
        <f>IF(Converters!B110="","",Converters!B110)</f>
        <v/>
      </c>
      <c r="N149" s="2" t="str">
        <f>IF(Converters!C111="","",Converters!C111)</f>
        <v/>
      </c>
      <c r="O149" s="2" t="str">
        <f>IF(Converters!D111="","",Converters!D111)</f>
        <v/>
      </c>
      <c r="P149" s="2" t="str">
        <f>IF(Converters!E111="","",Converters!E111)</f>
        <v/>
      </c>
      <c r="Q149" s="2" t="str">
        <f>IF(Converters!F111="","",Converters!F111)</f>
        <v/>
      </c>
      <c r="R149" s="2" t="str">
        <f>IF(Converters!G111="","",Converters!G111)</f>
        <v/>
      </c>
      <c r="S149" s="2" t="str">
        <f>IF(Converters!H111="","",Converters!H111)</f>
        <v/>
      </c>
      <c r="T149" s="2" t="str">
        <f>IF(Converters!I111="","",Converters!I111)</f>
        <v/>
      </c>
      <c r="U149" s="2" t="str">
        <f>IF(Converters!J111="","",Converters!J111)</f>
        <v/>
      </c>
      <c r="V149" s="2" t="str">
        <f>IF(Converters!K111="","",Converters!K111)</f>
        <v/>
      </c>
      <c r="W149" s="2" t="str">
        <f>IF(Converters!L111="","",Converters!L111)</f>
        <v/>
      </c>
      <c r="X149" s="2" t="str">
        <f>IF(Converters!M111="","",Converters!M111)</f>
        <v/>
      </c>
      <c r="Y149" s="2" t="str">
        <f>IF(Converters!N111="","",Converters!N111)</f>
        <v/>
      </c>
      <c r="Z149" s="2" t="str">
        <f>IF(Converters!O111="","",Converters!O111)</f>
        <v/>
      </c>
      <c r="AA149" s="2" t="str">
        <f>IF(Converters!P111="","",Converters!P111)</f>
        <v/>
      </c>
      <c r="AB149" s="2" t="str">
        <f>IF(Converters!Q111="","",Converters!Q111)</f>
        <v/>
      </c>
      <c r="AC149" s="2" t="str">
        <f>IF(Converters!R111="","",Converters!R111)</f>
        <v/>
      </c>
      <c r="AD149" s="2" t="str">
        <f>IF(Converters!S111="","",Converters!S111)</f>
        <v/>
      </c>
      <c r="AE149" s="2" t="str">
        <f>IF(Converters!T111="","",Converters!T111)</f>
        <v/>
      </c>
      <c r="AF149" s="2" t="str">
        <f>IF(Converters!U111="","",Converters!U111)</f>
        <v/>
      </c>
      <c r="AG149" s="2" t="str">
        <f>IF(Converters!V111="","",Converters!V111)</f>
        <v/>
      </c>
      <c r="AH149" s="2" t="str">
        <f>IF(Converters!W111="","",Converters!W111)</f>
        <v/>
      </c>
      <c r="AI149" s="2" t="str">
        <f>IF(Converters!X111="","",Converters!X111)</f>
        <v/>
      </c>
      <c r="AJ149" s="2" t="str">
        <f>IF(Converters!Y111="","",Converters!Y111)</f>
        <v/>
      </c>
    </row>
    <row r="150" spans="1:36" s="84" customFormat="1">
      <c r="A150" s="81"/>
      <c r="B150" s="82">
        <v>1600</v>
      </c>
      <c r="C150" s="82">
        <f t="shared" si="5"/>
        <v>-22.515862299797757</v>
      </c>
      <c r="D150" s="82">
        <f t="shared" si="6"/>
        <v>20.372155727675434</v>
      </c>
      <c r="E150" s="82">
        <f t="shared" si="7"/>
        <v>-2.1437065721223227</v>
      </c>
      <c r="F150" s="82"/>
      <c r="G150" s="82">
        <v>1600</v>
      </c>
      <c r="H150" s="82">
        <f t="shared" si="8"/>
        <v>-76.678552659855583</v>
      </c>
      <c r="I150" s="82">
        <f t="shared" si="9"/>
        <v>-37.92235348477692</v>
      </c>
      <c r="J150" s="82">
        <f t="shared" si="10"/>
        <v>-114.6009061446325</v>
      </c>
      <c r="K150" s="82"/>
      <c r="L150" s="83"/>
      <c r="M150" s="2" t="str">
        <f>IF(Converters!B111="","",Converters!B111)</f>
        <v/>
      </c>
      <c r="N150" s="2" t="str">
        <f>IF(Converters!C112="","",Converters!C112)</f>
        <v/>
      </c>
      <c r="O150" s="2" t="str">
        <f>IF(Converters!D112="","",Converters!D112)</f>
        <v/>
      </c>
      <c r="P150" s="2" t="str">
        <f>IF(Converters!E112="","",Converters!E112)</f>
        <v/>
      </c>
      <c r="Q150" s="2" t="str">
        <f>IF(Converters!F112="","",Converters!F112)</f>
        <v/>
      </c>
      <c r="R150" s="2" t="str">
        <f>IF(Converters!G112="","",Converters!G112)</f>
        <v/>
      </c>
      <c r="S150" s="2" t="str">
        <f>IF(Converters!H112="","",Converters!H112)</f>
        <v/>
      </c>
      <c r="T150" s="2" t="str">
        <f>IF(Converters!I112="","",Converters!I112)</f>
        <v/>
      </c>
      <c r="U150" s="2" t="str">
        <f>IF(Converters!J112="","",Converters!J112)</f>
        <v/>
      </c>
      <c r="V150" s="2" t="str">
        <f>IF(Converters!K112="","",Converters!K112)</f>
        <v/>
      </c>
      <c r="W150" s="2" t="str">
        <f>IF(Converters!L112="","",Converters!L112)</f>
        <v/>
      </c>
      <c r="X150" s="2" t="str">
        <f>IF(Converters!M112="","",Converters!M112)</f>
        <v/>
      </c>
      <c r="Y150" s="2" t="str">
        <f>IF(Converters!N112="","",Converters!N112)</f>
        <v/>
      </c>
      <c r="Z150" s="2" t="str">
        <f>IF(Converters!O112="","",Converters!O112)</f>
        <v/>
      </c>
      <c r="AA150" s="2" t="str">
        <f>IF(Converters!P112="","",Converters!P112)</f>
        <v/>
      </c>
      <c r="AB150" s="2" t="str">
        <f>IF(Converters!Q112="","",Converters!Q112)</f>
        <v/>
      </c>
      <c r="AC150" s="2" t="str">
        <f>IF(Converters!R112="","",Converters!R112)</f>
        <v/>
      </c>
      <c r="AD150" s="2" t="str">
        <f>IF(Converters!S112="","",Converters!S112)</f>
        <v/>
      </c>
      <c r="AE150" s="2" t="str">
        <f>IF(Converters!T112="","",Converters!T112)</f>
        <v/>
      </c>
      <c r="AF150" s="2" t="str">
        <f>IF(Converters!U112="","",Converters!U112)</f>
        <v/>
      </c>
      <c r="AG150" s="2" t="str">
        <f>IF(Converters!V112="","",Converters!V112)</f>
        <v/>
      </c>
      <c r="AH150" s="2" t="str">
        <f>IF(Converters!W112="","",Converters!W112)</f>
        <v/>
      </c>
      <c r="AI150" s="2" t="str">
        <f>IF(Converters!X112="","",Converters!X112)</f>
        <v/>
      </c>
      <c r="AJ150" s="2" t="str">
        <f>IF(Converters!Y112="","",Converters!Y112)</f>
        <v/>
      </c>
    </row>
    <row r="151" spans="1:36" s="84" customFormat="1">
      <c r="A151" s="81"/>
      <c r="B151" s="82">
        <v>2500</v>
      </c>
      <c r="C151" s="82">
        <f t="shared" si="5"/>
        <v>-25.864710260816246</v>
      </c>
      <c r="D151" s="82">
        <f t="shared" si="6"/>
        <v>18.659346029097659</v>
      </c>
      <c r="E151" s="82">
        <f t="shared" si="7"/>
        <v>-7.2053642317185869</v>
      </c>
      <c r="F151" s="82"/>
      <c r="G151" s="82">
        <v>2500</v>
      </c>
      <c r="H151" s="82">
        <f t="shared" si="8"/>
        <v>-70.921295881742822</v>
      </c>
      <c r="I151" s="82">
        <f t="shared" si="9"/>
        <v>-49.570293719581066</v>
      </c>
      <c r="J151" s="82">
        <f t="shared" si="10"/>
        <v>-120.49158960132388</v>
      </c>
      <c r="K151" s="82"/>
      <c r="L151" s="81"/>
      <c r="M151" s="2" t="str">
        <f>IF(Converters!B112="","",Converters!B112)</f>
        <v/>
      </c>
      <c r="N151" s="2" t="str">
        <f>IF(Converters!C113="","",Converters!C113)</f>
        <v/>
      </c>
      <c r="O151" s="2" t="str">
        <f>IF(Converters!D113="","",Converters!D113)</f>
        <v/>
      </c>
      <c r="P151" s="2" t="str">
        <f>IF(Converters!E113="","",Converters!E113)</f>
        <v/>
      </c>
      <c r="Q151" s="2" t="str">
        <f>IF(Converters!F113="","",Converters!F113)</f>
        <v/>
      </c>
      <c r="R151" s="2" t="str">
        <f>IF(Converters!G113="","",Converters!G113)</f>
        <v/>
      </c>
      <c r="S151" s="2" t="str">
        <f>IF(Converters!H113="","",Converters!H113)</f>
        <v/>
      </c>
      <c r="T151" s="2" t="str">
        <f>IF(Converters!I113="","",Converters!I113)</f>
        <v/>
      </c>
      <c r="U151" s="2" t="str">
        <f>IF(Converters!J113="","",Converters!J113)</f>
        <v/>
      </c>
      <c r="V151" s="2" t="str">
        <f>IF(Converters!K113="","",Converters!K113)</f>
        <v/>
      </c>
      <c r="W151" s="2" t="str">
        <f>IF(Converters!L113="","",Converters!L113)</f>
        <v/>
      </c>
      <c r="X151" s="2" t="str">
        <f>IF(Converters!M113="","",Converters!M113)</f>
        <v/>
      </c>
      <c r="Y151" s="2" t="str">
        <f>IF(Converters!N113="","",Converters!N113)</f>
        <v/>
      </c>
      <c r="Z151" s="2" t="str">
        <f>IF(Converters!O113="","",Converters!O113)</f>
        <v/>
      </c>
      <c r="AA151" s="2" t="str">
        <f>IF(Converters!P113="","",Converters!P113)</f>
        <v/>
      </c>
      <c r="AB151" s="2" t="str">
        <f>IF(Converters!Q113="","",Converters!Q113)</f>
        <v/>
      </c>
      <c r="AC151" s="2" t="str">
        <f>IF(Converters!R113="","",Converters!R113)</f>
        <v/>
      </c>
      <c r="AD151" s="2" t="str">
        <f>IF(Converters!S113="","",Converters!S113)</f>
        <v/>
      </c>
      <c r="AE151" s="2" t="str">
        <f>IF(Converters!T113="","",Converters!T113)</f>
        <v/>
      </c>
      <c r="AF151" s="2" t="str">
        <f>IF(Converters!U113="","",Converters!U113)</f>
        <v/>
      </c>
      <c r="AG151" s="2" t="str">
        <f>IF(Converters!V113="","",Converters!V113)</f>
        <v/>
      </c>
      <c r="AH151" s="2" t="str">
        <f>IF(Converters!W113="","",Converters!W113)</f>
        <v/>
      </c>
      <c r="AI151" s="2" t="str">
        <f>IF(Converters!X113="","",Converters!X113)</f>
        <v/>
      </c>
      <c r="AJ151" s="2" t="str">
        <f>IF(Converters!Y113="","",Converters!Y113)</f>
        <v/>
      </c>
    </row>
    <row r="152" spans="1:36" s="84" customFormat="1">
      <c r="A152" s="81"/>
      <c r="B152" s="82">
        <v>4000</v>
      </c>
      <c r="C152" s="82">
        <f t="shared" si="5"/>
        <v>-28.773807159454879</v>
      </c>
      <c r="D152" s="82">
        <f t="shared" si="6"/>
        <v>15.964459207715224</v>
      </c>
      <c r="E152" s="82">
        <f t="shared" si="7"/>
        <v>-12.809347951739655</v>
      </c>
      <c r="F152" s="82"/>
      <c r="G152" s="82">
        <v>4000</v>
      </c>
      <c r="H152" s="82">
        <f t="shared" si="8"/>
        <v>-63.259307217963347</v>
      </c>
      <c r="I152" s="82">
        <f t="shared" si="9"/>
        <v>-61.58854683360731</v>
      </c>
      <c r="J152" s="82">
        <f t="shared" si="10"/>
        <v>-124.84785405157066</v>
      </c>
      <c r="K152" s="82"/>
      <c r="L152" s="81"/>
      <c r="M152" s="2" t="str">
        <f>IF(Converters!B113="","",Converters!B113)</f>
        <v/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6" s="84" customFormat="1">
      <c r="A153" s="81"/>
      <c r="B153" s="82">
        <v>6300</v>
      </c>
      <c r="C153" s="82">
        <f t="shared" si="5"/>
        <v>-30.643393869152046</v>
      </c>
      <c r="D153" s="82">
        <f t="shared" si="6"/>
        <v>12.694763643411944</v>
      </c>
      <c r="E153" s="82">
        <f t="shared" si="7"/>
        <v>-17.948630225740104</v>
      </c>
      <c r="F153" s="82"/>
      <c r="G153" s="82">
        <v>6300</v>
      </c>
      <c r="H153" s="82">
        <f t="shared" si="8"/>
        <v>-56.305340017690156</v>
      </c>
      <c r="I153" s="82">
        <f t="shared" si="9"/>
        <v>-70.936479352114802</v>
      </c>
      <c r="J153" s="82">
        <f t="shared" si="10"/>
        <v>-127.24181936980496</v>
      </c>
      <c r="K153" s="82"/>
      <c r="L153" s="8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6" s="84" customFormat="1">
      <c r="A154" s="81"/>
      <c r="B154" s="82">
        <v>10000</v>
      </c>
      <c r="C154" s="82">
        <f t="shared" si="5"/>
        <v>-31.399516671216581</v>
      </c>
      <c r="D154" s="82">
        <f t="shared" si="6"/>
        <v>8.9902756159519512</v>
      </c>
      <c r="E154" s="82">
        <f t="shared" si="7"/>
        <v>-22.40924105526463</v>
      </c>
      <c r="F154" s="82"/>
      <c r="G154" s="82">
        <v>10000</v>
      </c>
      <c r="H154" s="82">
        <f t="shared" si="8"/>
        <v>-52.859700068966795</v>
      </c>
      <c r="I154" s="82">
        <f t="shared" si="9"/>
        <v>-77.68813305108003</v>
      </c>
      <c r="J154" s="82">
        <f t="shared" si="10"/>
        <v>-130.54783312004682</v>
      </c>
      <c r="K154" s="82"/>
      <c r="L154" s="8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6" s="84" customFormat="1">
      <c r="A155" s="81"/>
      <c r="B155" s="82">
        <v>16000</v>
      </c>
      <c r="C155" s="82">
        <f t="shared" si="5"/>
        <v>-30.95583829748454</v>
      </c>
      <c r="D155" s="82">
        <f t="shared" si="6"/>
        <v>5.0381288650130891</v>
      </c>
      <c r="E155" s="82">
        <f t="shared" si="7"/>
        <v>-25.917709432471451</v>
      </c>
      <c r="F155" s="82"/>
      <c r="G155" s="82">
        <v>16000</v>
      </c>
      <c r="H155" s="82">
        <f t="shared" si="8"/>
        <v>-55.035225002974968</v>
      </c>
      <c r="I155" s="82">
        <f t="shared" si="9"/>
        <v>-82.224659773746467</v>
      </c>
      <c r="J155" s="82">
        <f t="shared" si="10"/>
        <v>-137.25988477672144</v>
      </c>
      <c r="K155" s="82"/>
      <c r="L155" s="8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6" s="84" customFormat="1">
      <c r="A156" s="81"/>
      <c r="B156" s="82">
        <v>25000</v>
      </c>
      <c r="C156" s="82">
        <f t="shared" si="5"/>
        <v>-29.411447193674224</v>
      </c>
      <c r="D156" s="82">
        <f t="shared" si="6"/>
        <v>1.21206359140437</v>
      </c>
      <c r="E156" s="82">
        <f t="shared" si="7"/>
        <v>-28.199383602269855</v>
      </c>
      <c r="F156" s="82"/>
      <c r="G156" s="82">
        <v>25000</v>
      </c>
      <c r="H156" s="82">
        <f t="shared" si="8"/>
        <v>-61.354110070696514</v>
      </c>
      <c r="I156" s="82">
        <f t="shared" si="9"/>
        <v>-85.003808442532716</v>
      </c>
      <c r="J156" s="82">
        <f t="shared" si="10"/>
        <v>-146.35791851322924</v>
      </c>
      <c r="K156" s="82"/>
      <c r="L156" s="8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6" s="84" customFormat="1">
      <c r="A157" s="81"/>
      <c r="B157" s="82">
        <v>40000</v>
      </c>
      <c r="C157" s="82">
        <f t="shared" si="5"/>
        <v>-26.741675749965363</v>
      </c>
      <c r="D157" s="82">
        <f t="shared" si="6"/>
        <v>-2.8488790238661714</v>
      </c>
      <c r="E157" s="82">
        <f t="shared" si="7"/>
        <v>-29.590554773831535</v>
      </c>
      <c r="F157" s="82"/>
      <c r="G157" s="82">
        <v>40000</v>
      </c>
      <c r="H157" s="82">
        <f t="shared" si="8"/>
        <v>-69.374674466806241</v>
      </c>
      <c r="I157" s="82">
        <f t="shared" si="9"/>
        <v>-86.872049923079359</v>
      </c>
      <c r="J157" s="82">
        <f t="shared" si="10"/>
        <v>-156.2467243898856</v>
      </c>
      <c r="K157" s="82"/>
      <c r="L157" s="8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6" s="84" customFormat="1">
      <c r="A158" s="81"/>
      <c r="B158" s="82">
        <v>63000</v>
      </c>
      <c r="C158" s="82">
        <f t="shared" si="5"/>
        <v>-23.461740024058933</v>
      </c>
      <c r="D158" s="82">
        <f t="shared" si="6"/>
        <v>-6.7862522690192932</v>
      </c>
      <c r="E158" s="82">
        <f t="shared" si="7"/>
        <v>-30.247992293078227</v>
      </c>
      <c r="F158" s="82"/>
      <c r="G158" s="82">
        <v>63000</v>
      </c>
      <c r="H158" s="82">
        <f t="shared" si="8"/>
        <v>-76.042952899384545</v>
      </c>
      <c r="I158" s="82">
        <f t="shared" si="9"/>
        <v>-88.012699723885177</v>
      </c>
      <c r="J158" s="82">
        <f t="shared" si="10"/>
        <v>-164.05565262326974</v>
      </c>
      <c r="K158" s="82"/>
      <c r="L158" s="8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6" s="84" customFormat="1">
      <c r="A159" s="81"/>
      <c r="B159" s="82">
        <v>100000</v>
      </c>
      <c r="C159" s="82">
        <f t="shared" si="5"/>
        <v>-19.747660307855497</v>
      </c>
      <c r="D159" s="82">
        <f t="shared" si="6"/>
        <v>-10.796081252155096</v>
      </c>
      <c r="E159" s="82">
        <f t="shared" si="7"/>
        <v>-30.543741560010595</v>
      </c>
      <c r="F159" s="82"/>
      <c r="G159" s="82">
        <v>100000</v>
      </c>
      <c r="H159" s="82">
        <f t="shared" si="8"/>
        <v>-80.967740177053159</v>
      </c>
      <c r="I159" s="82">
        <f t="shared" si="9"/>
        <v>-88.747666630366169</v>
      </c>
      <c r="J159" s="82">
        <f t="shared" si="10"/>
        <v>-169.71540680741933</v>
      </c>
      <c r="K159" s="82"/>
      <c r="L159" s="8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6" s="84" customFormat="1">
      <c r="A160" s="81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s="84" customForma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s="84" customForma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s="84" customForma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s="84" customForma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s="84" customFormat="1">
      <c r="A165" s="82"/>
      <c r="B165" s="81"/>
      <c r="C165" s="81"/>
      <c r="D165" s="81"/>
      <c r="E165" s="81"/>
      <c r="F165" s="82"/>
      <c r="G165" s="82"/>
      <c r="H165" s="82"/>
      <c r="I165" s="82"/>
      <c r="J165" s="82"/>
      <c r="K165" s="81"/>
      <c r="L165" s="8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s="84" customFormat="1">
      <c r="A166" s="85"/>
      <c r="B166" s="81"/>
      <c r="C166" s="81"/>
      <c r="D166" s="81"/>
      <c r="E166" s="81"/>
      <c r="F166" s="85"/>
      <c r="G166" s="85"/>
      <c r="H166" s="85"/>
      <c r="I166" s="85"/>
      <c r="J166" s="82"/>
      <c r="K166" s="81"/>
      <c r="L166" s="8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s="84" customForma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s="84" customForma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s="84" customForma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s="84" customForma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s="84" customForma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s="84" customForma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s="84" customFormat="1"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s="84" customFormat="1"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s="84" customFormat="1"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s="84" customFormat="1"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s="84" customFormat="1"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s="84" customFormat="1"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s="84" customFormat="1"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s="84" customFormat="1"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s="84" customFormat="1"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s="84" customFormat="1"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s="84" customFormat="1"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s="84" customFormat="1"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s="84" customFormat="1"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s="84" customFormat="1"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s="84" customFormat="1"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s="84" customFormat="1">
      <c r="A188" s="86"/>
      <c r="B188" s="86"/>
      <c r="C188" s="86"/>
      <c r="D188" s="86"/>
      <c r="E188" s="86"/>
      <c r="F188" s="86"/>
      <c r="G188" s="86"/>
      <c r="H188" s="86"/>
      <c r="I188" s="86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s="84" customFormat="1">
      <c r="A189" s="86"/>
      <c r="B189" s="86"/>
      <c r="C189" s="86"/>
      <c r="D189" s="86"/>
      <c r="E189" s="86"/>
      <c r="F189" s="86"/>
      <c r="G189" s="86"/>
      <c r="H189" s="86"/>
      <c r="I189" s="86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s="84" customFormat="1">
      <c r="A190" s="86"/>
      <c r="B190" s="86"/>
      <c r="C190" s="86"/>
      <c r="D190" s="86"/>
      <c r="E190" s="86"/>
      <c r="F190" s="86"/>
      <c r="G190" s="86"/>
      <c r="H190" s="86"/>
      <c r="I190" s="86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s="84" customFormat="1">
      <c r="A191" s="86"/>
      <c r="B191" s="86"/>
      <c r="C191" s="86"/>
      <c r="D191" s="86"/>
      <c r="E191" s="86"/>
      <c r="F191" s="86"/>
      <c r="G191" s="86"/>
      <c r="H191" s="86"/>
      <c r="I191" s="86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s="84" customFormat="1">
      <c r="A192" s="86"/>
      <c r="B192" s="86"/>
      <c r="C192" s="86"/>
      <c r="D192" s="86"/>
      <c r="E192" s="86"/>
      <c r="F192" s="86"/>
      <c r="G192" s="86"/>
      <c r="H192" s="86"/>
      <c r="I192" s="86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s="84" customFormat="1">
      <c r="A193" s="87"/>
      <c r="B193" s="87"/>
      <c r="C193" s="87"/>
      <c r="D193" s="87"/>
      <c r="E193" s="87"/>
      <c r="F193" s="87"/>
      <c r="G193" s="87"/>
      <c r="H193" s="87"/>
      <c r="I193" s="87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s="84" customFormat="1">
      <c r="A194" s="86"/>
      <c r="B194" s="88"/>
      <c r="C194" s="88"/>
      <c r="D194" s="86"/>
      <c r="E194" s="86"/>
      <c r="F194" s="86"/>
      <c r="G194" s="86"/>
      <c r="H194" s="86"/>
      <c r="I194" s="86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s="84" customFormat="1">
      <c r="A195" s="86"/>
      <c r="B195" s="88"/>
      <c r="C195" s="88"/>
      <c r="D195" s="86"/>
      <c r="E195" s="86"/>
      <c r="F195" s="86"/>
      <c r="G195" s="86"/>
      <c r="H195" s="86"/>
      <c r="I195" s="86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s="84" customFormat="1">
      <c r="A196" s="86"/>
      <c r="B196" s="88"/>
      <c r="C196" s="88"/>
      <c r="D196" s="86"/>
      <c r="E196" s="86"/>
      <c r="F196" s="86"/>
      <c r="G196" s="86"/>
      <c r="H196" s="86"/>
      <c r="I196" s="86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s="84" customFormat="1">
      <c r="A197" s="86"/>
      <c r="B197" s="88"/>
      <c r="C197" s="88"/>
      <c r="D197" s="86"/>
      <c r="E197" s="86"/>
      <c r="F197" s="86"/>
      <c r="G197" s="86"/>
      <c r="H197" s="86"/>
      <c r="I197" s="86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s="84" customFormat="1">
      <c r="A198" s="86"/>
      <c r="B198" s="88"/>
      <c r="C198" s="88"/>
      <c r="D198" s="86"/>
      <c r="E198" s="86"/>
      <c r="F198" s="86"/>
      <c r="G198" s="86"/>
      <c r="H198" s="86"/>
      <c r="I198" s="86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s="84" customFormat="1">
      <c r="A199" s="86"/>
      <c r="B199" s="88"/>
      <c r="C199" s="88"/>
      <c r="D199" s="86"/>
      <c r="E199" s="86"/>
      <c r="F199" s="86"/>
      <c r="G199" s="86"/>
      <c r="H199" s="86"/>
      <c r="I199" s="86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s="84" customFormat="1">
      <c r="A200" s="86"/>
      <c r="B200" s="88"/>
      <c r="C200" s="88"/>
      <c r="D200" s="86"/>
      <c r="E200" s="86"/>
      <c r="F200" s="86"/>
      <c r="G200" s="86"/>
      <c r="H200" s="86"/>
      <c r="I200" s="86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s="84" customFormat="1">
      <c r="A201" s="86"/>
      <c r="B201" s="86"/>
      <c r="C201" s="86"/>
      <c r="D201" s="86"/>
      <c r="E201" s="86"/>
      <c r="F201" s="86"/>
      <c r="G201" s="86"/>
      <c r="H201" s="86"/>
      <c r="I201" s="86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s="84" customFormat="1">
      <c r="A202" s="86"/>
      <c r="B202" s="89"/>
      <c r="C202" s="90"/>
      <c r="D202" s="91"/>
      <c r="E202" s="86"/>
      <c r="F202" s="86"/>
      <c r="G202" s="86"/>
      <c r="H202" s="86"/>
      <c r="I202" s="86"/>
      <c r="M202" s="2"/>
      <c r="N202" s="2"/>
      <c r="O202" s="2"/>
      <c r="P202" s="2"/>
    </row>
    <row r="203" spans="1:34" s="84" customFormat="1">
      <c r="A203" s="86"/>
      <c r="B203" s="89"/>
      <c r="C203" s="89"/>
      <c r="D203" s="91"/>
      <c r="E203" s="86"/>
      <c r="F203" s="86"/>
      <c r="G203" s="86"/>
      <c r="H203" s="86"/>
      <c r="I203" s="86"/>
      <c r="M203" s="2"/>
      <c r="N203" s="2"/>
      <c r="O203" s="2"/>
      <c r="P203" s="2"/>
    </row>
    <row r="204" spans="1:34" s="84" customFormat="1">
      <c r="A204" s="86"/>
      <c r="B204" s="89"/>
      <c r="C204" s="89"/>
      <c r="D204" s="91"/>
      <c r="E204" s="86"/>
      <c r="F204" s="86"/>
      <c r="G204" s="86"/>
      <c r="H204" s="86"/>
      <c r="I204" s="86"/>
      <c r="M204" s="2"/>
      <c r="N204" s="2"/>
      <c r="O204" s="2"/>
      <c r="P204" s="2"/>
    </row>
    <row r="205" spans="1:34" s="84" customFormat="1">
      <c r="A205" s="86"/>
      <c r="B205" s="86"/>
      <c r="C205" s="86"/>
      <c r="D205" s="86"/>
      <c r="E205" s="86"/>
      <c r="F205" s="86"/>
      <c r="G205" s="86"/>
      <c r="H205" s="86"/>
      <c r="I205" s="86"/>
      <c r="M205" s="2"/>
      <c r="N205" s="2"/>
      <c r="O205" s="2"/>
      <c r="P205" s="2"/>
    </row>
    <row r="206" spans="1:34" s="84" customFormat="1">
      <c r="A206" s="86"/>
      <c r="B206" s="86"/>
      <c r="C206" s="86"/>
      <c r="D206" s="86"/>
      <c r="E206" s="86"/>
      <c r="F206" s="86"/>
      <c r="G206" s="86"/>
      <c r="H206" s="86"/>
      <c r="I206" s="86"/>
      <c r="M206" s="2"/>
      <c r="N206" s="2"/>
      <c r="O206" s="2"/>
      <c r="P206" s="2"/>
    </row>
    <row r="207" spans="1:34" s="84" customFormat="1">
      <c r="A207" s="86"/>
      <c r="B207" s="86"/>
      <c r="C207" s="86"/>
      <c r="D207" s="86"/>
      <c r="E207" s="86"/>
      <c r="F207" s="86"/>
      <c r="G207" s="86"/>
      <c r="H207" s="86"/>
      <c r="I207" s="86"/>
      <c r="M207" s="2"/>
      <c r="N207" s="2"/>
      <c r="O207" s="2"/>
      <c r="P207" s="2"/>
    </row>
    <row r="208" spans="1:34" s="84" customFormat="1">
      <c r="A208" s="86"/>
      <c r="B208" s="86"/>
      <c r="C208" s="86"/>
      <c r="D208" s="86"/>
      <c r="E208" s="86"/>
      <c r="F208" s="86"/>
      <c r="G208" s="86"/>
      <c r="H208" s="86"/>
      <c r="I208" s="86"/>
      <c r="M208" s="2"/>
      <c r="N208" s="2"/>
      <c r="O208" s="2"/>
      <c r="P208" s="2"/>
    </row>
    <row r="209" spans="4:16" s="84" customFormat="1">
      <c r="D209" s="86"/>
      <c r="I209" s="86"/>
      <c r="M209" s="2"/>
      <c r="N209" s="2"/>
      <c r="O209" s="2"/>
      <c r="P209" s="2"/>
    </row>
    <row r="210" spans="4:16" s="84" customFormat="1">
      <c r="D210" s="86"/>
      <c r="I210" s="86"/>
      <c r="M210" s="2"/>
      <c r="N210" s="2"/>
      <c r="O210" s="2"/>
      <c r="P210" s="2"/>
    </row>
    <row r="211" spans="4:16" s="84" customFormat="1">
      <c r="D211" s="86"/>
      <c r="I211" s="86"/>
      <c r="M211" s="2"/>
      <c r="N211" s="2"/>
      <c r="O211" s="2"/>
      <c r="P211" s="2"/>
    </row>
    <row r="212" spans="4:16" s="84" customFormat="1">
      <c r="D212" s="86"/>
      <c r="I212" s="86"/>
      <c r="M212" s="2"/>
      <c r="N212" s="2"/>
      <c r="O212" s="2"/>
      <c r="P212" s="2"/>
    </row>
    <row r="213" spans="4:16" s="84" customFormat="1">
      <c r="D213" s="86"/>
      <c r="I213" s="86"/>
      <c r="M213" s="2"/>
      <c r="N213" s="2"/>
      <c r="O213" s="2"/>
      <c r="P213" s="2"/>
    </row>
    <row r="214" spans="4:16" s="84" customFormat="1">
      <c r="D214" s="86"/>
      <c r="I214" s="86"/>
      <c r="M214" s="2"/>
      <c r="N214" s="2"/>
      <c r="O214" s="2"/>
      <c r="P214" s="2"/>
    </row>
    <row r="215" spans="4:16" s="84" customFormat="1">
      <c r="D215" s="86"/>
      <c r="I215" s="86"/>
      <c r="M215" s="2"/>
      <c r="N215" s="2"/>
      <c r="O215" s="2"/>
      <c r="P215" s="2"/>
    </row>
    <row r="216" spans="4:16" s="84" customFormat="1">
      <c r="D216" s="86"/>
      <c r="I216" s="86"/>
      <c r="M216" s="2"/>
      <c r="N216" s="2"/>
      <c r="O216" s="2"/>
      <c r="P216" s="2"/>
    </row>
    <row r="217" spans="4:16" s="84" customFormat="1">
      <c r="D217" s="86"/>
      <c r="I217" s="86"/>
      <c r="M217" s="2"/>
      <c r="N217" s="2"/>
      <c r="O217" s="2"/>
      <c r="P217" s="2"/>
    </row>
    <row r="218" spans="4:16" s="84" customFormat="1">
      <c r="D218" s="86"/>
      <c r="I218" s="86"/>
      <c r="M218" s="2"/>
      <c r="N218" s="2"/>
      <c r="O218" s="2"/>
      <c r="P218" s="2"/>
    </row>
    <row r="219" spans="4:16" s="84" customFormat="1">
      <c r="D219" s="86"/>
      <c r="I219" s="86"/>
      <c r="M219" s="2"/>
      <c r="N219" s="2"/>
      <c r="O219" s="2"/>
      <c r="P219" s="2"/>
    </row>
    <row r="220" spans="4:16" s="84" customFormat="1">
      <c r="D220" s="86"/>
      <c r="I220" s="86"/>
      <c r="M220" s="2"/>
      <c r="N220" s="2"/>
      <c r="O220" s="2"/>
      <c r="P220" s="2"/>
    </row>
    <row r="221" spans="4:16" s="84" customFormat="1">
      <c r="D221" s="86"/>
      <c r="I221" s="86"/>
      <c r="M221" s="2"/>
      <c r="N221" s="2"/>
      <c r="O221" s="2"/>
      <c r="P221" s="2"/>
    </row>
    <row r="222" spans="4:16" s="84" customFormat="1">
      <c r="D222" s="86"/>
      <c r="I222" s="86"/>
      <c r="M222" s="2"/>
      <c r="N222" s="2"/>
      <c r="O222" s="2"/>
      <c r="P222" s="2"/>
    </row>
    <row r="223" spans="4:16" s="84" customFormat="1">
      <c r="D223" s="86"/>
      <c r="I223" s="86"/>
      <c r="M223" s="2"/>
      <c r="N223" s="2"/>
      <c r="O223" s="2"/>
      <c r="P223" s="2"/>
    </row>
    <row r="224" spans="4:16" s="84" customFormat="1">
      <c r="D224" s="86"/>
      <c r="I224" s="86"/>
      <c r="M224" s="2"/>
      <c r="N224" s="2"/>
      <c r="O224" s="2"/>
      <c r="P224" s="2"/>
    </row>
    <row r="225" spans="4:16" s="84" customFormat="1">
      <c r="D225" s="86"/>
      <c r="I225" s="86"/>
      <c r="M225" s="2"/>
      <c r="N225" s="2"/>
      <c r="O225" s="2"/>
      <c r="P225" s="2"/>
    </row>
    <row r="226" spans="4:16" s="84" customFormat="1">
      <c r="D226" s="86"/>
      <c r="I226" s="86"/>
      <c r="M226" s="2"/>
      <c r="N226" s="2"/>
      <c r="O226" s="2"/>
      <c r="P226" s="2"/>
    </row>
    <row r="227" spans="4:16" s="84" customFormat="1">
      <c r="D227" s="86"/>
      <c r="I227" s="86"/>
      <c r="M227" s="2"/>
      <c r="N227" s="2"/>
      <c r="O227" s="2"/>
      <c r="P227" s="2"/>
    </row>
    <row r="228" spans="4:16" s="84" customFormat="1">
      <c r="D228" s="86"/>
      <c r="I228" s="86"/>
      <c r="M228" s="2"/>
      <c r="N228" s="2"/>
      <c r="O228" s="2"/>
      <c r="P228" s="2"/>
    </row>
    <row r="229" spans="4:16" s="84" customFormat="1">
      <c r="M229" s="2"/>
      <c r="N229" s="2"/>
      <c r="O229" s="2"/>
      <c r="P229" s="2"/>
    </row>
    <row r="230" spans="4:16" s="84" customFormat="1">
      <c r="M230" s="2"/>
      <c r="N230" s="2"/>
      <c r="O230" s="2"/>
      <c r="P230" s="2"/>
    </row>
    <row r="231" spans="4:16" s="84" customFormat="1">
      <c r="M231" s="2"/>
      <c r="N231" s="2"/>
      <c r="O231" s="2"/>
      <c r="P231" s="2"/>
    </row>
    <row r="232" spans="4:16" s="84" customFormat="1">
      <c r="M232" s="2"/>
      <c r="N232" s="2"/>
      <c r="O232" s="2"/>
      <c r="P232" s="2"/>
    </row>
    <row r="233" spans="4:16" s="84" customFormat="1">
      <c r="H233" s="86"/>
      <c r="M233" s="2"/>
      <c r="N233" s="2"/>
      <c r="O233" s="2"/>
      <c r="P233" s="2"/>
    </row>
    <row r="234" spans="4:16" s="84" customFormat="1">
      <c r="D234" s="87"/>
      <c r="E234" s="87"/>
      <c r="F234" s="87"/>
      <c r="G234" s="87"/>
      <c r="H234" s="86"/>
      <c r="M234" s="2"/>
      <c r="N234" s="2"/>
      <c r="O234" s="2"/>
      <c r="P234" s="2"/>
    </row>
    <row r="235" spans="4:16" s="84" customFormat="1">
      <c r="M235" s="2"/>
      <c r="N235" s="2"/>
      <c r="O235" s="2"/>
      <c r="P235" s="2"/>
    </row>
    <row r="236" spans="4:16" s="84" customFormat="1">
      <c r="M236" s="2"/>
      <c r="N236" s="2"/>
      <c r="O236" s="2"/>
      <c r="P236" s="2"/>
    </row>
    <row r="237" spans="4:16" s="84" customFormat="1">
      <c r="M237" s="2"/>
      <c r="N237" s="2"/>
      <c r="O237" s="2"/>
      <c r="P237" s="2"/>
    </row>
    <row r="238" spans="4:16" s="84" customFormat="1">
      <c r="M238" s="2"/>
      <c r="N238" s="2"/>
      <c r="O238" s="2"/>
      <c r="P238" s="2"/>
    </row>
    <row r="239" spans="4:16" s="84" customFormat="1">
      <c r="M239" s="2"/>
      <c r="N239" s="2"/>
      <c r="O239" s="2"/>
      <c r="P239" s="2"/>
    </row>
    <row r="240" spans="4:16" s="84" customFormat="1">
      <c r="M240" s="2"/>
      <c r="N240" s="2"/>
      <c r="O240" s="2"/>
      <c r="P240" s="2"/>
    </row>
    <row r="241" spans="13:16" s="84" customFormat="1">
      <c r="M241" s="2"/>
      <c r="N241" s="2"/>
      <c r="O241" s="2"/>
      <c r="P241" s="2"/>
    </row>
    <row r="242" spans="13:16" s="84" customFormat="1">
      <c r="M242" s="2"/>
      <c r="N242" s="2"/>
      <c r="O242" s="2"/>
      <c r="P242" s="2"/>
    </row>
    <row r="243" spans="13:16" s="84" customFormat="1">
      <c r="M243" s="2"/>
      <c r="N243" s="2"/>
      <c r="O243" s="2"/>
      <c r="P243" s="2"/>
    </row>
    <row r="244" spans="13:16" s="84" customFormat="1">
      <c r="M244" s="2"/>
      <c r="N244" s="2"/>
      <c r="O244" s="2"/>
      <c r="P244" s="2"/>
    </row>
    <row r="245" spans="13:16" s="84" customFormat="1">
      <c r="M245" s="2"/>
      <c r="N245" s="2"/>
      <c r="O245" s="2"/>
      <c r="P245" s="2"/>
    </row>
    <row r="246" spans="13:16" s="84" customFormat="1">
      <c r="M246" s="2"/>
      <c r="N246" s="2"/>
      <c r="O246" s="2"/>
      <c r="P246" s="2"/>
    </row>
    <row r="247" spans="13:16" s="84" customFormat="1">
      <c r="M247" s="2"/>
      <c r="N247" s="2"/>
      <c r="O247" s="2"/>
      <c r="P247" s="2"/>
    </row>
    <row r="248" spans="13:16" s="84" customFormat="1">
      <c r="M248" s="2"/>
      <c r="N248" s="2"/>
      <c r="O248" s="2"/>
      <c r="P248" s="2"/>
    </row>
    <row r="249" spans="13:16" s="84" customFormat="1">
      <c r="M249" s="2"/>
      <c r="N249" s="2"/>
      <c r="O249" s="2"/>
      <c r="P249" s="2"/>
    </row>
    <row r="250" spans="13:16" s="84" customFormat="1">
      <c r="M250" s="2"/>
      <c r="N250" s="2"/>
      <c r="O250" s="2"/>
      <c r="P250" s="2"/>
    </row>
    <row r="251" spans="13:16" s="84" customFormat="1">
      <c r="M251" s="2"/>
      <c r="N251" s="2"/>
      <c r="O251" s="2"/>
      <c r="P251" s="2"/>
    </row>
    <row r="252" spans="13:16" s="84" customFormat="1">
      <c r="M252" s="2"/>
      <c r="N252" s="2"/>
      <c r="O252" s="2"/>
      <c r="P252" s="2"/>
    </row>
    <row r="253" spans="13:16" s="84" customFormat="1">
      <c r="M253" s="2"/>
      <c r="N253" s="2"/>
      <c r="O253" s="2"/>
      <c r="P253" s="2"/>
    </row>
    <row r="254" spans="13:16" s="84" customFormat="1">
      <c r="M254" s="2"/>
      <c r="N254" s="2"/>
      <c r="O254" s="2"/>
      <c r="P254" s="2"/>
    </row>
    <row r="255" spans="13:16" s="84" customFormat="1">
      <c r="M255" s="2"/>
      <c r="N255" s="2"/>
      <c r="O255" s="2"/>
      <c r="P255" s="2"/>
    </row>
    <row r="256" spans="13:16" s="84" customFormat="1">
      <c r="M256" s="2"/>
      <c r="N256" s="2"/>
      <c r="O256" s="2"/>
      <c r="P256" s="2"/>
    </row>
    <row r="257" spans="13:16" s="84" customFormat="1">
      <c r="M257" s="2"/>
      <c r="N257" s="2"/>
      <c r="O257" s="2"/>
      <c r="P257" s="2"/>
    </row>
    <row r="258" spans="13:16" s="84" customFormat="1">
      <c r="M258" s="2"/>
      <c r="N258" s="2"/>
      <c r="O258" s="2"/>
      <c r="P258" s="2"/>
    </row>
    <row r="259" spans="13:16" s="84" customFormat="1">
      <c r="M259" s="2"/>
      <c r="N259" s="2"/>
      <c r="O259" s="2"/>
      <c r="P259" s="2"/>
    </row>
    <row r="260" spans="13:16" s="84" customFormat="1">
      <c r="M260" s="2"/>
      <c r="N260" s="2"/>
      <c r="O260" s="2"/>
      <c r="P260" s="2"/>
    </row>
    <row r="261" spans="13:16" s="84" customFormat="1">
      <c r="M261" s="2"/>
      <c r="N261" s="2"/>
      <c r="O261" s="2"/>
      <c r="P261" s="2"/>
    </row>
    <row r="262" spans="13:16" s="84" customFormat="1">
      <c r="M262" s="2"/>
      <c r="N262" s="2"/>
      <c r="O262" s="2"/>
      <c r="P262" s="2"/>
    </row>
    <row r="263" spans="13:16" s="84" customFormat="1">
      <c r="M263" s="2"/>
      <c r="N263" s="2"/>
      <c r="O263" s="2"/>
      <c r="P263" s="2"/>
    </row>
    <row r="264" spans="13:16" s="84" customFormat="1">
      <c r="M264" s="2"/>
      <c r="N264" s="2"/>
      <c r="O264" s="2"/>
      <c r="P264" s="2"/>
    </row>
    <row r="265" spans="13:16" s="84" customFormat="1">
      <c r="M265" s="2"/>
      <c r="N265" s="2"/>
      <c r="O265" s="2"/>
      <c r="P265" s="2"/>
    </row>
    <row r="266" spans="13:16" s="84" customFormat="1">
      <c r="M266" s="2"/>
      <c r="N266" s="2"/>
      <c r="O266" s="2"/>
      <c r="P266" s="2"/>
    </row>
    <row r="267" spans="13:16" s="84" customFormat="1">
      <c r="M267" s="2"/>
      <c r="N267" s="2"/>
      <c r="O267" s="2"/>
      <c r="P267" s="2"/>
    </row>
    <row r="268" spans="13:16" s="84" customFormat="1">
      <c r="M268" s="2"/>
      <c r="N268" s="2"/>
      <c r="O268" s="2"/>
      <c r="P268" s="2"/>
    </row>
    <row r="269" spans="13:16" s="84" customFormat="1">
      <c r="M269" s="2"/>
      <c r="N269" s="2"/>
      <c r="O269" s="2"/>
      <c r="P269" s="2"/>
    </row>
    <row r="270" spans="13:16" s="84" customFormat="1">
      <c r="M270" s="2"/>
      <c r="N270" s="2"/>
      <c r="O270" s="2"/>
      <c r="P270" s="2"/>
    </row>
    <row r="271" spans="13:16" s="84" customFormat="1">
      <c r="M271" s="2"/>
      <c r="N271" s="2"/>
      <c r="O271" s="2"/>
      <c r="P271" s="2"/>
    </row>
    <row r="272" spans="13:16" s="84" customFormat="1">
      <c r="M272" s="2"/>
      <c r="N272" s="2"/>
      <c r="O272" s="2"/>
      <c r="P272" s="2"/>
    </row>
    <row r="273" spans="13:16" s="84" customFormat="1">
      <c r="M273" s="2"/>
      <c r="N273" s="2"/>
      <c r="O273" s="2"/>
      <c r="P273" s="2"/>
    </row>
    <row r="274" spans="13:16" s="84" customFormat="1">
      <c r="M274" s="2"/>
      <c r="N274" s="2"/>
      <c r="O274" s="2"/>
      <c r="P274" s="2"/>
    </row>
    <row r="275" spans="13:16" s="84" customFormat="1">
      <c r="M275" s="2"/>
      <c r="N275" s="2"/>
      <c r="O275" s="2"/>
      <c r="P275" s="2"/>
    </row>
    <row r="276" spans="13:16" s="84" customFormat="1">
      <c r="M276" s="2"/>
      <c r="N276" s="2"/>
      <c r="O276" s="2"/>
      <c r="P276" s="2"/>
    </row>
    <row r="277" spans="13:16" s="84" customFormat="1">
      <c r="M277" s="2"/>
      <c r="N277" s="2"/>
      <c r="O277" s="2"/>
      <c r="P277" s="2"/>
    </row>
    <row r="278" spans="13:16" s="84" customFormat="1">
      <c r="M278" s="2"/>
      <c r="N278" s="2"/>
      <c r="O278" s="2"/>
      <c r="P278" s="2"/>
    </row>
    <row r="279" spans="13:16" s="84" customFormat="1">
      <c r="M279" s="2"/>
      <c r="N279" s="2"/>
      <c r="O279" s="2"/>
      <c r="P279" s="2"/>
    </row>
    <row r="280" spans="13:16" s="84" customFormat="1">
      <c r="M280" s="2"/>
      <c r="N280" s="2"/>
      <c r="O280" s="2"/>
      <c r="P280" s="2"/>
    </row>
    <row r="281" spans="13:16" s="84" customFormat="1">
      <c r="M281" s="2"/>
      <c r="N281" s="2"/>
      <c r="O281" s="2"/>
      <c r="P281" s="2"/>
    </row>
    <row r="282" spans="13:16" s="84" customFormat="1">
      <c r="M282" s="2"/>
      <c r="N282" s="2"/>
      <c r="O282" s="2"/>
      <c r="P282" s="2"/>
    </row>
    <row r="283" spans="13:16" s="84" customFormat="1">
      <c r="M283" s="2"/>
      <c r="N283" s="2"/>
      <c r="O283" s="2"/>
      <c r="P283" s="2"/>
    </row>
    <row r="284" spans="13:16" s="84" customFormat="1">
      <c r="M284" s="2"/>
      <c r="N284" s="2"/>
      <c r="O284" s="2"/>
      <c r="P284" s="2"/>
    </row>
    <row r="285" spans="13:16" s="84" customFormat="1">
      <c r="M285" s="2"/>
      <c r="N285" s="2"/>
      <c r="O285" s="2"/>
      <c r="P285" s="2"/>
    </row>
    <row r="286" spans="13:16" s="84" customFormat="1">
      <c r="M286" s="2"/>
      <c r="N286" s="2"/>
      <c r="O286" s="2"/>
      <c r="P286" s="2"/>
    </row>
    <row r="287" spans="13:16" s="84" customFormat="1">
      <c r="M287" s="2"/>
      <c r="N287" s="2"/>
      <c r="O287" s="2"/>
      <c r="P287" s="2"/>
    </row>
    <row r="288" spans="13:16" s="84" customFormat="1">
      <c r="M288" s="2"/>
      <c r="N288" s="2"/>
      <c r="O288" s="2"/>
      <c r="P288" s="2"/>
    </row>
    <row r="289" spans="13:16" s="84" customFormat="1">
      <c r="M289" s="2"/>
      <c r="N289" s="2"/>
      <c r="O289" s="2"/>
      <c r="P289" s="2"/>
    </row>
    <row r="290" spans="13:16" s="84" customFormat="1">
      <c r="M290" s="2"/>
      <c r="N290" s="2"/>
      <c r="O290" s="2"/>
      <c r="P290" s="2"/>
    </row>
    <row r="291" spans="13:16" s="84" customFormat="1">
      <c r="M291" s="2"/>
      <c r="N291" s="2"/>
      <c r="O291" s="2"/>
      <c r="P291" s="2"/>
    </row>
    <row r="292" spans="13:16" s="84" customFormat="1">
      <c r="M292" s="2"/>
      <c r="N292" s="2"/>
      <c r="O292" s="2"/>
      <c r="P292" s="2"/>
    </row>
    <row r="293" spans="13:16" s="84" customFormat="1">
      <c r="M293" s="2"/>
      <c r="N293" s="2"/>
      <c r="O293" s="2"/>
      <c r="P293" s="2"/>
    </row>
    <row r="294" spans="13:16" s="84" customFormat="1">
      <c r="M294" s="2"/>
      <c r="N294" s="2"/>
      <c r="O294" s="2"/>
      <c r="P294" s="2"/>
    </row>
    <row r="295" spans="13:16" s="84" customFormat="1">
      <c r="M295" s="2"/>
      <c r="N295" s="2"/>
      <c r="O295" s="2"/>
      <c r="P295" s="2"/>
    </row>
    <row r="296" spans="13:16" s="84" customFormat="1">
      <c r="M296" s="2"/>
      <c r="N296" s="2"/>
      <c r="O296" s="2"/>
      <c r="P296" s="2"/>
    </row>
    <row r="297" spans="13:16" s="84" customFormat="1">
      <c r="M297" s="2"/>
      <c r="N297" s="2"/>
      <c r="O297" s="2"/>
      <c r="P297" s="2"/>
    </row>
    <row r="298" spans="13:16" s="84" customFormat="1">
      <c r="M298" s="2"/>
      <c r="N298" s="2"/>
      <c r="O298" s="2"/>
      <c r="P298" s="2"/>
    </row>
    <row r="299" spans="13:16" s="84" customFormat="1">
      <c r="M299" s="2"/>
      <c r="N299" s="2"/>
      <c r="O299" s="2"/>
      <c r="P299" s="2"/>
    </row>
    <row r="300" spans="13:16" s="84" customFormat="1">
      <c r="M300" s="2"/>
      <c r="N300" s="2"/>
      <c r="O300" s="2"/>
      <c r="P300" s="2"/>
    </row>
    <row r="301" spans="13:16" s="84" customFormat="1">
      <c r="M301" s="2"/>
      <c r="N301" s="2"/>
      <c r="O301" s="2"/>
      <c r="P301" s="2"/>
    </row>
    <row r="302" spans="13:16" s="84" customFormat="1">
      <c r="M302" s="2"/>
      <c r="N302" s="2"/>
      <c r="O302" s="2"/>
      <c r="P302" s="2"/>
    </row>
    <row r="303" spans="13:16" s="84" customFormat="1">
      <c r="M303" s="2"/>
      <c r="N303" s="2"/>
      <c r="O303" s="2"/>
      <c r="P303" s="2"/>
    </row>
    <row r="304" spans="13:16" s="84" customFormat="1">
      <c r="M304" s="2"/>
      <c r="N304" s="2"/>
      <c r="O304" s="2"/>
      <c r="P304" s="2"/>
    </row>
    <row r="305" spans="13:16" s="84" customFormat="1">
      <c r="M305" s="2"/>
      <c r="N305" s="2"/>
      <c r="O305" s="2"/>
      <c r="P305" s="2"/>
    </row>
    <row r="306" spans="13:16" s="84" customFormat="1">
      <c r="M306" s="2"/>
      <c r="N306" s="2"/>
      <c r="O306" s="2"/>
      <c r="P306" s="2"/>
    </row>
    <row r="307" spans="13:16" s="84" customFormat="1">
      <c r="M307" s="2"/>
      <c r="N307" s="2"/>
      <c r="O307" s="2"/>
      <c r="P307" s="2"/>
    </row>
    <row r="308" spans="13:16" s="84" customFormat="1">
      <c r="M308" s="2"/>
      <c r="N308" s="2"/>
      <c r="O308" s="2"/>
      <c r="P308" s="2"/>
    </row>
    <row r="309" spans="13:16" s="84" customFormat="1">
      <c r="M309" s="2"/>
      <c r="N309" s="2"/>
      <c r="O309" s="2"/>
      <c r="P309" s="2"/>
    </row>
    <row r="310" spans="13:16" s="84" customFormat="1">
      <c r="M310" s="2"/>
      <c r="N310" s="2"/>
      <c r="O310" s="2"/>
      <c r="P310" s="2"/>
    </row>
    <row r="311" spans="13:16" s="84" customFormat="1">
      <c r="M311" s="2"/>
      <c r="N311" s="2"/>
      <c r="O311" s="2"/>
      <c r="P311" s="2"/>
    </row>
    <row r="312" spans="13:16" s="84" customFormat="1">
      <c r="M312" s="2"/>
      <c r="N312" s="2"/>
      <c r="O312" s="2"/>
      <c r="P312" s="2"/>
    </row>
    <row r="313" spans="13:16" s="84" customFormat="1">
      <c r="M313" s="2"/>
      <c r="N313" s="2"/>
      <c r="O313" s="2"/>
      <c r="P313" s="2"/>
    </row>
    <row r="314" spans="13:16" s="84" customFormat="1">
      <c r="M314" s="2"/>
      <c r="N314" s="2"/>
      <c r="O314" s="2"/>
      <c r="P314" s="2"/>
    </row>
    <row r="315" spans="13:16" s="84" customFormat="1">
      <c r="M315" s="2"/>
      <c r="N315" s="2"/>
      <c r="O315" s="2"/>
      <c r="P315" s="2"/>
    </row>
    <row r="316" spans="13:16" s="84" customFormat="1">
      <c r="M316" s="2"/>
      <c r="N316" s="2"/>
      <c r="O316" s="2"/>
      <c r="P316" s="2"/>
    </row>
    <row r="317" spans="13:16" s="84" customFormat="1">
      <c r="M317" s="2"/>
      <c r="N317" s="2"/>
      <c r="O317" s="2"/>
      <c r="P317" s="2"/>
    </row>
    <row r="318" spans="13:16" s="84" customFormat="1">
      <c r="M318" s="2"/>
      <c r="N318" s="2"/>
      <c r="O318" s="2"/>
      <c r="P318" s="2"/>
    </row>
    <row r="319" spans="13:16" s="84" customFormat="1">
      <c r="M319" s="2"/>
      <c r="N319" s="2"/>
      <c r="O319" s="2"/>
      <c r="P319" s="2"/>
    </row>
    <row r="320" spans="13:16" s="84" customFormat="1">
      <c r="M320" s="2"/>
      <c r="N320" s="2"/>
      <c r="O320" s="2"/>
      <c r="P320" s="2"/>
    </row>
    <row r="321" spans="13:16" s="84" customFormat="1">
      <c r="M321" s="2"/>
      <c r="N321" s="2"/>
      <c r="O321" s="2"/>
      <c r="P321" s="2"/>
    </row>
    <row r="322" spans="13:16" s="84" customFormat="1">
      <c r="M322" s="2"/>
      <c r="N322" s="2"/>
      <c r="O322" s="2"/>
      <c r="P322" s="2"/>
    </row>
    <row r="323" spans="13:16" s="84" customFormat="1">
      <c r="M323" s="2"/>
      <c r="N323" s="2"/>
      <c r="O323" s="2"/>
      <c r="P323" s="2"/>
    </row>
    <row r="324" spans="13:16" s="84" customFormat="1">
      <c r="M324" s="2"/>
      <c r="N324" s="2"/>
      <c r="O324" s="2"/>
      <c r="P324" s="2"/>
    </row>
    <row r="325" spans="13:16" s="84" customFormat="1">
      <c r="M325" s="2"/>
      <c r="N325" s="2"/>
      <c r="O325" s="2"/>
      <c r="P325" s="2"/>
    </row>
    <row r="326" spans="13:16" s="84" customFormat="1">
      <c r="M326" s="2"/>
      <c r="N326" s="2"/>
      <c r="O326" s="2"/>
      <c r="P326" s="2"/>
    </row>
    <row r="327" spans="13:16" s="84" customFormat="1">
      <c r="M327" s="2"/>
      <c r="N327" s="2"/>
      <c r="O327" s="2"/>
      <c r="P327" s="2"/>
    </row>
    <row r="328" spans="13:16" s="84" customFormat="1">
      <c r="M328" s="2"/>
      <c r="N328" s="2"/>
      <c r="O328" s="2"/>
      <c r="P328" s="2"/>
    </row>
    <row r="329" spans="13:16" s="84" customFormat="1">
      <c r="M329" s="2"/>
      <c r="N329" s="2"/>
      <c r="O329" s="2"/>
      <c r="P329" s="2"/>
    </row>
    <row r="330" spans="13:16" s="84" customFormat="1">
      <c r="M330" s="2"/>
      <c r="N330" s="2"/>
      <c r="O330" s="2"/>
      <c r="P330" s="2"/>
    </row>
    <row r="331" spans="13:16" s="84" customFormat="1">
      <c r="M331" s="2"/>
      <c r="N331" s="2"/>
      <c r="O331" s="2"/>
      <c r="P331" s="2"/>
    </row>
    <row r="332" spans="13:16" s="84" customFormat="1">
      <c r="M332" s="2"/>
      <c r="N332" s="2"/>
      <c r="O332" s="2"/>
      <c r="P332" s="2"/>
    </row>
    <row r="333" spans="13:16" s="84" customFormat="1">
      <c r="M333" s="2"/>
      <c r="N333" s="2"/>
      <c r="O333" s="2"/>
      <c r="P333" s="2"/>
    </row>
    <row r="334" spans="13:16" s="84" customFormat="1">
      <c r="M334" s="2"/>
      <c r="N334" s="2"/>
      <c r="O334" s="2"/>
      <c r="P334" s="2"/>
    </row>
    <row r="335" spans="13:16" s="84" customFormat="1">
      <c r="M335" s="2"/>
      <c r="N335" s="2"/>
      <c r="O335" s="2"/>
      <c r="P335" s="2"/>
    </row>
    <row r="336" spans="13:16" s="84" customFormat="1">
      <c r="M336" s="2"/>
      <c r="N336" s="2"/>
      <c r="O336" s="2"/>
      <c r="P336" s="2"/>
    </row>
    <row r="337" spans="13:16" s="84" customFormat="1">
      <c r="M337" s="2"/>
      <c r="N337" s="2"/>
      <c r="O337" s="2"/>
      <c r="P337" s="2"/>
    </row>
    <row r="338" spans="13:16" s="84" customFormat="1">
      <c r="M338" s="2"/>
      <c r="N338" s="2"/>
      <c r="O338" s="2"/>
      <c r="P338" s="2"/>
    </row>
    <row r="339" spans="13:16" s="84" customFormat="1">
      <c r="M339" s="2"/>
      <c r="N339" s="2"/>
      <c r="O339" s="2"/>
      <c r="P339" s="2"/>
    </row>
    <row r="340" spans="13:16" s="84" customFormat="1">
      <c r="M340" s="2"/>
      <c r="N340" s="2"/>
      <c r="O340" s="2"/>
      <c r="P340" s="2"/>
    </row>
    <row r="341" spans="13:16" s="84" customFormat="1">
      <c r="M341" s="2"/>
      <c r="N341" s="2"/>
      <c r="O341" s="2"/>
      <c r="P341" s="2"/>
    </row>
    <row r="342" spans="13:16" s="84" customFormat="1">
      <c r="M342" s="2"/>
      <c r="N342" s="2"/>
      <c r="O342" s="2"/>
      <c r="P342" s="2"/>
    </row>
    <row r="343" spans="13:16" s="84" customFormat="1">
      <c r="M343" s="2"/>
      <c r="N343" s="2"/>
      <c r="O343" s="2"/>
      <c r="P343" s="2"/>
    </row>
    <row r="344" spans="13:16" s="84" customFormat="1">
      <c r="M344" s="2"/>
      <c r="N344" s="2"/>
      <c r="O344" s="2"/>
      <c r="P344" s="2"/>
    </row>
    <row r="345" spans="13:16" s="84" customFormat="1">
      <c r="M345" s="2"/>
      <c r="N345" s="2"/>
      <c r="O345" s="2"/>
      <c r="P345" s="2"/>
    </row>
    <row r="346" spans="13:16" s="84" customFormat="1">
      <c r="M346" s="2"/>
      <c r="N346" s="2"/>
      <c r="O346" s="2"/>
      <c r="P346" s="2"/>
    </row>
    <row r="347" spans="13:16" s="84" customFormat="1">
      <c r="M347" s="2"/>
      <c r="N347" s="2"/>
      <c r="O347" s="2"/>
      <c r="P347" s="2"/>
    </row>
    <row r="348" spans="13:16" s="84" customFormat="1">
      <c r="M348" s="2"/>
      <c r="N348" s="2"/>
      <c r="O348" s="2"/>
      <c r="P348" s="2"/>
    </row>
    <row r="349" spans="13:16" s="84" customFormat="1">
      <c r="M349" s="2"/>
      <c r="N349" s="2"/>
      <c r="O349" s="2"/>
      <c r="P349" s="2"/>
    </row>
    <row r="350" spans="13:16" s="84" customFormat="1">
      <c r="M350" s="2"/>
      <c r="N350" s="2"/>
      <c r="O350" s="2"/>
      <c r="P350" s="2"/>
    </row>
    <row r="351" spans="13:16" s="84" customFormat="1">
      <c r="M351" s="2"/>
      <c r="N351" s="2"/>
      <c r="O351" s="2"/>
      <c r="P351" s="2"/>
    </row>
    <row r="352" spans="13:16" s="84" customFormat="1">
      <c r="M352" s="2"/>
      <c r="N352" s="2"/>
      <c r="O352" s="2"/>
      <c r="P352" s="2"/>
    </row>
    <row r="353" spans="13:16" s="84" customFormat="1">
      <c r="M353" s="2"/>
      <c r="N353" s="2"/>
      <c r="O353" s="2"/>
      <c r="P353" s="2"/>
    </row>
    <row r="354" spans="13:16" s="84" customFormat="1">
      <c r="M354" s="2"/>
      <c r="N354" s="2"/>
      <c r="O354" s="2"/>
      <c r="P354" s="2"/>
    </row>
    <row r="355" spans="13:16" s="84" customFormat="1">
      <c r="M355" s="2"/>
      <c r="N355" s="2"/>
      <c r="O355" s="2"/>
      <c r="P355" s="2"/>
    </row>
    <row r="356" spans="13:16" s="84" customFormat="1">
      <c r="M356" s="2"/>
      <c r="N356" s="2"/>
      <c r="O356" s="2"/>
      <c r="P356" s="2"/>
    </row>
    <row r="357" spans="13:16" s="84" customFormat="1">
      <c r="M357" s="2"/>
      <c r="N357" s="2"/>
      <c r="O357" s="2"/>
      <c r="P357" s="2"/>
    </row>
    <row r="358" spans="13:16" s="84" customFormat="1">
      <c r="M358" s="2"/>
      <c r="N358" s="2"/>
      <c r="O358" s="2"/>
      <c r="P358" s="2"/>
    </row>
    <row r="359" spans="13:16" s="84" customFormat="1">
      <c r="M359" s="2"/>
      <c r="N359" s="2"/>
      <c r="O359" s="2"/>
      <c r="P359" s="2"/>
    </row>
    <row r="360" spans="13:16" s="84" customFormat="1">
      <c r="M360" s="2"/>
      <c r="N360" s="2"/>
      <c r="O360" s="2"/>
      <c r="P360" s="2"/>
    </row>
    <row r="361" spans="13:16" s="84" customFormat="1">
      <c r="M361" s="2"/>
      <c r="N361" s="2"/>
      <c r="O361" s="2"/>
      <c r="P361" s="2"/>
    </row>
    <row r="362" spans="13:16" s="84" customFormat="1">
      <c r="M362" s="2"/>
      <c r="N362" s="2"/>
      <c r="O362" s="2"/>
      <c r="P362" s="2"/>
    </row>
    <row r="363" spans="13:16" s="84" customFormat="1">
      <c r="M363" s="2"/>
      <c r="N363" s="2"/>
      <c r="O363" s="2"/>
      <c r="P363" s="2"/>
    </row>
    <row r="364" spans="13:16" s="84" customFormat="1">
      <c r="M364" s="2"/>
      <c r="N364" s="2"/>
      <c r="O364" s="2"/>
      <c r="P364" s="2"/>
    </row>
    <row r="365" spans="13:16" s="84" customFormat="1">
      <c r="M365" s="2"/>
      <c r="N365" s="2"/>
      <c r="O365" s="2"/>
      <c r="P365" s="2"/>
    </row>
    <row r="366" spans="13:16" s="84" customFormat="1">
      <c r="M366" s="2"/>
      <c r="N366" s="2"/>
      <c r="O366" s="2"/>
      <c r="P366" s="2"/>
    </row>
    <row r="367" spans="13:16" s="84" customFormat="1">
      <c r="M367" s="2"/>
      <c r="N367" s="2"/>
      <c r="O367" s="2"/>
      <c r="P367" s="2"/>
    </row>
    <row r="368" spans="13:16" s="84" customFormat="1">
      <c r="M368" s="2"/>
      <c r="N368" s="2"/>
      <c r="O368" s="2"/>
      <c r="P368" s="2"/>
    </row>
    <row r="369" spans="13:16" s="84" customFormat="1">
      <c r="M369" s="2"/>
      <c r="N369" s="2"/>
      <c r="O369" s="2"/>
      <c r="P369" s="2"/>
    </row>
    <row r="370" spans="13:16" s="84" customFormat="1">
      <c r="M370" s="2"/>
      <c r="N370" s="2"/>
      <c r="O370" s="2"/>
      <c r="P370" s="2"/>
    </row>
    <row r="371" spans="13:16" s="84" customFormat="1">
      <c r="M371" s="2"/>
      <c r="N371" s="2"/>
      <c r="O371" s="2"/>
      <c r="P371" s="2"/>
    </row>
    <row r="372" spans="13:16" s="84" customFormat="1">
      <c r="M372" s="2"/>
      <c r="N372" s="2"/>
      <c r="O372" s="2"/>
      <c r="P372" s="2"/>
    </row>
    <row r="373" spans="13:16" s="84" customFormat="1">
      <c r="M373" s="2"/>
      <c r="N373" s="2"/>
      <c r="O373" s="2"/>
      <c r="P373" s="2"/>
    </row>
    <row r="374" spans="13:16" s="84" customFormat="1">
      <c r="M374" s="2"/>
      <c r="N374" s="2"/>
      <c r="O374" s="2"/>
      <c r="P374" s="2"/>
    </row>
    <row r="375" spans="13:16" s="84" customFormat="1">
      <c r="M375" s="2"/>
      <c r="N375" s="2"/>
      <c r="O375" s="2"/>
      <c r="P375" s="2"/>
    </row>
    <row r="376" spans="13:16" s="84" customFormat="1">
      <c r="M376" s="2"/>
      <c r="N376" s="2"/>
      <c r="O376" s="2"/>
      <c r="P376" s="2"/>
    </row>
    <row r="377" spans="13:16" s="84" customFormat="1">
      <c r="M377" s="2"/>
      <c r="N377" s="2"/>
      <c r="O377" s="2"/>
      <c r="P377" s="2"/>
    </row>
    <row r="378" spans="13:16" s="84" customFormat="1">
      <c r="M378" s="2"/>
      <c r="N378" s="2"/>
      <c r="O378" s="2"/>
      <c r="P378" s="2"/>
    </row>
    <row r="379" spans="13:16" s="84" customFormat="1">
      <c r="M379" s="2"/>
      <c r="N379" s="2"/>
      <c r="O379" s="2"/>
      <c r="P379" s="2"/>
    </row>
    <row r="380" spans="13:16" s="84" customFormat="1">
      <c r="M380" s="2"/>
      <c r="N380" s="2"/>
      <c r="O380" s="2"/>
      <c r="P380" s="2"/>
    </row>
    <row r="1975" spans="19:19">
      <c r="S1975" s="56" t="s">
        <v>134</v>
      </c>
    </row>
    <row r="1977" spans="19:19">
      <c r="S1977" s="2" t="s">
        <v>134</v>
      </c>
    </row>
  </sheetData>
  <mergeCells count="20">
    <mergeCell ref="A6:J6"/>
    <mergeCell ref="A23:J23"/>
    <mergeCell ref="A68:J68"/>
    <mergeCell ref="G135:H135"/>
    <mergeCell ref="G136:H136"/>
    <mergeCell ref="A83:J83"/>
    <mergeCell ref="A28:J28"/>
    <mergeCell ref="A33:J33"/>
    <mergeCell ref="A42:J42"/>
    <mergeCell ref="A48:J48"/>
    <mergeCell ref="A53:J53"/>
    <mergeCell ref="F43:G43"/>
    <mergeCell ref="C34:D34"/>
    <mergeCell ref="G137:H137"/>
    <mergeCell ref="A95:J95"/>
    <mergeCell ref="A105:J105"/>
    <mergeCell ref="A118:J118"/>
    <mergeCell ref="G121:H121"/>
    <mergeCell ref="G122:H122"/>
    <mergeCell ref="G123:H123"/>
  </mergeCells>
  <conditionalFormatting sqref="A122">
    <cfRule type="cellIs" dxfId="0" priority="1" stopIfTrue="1" operator="between">
      <formula>0</formula>
      <formula>2</formula>
    </cfRule>
  </conditionalFormatting>
  <dataValidations count="2">
    <dataValidation type="list" allowBlank="1" showInputMessage="1" showErrorMessage="1" sqref="C44">
      <formula1>$M$36:$M$38</formula1>
    </dataValidation>
    <dataValidation type="list" allowBlank="1" showInputMessage="1" showErrorMessage="1" sqref="C34">
      <formula1>$M$42:$M$121</formula1>
    </dataValidation>
  </dataValidations>
  <pageMargins left="0.7" right="0.7" top="0.75" bottom="0.75" header="0.3" footer="0.3"/>
  <pageSetup orientation="portrait" r:id="rId1"/>
  <ignoredErrors>
    <ignoredError sqref="C108" unlockedFormula="1"/>
  </ignoredErrors>
  <drawing r:id="rId2"/>
  <legacyDrawing r:id="rId3"/>
  <oleObjects>
    <mc:AlternateContent xmlns:mc="http://schemas.openxmlformats.org/markup-compatibility/2006">
      <mc:Choice Requires="x14">
        <oleObject progId="Visio.Drawing.6" shapeId="1025" r:id="rId4">
          <objectPr defaultSize="0" autoPict="0" r:id="rId5">
            <anchor moveWithCells="1">
              <from>
                <xdr:col>4</xdr:col>
                <xdr:colOff>457200</xdr:colOff>
                <xdr:row>33</xdr:row>
                <xdr:rowOff>104775</xdr:rowOff>
              </from>
              <to>
                <xdr:col>8</xdr:col>
                <xdr:colOff>276225</xdr:colOff>
                <xdr:row>40</xdr:row>
                <xdr:rowOff>123825</xdr:rowOff>
              </to>
            </anchor>
          </objectPr>
        </oleObject>
      </mc:Choice>
      <mc:Fallback>
        <oleObject progId="Visio.Drawing.6" shapeId="1025" r:id="rId4"/>
      </mc:Fallback>
    </mc:AlternateContent>
    <mc:AlternateContent xmlns:mc="http://schemas.openxmlformats.org/markup-compatibility/2006">
      <mc:Choice Requires="x14">
        <oleObject progId="Visio.Drawing.11" shapeId="1030" r:id="rId6">
          <objectPr defaultSize="0" autoPict="0" r:id="rId7">
            <anchor moveWithCells="1">
              <from>
                <xdr:col>4</xdr:col>
                <xdr:colOff>104775</xdr:colOff>
                <xdr:row>123</xdr:row>
                <xdr:rowOff>57150</xdr:rowOff>
              </from>
              <to>
                <xdr:col>10</xdr:col>
                <xdr:colOff>47625</xdr:colOff>
                <xdr:row>133</xdr:row>
                <xdr:rowOff>142875</xdr:rowOff>
              </to>
            </anchor>
          </objectPr>
        </oleObject>
      </mc:Choice>
      <mc:Fallback>
        <oleObject progId="Visio.Drawing.11" shapeId="1030" r:id="rId6"/>
      </mc:Fallback>
    </mc:AlternateContent>
  </oleObjec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'Wire Table'!$F$8:$F$76</xm:f>
          </x14:formula1>
          <xm:sqref>J71:J78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4FC29"/>
  </sheetPr>
  <dimension ref="A3:AB132"/>
  <sheetViews>
    <sheetView tabSelected="1" topLeftCell="A31" zoomScaleNormal="100" workbookViewId="0">
      <selection activeCell="P13" sqref="P13"/>
    </sheetView>
  </sheetViews>
  <sheetFormatPr defaultColWidth="11.42578125" defaultRowHeight="15"/>
  <cols>
    <col min="1" max="1" width="2.7109375" style="57" customWidth="1"/>
    <col min="2" max="2" width="4.28515625" style="57" customWidth="1"/>
    <col min="3" max="3" width="5" style="57" customWidth="1"/>
    <col min="4" max="11" width="4.28515625" style="57" customWidth="1"/>
    <col min="12" max="12" width="5" style="57" customWidth="1"/>
    <col min="13" max="13" width="4.28515625" style="57" customWidth="1"/>
    <col min="14" max="14" width="9.140625" style="118" customWidth="1"/>
    <col min="15" max="15" width="4.28515625" style="60" customWidth="1"/>
    <col min="16" max="16" width="9.140625" style="57" customWidth="1"/>
    <col min="17" max="17" width="4.28515625" style="57" customWidth="1"/>
    <col min="18" max="18" width="9.42578125" style="57" customWidth="1"/>
    <col min="19" max="19" width="7.28515625" style="57" customWidth="1"/>
    <col min="20" max="23" width="4.28515625" style="57" customWidth="1"/>
    <col min="24" max="24" width="6" style="57" customWidth="1"/>
    <col min="25" max="25" width="30.5703125" style="57" bestFit="1" customWidth="1"/>
    <col min="26" max="79" width="4.28515625" style="57" customWidth="1"/>
    <col min="80" max="16384" width="11.42578125" style="57"/>
  </cols>
  <sheetData>
    <row r="3" spans="1:28">
      <c r="A3" s="199" t="s">
        <v>337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110"/>
      <c r="S3" s="110"/>
    </row>
    <row r="5" spans="1:28">
      <c r="B5" s="58"/>
      <c r="C5" s="59" t="str">
        <f>IF(D5="", "",VLOOKUP(D5,$Y$5:$AA$16,2,FALSE))</f>
        <v/>
      </c>
      <c r="D5" s="210"/>
      <c r="E5" s="210"/>
      <c r="F5" s="210"/>
      <c r="G5" s="210"/>
      <c r="H5" s="210"/>
      <c r="I5" s="210"/>
      <c r="J5" s="210"/>
      <c r="K5" s="210"/>
      <c r="L5" s="59" t="str">
        <f>IF(D5="", "",VLOOKUP(D5,$Y$5:$AA$16,3,FALSE))</f>
        <v/>
      </c>
      <c r="M5" s="58"/>
      <c r="X5" s="57">
        <v>1</v>
      </c>
      <c r="Y5" s="61" t="str">
        <f>"E1= Copper Tape: "&amp;N122&amp;"x"&amp;0.9*N22&amp;"x1,1T"</f>
        <v>E1= Copper Tape: 0.25x11.16x1,1T</v>
      </c>
      <c r="Z5" s="61">
        <v>0</v>
      </c>
      <c r="AA5" s="61">
        <v>0</v>
      </c>
      <c r="AB5" s="2"/>
    </row>
    <row r="6" spans="1:28">
      <c r="B6" s="62"/>
      <c r="C6" s="59" t="str">
        <f t="shared" ref="C6:C16" si="0">IF(D6="", "",VLOOKUP(D6,$Y$20:$AA$31,2,FALSE))</f>
        <v/>
      </c>
      <c r="D6" s="209"/>
      <c r="E6" s="209"/>
      <c r="F6" s="209"/>
      <c r="G6" s="209"/>
      <c r="H6" s="209"/>
      <c r="I6" s="209"/>
      <c r="J6" s="209"/>
      <c r="K6" s="209"/>
      <c r="L6" s="59" t="str">
        <f t="shared" ref="L6:L16" si="1">IF(D6="", "",VLOOKUP(D6,$Y$20:$AA$31,3,FALSE))</f>
        <v/>
      </c>
      <c r="M6" s="62"/>
      <c r="P6" s="60"/>
      <c r="Q6" s="60"/>
      <c r="X6" s="57">
        <v>2</v>
      </c>
      <c r="Y6" s="61" t="str">
        <f>"E2= Copper Tape: "&amp;N123&amp;"x"&amp;0.9*N22&amp;"x1,1T"</f>
        <v>E2= Copper Tape: 0x11.16x1,1T</v>
      </c>
      <c r="Z6" s="61">
        <v>0</v>
      </c>
      <c r="AA6" s="61">
        <v>0</v>
      </c>
      <c r="AB6" s="2"/>
    </row>
    <row r="7" spans="1:28">
      <c r="B7" s="62"/>
      <c r="C7" s="59" t="str">
        <f t="shared" si="0"/>
        <v/>
      </c>
      <c r="D7" s="209"/>
      <c r="E7" s="209"/>
      <c r="F7" s="209"/>
      <c r="G7" s="209"/>
      <c r="H7" s="209"/>
      <c r="I7" s="209"/>
      <c r="J7" s="209"/>
      <c r="K7" s="209"/>
      <c r="L7" s="59" t="str">
        <f t="shared" si="1"/>
        <v/>
      </c>
      <c r="M7" s="62"/>
      <c r="X7" s="57">
        <v>3</v>
      </c>
      <c r="Y7" s="61" t="str">
        <f>"N1= "&amp; N56&amp;" Turns, "&amp;ROUNDUP(N61,0)&amp;"Layers"</f>
        <v>N1= 12 Turns, 1Layers</v>
      </c>
      <c r="Z7" s="63">
        <f>N57</f>
        <v>0</v>
      </c>
      <c r="AA7" s="63">
        <f>N58</f>
        <v>0</v>
      </c>
    </row>
    <row r="8" spans="1:28">
      <c r="B8" s="62"/>
      <c r="C8" s="59" t="str">
        <f t="shared" si="0"/>
        <v/>
      </c>
      <c r="D8" s="209"/>
      <c r="E8" s="209"/>
      <c r="F8" s="209"/>
      <c r="G8" s="209"/>
      <c r="H8" s="209"/>
      <c r="I8" s="209"/>
      <c r="J8" s="209"/>
      <c r="K8" s="209"/>
      <c r="L8" s="59" t="str">
        <f t="shared" si="1"/>
        <v/>
      </c>
      <c r="M8" s="62"/>
      <c r="O8" s="65"/>
      <c r="Q8" s="65"/>
      <c r="X8" s="57">
        <v>4</v>
      </c>
      <c r="Y8" s="61" t="str">
        <f>"N2= "&amp; N67&amp;" Turns, "&amp;ROUNDUP(N72,0)&amp;"Layers"</f>
        <v>N2= 0 Turns, 0Layers</v>
      </c>
      <c r="Z8" s="63">
        <f>N68</f>
        <v>2</v>
      </c>
      <c r="AA8" s="63">
        <f>N69</f>
        <v>2</v>
      </c>
      <c r="AB8" s="2"/>
    </row>
    <row r="9" spans="1:28">
      <c r="B9" s="62"/>
      <c r="C9" s="59" t="str">
        <f t="shared" si="0"/>
        <v/>
      </c>
      <c r="D9" s="209"/>
      <c r="E9" s="209"/>
      <c r="F9" s="209"/>
      <c r="G9" s="209"/>
      <c r="H9" s="209"/>
      <c r="I9" s="209"/>
      <c r="J9" s="209"/>
      <c r="K9" s="209"/>
      <c r="L9" s="59" t="str">
        <f t="shared" si="1"/>
        <v/>
      </c>
      <c r="M9" s="62"/>
      <c r="X9" s="57">
        <v>5</v>
      </c>
      <c r="Y9" s="61" t="str">
        <f>"N3= "&amp; N78&amp;" Turns, "&amp;ROUNDUP(N83,0)&amp;"Layers"</f>
        <v>N3= 0 Turns, 0Layers</v>
      </c>
      <c r="Z9" s="63">
        <f>N79</f>
        <v>3</v>
      </c>
      <c r="AA9" s="63">
        <f>N80</f>
        <v>3</v>
      </c>
      <c r="AB9" s="2"/>
    </row>
    <row r="10" spans="1:28">
      <c r="B10" s="62"/>
      <c r="C10" s="59" t="str">
        <f t="shared" si="0"/>
        <v/>
      </c>
      <c r="D10" s="209"/>
      <c r="E10" s="209"/>
      <c r="F10" s="209"/>
      <c r="G10" s="209"/>
      <c r="H10" s="209"/>
      <c r="I10" s="209"/>
      <c r="J10" s="209"/>
      <c r="K10" s="209"/>
      <c r="L10" s="59" t="str">
        <f t="shared" si="1"/>
        <v/>
      </c>
      <c r="M10" s="62"/>
      <c r="X10" s="57">
        <v>6</v>
      </c>
      <c r="Y10" s="61" t="str">
        <f>"N4= "&amp; N89&amp;" Turns, "&amp;ROUNDUP(N94,0)&amp;"Layers"</f>
        <v>N4= 0 Turns, 0Layers</v>
      </c>
      <c r="Z10" s="63">
        <f>N90</f>
        <v>3</v>
      </c>
      <c r="AA10" s="63">
        <f>N91</f>
        <v>3</v>
      </c>
      <c r="AB10" s="2"/>
    </row>
    <row r="11" spans="1:28">
      <c r="B11" s="62"/>
      <c r="C11" s="59" t="str">
        <f t="shared" si="0"/>
        <v/>
      </c>
      <c r="D11" s="209"/>
      <c r="E11" s="209"/>
      <c r="F11" s="209"/>
      <c r="G11" s="209"/>
      <c r="H11" s="209"/>
      <c r="I11" s="209"/>
      <c r="J11" s="209"/>
      <c r="K11" s="209"/>
      <c r="L11" s="59" t="str">
        <f t="shared" si="1"/>
        <v/>
      </c>
      <c r="M11" s="62"/>
      <c r="X11" s="57">
        <v>7</v>
      </c>
      <c r="Y11" s="61" t="str">
        <f>"N5= "&amp; N100&amp;" Turns, "&amp;ROUNDUP(N105,0)&amp;"Layers"</f>
        <v>N5= 0 Turns, 0Layers</v>
      </c>
      <c r="Z11" s="63">
        <f>N101</f>
        <v>3</v>
      </c>
      <c r="AA11" s="63">
        <f>N102</f>
        <v>3</v>
      </c>
      <c r="AB11" s="2"/>
    </row>
    <row r="12" spans="1:28">
      <c r="B12" s="62"/>
      <c r="C12" s="59" t="str">
        <f t="shared" si="0"/>
        <v/>
      </c>
      <c r="D12" s="209"/>
      <c r="E12" s="209"/>
      <c r="F12" s="209"/>
      <c r="G12" s="209"/>
      <c r="H12" s="209"/>
      <c r="I12" s="209"/>
      <c r="J12" s="209"/>
      <c r="K12" s="209"/>
      <c r="L12" s="59" t="str">
        <f t="shared" si="1"/>
        <v/>
      </c>
      <c r="M12" s="62"/>
      <c r="X12" s="57">
        <v>8</v>
      </c>
      <c r="Y12" s="61" t="str">
        <f>"N6= "&amp; N111&amp;" Turns, "&amp;ROUNDUP(N116,0)&amp;"Layers"</f>
        <v>N6= 0 Turns, 0Layers</v>
      </c>
      <c r="Z12" s="63">
        <f>N112</f>
        <v>3</v>
      </c>
      <c r="AA12" s="63">
        <f>N113</f>
        <v>3</v>
      </c>
      <c r="AB12" s="2"/>
    </row>
    <row r="13" spans="1:28">
      <c r="B13" s="62"/>
      <c r="C13" s="59">
        <f t="shared" si="0"/>
        <v>0</v>
      </c>
      <c r="D13" s="209" t="s">
        <v>574</v>
      </c>
      <c r="E13" s="209"/>
      <c r="F13" s="209"/>
      <c r="G13" s="209"/>
      <c r="H13" s="209"/>
      <c r="I13" s="209"/>
      <c r="J13" s="209"/>
      <c r="K13" s="209"/>
      <c r="L13" s="59">
        <f t="shared" si="1"/>
        <v>0</v>
      </c>
      <c r="M13" s="62"/>
      <c r="X13" s="57">
        <v>9</v>
      </c>
      <c r="Y13" s="61" t="str">
        <f>"Na= "&amp; N45&amp;" Turns, "&amp;ROUNDUP(N50,0)&amp;"Layers"</f>
        <v>Na= 15 Turns, 1Layers</v>
      </c>
      <c r="Z13" s="63">
        <f>N46</f>
        <v>0</v>
      </c>
      <c r="AA13" s="63">
        <f>N47</f>
        <v>0</v>
      </c>
      <c r="AB13" s="2"/>
    </row>
    <row r="14" spans="1:28">
      <c r="B14" s="62"/>
      <c r="C14" s="59">
        <f t="shared" si="0"/>
        <v>0</v>
      </c>
      <c r="D14" s="209" t="s">
        <v>571</v>
      </c>
      <c r="E14" s="209"/>
      <c r="F14" s="209"/>
      <c r="G14" s="209"/>
      <c r="H14" s="209"/>
      <c r="I14" s="209"/>
      <c r="J14" s="209"/>
      <c r="K14" s="209"/>
      <c r="L14" s="59">
        <f t="shared" si="1"/>
        <v>0</v>
      </c>
      <c r="M14" s="62"/>
      <c r="X14" s="57">
        <v>10</v>
      </c>
      <c r="Y14" s="61" t="str">
        <f>"Np= "&amp; N28&amp;" Turns, "&amp;ROUNDUP(N39,0)&amp;"Layers"</f>
        <v>Np= 116 Turns, 3Layers</v>
      </c>
      <c r="Z14" s="63">
        <f>X18</f>
        <v>0</v>
      </c>
      <c r="AA14" s="63">
        <f>X19</f>
        <v>0</v>
      </c>
      <c r="AB14" s="2"/>
    </row>
    <row r="15" spans="1:28">
      <c r="B15" s="62"/>
      <c r="C15" s="59">
        <f t="shared" si="0"/>
        <v>0</v>
      </c>
      <c r="D15" s="209" t="s">
        <v>573</v>
      </c>
      <c r="E15" s="209"/>
      <c r="F15" s="209"/>
      <c r="G15" s="209"/>
      <c r="H15" s="209"/>
      <c r="I15" s="209"/>
      <c r="J15" s="209"/>
      <c r="K15" s="209"/>
      <c r="L15" s="59">
        <f t="shared" si="1"/>
        <v>0</v>
      </c>
      <c r="M15" s="62"/>
      <c r="X15" s="57">
        <v>11</v>
      </c>
      <c r="Y15" s="61" t="str">
        <f>"Np1= "&amp; N29&amp;" Turns, "&amp;ROUNDUP(N37,0)&amp;"Layers"</f>
        <v>Np1= 116 Turns, 3Layers</v>
      </c>
      <c r="Z15" s="63">
        <f>N31</f>
        <v>0</v>
      </c>
      <c r="AA15" s="63">
        <f>N32</f>
        <v>0</v>
      </c>
      <c r="AB15" s="2"/>
    </row>
    <row r="16" spans="1:28">
      <c r="B16" s="62"/>
      <c r="C16" s="59">
        <f t="shared" si="0"/>
        <v>0</v>
      </c>
      <c r="D16" s="209" t="s">
        <v>572</v>
      </c>
      <c r="E16" s="209"/>
      <c r="F16" s="209"/>
      <c r="G16" s="209"/>
      <c r="H16" s="209"/>
      <c r="I16" s="209"/>
      <c r="J16" s="209"/>
      <c r="K16" s="209"/>
      <c r="L16" s="59">
        <f t="shared" si="1"/>
        <v>0</v>
      </c>
      <c r="M16" s="62"/>
      <c r="X16" s="57">
        <v>12</v>
      </c>
      <c r="Y16" s="61" t="str">
        <f>"Np2= "&amp; N30&amp;" Turns, "&amp;ROUNDUP(N38,0)&amp;"Layers"</f>
        <v>Np2= 0 Turns, 0Layers</v>
      </c>
      <c r="Z16" s="63">
        <f>N33</f>
        <v>0</v>
      </c>
      <c r="AA16" s="63">
        <f>N34</f>
        <v>0</v>
      </c>
      <c r="AB16" s="2"/>
    </row>
    <row r="17" spans="1:28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X17" s="64"/>
      <c r="Y17" s="61"/>
      <c r="Z17" s="66"/>
      <c r="AA17" s="66"/>
      <c r="AB17" s="2"/>
    </row>
    <row r="18" spans="1:28">
      <c r="X18" s="67">
        <f>N31</f>
        <v>0</v>
      </c>
      <c r="Y18" s="61"/>
      <c r="Z18" s="66"/>
      <c r="AA18" s="66"/>
      <c r="AB18" s="2"/>
    </row>
    <row r="19" spans="1:28">
      <c r="X19" s="67">
        <f>N32</f>
        <v>0</v>
      </c>
      <c r="Y19" s="61"/>
      <c r="Z19" s="66"/>
      <c r="AA19" s="66"/>
      <c r="AB19" s="2"/>
    </row>
    <row r="20" spans="1:28">
      <c r="A20" s="207" t="s">
        <v>338</v>
      </c>
      <c r="B20" s="207"/>
      <c r="C20" s="207"/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110"/>
      <c r="S20" s="110"/>
      <c r="Y20" s="61" t="str">
        <f>Y5</f>
        <v>E1= Copper Tape: 0.25x11.16x1,1T</v>
      </c>
      <c r="Z20" s="61">
        <f t="shared" ref="Z20:AA20" si="2">Z5</f>
        <v>0</v>
      </c>
      <c r="AA20" s="61">
        <f t="shared" si="2"/>
        <v>0</v>
      </c>
      <c r="AB20" s="2"/>
    </row>
    <row r="21" spans="1:28">
      <c r="Y21" s="61" t="str">
        <f t="shared" ref="Y21:AA31" si="3">Y6</f>
        <v>E2= Copper Tape: 0x11.16x1,1T</v>
      </c>
      <c r="Z21" s="61">
        <f t="shared" si="3"/>
        <v>0</v>
      </c>
      <c r="AA21" s="61">
        <f t="shared" si="3"/>
        <v>0</v>
      </c>
      <c r="AB21" s="2"/>
    </row>
    <row r="22" spans="1:28">
      <c r="B22" s="205" t="s">
        <v>135</v>
      </c>
      <c r="C22" s="205"/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148">
        <v>12.4</v>
      </c>
      <c r="O22" s="60" t="s">
        <v>58</v>
      </c>
      <c r="Y22" s="61" t="str">
        <f t="shared" si="3"/>
        <v>N1= 12 Turns, 1Layers</v>
      </c>
      <c r="Z22" s="61">
        <f t="shared" si="3"/>
        <v>0</v>
      </c>
      <c r="AA22" s="61">
        <f t="shared" si="3"/>
        <v>0</v>
      </c>
      <c r="AB22" s="2"/>
    </row>
    <row r="23" spans="1:28">
      <c r="B23" s="205" t="s">
        <v>136</v>
      </c>
      <c r="C23" s="205"/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148">
        <v>3.1</v>
      </c>
      <c r="O23" s="60" t="s">
        <v>58</v>
      </c>
      <c r="Y23" s="61" t="str">
        <f t="shared" si="3"/>
        <v>N2= 0 Turns, 0Layers</v>
      </c>
      <c r="Z23" s="61">
        <f t="shared" si="3"/>
        <v>2</v>
      </c>
      <c r="AA23" s="61">
        <f t="shared" si="3"/>
        <v>2</v>
      </c>
      <c r="AB23" s="2"/>
    </row>
    <row r="24" spans="1:28">
      <c r="B24" s="205" t="s">
        <v>137</v>
      </c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149">
        <v>2.5000000000000001E-2</v>
      </c>
      <c r="O24" s="60" t="s">
        <v>58</v>
      </c>
      <c r="Y24" s="61" t="str">
        <f t="shared" si="3"/>
        <v>N3= 0 Turns, 0Layers</v>
      </c>
      <c r="Z24" s="61">
        <f t="shared" si="3"/>
        <v>3</v>
      </c>
      <c r="AA24" s="61">
        <f t="shared" si="3"/>
        <v>3</v>
      </c>
      <c r="AB24" s="2"/>
    </row>
    <row r="25" spans="1:28">
      <c r="Y25" s="61" t="str">
        <f t="shared" si="3"/>
        <v>N4= 0 Turns, 0Layers</v>
      </c>
      <c r="Z25" s="61">
        <f t="shared" si="3"/>
        <v>3</v>
      </c>
      <c r="AA25" s="61">
        <f t="shared" si="3"/>
        <v>3</v>
      </c>
      <c r="AB25" s="2"/>
    </row>
    <row r="26" spans="1:28">
      <c r="A26" s="207" t="s">
        <v>339</v>
      </c>
      <c r="B26" s="207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110"/>
      <c r="S26" s="110"/>
      <c r="Y26" s="61" t="str">
        <f t="shared" si="3"/>
        <v>N5= 0 Turns, 0Layers</v>
      </c>
      <c r="Z26" s="61">
        <f t="shared" si="3"/>
        <v>3</v>
      </c>
      <c r="AA26" s="61">
        <f t="shared" si="3"/>
        <v>3</v>
      </c>
      <c r="AB26" s="2"/>
    </row>
    <row r="27" spans="1:28">
      <c r="Y27" s="61" t="str">
        <f t="shared" si="3"/>
        <v>N6= 0 Turns, 0Layers</v>
      </c>
      <c r="Z27" s="61">
        <f t="shared" si="3"/>
        <v>3</v>
      </c>
      <c r="AA27" s="61">
        <f t="shared" si="3"/>
        <v>3</v>
      </c>
      <c r="AB27" s="2"/>
    </row>
    <row r="28" spans="1:28">
      <c r="B28" s="206" t="s">
        <v>138</v>
      </c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121">
        <f>ROUND(Np,0)</f>
        <v>116</v>
      </c>
      <c r="O28" s="165" t="s">
        <v>139</v>
      </c>
      <c r="T28" s="64"/>
      <c r="U28" s="65"/>
      <c r="Y28" s="61" t="str">
        <f t="shared" si="3"/>
        <v>Na= 15 Turns, 1Layers</v>
      </c>
      <c r="Z28" s="61">
        <f t="shared" si="3"/>
        <v>0</v>
      </c>
      <c r="AA28" s="61">
        <f t="shared" si="3"/>
        <v>0</v>
      </c>
      <c r="AB28" s="2"/>
    </row>
    <row r="29" spans="1:28">
      <c r="B29" s="206" t="s">
        <v>140</v>
      </c>
      <c r="C29" s="206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147">
        <v>116</v>
      </c>
      <c r="O29" s="60" t="s">
        <v>139</v>
      </c>
      <c r="T29" s="64"/>
      <c r="U29" s="65"/>
      <c r="Y29" s="61" t="str">
        <f t="shared" si="3"/>
        <v>Np= 116 Turns, 3Layers</v>
      </c>
      <c r="Z29" s="61">
        <f t="shared" si="3"/>
        <v>0</v>
      </c>
      <c r="AA29" s="61">
        <f t="shared" si="3"/>
        <v>0</v>
      </c>
      <c r="AB29" s="2"/>
    </row>
    <row r="30" spans="1:28">
      <c r="B30" s="206" t="s">
        <v>141</v>
      </c>
      <c r="C30" s="206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121">
        <f>N28-N29</f>
        <v>0</v>
      </c>
      <c r="O30" s="165" t="s">
        <v>139</v>
      </c>
      <c r="T30" s="64"/>
      <c r="U30" s="65"/>
      <c r="Y30" s="61" t="str">
        <f t="shared" si="3"/>
        <v>Np1= 116 Turns, 3Layers</v>
      </c>
      <c r="Z30" s="61">
        <f t="shared" si="3"/>
        <v>0</v>
      </c>
      <c r="AA30" s="61">
        <f t="shared" si="3"/>
        <v>0</v>
      </c>
      <c r="AB30" s="2"/>
    </row>
    <row r="31" spans="1:28">
      <c r="B31" s="205" t="s">
        <v>142</v>
      </c>
      <c r="C31" s="205"/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146">
        <v>0</v>
      </c>
      <c r="O31" s="60" t="s">
        <v>58</v>
      </c>
      <c r="T31" s="64"/>
      <c r="U31" s="65"/>
      <c r="Y31" s="61" t="str">
        <f t="shared" si="3"/>
        <v>Np2= 0 Turns, 0Layers</v>
      </c>
      <c r="Z31" s="61">
        <f t="shared" si="3"/>
        <v>0</v>
      </c>
      <c r="AA31" s="61">
        <f t="shared" si="3"/>
        <v>0</v>
      </c>
      <c r="AB31" s="2"/>
    </row>
    <row r="32" spans="1:28">
      <c r="B32" s="205" t="s">
        <v>143</v>
      </c>
      <c r="C32" s="205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146">
        <v>0</v>
      </c>
      <c r="O32" s="60" t="s">
        <v>58</v>
      </c>
      <c r="S32" s="61"/>
      <c r="T32" s="64"/>
      <c r="U32" s="65"/>
    </row>
    <row r="33" spans="1:22">
      <c r="B33" s="205" t="s">
        <v>144</v>
      </c>
      <c r="C33" s="205"/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146">
        <v>0</v>
      </c>
      <c r="O33" s="60" t="s">
        <v>58</v>
      </c>
      <c r="S33" s="61"/>
      <c r="T33" s="64"/>
      <c r="U33" s="65"/>
    </row>
    <row r="34" spans="1:22">
      <c r="B34" s="205" t="s">
        <v>145</v>
      </c>
      <c r="C34" s="20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146">
        <v>0</v>
      </c>
      <c r="O34" s="60" t="s">
        <v>58</v>
      </c>
      <c r="S34" s="61"/>
      <c r="T34" s="64"/>
      <c r="U34" s="65"/>
    </row>
    <row r="35" spans="1:22">
      <c r="B35" s="206" t="s">
        <v>538</v>
      </c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171" t="str">
        <f>IF(Flyback!J71="","None",Flyback!J71)</f>
        <v>AWG 30</v>
      </c>
      <c r="O35" s="165"/>
      <c r="S35" s="156"/>
      <c r="T35" s="64"/>
      <c r="U35" s="157"/>
    </row>
    <row r="36" spans="1:22">
      <c r="B36" s="206" t="s">
        <v>539</v>
      </c>
      <c r="C36" s="206"/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172">
        <f>IF(N35="None", "0",VLOOKUP(N35,'Wire Table'!F8:P76,4,FALSE))</f>
        <v>0.28400000000000003</v>
      </c>
      <c r="O36" s="165" t="s">
        <v>58</v>
      </c>
      <c r="S36" s="156"/>
      <c r="T36" s="64"/>
      <c r="U36" s="157"/>
    </row>
    <row r="37" spans="1:22">
      <c r="B37" s="206" t="s">
        <v>146</v>
      </c>
      <c r="C37" s="206"/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122">
        <f>N29*(N36*Flyback!E71)/($N$22-N31-N32)</f>
        <v>2.6567741935483871</v>
      </c>
      <c r="O37" s="165" t="s">
        <v>149</v>
      </c>
      <c r="S37" s="61"/>
      <c r="T37" s="64"/>
      <c r="U37" s="65"/>
    </row>
    <row r="38" spans="1:22">
      <c r="B38" s="206" t="s">
        <v>147</v>
      </c>
      <c r="C38" s="206"/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122">
        <f>N30*(N36*Flyback!E71)/($N$22-N33-N34)</f>
        <v>0</v>
      </c>
      <c r="O38" s="165" t="s">
        <v>149</v>
      </c>
      <c r="S38" s="61"/>
      <c r="T38" s="64"/>
    </row>
    <row r="39" spans="1:22">
      <c r="B39" s="206" t="s">
        <v>148</v>
      </c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122">
        <f>N28*(N36*Flyback!E71)/($N$22-N31-N32)</f>
        <v>2.6567741935483871</v>
      </c>
      <c r="O39" s="165" t="s">
        <v>149</v>
      </c>
      <c r="S39" s="61"/>
      <c r="U39" s="173"/>
    </row>
    <row r="40" spans="1:22">
      <c r="B40" s="206" t="s">
        <v>150</v>
      </c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122">
        <f>ROUNDUP(N39,0)*N36</f>
        <v>0.85200000000000009</v>
      </c>
      <c r="O40" s="165" t="s">
        <v>58</v>
      </c>
      <c r="S40" s="61"/>
    </row>
    <row r="41" spans="1:22">
      <c r="B41" s="205" t="s">
        <v>151</v>
      </c>
      <c r="C41" s="205"/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145">
        <v>3</v>
      </c>
      <c r="O41" s="60" t="s">
        <v>139</v>
      </c>
      <c r="S41" s="61"/>
    </row>
    <row r="42" spans="1:22">
      <c r="S42" s="61"/>
      <c r="T42" s="64"/>
      <c r="U42" s="208"/>
      <c r="V42" s="208"/>
    </row>
    <row r="43" spans="1:22">
      <c r="A43" s="207" t="s">
        <v>340</v>
      </c>
      <c r="B43" s="207"/>
      <c r="C43" s="207"/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110"/>
      <c r="S43" s="143"/>
    </row>
    <row r="44" spans="1:22">
      <c r="S44" s="61"/>
    </row>
    <row r="45" spans="1:22">
      <c r="B45" s="206" t="s">
        <v>152</v>
      </c>
      <c r="C45" s="206"/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121">
        <f>ROUND(_Nc,0)</f>
        <v>15</v>
      </c>
      <c r="O45" s="165" t="s">
        <v>139</v>
      </c>
      <c r="S45" s="61"/>
    </row>
    <row r="46" spans="1:22">
      <c r="B46" s="205" t="s">
        <v>153</v>
      </c>
      <c r="C46" s="205"/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146">
        <v>0</v>
      </c>
      <c r="O46" s="60" t="s">
        <v>58</v>
      </c>
      <c r="S46" s="61"/>
    </row>
    <row r="47" spans="1:22">
      <c r="B47" s="205" t="s">
        <v>154</v>
      </c>
      <c r="C47" s="205"/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146">
        <v>0</v>
      </c>
      <c r="O47" s="60" t="s">
        <v>58</v>
      </c>
      <c r="S47" s="61"/>
    </row>
    <row r="48" spans="1:22">
      <c r="B48" s="206" t="s">
        <v>538</v>
      </c>
      <c r="C48" s="206"/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171" t="str">
        <f>IF(Flyback!J72="","None",Flyback!J72)</f>
        <v>AWG 35</v>
      </c>
      <c r="O48" s="165"/>
      <c r="S48" s="158"/>
    </row>
    <row r="49" spans="1:19">
      <c r="B49" s="206" t="s">
        <v>539</v>
      </c>
      <c r="C49" s="206"/>
      <c r="D49" s="206"/>
      <c r="E49" s="206"/>
      <c r="F49" s="206"/>
      <c r="G49" s="206"/>
      <c r="H49" s="206"/>
      <c r="I49" s="206"/>
      <c r="J49" s="206"/>
      <c r="K49" s="206"/>
      <c r="L49" s="206"/>
      <c r="M49" s="206"/>
      <c r="N49" s="122">
        <f>IF(N48="None", "0", VLOOKUP(N48,'Wire Table'!F8:P76,4,FALSE))</f>
        <v>0.17224</v>
      </c>
      <c r="O49" s="165" t="s">
        <v>58</v>
      </c>
      <c r="S49" s="158"/>
    </row>
    <row r="50" spans="1:19">
      <c r="B50" s="206" t="s">
        <v>155</v>
      </c>
      <c r="C50" s="206"/>
      <c r="D50" s="206"/>
      <c r="E50" s="206"/>
      <c r="F50" s="206"/>
      <c r="G50" s="206"/>
      <c r="H50" s="206"/>
      <c r="I50" s="206"/>
      <c r="J50" s="206"/>
      <c r="K50" s="206"/>
      <c r="L50" s="206"/>
      <c r="M50" s="206"/>
      <c r="N50" s="122">
        <f>N45*(N49*Flyback!E72)/($N$22-N46-N47)</f>
        <v>0.41670967741935483</v>
      </c>
      <c r="O50" s="165" t="s">
        <v>149</v>
      </c>
      <c r="S50" s="61"/>
    </row>
    <row r="51" spans="1:19">
      <c r="B51" s="206" t="s">
        <v>156</v>
      </c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122">
        <f>ROUNDUP(N50,0)*N49</f>
        <v>0.17224</v>
      </c>
      <c r="O51" s="165" t="s">
        <v>58</v>
      </c>
      <c r="S51" s="61"/>
    </row>
    <row r="52" spans="1:19">
      <c r="B52" s="205" t="s">
        <v>157</v>
      </c>
      <c r="C52" s="205"/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145">
        <v>2</v>
      </c>
      <c r="O52" s="60" t="s">
        <v>139</v>
      </c>
      <c r="S52" s="61"/>
    </row>
    <row r="53" spans="1:19">
      <c r="S53" s="61"/>
    </row>
    <row r="54" spans="1:19">
      <c r="A54" s="207" t="s">
        <v>341</v>
      </c>
      <c r="B54" s="207"/>
      <c r="C54" s="207"/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  <c r="O54" s="207"/>
      <c r="P54" s="207"/>
      <c r="Q54" s="207"/>
      <c r="R54" s="110"/>
      <c r="S54" s="143"/>
    </row>
    <row r="55" spans="1:19">
      <c r="S55" s="61"/>
    </row>
    <row r="56" spans="1:19">
      <c r="B56" s="206" t="s">
        <v>158</v>
      </c>
      <c r="C56" s="206"/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121">
        <f>ROUND(_Ns1,0)</f>
        <v>12</v>
      </c>
      <c r="O56" s="165" t="s">
        <v>139</v>
      </c>
      <c r="S56" s="61"/>
    </row>
    <row r="57" spans="1:19">
      <c r="B57" s="205" t="s">
        <v>159</v>
      </c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146">
        <v>0</v>
      </c>
      <c r="O57" s="60" t="s">
        <v>58</v>
      </c>
      <c r="S57" s="61"/>
    </row>
    <row r="58" spans="1:19">
      <c r="B58" s="205" t="s">
        <v>160</v>
      </c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146">
        <v>0</v>
      </c>
      <c r="O58" s="60" t="s">
        <v>58</v>
      </c>
      <c r="S58" s="61"/>
    </row>
    <row r="59" spans="1:19">
      <c r="B59" s="206" t="s">
        <v>538</v>
      </c>
      <c r="C59" s="206"/>
      <c r="D59" s="206"/>
      <c r="E59" s="206"/>
      <c r="F59" s="206"/>
      <c r="G59" s="206"/>
      <c r="H59" s="206"/>
      <c r="I59" s="206"/>
      <c r="J59" s="206"/>
      <c r="K59" s="206"/>
      <c r="L59" s="206"/>
      <c r="M59" s="206"/>
      <c r="N59" s="171" t="str">
        <f>IF(Flyback!J73="","None",Flyback!J73)</f>
        <v>TEX0.65</v>
      </c>
      <c r="O59" s="165"/>
      <c r="S59" s="158"/>
    </row>
    <row r="60" spans="1:19">
      <c r="B60" s="206" t="s">
        <v>539</v>
      </c>
      <c r="C60" s="206"/>
      <c r="D60" s="206"/>
      <c r="E60" s="206"/>
      <c r="F60" s="206"/>
      <c r="G60" s="206"/>
      <c r="H60" s="206"/>
      <c r="I60" s="206"/>
      <c r="J60" s="206"/>
      <c r="K60" s="206"/>
      <c r="L60" s="206"/>
      <c r="M60" s="206"/>
      <c r="N60" s="172">
        <f>IF(N59="None", "0", VLOOKUP(N59,'Wire Table'!F8:P76,4,FALSE))</f>
        <v>0.85</v>
      </c>
      <c r="O60" s="165" t="s">
        <v>58</v>
      </c>
      <c r="S60" s="158"/>
    </row>
    <row r="61" spans="1:19">
      <c r="B61" s="206" t="s">
        <v>161</v>
      </c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122">
        <f>N56*(N60*Flyback!E73)/($N$22-N57-N58)</f>
        <v>0.82258064516129026</v>
      </c>
      <c r="O61" s="165" t="s">
        <v>149</v>
      </c>
      <c r="S61" s="61"/>
    </row>
    <row r="62" spans="1:19">
      <c r="B62" s="206" t="s">
        <v>162</v>
      </c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122">
        <f>ROUNDUP(N61,0)*N60</f>
        <v>0.85</v>
      </c>
      <c r="O62" s="165" t="s">
        <v>58</v>
      </c>
      <c r="S62" s="61"/>
    </row>
    <row r="63" spans="1:19">
      <c r="B63" s="205" t="s">
        <v>163</v>
      </c>
      <c r="C63" s="205"/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145">
        <v>2</v>
      </c>
      <c r="O63" s="60" t="s">
        <v>139</v>
      </c>
      <c r="S63" s="61"/>
    </row>
    <row r="64" spans="1:19">
      <c r="S64" s="61"/>
    </row>
    <row r="65" spans="1:19">
      <c r="A65" s="207" t="s">
        <v>342</v>
      </c>
      <c r="B65" s="207"/>
      <c r="C65" s="207"/>
      <c r="D65" s="207"/>
      <c r="E65" s="207"/>
      <c r="F65" s="207"/>
      <c r="G65" s="207"/>
      <c r="H65" s="207"/>
      <c r="I65" s="207"/>
      <c r="J65" s="207"/>
      <c r="K65" s="207"/>
      <c r="L65" s="207"/>
      <c r="M65" s="207"/>
      <c r="N65" s="207"/>
      <c r="O65" s="207"/>
      <c r="P65" s="207"/>
      <c r="Q65" s="207"/>
      <c r="S65" s="61"/>
    </row>
    <row r="66" spans="1:19">
      <c r="S66" s="61"/>
    </row>
    <row r="67" spans="1:19">
      <c r="B67" s="206" t="s">
        <v>164</v>
      </c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121">
        <f>ROUND(_Ns2,0)</f>
        <v>0</v>
      </c>
      <c r="O67" s="165" t="s">
        <v>139</v>
      </c>
      <c r="S67" s="61"/>
    </row>
    <row r="68" spans="1:19">
      <c r="B68" s="205" t="s">
        <v>165</v>
      </c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146">
        <v>2</v>
      </c>
      <c r="O68" s="60" t="s">
        <v>58</v>
      </c>
      <c r="S68" s="61"/>
    </row>
    <row r="69" spans="1:19">
      <c r="B69" s="205" t="s">
        <v>166</v>
      </c>
      <c r="C69" s="205"/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146">
        <v>2</v>
      </c>
      <c r="O69" s="60" t="s">
        <v>58</v>
      </c>
      <c r="S69" s="61"/>
    </row>
    <row r="70" spans="1:19">
      <c r="B70" s="206" t="s">
        <v>538</v>
      </c>
      <c r="C70" s="206"/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171" t="str">
        <f>IF(Flyback!J74="","None",Flyback!J74)</f>
        <v>None</v>
      </c>
      <c r="O70" s="165"/>
      <c r="S70" s="158"/>
    </row>
    <row r="71" spans="1:19">
      <c r="B71" s="206" t="s">
        <v>539</v>
      </c>
      <c r="C71" s="206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172" t="str">
        <f>IF(N70="None","0",VLOOKUP(N70,'Wire Table'!F8:P76,4,FALSE))</f>
        <v>0</v>
      </c>
      <c r="O71" s="165" t="s">
        <v>58</v>
      </c>
      <c r="S71" s="158"/>
    </row>
    <row r="72" spans="1:19">
      <c r="B72" s="206" t="s">
        <v>167</v>
      </c>
      <c r="C72" s="206"/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122">
        <f>N67*(N71*Flyback!E74)/($N$22-N68-N69)</f>
        <v>0</v>
      </c>
      <c r="O72" s="165" t="s">
        <v>149</v>
      </c>
      <c r="S72" s="61"/>
    </row>
    <row r="73" spans="1:19">
      <c r="B73" s="206" t="s">
        <v>168</v>
      </c>
      <c r="C73" s="206"/>
      <c r="D73" s="206"/>
      <c r="E73" s="206"/>
      <c r="F73" s="206"/>
      <c r="G73" s="206"/>
      <c r="H73" s="206"/>
      <c r="I73" s="206"/>
      <c r="J73" s="206"/>
      <c r="K73" s="206"/>
      <c r="L73" s="206"/>
      <c r="M73" s="206"/>
      <c r="N73" s="122">
        <f>ROUNDUP(N72,0)*N71</f>
        <v>0</v>
      </c>
      <c r="O73" s="165" t="s">
        <v>58</v>
      </c>
      <c r="S73" s="61"/>
    </row>
    <row r="74" spans="1:19">
      <c r="B74" s="205" t="s">
        <v>169</v>
      </c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145">
        <v>0</v>
      </c>
      <c r="O74" s="60" t="s">
        <v>139</v>
      </c>
      <c r="S74" s="61"/>
    </row>
    <row r="75" spans="1:19">
      <c r="S75" s="61"/>
    </row>
    <row r="76" spans="1:19">
      <c r="A76" s="207" t="s">
        <v>343</v>
      </c>
      <c r="B76" s="207"/>
      <c r="C76" s="207"/>
      <c r="D76" s="207"/>
      <c r="E76" s="207"/>
      <c r="F76" s="207"/>
      <c r="G76" s="207"/>
      <c r="H76" s="207"/>
      <c r="I76" s="207"/>
      <c r="J76" s="207"/>
      <c r="K76" s="207"/>
      <c r="L76" s="207"/>
      <c r="M76" s="207"/>
      <c r="N76" s="207"/>
      <c r="O76" s="207"/>
      <c r="P76" s="207"/>
      <c r="Q76" s="207"/>
      <c r="S76" s="61"/>
    </row>
    <row r="77" spans="1:19">
      <c r="S77" s="61"/>
    </row>
    <row r="78" spans="1:19">
      <c r="B78" s="206" t="s">
        <v>170</v>
      </c>
      <c r="C78" s="206"/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121">
        <f>ROUND(_Ns3,0)</f>
        <v>0</v>
      </c>
      <c r="O78" s="165" t="s">
        <v>139</v>
      </c>
      <c r="S78" s="61"/>
    </row>
    <row r="79" spans="1:19">
      <c r="B79" s="205" t="s">
        <v>171</v>
      </c>
      <c r="C79" s="205"/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146">
        <v>3</v>
      </c>
      <c r="O79" s="60" t="s">
        <v>58</v>
      </c>
      <c r="S79" s="61"/>
    </row>
    <row r="80" spans="1:19">
      <c r="B80" s="205" t="s">
        <v>172</v>
      </c>
      <c r="C80" s="205"/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146">
        <v>3</v>
      </c>
      <c r="O80" s="60" t="s">
        <v>58</v>
      </c>
      <c r="S80" s="61"/>
    </row>
    <row r="81" spans="1:19">
      <c r="B81" s="206" t="s">
        <v>538</v>
      </c>
      <c r="C81" s="206"/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171" t="str">
        <f>IF(Flyback!J75="","None",Flyback!J75)</f>
        <v>None</v>
      </c>
      <c r="S81" s="158"/>
    </row>
    <row r="82" spans="1:19">
      <c r="B82" s="206" t="s">
        <v>539</v>
      </c>
      <c r="C82" s="206"/>
      <c r="D82" s="206"/>
      <c r="E82" s="206"/>
      <c r="F82" s="206"/>
      <c r="G82" s="206"/>
      <c r="H82" s="206"/>
      <c r="I82" s="206"/>
      <c r="J82" s="206"/>
      <c r="K82" s="206"/>
      <c r="L82" s="206"/>
      <c r="M82" s="206"/>
      <c r="N82" s="172" t="str">
        <f>IF(N81="None", "0", VLOOKUP(N81,'Wire Table'!F8:P76,4,FALSE))</f>
        <v>0</v>
      </c>
      <c r="O82" s="165" t="s">
        <v>58</v>
      </c>
      <c r="S82" s="158"/>
    </row>
    <row r="83" spans="1:19">
      <c r="B83" s="206" t="s">
        <v>173</v>
      </c>
      <c r="C83" s="206"/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122">
        <f>N78*(N82*Flyback!E75)/($N$22-N79-N80)</f>
        <v>0</v>
      </c>
      <c r="O83" s="165" t="s">
        <v>149</v>
      </c>
      <c r="S83" s="61"/>
    </row>
    <row r="84" spans="1:19">
      <c r="B84" s="206" t="s">
        <v>174</v>
      </c>
      <c r="C84" s="206"/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122">
        <f>ROUNDUP(N83,0)*N82</f>
        <v>0</v>
      </c>
      <c r="O84" s="165" t="s">
        <v>58</v>
      </c>
      <c r="S84" s="61"/>
    </row>
    <row r="85" spans="1:19">
      <c r="B85" s="205" t="s">
        <v>175</v>
      </c>
      <c r="C85" s="205"/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145">
        <v>0</v>
      </c>
      <c r="O85" s="60" t="s">
        <v>139</v>
      </c>
      <c r="S85" s="61"/>
    </row>
    <row r="86" spans="1:19">
      <c r="S86" s="61"/>
    </row>
    <row r="87" spans="1:19">
      <c r="A87" s="207" t="s">
        <v>344</v>
      </c>
      <c r="B87" s="207"/>
      <c r="C87" s="207"/>
      <c r="D87" s="207"/>
      <c r="E87" s="207"/>
      <c r="F87" s="207"/>
      <c r="G87" s="207"/>
      <c r="H87" s="207"/>
      <c r="I87" s="207"/>
      <c r="J87" s="207"/>
      <c r="K87" s="207"/>
      <c r="L87" s="207"/>
      <c r="M87" s="207"/>
      <c r="N87" s="207"/>
      <c r="O87" s="207"/>
      <c r="P87" s="207"/>
      <c r="Q87" s="207"/>
      <c r="S87" s="61"/>
    </row>
    <row r="88" spans="1:19">
      <c r="S88" s="61"/>
    </row>
    <row r="89" spans="1:19">
      <c r="B89" s="206" t="s">
        <v>176</v>
      </c>
      <c r="C89" s="206"/>
      <c r="D89" s="206"/>
      <c r="E89" s="206"/>
      <c r="F89" s="206"/>
      <c r="G89" s="206"/>
      <c r="H89" s="206"/>
      <c r="I89" s="206"/>
      <c r="J89" s="206"/>
      <c r="K89" s="206"/>
      <c r="L89" s="206"/>
      <c r="M89" s="206"/>
      <c r="N89" s="121">
        <f>ROUND(_Ns4,0)</f>
        <v>0</v>
      </c>
      <c r="O89" s="165" t="s">
        <v>139</v>
      </c>
      <c r="S89" s="61"/>
    </row>
    <row r="90" spans="1:19">
      <c r="B90" s="205" t="s">
        <v>177</v>
      </c>
      <c r="C90" s="205"/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146">
        <v>3</v>
      </c>
      <c r="O90" s="60" t="s">
        <v>58</v>
      </c>
      <c r="S90" s="61"/>
    </row>
    <row r="91" spans="1:19">
      <c r="B91" s="205" t="s">
        <v>178</v>
      </c>
      <c r="C91" s="205"/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146">
        <v>3</v>
      </c>
      <c r="O91" s="60" t="s">
        <v>58</v>
      </c>
      <c r="S91" s="61"/>
    </row>
    <row r="92" spans="1:19">
      <c r="B92" s="206" t="s">
        <v>538</v>
      </c>
      <c r="C92" s="206"/>
      <c r="D92" s="206"/>
      <c r="E92" s="206"/>
      <c r="F92" s="206"/>
      <c r="G92" s="206"/>
      <c r="H92" s="206"/>
      <c r="I92" s="206"/>
      <c r="J92" s="206"/>
      <c r="K92" s="206"/>
      <c r="L92" s="206"/>
      <c r="M92" s="206"/>
      <c r="N92" s="171" t="str">
        <f>IF(Flyback!J76="","None",Flyback!J76)</f>
        <v>None</v>
      </c>
      <c r="S92" s="158"/>
    </row>
    <row r="93" spans="1:19">
      <c r="B93" s="206" t="s">
        <v>539</v>
      </c>
      <c r="C93" s="206"/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172" t="str">
        <f>IF(N92="None", "0", VLOOKUP(N92,'Wire Table'!F8:P76,4,FALSE))</f>
        <v>0</v>
      </c>
      <c r="O93" s="165" t="s">
        <v>58</v>
      </c>
      <c r="S93" s="158"/>
    </row>
    <row r="94" spans="1:19">
      <c r="B94" s="206" t="s">
        <v>179</v>
      </c>
      <c r="C94" s="206"/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122">
        <f>N89*(N93*Flyback!E76)/($N$22-N90-N91)</f>
        <v>0</v>
      </c>
      <c r="O94" s="165" t="s">
        <v>149</v>
      </c>
      <c r="S94" s="61"/>
    </row>
    <row r="95" spans="1:19">
      <c r="B95" s="206" t="s">
        <v>180</v>
      </c>
      <c r="C95" s="206"/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122">
        <f>ROUNDUP(N94,0)*N93</f>
        <v>0</v>
      </c>
      <c r="O95" s="165" t="s">
        <v>58</v>
      </c>
      <c r="S95" s="61"/>
    </row>
    <row r="96" spans="1:19">
      <c r="B96" s="205" t="s">
        <v>181</v>
      </c>
      <c r="C96" s="205"/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145">
        <v>0</v>
      </c>
      <c r="O96" s="60" t="s">
        <v>139</v>
      </c>
      <c r="S96" s="61"/>
    </row>
    <row r="97" spans="1:19">
      <c r="S97" s="61"/>
    </row>
    <row r="98" spans="1:19">
      <c r="A98" s="207" t="s">
        <v>345</v>
      </c>
      <c r="B98" s="207"/>
      <c r="C98" s="207"/>
      <c r="D98" s="207"/>
      <c r="E98" s="207"/>
      <c r="F98" s="207"/>
      <c r="G98" s="207"/>
      <c r="H98" s="207"/>
      <c r="I98" s="207"/>
      <c r="J98" s="207"/>
      <c r="K98" s="207"/>
      <c r="L98" s="207"/>
      <c r="M98" s="207"/>
      <c r="N98" s="207"/>
      <c r="O98" s="207"/>
      <c r="P98" s="207"/>
      <c r="Q98" s="207"/>
      <c r="S98" s="61"/>
    </row>
    <row r="99" spans="1:19">
      <c r="S99" s="61"/>
    </row>
    <row r="100" spans="1:19">
      <c r="B100" s="206" t="s">
        <v>182</v>
      </c>
      <c r="C100" s="206"/>
      <c r="D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121">
        <f>ROUND(_Ns5,0)</f>
        <v>0</v>
      </c>
      <c r="O100" s="165" t="s">
        <v>139</v>
      </c>
      <c r="S100" s="61"/>
    </row>
    <row r="101" spans="1:19">
      <c r="B101" s="205" t="s">
        <v>183</v>
      </c>
      <c r="C101" s="205"/>
      <c r="D101" s="205"/>
      <c r="E101" s="205"/>
      <c r="F101" s="205"/>
      <c r="G101" s="205"/>
      <c r="H101" s="205"/>
      <c r="I101" s="205"/>
      <c r="J101" s="205"/>
      <c r="K101" s="205"/>
      <c r="L101" s="205"/>
      <c r="M101" s="205"/>
      <c r="N101" s="146">
        <v>3</v>
      </c>
      <c r="O101" s="60" t="s">
        <v>58</v>
      </c>
      <c r="S101" s="61"/>
    </row>
    <row r="102" spans="1:19">
      <c r="B102" s="205" t="s">
        <v>184</v>
      </c>
      <c r="C102" s="205"/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146">
        <v>3</v>
      </c>
      <c r="O102" s="60" t="s">
        <v>58</v>
      </c>
      <c r="S102" s="61"/>
    </row>
    <row r="103" spans="1:19">
      <c r="B103" s="206" t="s">
        <v>538</v>
      </c>
      <c r="C103" s="206"/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171" t="str">
        <f>IF(Flyback!J77="","None",Flyback!J77)</f>
        <v>None</v>
      </c>
      <c r="O103" s="165"/>
      <c r="S103" s="158"/>
    </row>
    <row r="104" spans="1:19">
      <c r="B104" s="206" t="s">
        <v>539</v>
      </c>
      <c r="C104" s="206"/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172" t="str">
        <f>IF(N103="None","0",VLOOKUP(N103,'Wire Table'!F8:P76,4,FALSE))</f>
        <v>0</v>
      </c>
      <c r="O104" s="165" t="s">
        <v>58</v>
      </c>
      <c r="S104" s="158"/>
    </row>
    <row r="105" spans="1:19">
      <c r="B105" s="206" t="s">
        <v>185</v>
      </c>
      <c r="C105" s="206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122">
        <f>N100*(N104*Flyback!E77)/($N$22-N101-N102)</f>
        <v>0</v>
      </c>
      <c r="O105" s="165" t="s">
        <v>149</v>
      </c>
      <c r="S105" s="61"/>
    </row>
    <row r="106" spans="1:19">
      <c r="B106" s="206" t="s">
        <v>186</v>
      </c>
      <c r="C106" s="206"/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122">
        <f>ROUNDUP(N105,0)*N104</f>
        <v>0</v>
      </c>
      <c r="O106" s="165" t="s">
        <v>58</v>
      </c>
      <c r="S106" s="61"/>
    </row>
    <row r="107" spans="1:19">
      <c r="B107" s="205" t="s">
        <v>187</v>
      </c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145">
        <v>0</v>
      </c>
      <c r="O107" s="60" t="s">
        <v>139</v>
      </c>
      <c r="S107" s="61"/>
    </row>
    <row r="108" spans="1:19">
      <c r="S108" s="61"/>
    </row>
    <row r="109" spans="1:19">
      <c r="A109" s="207" t="s">
        <v>346</v>
      </c>
      <c r="B109" s="207"/>
      <c r="C109" s="207"/>
      <c r="D109" s="207"/>
      <c r="E109" s="207"/>
      <c r="F109" s="207"/>
      <c r="G109" s="207"/>
      <c r="H109" s="207"/>
      <c r="I109" s="207"/>
      <c r="J109" s="207"/>
      <c r="K109" s="207"/>
      <c r="L109" s="207"/>
      <c r="M109" s="207"/>
      <c r="N109" s="207"/>
      <c r="O109" s="207"/>
      <c r="P109" s="207"/>
      <c r="Q109" s="207"/>
      <c r="S109" s="61"/>
    </row>
    <row r="110" spans="1:19">
      <c r="S110" s="61"/>
    </row>
    <row r="111" spans="1:19">
      <c r="B111" s="206" t="s">
        <v>188</v>
      </c>
      <c r="C111" s="206"/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121">
        <f>ROUND(_Ns6,0)</f>
        <v>0</v>
      </c>
      <c r="O111" s="165" t="s">
        <v>139</v>
      </c>
      <c r="S111" s="61"/>
    </row>
    <row r="112" spans="1:19">
      <c r="B112" s="205" t="s">
        <v>189</v>
      </c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146">
        <v>3</v>
      </c>
      <c r="O112" s="60" t="s">
        <v>58</v>
      </c>
      <c r="S112" s="61"/>
    </row>
    <row r="113" spans="1:21">
      <c r="B113" s="205" t="s">
        <v>190</v>
      </c>
      <c r="C113" s="205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146">
        <v>3</v>
      </c>
      <c r="O113" s="60" t="s">
        <v>58</v>
      </c>
      <c r="S113" s="61"/>
      <c r="U113" s="158"/>
    </row>
    <row r="114" spans="1:21">
      <c r="B114" s="206" t="s">
        <v>538</v>
      </c>
      <c r="C114" s="206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171" t="str">
        <f>IF(Flyback!J78="","None",Flyback!J78)</f>
        <v>None</v>
      </c>
      <c r="S114" s="158"/>
    </row>
    <row r="115" spans="1:21">
      <c r="B115" s="206" t="s">
        <v>539</v>
      </c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172" t="str">
        <f>IF(N114="None", "0", VLOOKUP(N114,'Wire Table'!F8:P76,4,FALSE))</f>
        <v>0</v>
      </c>
      <c r="O115" s="165" t="s">
        <v>58</v>
      </c>
      <c r="S115" s="158"/>
    </row>
    <row r="116" spans="1:21">
      <c r="B116" s="206" t="s">
        <v>191</v>
      </c>
      <c r="C116" s="206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122">
        <f>N111*(N115*Flyback!E78)/($N$22-N112-N113)</f>
        <v>0</v>
      </c>
      <c r="O116" s="165" t="s">
        <v>149</v>
      </c>
      <c r="S116" s="61"/>
    </row>
    <row r="117" spans="1:21">
      <c r="B117" s="206" t="s">
        <v>192</v>
      </c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122">
        <f>ROUNDUP(N116,0)*N115</f>
        <v>0</v>
      </c>
      <c r="O117" s="165" t="s">
        <v>58</v>
      </c>
      <c r="S117" s="61"/>
    </row>
    <row r="118" spans="1:21">
      <c r="B118" s="205" t="s">
        <v>193</v>
      </c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145">
        <v>0</v>
      </c>
      <c r="O118" s="60" t="s">
        <v>139</v>
      </c>
      <c r="S118" s="61"/>
    </row>
    <row r="119" spans="1:21">
      <c r="S119" s="61"/>
    </row>
    <row r="120" spans="1:21">
      <c r="A120" s="207" t="s">
        <v>347</v>
      </c>
      <c r="B120" s="207"/>
      <c r="C120" s="207"/>
      <c r="D120" s="207"/>
      <c r="E120" s="207"/>
      <c r="F120" s="207"/>
      <c r="G120" s="207"/>
      <c r="H120" s="207"/>
      <c r="I120" s="207"/>
      <c r="J120" s="207"/>
      <c r="K120" s="207"/>
      <c r="L120" s="207"/>
      <c r="M120" s="207"/>
      <c r="N120" s="207"/>
      <c r="O120" s="207"/>
      <c r="P120" s="207"/>
      <c r="Q120" s="207"/>
      <c r="S120" s="61"/>
    </row>
    <row r="121" spans="1:21">
      <c r="S121" s="61"/>
    </row>
    <row r="122" spans="1:21">
      <c r="B122" s="205" t="s">
        <v>194</v>
      </c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145">
        <v>0.25</v>
      </c>
      <c r="O122" s="60" t="s">
        <v>58</v>
      </c>
      <c r="S122" s="61"/>
    </row>
    <row r="123" spans="1:21">
      <c r="B123" s="205" t="s">
        <v>195</v>
      </c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145">
        <v>0</v>
      </c>
      <c r="O123" s="60" t="s">
        <v>58</v>
      </c>
      <c r="S123" s="61"/>
    </row>
    <row r="124" spans="1:21">
      <c r="B124" s="205" t="s">
        <v>196</v>
      </c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145">
        <v>4</v>
      </c>
      <c r="O124" s="60" t="s">
        <v>139</v>
      </c>
    </row>
    <row r="125" spans="1:21">
      <c r="N125" s="119"/>
    </row>
    <row r="126" spans="1:21">
      <c r="B126" s="205" t="s">
        <v>197</v>
      </c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145">
        <v>4</v>
      </c>
      <c r="O126" s="60" t="s">
        <v>139</v>
      </c>
    </row>
    <row r="128" spans="1:21">
      <c r="B128" s="206" t="s">
        <v>198</v>
      </c>
      <c r="C128" s="206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122">
        <f>N40+N51+N62+N73+N84+N95+N106+N117+N122+N123</f>
        <v>2.1242399999999999</v>
      </c>
      <c r="O128" s="165" t="s">
        <v>58</v>
      </c>
    </row>
    <row r="129" spans="2:15">
      <c r="B129" s="206" t="s">
        <v>199</v>
      </c>
      <c r="C129" s="206"/>
      <c r="D129" s="206"/>
      <c r="E129" s="206"/>
      <c r="F129" s="206"/>
      <c r="G129" s="206"/>
      <c r="H129" s="206"/>
      <c r="I129" s="206"/>
      <c r="J129" s="206"/>
      <c r="K129" s="206"/>
      <c r="L129" s="206"/>
      <c r="M129" s="206"/>
      <c r="N129" s="122">
        <f>N24*(N41+N52+N63+N74+N85+N96+N107+N118+N124+N126)</f>
        <v>0.375</v>
      </c>
      <c r="O129" s="165" t="s">
        <v>58</v>
      </c>
    </row>
    <row r="130" spans="2:15">
      <c r="B130" s="206" t="s">
        <v>200</v>
      </c>
      <c r="C130" s="206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122">
        <f>N128+N129</f>
        <v>2.4992399999999999</v>
      </c>
      <c r="O130" s="165" t="s">
        <v>58</v>
      </c>
    </row>
    <row r="132" spans="2:15">
      <c r="B132" s="204" t="str">
        <f>IF(N130&gt;N23,"Choice Another core/bobbin or change wires!!!", "Core and Bobbin OK!")</f>
        <v>Core and Bobbin OK!</v>
      </c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</row>
  </sheetData>
  <dataConsolidate function="varp"/>
  <mergeCells count="105">
    <mergeCell ref="D14:K14"/>
    <mergeCell ref="A3:Q3"/>
    <mergeCell ref="D5:K5"/>
    <mergeCell ref="D6:K6"/>
    <mergeCell ref="D7:K7"/>
    <mergeCell ref="D8:K8"/>
    <mergeCell ref="D9:K9"/>
    <mergeCell ref="D10:K10"/>
    <mergeCell ref="D11:K11"/>
    <mergeCell ref="D12:K12"/>
    <mergeCell ref="D13:K13"/>
    <mergeCell ref="U42:V42"/>
    <mergeCell ref="B24:M24"/>
    <mergeCell ref="B28:M28"/>
    <mergeCell ref="B29:M29"/>
    <mergeCell ref="D15:K15"/>
    <mergeCell ref="D16:K16"/>
    <mergeCell ref="B22:M22"/>
    <mergeCell ref="B23:M23"/>
    <mergeCell ref="A20:Q20"/>
    <mergeCell ref="A26:Q26"/>
    <mergeCell ref="B33:M33"/>
    <mergeCell ref="B34:M34"/>
    <mergeCell ref="B37:M37"/>
    <mergeCell ref="B30:M30"/>
    <mergeCell ref="B31:M31"/>
    <mergeCell ref="B32:M32"/>
    <mergeCell ref="B35:M35"/>
    <mergeCell ref="B36:M36"/>
    <mergeCell ref="A54:Q54"/>
    <mergeCell ref="B45:M45"/>
    <mergeCell ref="B46:M46"/>
    <mergeCell ref="B38:M38"/>
    <mergeCell ref="B39:M39"/>
    <mergeCell ref="B40:M40"/>
    <mergeCell ref="A43:Q43"/>
    <mergeCell ref="B41:M41"/>
    <mergeCell ref="B63:M63"/>
    <mergeCell ref="B48:M48"/>
    <mergeCell ref="B49:M49"/>
    <mergeCell ref="B59:M59"/>
    <mergeCell ref="B60:M60"/>
    <mergeCell ref="B52:M52"/>
    <mergeCell ref="B56:M56"/>
    <mergeCell ref="B57:M57"/>
    <mergeCell ref="B47:M47"/>
    <mergeCell ref="B50:M50"/>
    <mergeCell ref="B51:M51"/>
    <mergeCell ref="B67:M67"/>
    <mergeCell ref="B68:M68"/>
    <mergeCell ref="B58:M58"/>
    <mergeCell ref="B61:M61"/>
    <mergeCell ref="B62:M62"/>
    <mergeCell ref="A65:Q65"/>
    <mergeCell ref="B78:M78"/>
    <mergeCell ref="B79:M79"/>
    <mergeCell ref="B69:M69"/>
    <mergeCell ref="B72:M72"/>
    <mergeCell ref="B73:M73"/>
    <mergeCell ref="A76:Q76"/>
    <mergeCell ref="B74:M74"/>
    <mergeCell ref="B71:M71"/>
    <mergeCell ref="B70:M70"/>
    <mergeCell ref="B96:M96"/>
    <mergeCell ref="B100:M100"/>
    <mergeCell ref="B101:M101"/>
    <mergeCell ref="B91:M91"/>
    <mergeCell ref="B94:M94"/>
    <mergeCell ref="B95:M95"/>
    <mergeCell ref="A98:Q98"/>
    <mergeCell ref="B92:M92"/>
    <mergeCell ref="B93:M93"/>
    <mergeCell ref="B90:M90"/>
    <mergeCell ref="B80:M80"/>
    <mergeCell ref="B83:M83"/>
    <mergeCell ref="B84:M84"/>
    <mergeCell ref="A87:Q87"/>
    <mergeCell ref="B85:M85"/>
    <mergeCell ref="B89:M89"/>
    <mergeCell ref="B81:M81"/>
    <mergeCell ref="B82:M82"/>
    <mergeCell ref="B107:M107"/>
    <mergeCell ref="B111:M111"/>
    <mergeCell ref="B112:M112"/>
    <mergeCell ref="B102:M102"/>
    <mergeCell ref="B105:M105"/>
    <mergeCell ref="B106:M106"/>
    <mergeCell ref="A109:Q109"/>
    <mergeCell ref="B103:M103"/>
    <mergeCell ref="B104:M104"/>
    <mergeCell ref="B132:M132"/>
    <mergeCell ref="B124:M124"/>
    <mergeCell ref="B126:M126"/>
    <mergeCell ref="B128:M128"/>
    <mergeCell ref="B122:M122"/>
    <mergeCell ref="B123:M123"/>
    <mergeCell ref="B129:M129"/>
    <mergeCell ref="B130:M130"/>
    <mergeCell ref="B113:M113"/>
    <mergeCell ref="B116:M116"/>
    <mergeCell ref="B117:M117"/>
    <mergeCell ref="A120:Q120"/>
    <mergeCell ref="B118:M118"/>
    <mergeCell ref="B114:M114"/>
    <mergeCell ref="B115:M115"/>
  </mergeCells>
  <dataValidations count="1">
    <dataValidation type="list" allowBlank="1" showInputMessage="1" showErrorMessage="1" sqref="D5:K16">
      <formula1>$Y$19:$Y$31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4FC29"/>
  </sheetPr>
  <dimension ref="A2:AE66"/>
  <sheetViews>
    <sheetView topLeftCell="A49" zoomScaleNormal="100" workbookViewId="0">
      <selection activeCell="Q81" sqref="Q81"/>
    </sheetView>
  </sheetViews>
  <sheetFormatPr defaultColWidth="11.42578125" defaultRowHeight="15"/>
  <cols>
    <col min="1" max="1" width="2.7109375" style="57" customWidth="1"/>
    <col min="2" max="2" width="38.140625" style="57" bestFit="1" customWidth="1"/>
    <col min="3" max="3" width="7.7109375" style="57" customWidth="1"/>
    <col min="4" max="14" width="4.28515625" style="57" customWidth="1"/>
    <col min="15" max="15" width="9.85546875" style="57" customWidth="1"/>
    <col min="16" max="31" width="9.7109375" style="57" customWidth="1"/>
    <col min="32" max="83" width="4.28515625" style="57" customWidth="1"/>
    <col min="84" max="16384" width="11.42578125" style="57"/>
  </cols>
  <sheetData>
    <row r="2" spans="1:19">
      <c r="A2" s="113" t="s">
        <v>419</v>
      </c>
      <c r="B2" s="113" t="s">
        <v>428</v>
      </c>
      <c r="C2" s="113"/>
      <c r="D2" s="113"/>
      <c r="E2" s="113"/>
      <c r="F2" s="113"/>
      <c r="G2" s="113"/>
      <c r="H2" s="113"/>
      <c r="I2" s="113"/>
      <c r="J2" s="113"/>
      <c r="K2" s="114"/>
      <c r="L2" s="114"/>
      <c r="M2" s="114"/>
      <c r="N2" s="114"/>
      <c r="O2" s="114"/>
    </row>
    <row r="3" spans="1:19">
      <c r="B3" s="174" t="s">
        <v>362</v>
      </c>
      <c r="C3" s="212" t="str">
        <f>Flyback!C34</f>
        <v>Altair05T-800</v>
      </c>
      <c r="D3" s="212"/>
      <c r="E3" s="212"/>
      <c r="F3" s="212"/>
    </row>
    <row r="4" spans="1:19">
      <c r="B4" s="175" t="s">
        <v>433</v>
      </c>
      <c r="C4" s="150">
        <f>VLOOKUP(C3,Converters!B3:Y150,3,FALSE)</f>
        <v>28</v>
      </c>
      <c r="D4" s="178" t="s">
        <v>436</v>
      </c>
      <c r="E4" s="111"/>
      <c r="F4" s="111"/>
      <c r="G4" s="111"/>
      <c r="H4" s="111"/>
      <c r="I4" s="111"/>
      <c r="J4" s="111"/>
      <c r="K4" s="111"/>
      <c r="L4" s="109"/>
      <c r="Q4" s="98"/>
      <c r="R4" s="98"/>
      <c r="S4" s="98"/>
    </row>
    <row r="5" spans="1:19">
      <c r="B5" s="176" t="s">
        <v>429</v>
      </c>
      <c r="C5" s="150">
        <f>VLOOKUP(C3,Converters!B3:Y150,7,FALSE)</f>
        <v>40</v>
      </c>
      <c r="D5" s="179" t="s">
        <v>437</v>
      </c>
      <c r="E5" s="112"/>
      <c r="F5" s="112"/>
      <c r="G5" s="112"/>
      <c r="H5" s="112"/>
      <c r="I5" s="112"/>
      <c r="J5" s="112"/>
      <c r="K5" s="112"/>
      <c r="L5" s="109"/>
      <c r="M5" s="211"/>
      <c r="N5" s="211"/>
      <c r="O5" s="211"/>
      <c r="Q5" s="98"/>
      <c r="R5" s="98"/>
      <c r="S5" s="98"/>
    </row>
    <row r="6" spans="1:19">
      <c r="B6" s="176" t="s">
        <v>430</v>
      </c>
      <c r="C6" s="150">
        <f>VLOOKUP(C3,Converters!B3:Y150,8,FALSE)</f>
        <v>40</v>
      </c>
      <c r="D6" s="179" t="s">
        <v>437</v>
      </c>
      <c r="E6" s="112"/>
      <c r="F6" s="112"/>
      <c r="G6" s="112"/>
      <c r="H6" s="112"/>
      <c r="I6" s="112"/>
      <c r="J6" s="112"/>
      <c r="K6" s="112"/>
      <c r="L6" s="109"/>
      <c r="Q6" s="98"/>
      <c r="R6" s="63"/>
      <c r="S6" s="63"/>
    </row>
    <row r="7" spans="1:19">
      <c r="B7" s="176" t="s">
        <v>434</v>
      </c>
      <c r="C7" s="150">
        <f>VLOOKUP(C3,Converters!B3:Y150,13,FALSE)</f>
        <v>0</v>
      </c>
      <c r="D7" s="179" t="s">
        <v>438</v>
      </c>
      <c r="E7" s="112"/>
      <c r="F7" s="112"/>
      <c r="G7" s="112"/>
      <c r="H7" s="112"/>
      <c r="I7" s="112"/>
      <c r="J7" s="112"/>
      <c r="K7" s="112"/>
      <c r="L7" s="109"/>
      <c r="M7" s="97"/>
      <c r="N7" s="97"/>
      <c r="O7" s="97"/>
      <c r="Q7" s="98"/>
      <c r="R7" s="63"/>
      <c r="S7" s="63"/>
    </row>
    <row r="8" spans="1:19">
      <c r="B8" s="176" t="s">
        <v>431</v>
      </c>
      <c r="C8" s="150">
        <f>VLOOKUP(C3,Converters!B3:Y150,4,FALSE)</f>
        <v>2</v>
      </c>
      <c r="D8" s="179" t="s">
        <v>439</v>
      </c>
      <c r="E8" s="112"/>
      <c r="F8" s="112"/>
      <c r="G8" s="112"/>
      <c r="H8" s="112"/>
      <c r="I8" s="112"/>
      <c r="J8" s="112"/>
      <c r="K8" s="112"/>
      <c r="L8" s="109"/>
      <c r="Q8" s="98"/>
      <c r="R8" s="63"/>
      <c r="S8" s="63"/>
    </row>
    <row r="9" spans="1:19">
      <c r="B9" s="176" t="s">
        <v>432</v>
      </c>
      <c r="C9" s="150">
        <f>VLOOKUP(C3,Converters!B3:Y150,6,FALSE)</f>
        <v>1.4</v>
      </c>
      <c r="D9" s="179" t="s">
        <v>440</v>
      </c>
      <c r="E9" s="112"/>
      <c r="F9" s="112"/>
      <c r="G9" s="112"/>
      <c r="H9" s="112"/>
      <c r="I9" s="112"/>
      <c r="J9" s="112"/>
      <c r="K9" s="112"/>
      <c r="L9" s="109"/>
      <c r="Q9" s="98"/>
      <c r="R9" s="63"/>
      <c r="S9" s="63"/>
    </row>
    <row r="10" spans="1:19">
      <c r="B10" s="176" t="s">
        <v>435</v>
      </c>
      <c r="C10" s="150">
        <f>VLOOKUP(C3,Converters!B3:Y150,5,FALSE)</f>
        <v>13</v>
      </c>
      <c r="D10" s="179" t="s">
        <v>14</v>
      </c>
      <c r="E10" s="112"/>
      <c r="F10" s="112"/>
      <c r="G10" s="112"/>
      <c r="H10" s="112"/>
      <c r="I10" s="112"/>
      <c r="J10" s="112"/>
      <c r="K10" s="112"/>
      <c r="L10" s="109"/>
      <c r="Q10" s="98"/>
      <c r="R10" s="63"/>
      <c r="S10" s="63"/>
    </row>
    <row r="11" spans="1:19">
      <c r="C11" s="109"/>
      <c r="D11" s="112"/>
      <c r="E11" s="112"/>
      <c r="F11" s="112"/>
      <c r="G11" s="112"/>
      <c r="H11" s="112"/>
      <c r="I11" s="112"/>
      <c r="J11" s="112"/>
      <c r="K11" s="112"/>
      <c r="L11" s="109"/>
      <c r="Q11" s="98"/>
      <c r="R11" s="63"/>
      <c r="S11" s="63"/>
    </row>
    <row r="12" spans="1:19">
      <c r="P12" s="67"/>
      <c r="Q12" s="98"/>
      <c r="R12" s="96"/>
      <c r="S12" s="96"/>
    </row>
    <row r="13" spans="1:19">
      <c r="A13" s="115" t="s">
        <v>338</v>
      </c>
      <c r="B13" s="113" t="s">
        <v>542</v>
      </c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6"/>
      <c r="Q13" s="98"/>
      <c r="R13" s="98"/>
      <c r="S13" s="98"/>
    </row>
    <row r="14" spans="1:19">
      <c r="Q14" s="98"/>
      <c r="R14" s="98"/>
      <c r="S14" s="98"/>
    </row>
    <row r="15" spans="1:19">
      <c r="B15" s="175" t="s">
        <v>545</v>
      </c>
      <c r="C15" s="151">
        <f>Irms^2*'Power Losses'!C4</f>
        <v>2.5891752301540318</v>
      </c>
      <c r="D15" s="175" t="s">
        <v>16</v>
      </c>
      <c r="E15" s="108"/>
      <c r="F15" s="108"/>
      <c r="G15" s="108"/>
      <c r="H15" s="108"/>
      <c r="I15" s="108"/>
      <c r="J15" s="108"/>
      <c r="K15" s="108"/>
      <c r="L15" s="108"/>
      <c r="Q15" s="98"/>
      <c r="R15" s="98"/>
      <c r="S15" s="98"/>
    </row>
    <row r="16" spans="1:19">
      <c r="B16" s="176" t="s">
        <v>553</v>
      </c>
      <c r="C16" s="152">
        <f>(Vdc_max+VRO)*Ipk*(Tr+Tf)*0.000000001*Fsw/3</f>
        <v>0</v>
      </c>
      <c r="D16" s="176" t="s">
        <v>16</v>
      </c>
      <c r="E16" s="110"/>
      <c r="F16" s="110"/>
      <c r="G16" s="110"/>
      <c r="H16" s="110"/>
      <c r="I16" s="110"/>
      <c r="J16" s="110"/>
      <c r="K16" s="110"/>
      <c r="L16" s="110"/>
      <c r="Q16" s="98"/>
      <c r="R16" s="98"/>
      <c r="S16" s="98"/>
    </row>
    <row r="17" spans="1:24">
      <c r="B17" s="176" t="s">
        <v>554</v>
      </c>
      <c r="C17" s="152">
        <f>Coss*0.000000000001*(Vdc_max+VRO)^2*Fsw/2</f>
        <v>0</v>
      </c>
      <c r="D17" s="176" t="s">
        <v>16</v>
      </c>
      <c r="E17" s="110"/>
      <c r="F17" s="110"/>
      <c r="G17" s="110"/>
      <c r="H17" s="110"/>
      <c r="I17" s="110"/>
      <c r="J17" s="110"/>
      <c r="K17" s="110"/>
      <c r="L17" s="110"/>
      <c r="Q17" s="98"/>
      <c r="R17" s="98"/>
      <c r="S17" s="98"/>
    </row>
    <row r="18" spans="1:24">
      <c r="B18" s="176" t="s">
        <v>546</v>
      </c>
      <c r="C18" s="152">
        <f>Vdd*Iop*0.001</f>
        <v>1.8200000000000001E-2</v>
      </c>
      <c r="D18" s="176" t="s">
        <v>16</v>
      </c>
      <c r="E18" s="110"/>
      <c r="F18" s="110"/>
      <c r="G18" s="110"/>
      <c r="H18" s="110"/>
      <c r="I18" s="110"/>
      <c r="J18" s="110"/>
      <c r="K18" s="110"/>
      <c r="L18" s="110"/>
      <c r="Q18" s="98"/>
      <c r="R18" s="98"/>
      <c r="S18" s="98"/>
    </row>
    <row r="19" spans="1:24">
      <c r="B19" s="167" t="s">
        <v>547</v>
      </c>
      <c r="C19" s="152">
        <f>SUM(C15:C18)</f>
        <v>2.6073752301540321</v>
      </c>
      <c r="D19" s="159" t="s">
        <v>16</v>
      </c>
      <c r="E19" s="98"/>
      <c r="F19" s="98"/>
      <c r="G19" s="98"/>
      <c r="H19" s="98"/>
      <c r="I19" s="98"/>
      <c r="J19" s="98"/>
      <c r="K19" s="98"/>
      <c r="L19" s="98"/>
      <c r="Q19" s="98"/>
      <c r="R19" s="98"/>
      <c r="S19" s="98"/>
    </row>
    <row r="20" spans="1:24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Q20" s="98"/>
      <c r="R20" s="98"/>
      <c r="S20" s="98"/>
    </row>
    <row r="21" spans="1:24">
      <c r="Q21" s="98"/>
      <c r="R21" s="98"/>
      <c r="S21" s="98"/>
    </row>
    <row r="22" spans="1:24">
      <c r="A22" s="115" t="s">
        <v>339</v>
      </c>
      <c r="B22" s="115" t="s">
        <v>443</v>
      </c>
      <c r="C22" s="115"/>
      <c r="D22" s="115"/>
      <c r="E22" s="115"/>
      <c r="F22" s="115"/>
      <c r="G22" s="115"/>
      <c r="H22" s="115"/>
      <c r="I22" s="115"/>
      <c r="J22" s="115"/>
      <c r="K22" s="116"/>
      <c r="L22" s="116"/>
      <c r="M22" s="116"/>
      <c r="N22" s="116"/>
      <c r="O22" s="116"/>
      <c r="Q22" s="98"/>
      <c r="R22" s="98"/>
      <c r="S22" s="98"/>
    </row>
    <row r="23" spans="1:24">
      <c r="Q23" s="98"/>
      <c r="R23" s="98"/>
      <c r="S23" s="98"/>
    </row>
    <row r="24" spans="1:24">
      <c r="B24" s="138" t="s">
        <v>455</v>
      </c>
      <c r="C24" s="153">
        <v>12.22</v>
      </c>
      <c r="D24" s="100" t="s">
        <v>16</v>
      </c>
      <c r="E24" s="181" t="s">
        <v>570</v>
      </c>
      <c r="F24" s="100"/>
      <c r="G24" s="100"/>
      <c r="H24" s="100"/>
      <c r="I24" s="213" t="str">
        <f>Po+(Vcc*Flyback!E18)&amp;"W"</f>
        <v>13.44W</v>
      </c>
      <c r="J24" s="213"/>
      <c r="K24" s="120"/>
      <c r="L24" s="120"/>
      <c r="Q24" s="98"/>
      <c r="R24" s="98"/>
      <c r="S24" s="98"/>
      <c r="W24" s="64"/>
      <c r="X24" s="97"/>
    </row>
    <row r="25" spans="1:24">
      <c r="B25" s="138" t="s">
        <v>541</v>
      </c>
      <c r="C25" s="153">
        <v>85</v>
      </c>
      <c r="D25" s="100" t="s">
        <v>540</v>
      </c>
      <c r="E25" s="99"/>
      <c r="F25" s="100"/>
      <c r="G25" s="100"/>
      <c r="H25" s="100"/>
      <c r="I25" s="100"/>
      <c r="J25" s="100"/>
      <c r="K25" s="120"/>
      <c r="L25" s="158"/>
      <c r="Q25" s="98"/>
      <c r="R25" s="98"/>
      <c r="S25" s="98"/>
      <c r="W25" s="64"/>
      <c r="X25" s="97"/>
    </row>
    <row r="26" spans="1:24">
      <c r="B26" s="138" t="s">
        <v>456</v>
      </c>
      <c r="C26" s="153">
        <v>80</v>
      </c>
      <c r="D26" s="139" t="s">
        <v>17</v>
      </c>
      <c r="E26" s="138"/>
      <c r="F26" s="139"/>
      <c r="G26" s="139"/>
      <c r="H26" s="139"/>
      <c r="I26" s="139"/>
      <c r="J26" s="139"/>
      <c r="K26" s="120"/>
      <c r="L26" s="120"/>
      <c r="Q26" s="138"/>
      <c r="R26" s="138"/>
      <c r="S26" s="138"/>
      <c r="W26" s="64"/>
      <c r="X26" s="139"/>
    </row>
    <row r="27" spans="1:24">
      <c r="B27" s="159" t="s">
        <v>454</v>
      </c>
      <c r="C27" s="177">
        <f>(Pout_act/Eff_act)</f>
        <v>15.275</v>
      </c>
      <c r="D27" s="120" t="s">
        <v>16</v>
      </c>
      <c r="E27" s="138"/>
      <c r="F27" s="139"/>
      <c r="G27" s="139"/>
      <c r="I27" s="139"/>
      <c r="J27" s="139"/>
      <c r="K27" s="120"/>
      <c r="L27" s="120"/>
      <c r="Q27" s="138"/>
      <c r="R27" s="138"/>
      <c r="S27" s="138"/>
      <c r="W27" s="64"/>
      <c r="X27" s="139"/>
    </row>
    <row r="28" spans="1:24">
      <c r="B28" s="159" t="s">
        <v>544</v>
      </c>
      <c r="C28" s="177">
        <f>SQRT(2*Vac_act^2-Pin_act*(1-0.2)/Cdc/fL)</f>
        <v>57.800597669133921</v>
      </c>
      <c r="D28" s="120" t="s">
        <v>14</v>
      </c>
      <c r="E28" s="158"/>
      <c r="F28" s="160"/>
      <c r="G28" s="160"/>
      <c r="H28" s="158"/>
      <c r="I28" s="160"/>
      <c r="J28" s="160"/>
      <c r="K28" s="120"/>
      <c r="L28" s="158"/>
      <c r="Q28" s="158"/>
      <c r="R28" s="158"/>
      <c r="S28" s="158"/>
      <c r="W28" s="64"/>
      <c r="X28" s="160"/>
    </row>
    <row r="29" spans="1:24">
      <c r="B29" s="159" t="s">
        <v>453</v>
      </c>
      <c r="C29" s="177">
        <f>SQRT(2*Lm*Pin_act*Fsw*KRF)/Vdc_act</f>
        <v>0</v>
      </c>
      <c r="D29" s="139"/>
      <c r="E29" s="138"/>
      <c r="F29" s="139"/>
      <c r="G29" s="139"/>
      <c r="H29" s="139"/>
      <c r="I29" s="139"/>
      <c r="J29" s="139"/>
      <c r="K29" s="120"/>
      <c r="L29" s="120"/>
      <c r="Q29" s="138"/>
      <c r="R29" s="138"/>
      <c r="S29" s="138"/>
      <c r="W29" s="64"/>
      <c r="X29" s="139"/>
    </row>
    <row r="30" spans="1:24">
      <c r="B30" s="159" t="s">
        <v>457</v>
      </c>
      <c r="C30" s="177" t="e">
        <f>Pin_act/(Vdc_act*D_act)+(Vdc_act*D_act/(2*Lm*Fsw))</f>
        <v>#DIV/0!</v>
      </c>
      <c r="D30" s="120" t="s">
        <v>15</v>
      </c>
      <c r="E30" s="120"/>
      <c r="F30" s="120"/>
      <c r="G30" s="120"/>
      <c r="H30" s="120"/>
      <c r="I30" s="120"/>
      <c r="J30" s="120"/>
      <c r="K30" s="120"/>
      <c r="L30" s="120"/>
      <c r="Q30" s="98"/>
      <c r="R30" s="98"/>
      <c r="S30" s="98"/>
      <c r="W30" s="64"/>
      <c r="X30" s="97"/>
    </row>
    <row r="31" spans="1:24">
      <c r="B31" s="159" t="s">
        <v>543</v>
      </c>
      <c r="C31" s="177" t="e">
        <f>SQRT((3*(Pin_act/C28/D_act)^2+(C28*D_act/Lm/Fsw/2)^2)*D_act/3)</f>
        <v>#DIV/0!</v>
      </c>
      <c r="D31" s="120" t="s">
        <v>15</v>
      </c>
      <c r="E31" s="100"/>
      <c r="F31" s="100"/>
      <c r="G31" s="158"/>
      <c r="H31" s="100"/>
      <c r="I31" s="100"/>
      <c r="J31" s="100"/>
      <c r="K31" s="100"/>
      <c r="L31" s="100"/>
      <c r="Q31" s="98"/>
      <c r="R31" s="98"/>
      <c r="S31" s="98"/>
      <c r="W31" s="64"/>
      <c r="X31" s="97"/>
    </row>
    <row r="32" spans="1:24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Q32" s="98"/>
      <c r="W32" s="64"/>
      <c r="X32" s="97"/>
    </row>
    <row r="33" spans="1:31">
      <c r="B33" s="175" t="s">
        <v>548</v>
      </c>
      <c r="C33" s="180" t="e">
        <f>Idsrms_act^2*'Power Losses'!C4</f>
        <v>#DIV/0!</v>
      </c>
      <c r="D33" s="120" t="s">
        <v>16</v>
      </c>
      <c r="E33" s="100"/>
      <c r="F33" s="100"/>
      <c r="G33" s="100"/>
      <c r="H33" s="100"/>
      <c r="I33" s="100"/>
      <c r="J33" s="100"/>
      <c r="K33" s="100"/>
      <c r="L33" s="100"/>
      <c r="Q33" s="168"/>
      <c r="W33" s="64"/>
      <c r="X33" s="169"/>
    </row>
    <row r="34" spans="1:31">
      <c r="B34" s="176" t="s">
        <v>549</v>
      </c>
      <c r="C34" s="180" t="e">
        <f>(Vdc_act+VRO)*Idspk_act*(Tr+Tf)*0.000000001*Fsw/3</f>
        <v>#DIV/0!</v>
      </c>
      <c r="D34" s="120" t="s">
        <v>16</v>
      </c>
      <c r="E34" s="100"/>
      <c r="F34" s="100"/>
      <c r="G34" s="168"/>
      <c r="H34" s="100"/>
      <c r="I34" s="100"/>
      <c r="J34" s="100"/>
      <c r="K34" s="100"/>
      <c r="L34" s="100"/>
      <c r="Q34" s="168"/>
      <c r="W34" s="64"/>
      <c r="X34" s="169"/>
    </row>
    <row r="35" spans="1:31">
      <c r="B35" s="176" t="s">
        <v>550</v>
      </c>
      <c r="C35" s="170">
        <f>Coss*0.000000000001*(Vdc_act+VRO)^2*Fsw/2</f>
        <v>0</v>
      </c>
      <c r="D35" s="120" t="s">
        <v>16</v>
      </c>
      <c r="E35" s="100"/>
      <c r="F35" s="100"/>
      <c r="G35" s="168"/>
      <c r="H35" s="100"/>
      <c r="I35" s="100"/>
      <c r="J35" s="100"/>
      <c r="K35" s="100"/>
      <c r="L35" s="100"/>
      <c r="Q35" s="168"/>
      <c r="W35" s="64"/>
      <c r="X35" s="169"/>
    </row>
    <row r="36" spans="1:31">
      <c r="B36" s="176" t="s">
        <v>551</v>
      </c>
      <c r="C36" s="180">
        <f>Vdd*Iop*0.001</f>
        <v>1.8200000000000001E-2</v>
      </c>
      <c r="D36" s="120" t="s">
        <v>16</v>
      </c>
      <c r="E36" s="120"/>
      <c r="F36" s="120"/>
      <c r="G36" s="120"/>
      <c r="H36" s="120"/>
      <c r="I36" s="120"/>
      <c r="J36" s="120"/>
      <c r="L36" s="120"/>
    </row>
    <row r="37" spans="1:31">
      <c r="B37" s="167" t="s">
        <v>552</v>
      </c>
      <c r="C37" s="180" t="e">
        <f>SUM(C33:C36)</f>
        <v>#DIV/0!</v>
      </c>
      <c r="D37" s="120" t="s">
        <v>16</v>
      </c>
      <c r="E37" s="120"/>
      <c r="F37" s="120"/>
      <c r="G37" s="120"/>
      <c r="H37" s="120"/>
      <c r="I37" s="120"/>
      <c r="J37" s="120"/>
      <c r="K37" s="120"/>
      <c r="L37" s="120"/>
    </row>
    <row r="38" spans="1:31">
      <c r="B38" s="120"/>
      <c r="C38" s="120"/>
      <c r="D38" s="120"/>
      <c r="E38" s="120"/>
      <c r="F38" s="120"/>
      <c r="G38" s="120"/>
      <c r="H38" s="120"/>
      <c r="I38" s="120"/>
      <c r="J38" s="120"/>
      <c r="K38" s="120"/>
      <c r="L38" s="120"/>
    </row>
    <row r="39" spans="1:31">
      <c r="A39" s="115" t="s">
        <v>563</v>
      </c>
      <c r="B39" s="115"/>
      <c r="C39" s="115"/>
      <c r="D39" s="115"/>
      <c r="E39" s="115"/>
      <c r="F39" s="115"/>
      <c r="G39" s="115"/>
      <c r="H39" s="115"/>
      <c r="I39" s="115"/>
      <c r="J39" s="115"/>
      <c r="K39" s="116"/>
      <c r="L39" s="116"/>
      <c r="M39" s="116"/>
      <c r="N39" s="116"/>
      <c r="O39" s="116"/>
      <c r="Q39" s="168"/>
      <c r="R39" s="168"/>
      <c r="S39" s="168"/>
    </row>
    <row r="40" spans="1:31">
      <c r="B40" s="120"/>
      <c r="C40" s="120"/>
      <c r="D40" s="120"/>
      <c r="E40" s="120"/>
      <c r="F40" s="120"/>
      <c r="G40" s="120"/>
      <c r="H40" s="120"/>
      <c r="I40" s="120"/>
      <c r="J40" s="120"/>
      <c r="K40" s="120"/>
      <c r="L40" s="120"/>
    </row>
    <row r="41" spans="1:31">
      <c r="B41" s="120"/>
      <c r="C41" s="120"/>
      <c r="D41" s="120"/>
      <c r="E41" s="120"/>
      <c r="F41" s="120"/>
      <c r="G41" s="120"/>
      <c r="H41" s="120"/>
      <c r="I41" s="120"/>
      <c r="J41" s="120"/>
      <c r="K41" s="120"/>
      <c r="L41" s="120"/>
    </row>
    <row r="42" spans="1:31">
      <c r="B42" s="120"/>
      <c r="C42" s="120"/>
      <c r="D42" s="120"/>
      <c r="E42" s="120"/>
      <c r="F42" s="120"/>
      <c r="G42" s="120"/>
      <c r="H42" s="120"/>
      <c r="I42" s="120"/>
      <c r="J42" s="120"/>
      <c r="K42" s="120"/>
      <c r="L42" s="120"/>
    </row>
    <row r="43" spans="1:31"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</row>
    <row r="44" spans="1:31"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</row>
    <row r="45" spans="1:31"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</row>
    <row r="47" spans="1:31">
      <c r="O47" s="184"/>
      <c r="P47" s="185">
        <f>(V_line_max-V_line_min)/15</f>
        <v>11.666666666666666</v>
      </c>
      <c r="Q47" s="186"/>
      <c r="R47" s="184"/>
      <c r="S47" s="184"/>
      <c r="T47" s="184"/>
      <c r="U47" s="184"/>
      <c r="V47" s="184"/>
      <c r="W47" s="187"/>
      <c r="X47" s="188"/>
      <c r="Y47" s="184"/>
      <c r="Z47" s="184"/>
      <c r="AA47" s="184"/>
      <c r="AB47" s="184"/>
      <c r="AC47" s="184"/>
      <c r="AD47" s="184"/>
      <c r="AE47" s="184"/>
    </row>
    <row r="48" spans="1:31">
      <c r="O48" s="184"/>
      <c r="P48" s="184"/>
      <c r="Q48" s="186"/>
      <c r="R48" s="184"/>
      <c r="S48" s="184"/>
      <c r="T48" s="184"/>
      <c r="U48" s="184"/>
      <c r="V48" s="184"/>
      <c r="W48" s="187"/>
      <c r="X48" s="188"/>
      <c r="Y48" s="184"/>
      <c r="Z48" s="184"/>
      <c r="AA48" s="184"/>
      <c r="AB48" s="184"/>
      <c r="AC48" s="184"/>
      <c r="AD48" s="184"/>
      <c r="AE48" s="184"/>
    </row>
    <row r="49" spans="1:31">
      <c r="O49" s="189" t="s">
        <v>555</v>
      </c>
      <c r="P49" s="193">
        <f>V_line_min</f>
        <v>90</v>
      </c>
      <c r="Q49" s="193">
        <f t="shared" ref="Q49:AD49" si="0">P49+$P$47</f>
        <v>101.66666666666667</v>
      </c>
      <c r="R49" s="193">
        <f t="shared" si="0"/>
        <v>113.33333333333334</v>
      </c>
      <c r="S49" s="193">
        <f t="shared" si="0"/>
        <v>125.00000000000001</v>
      </c>
      <c r="T49" s="193">
        <f t="shared" si="0"/>
        <v>136.66666666666669</v>
      </c>
      <c r="U49" s="193">
        <f t="shared" si="0"/>
        <v>148.33333333333334</v>
      </c>
      <c r="V49" s="193">
        <f t="shared" si="0"/>
        <v>160</v>
      </c>
      <c r="W49" s="193">
        <f t="shared" si="0"/>
        <v>171.66666666666666</v>
      </c>
      <c r="X49" s="193">
        <f t="shared" si="0"/>
        <v>183.33333333333331</v>
      </c>
      <c r="Y49" s="193">
        <f t="shared" si="0"/>
        <v>194.99999999999997</v>
      </c>
      <c r="Z49" s="193">
        <f t="shared" si="0"/>
        <v>206.66666666666663</v>
      </c>
      <c r="AA49" s="193">
        <f t="shared" si="0"/>
        <v>218.33333333333329</v>
      </c>
      <c r="AB49" s="193">
        <f t="shared" si="0"/>
        <v>229.99999999999994</v>
      </c>
      <c r="AC49" s="193">
        <f t="shared" si="0"/>
        <v>241.6666666666666</v>
      </c>
      <c r="AD49" s="193">
        <f t="shared" si="0"/>
        <v>253.33333333333326</v>
      </c>
      <c r="AE49" s="193">
        <f>V_line_max</f>
        <v>265</v>
      </c>
    </row>
    <row r="50" spans="1:31">
      <c r="O50" s="190" t="s">
        <v>441</v>
      </c>
      <c r="P50" s="191">
        <f t="shared" ref="P50:AE50" si="1">SQRT(2*P49^2-Pin*(1-0.2)/Cdc/fL)</f>
        <v>66.228791107936004</v>
      </c>
      <c r="Q50" s="191">
        <f t="shared" si="1"/>
        <v>94.119471916500075</v>
      </c>
      <c r="R50" s="191">
        <f t="shared" si="1"/>
        <v>117.79279120772848</v>
      </c>
      <c r="S50" s="191">
        <f t="shared" si="1"/>
        <v>139.41396189628438</v>
      </c>
      <c r="T50" s="191">
        <f t="shared" si="1"/>
        <v>159.81804756401635</v>
      </c>
      <c r="U50" s="191">
        <f t="shared" si="1"/>
        <v>179.42075779344538</v>
      </c>
      <c r="V50" s="191">
        <f t="shared" si="1"/>
        <v>198.4597006236244</v>
      </c>
      <c r="W50" s="191">
        <f t="shared" si="1"/>
        <v>217.08325974267916</v>
      </c>
      <c r="X50" s="191">
        <f t="shared" si="1"/>
        <v>235.39004862959018</v>
      </c>
      <c r="Y50" s="191">
        <f t="shared" si="1"/>
        <v>253.4487182283994</v>
      </c>
      <c r="Z50" s="191">
        <f t="shared" si="1"/>
        <v>271.30881849626786</v>
      </c>
      <c r="AA50" s="191">
        <f t="shared" si="1"/>
        <v>289.00716541377909</v>
      </c>
      <c r="AB50" s="191">
        <f t="shared" si="1"/>
        <v>306.57177425787029</v>
      </c>
      <c r="AC50" s="191">
        <f t="shared" si="1"/>
        <v>324.02439464826426</v>
      </c>
      <c r="AD50" s="191">
        <f t="shared" si="1"/>
        <v>341.38220271006236</v>
      </c>
      <c r="AE50" s="191">
        <f t="shared" si="1"/>
        <v>358.65896443783282</v>
      </c>
    </row>
    <row r="51" spans="1:31">
      <c r="O51" s="190" t="s">
        <v>442</v>
      </c>
      <c r="P51" s="192">
        <f t="shared" ref="P51:AE51" si="2">SQRT(2*Lm*Pin*Fsw*KRF)/P50</f>
        <v>0</v>
      </c>
      <c r="Q51" s="192">
        <f t="shared" si="2"/>
        <v>0</v>
      </c>
      <c r="R51" s="192">
        <f t="shared" si="2"/>
        <v>0</v>
      </c>
      <c r="S51" s="192">
        <f t="shared" si="2"/>
        <v>0</v>
      </c>
      <c r="T51" s="192">
        <f t="shared" si="2"/>
        <v>0</v>
      </c>
      <c r="U51" s="192">
        <f t="shared" si="2"/>
        <v>0</v>
      </c>
      <c r="V51" s="192">
        <f t="shared" si="2"/>
        <v>0</v>
      </c>
      <c r="W51" s="192">
        <f t="shared" si="2"/>
        <v>0</v>
      </c>
      <c r="X51" s="192">
        <f t="shared" si="2"/>
        <v>0</v>
      </c>
      <c r="Y51" s="192">
        <f t="shared" si="2"/>
        <v>0</v>
      </c>
      <c r="Z51" s="192">
        <f t="shared" si="2"/>
        <v>0</v>
      </c>
      <c r="AA51" s="192">
        <f t="shared" si="2"/>
        <v>0</v>
      </c>
      <c r="AB51" s="192">
        <f t="shared" si="2"/>
        <v>0</v>
      </c>
      <c r="AC51" s="192">
        <f t="shared" si="2"/>
        <v>0</v>
      </c>
      <c r="AD51" s="192">
        <f t="shared" si="2"/>
        <v>0</v>
      </c>
      <c r="AE51" s="192">
        <f t="shared" si="2"/>
        <v>0</v>
      </c>
    </row>
    <row r="52" spans="1:31">
      <c r="O52" s="190" t="s">
        <v>556</v>
      </c>
      <c r="P52" s="192" t="e">
        <f t="shared" ref="P52:AE52" si="3">Pin/(P50*P51)+(P50*P51/(2*Lm*Fsw))</f>
        <v>#DIV/0!</v>
      </c>
      <c r="Q52" s="192" t="e">
        <f t="shared" si="3"/>
        <v>#DIV/0!</v>
      </c>
      <c r="R52" s="192" t="e">
        <f t="shared" si="3"/>
        <v>#DIV/0!</v>
      </c>
      <c r="S52" s="192" t="e">
        <f t="shared" si="3"/>
        <v>#DIV/0!</v>
      </c>
      <c r="T52" s="192" t="e">
        <f t="shared" si="3"/>
        <v>#DIV/0!</v>
      </c>
      <c r="U52" s="192" t="e">
        <f t="shared" si="3"/>
        <v>#DIV/0!</v>
      </c>
      <c r="V52" s="192" t="e">
        <f t="shared" si="3"/>
        <v>#DIV/0!</v>
      </c>
      <c r="W52" s="192" t="e">
        <f t="shared" si="3"/>
        <v>#DIV/0!</v>
      </c>
      <c r="X52" s="192" t="e">
        <f t="shared" si="3"/>
        <v>#DIV/0!</v>
      </c>
      <c r="Y52" s="192" t="e">
        <f t="shared" si="3"/>
        <v>#DIV/0!</v>
      </c>
      <c r="Z52" s="192" t="e">
        <f t="shared" si="3"/>
        <v>#DIV/0!</v>
      </c>
      <c r="AA52" s="192" t="e">
        <f t="shared" si="3"/>
        <v>#DIV/0!</v>
      </c>
      <c r="AB52" s="192" t="e">
        <f t="shared" si="3"/>
        <v>#DIV/0!</v>
      </c>
      <c r="AC52" s="192" t="e">
        <f t="shared" si="3"/>
        <v>#DIV/0!</v>
      </c>
      <c r="AD52" s="192" t="e">
        <f t="shared" si="3"/>
        <v>#DIV/0!</v>
      </c>
      <c r="AE52" s="192" t="e">
        <f t="shared" si="3"/>
        <v>#DIV/0!</v>
      </c>
    </row>
    <row r="53" spans="1:31">
      <c r="O53" s="190" t="s">
        <v>557</v>
      </c>
      <c r="P53" s="192" t="e">
        <f t="shared" ref="P53:AE53" si="4">SQRT((3*(Pin/P50/P51)^2+(P50*P51/Lm/Fsw/2)^2)*P51/3)</f>
        <v>#DIV/0!</v>
      </c>
      <c r="Q53" s="192" t="e">
        <f t="shared" si="4"/>
        <v>#DIV/0!</v>
      </c>
      <c r="R53" s="192" t="e">
        <f t="shared" si="4"/>
        <v>#DIV/0!</v>
      </c>
      <c r="S53" s="192" t="e">
        <f t="shared" si="4"/>
        <v>#DIV/0!</v>
      </c>
      <c r="T53" s="192" t="e">
        <f t="shared" si="4"/>
        <v>#DIV/0!</v>
      </c>
      <c r="U53" s="192" t="e">
        <f t="shared" si="4"/>
        <v>#DIV/0!</v>
      </c>
      <c r="V53" s="192" t="e">
        <f t="shared" si="4"/>
        <v>#DIV/0!</v>
      </c>
      <c r="W53" s="192" t="e">
        <f t="shared" si="4"/>
        <v>#DIV/0!</v>
      </c>
      <c r="X53" s="192" t="e">
        <f t="shared" si="4"/>
        <v>#DIV/0!</v>
      </c>
      <c r="Y53" s="192" t="e">
        <f t="shared" si="4"/>
        <v>#DIV/0!</v>
      </c>
      <c r="Z53" s="192" t="e">
        <f t="shared" si="4"/>
        <v>#DIV/0!</v>
      </c>
      <c r="AA53" s="192" t="e">
        <f t="shared" si="4"/>
        <v>#DIV/0!</v>
      </c>
      <c r="AB53" s="192" t="e">
        <f t="shared" si="4"/>
        <v>#DIV/0!</v>
      </c>
      <c r="AC53" s="192" t="e">
        <f t="shared" si="4"/>
        <v>#DIV/0!</v>
      </c>
      <c r="AD53" s="192" t="e">
        <f t="shared" si="4"/>
        <v>#DIV/0!</v>
      </c>
      <c r="AE53" s="192" t="e">
        <f t="shared" si="4"/>
        <v>#DIV/0!</v>
      </c>
    </row>
    <row r="54" spans="1:31">
      <c r="O54" s="190" t="s">
        <v>558</v>
      </c>
      <c r="P54" s="192" t="e">
        <f>P53^2*$C$4</f>
        <v>#DIV/0!</v>
      </c>
      <c r="Q54" s="192" t="e">
        <f>Q53^2*$C$4</f>
        <v>#DIV/0!</v>
      </c>
      <c r="R54" s="192" t="e">
        <f t="shared" ref="R54:AE54" si="5">R53^2*$C$4</f>
        <v>#DIV/0!</v>
      </c>
      <c r="S54" s="192" t="e">
        <f t="shared" si="5"/>
        <v>#DIV/0!</v>
      </c>
      <c r="T54" s="192" t="e">
        <f t="shared" si="5"/>
        <v>#DIV/0!</v>
      </c>
      <c r="U54" s="192" t="e">
        <f t="shared" si="5"/>
        <v>#DIV/0!</v>
      </c>
      <c r="V54" s="192" t="e">
        <f t="shared" si="5"/>
        <v>#DIV/0!</v>
      </c>
      <c r="W54" s="192" t="e">
        <f t="shared" si="5"/>
        <v>#DIV/0!</v>
      </c>
      <c r="X54" s="192" t="e">
        <f t="shared" si="5"/>
        <v>#DIV/0!</v>
      </c>
      <c r="Y54" s="192" t="e">
        <f t="shared" si="5"/>
        <v>#DIV/0!</v>
      </c>
      <c r="Z54" s="192" t="e">
        <f t="shared" si="5"/>
        <v>#DIV/0!</v>
      </c>
      <c r="AA54" s="192" t="e">
        <f t="shared" si="5"/>
        <v>#DIV/0!</v>
      </c>
      <c r="AB54" s="192" t="e">
        <f t="shared" si="5"/>
        <v>#DIV/0!</v>
      </c>
      <c r="AC54" s="192" t="e">
        <f t="shared" si="5"/>
        <v>#DIV/0!</v>
      </c>
      <c r="AD54" s="192" t="e">
        <f t="shared" si="5"/>
        <v>#DIV/0!</v>
      </c>
      <c r="AE54" s="192" t="e">
        <f t="shared" si="5"/>
        <v>#DIV/0!</v>
      </c>
    </row>
    <row r="55" spans="1:31">
      <c r="O55" s="190" t="s">
        <v>559</v>
      </c>
      <c r="P55" s="192" t="e">
        <f t="shared" ref="P55:AE55" si="6">(P50+VRO)*P52*(Tr+Tf)*0.000000001*Fsw/3</f>
        <v>#DIV/0!</v>
      </c>
      <c r="Q55" s="192" t="e">
        <f t="shared" si="6"/>
        <v>#DIV/0!</v>
      </c>
      <c r="R55" s="192" t="e">
        <f t="shared" si="6"/>
        <v>#DIV/0!</v>
      </c>
      <c r="S55" s="192" t="e">
        <f t="shared" si="6"/>
        <v>#DIV/0!</v>
      </c>
      <c r="T55" s="192" t="e">
        <f t="shared" si="6"/>
        <v>#DIV/0!</v>
      </c>
      <c r="U55" s="192" t="e">
        <f t="shared" si="6"/>
        <v>#DIV/0!</v>
      </c>
      <c r="V55" s="192" t="e">
        <f t="shared" si="6"/>
        <v>#DIV/0!</v>
      </c>
      <c r="W55" s="192" t="e">
        <f t="shared" si="6"/>
        <v>#DIV/0!</v>
      </c>
      <c r="X55" s="192" t="e">
        <f t="shared" si="6"/>
        <v>#DIV/0!</v>
      </c>
      <c r="Y55" s="192" t="e">
        <f t="shared" si="6"/>
        <v>#DIV/0!</v>
      </c>
      <c r="Z55" s="192" t="e">
        <f t="shared" si="6"/>
        <v>#DIV/0!</v>
      </c>
      <c r="AA55" s="192" t="e">
        <f t="shared" si="6"/>
        <v>#DIV/0!</v>
      </c>
      <c r="AB55" s="192" t="e">
        <f t="shared" si="6"/>
        <v>#DIV/0!</v>
      </c>
      <c r="AC55" s="192" t="e">
        <f t="shared" si="6"/>
        <v>#DIV/0!</v>
      </c>
      <c r="AD55" s="192" t="e">
        <f t="shared" si="6"/>
        <v>#DIV/0!</v>
      </c>
      <c r="AE55" s="192" t="e">
        <f t="shared" si="6"/>
        <v>#DIV/0!</v>
      </c>
    </row>
    <row r="56" spans="1:31">
      <c r="O56" s="190" t="s">
        <v>560</v>
      </c>
      <c r="P56" s="192">
        <f t="shared" ref="P56:AE56" si="7">Coss*0.000000000001*(P50+VRO)^2*Fsw/2</f>
        <v>0</v>
      </c>
      <c r="Q56" s="192">
        <f t="shared" si="7"/>
        <v>0</v>
      </c>
      <c r="R56" s="192">
        <f t="shared" si="7"/>
        <v>0</v>
      </c>
      <c r="S56" s="192">
        <f t="shared" si="7"/>
        <v>0</v>
      </c>
      <c r="T56" s="192">
        <f t="shared" si="7"/>
        <v>0</v>
      </c>
      <c r="U56" s="192">
        <f t="shared" si="7"/>
        <v>0</v>
      </c>
      <c r="V56" s="192">
        <f t="shared" si="7"/>
        <v>0</v>
      </c>
      <c r="W56" s="192">
        <f t="shared" si="7"/>
        <v>0</v>
      </c>
      <c r="X56" s="192">
        <f t="shared" si="7"/>
        <v>0</v>
      </c>
      <c r="Y56" s="192">
        <f t="shared" si="7"/>
        <v>0</v>
      </c>
      <c r="Z56" s="192">
        <f t="shared" si="7"/>
        <v>0</v>
      </c>
      <c r="AA56" s="192">
        <f t="shared" si="7"/>
        <v>0</v>
      </c>
      <c r="AB56" s="192">
        <f t="shared" si="7"/>
        <v>0</v>
      </c>
      <c r="AC56" s="192">
        <f t="shared" si="7"/>
        <v>0</v>
      </c>
      <c r="AD56" s="192">
        <f t="shared" si="7"/>
        <v>0</v>
      </c>
      <c r="AE56" s="192">
        <f t="shared" si="7"/>
        <v>0</v>
      </c>
    </row>
    <row r="57" spans="1:31">
      <c r="O57" s="190" t="s">
        <v>561</v>
      </c>
      <c r="P57" s="192">
        <f t="shared" ref="P57:AE57" si="8">Vdd*Iop*0.001</f>
        <v>1.8200000000000001E-2</v>
      </c>
      <c r="Q57" s="192">
        <f t="shared" si="8"/>
        <v>1.8200000000000001E-2</v>
      </c>
      <c r="R57" s="192">
        <f t="shared" si="8"/>
        <v>1.8200000000000001E-2</v>
      </c>
      <c r="S57" s="192">
        <f t="shared" si="8"/>
        <v>1.8200000000000001E-2</v>
      </c>
      <c r="T57" s="192">
        <f t="shared" si="8"/>
        <v>1.8200000000000001E-2</v>
      </c>
      <c r="U57" s="192">
        <f t="shared" si="8"/>
        <v>1.8200000000000001E-2</v>
      </c>
      <c r="V57" s="192">
        <f t="shared" si="8"/>
        <v>1.8200000000000001E-2</v>
      </c>
      <c r="W57" s="192">
        <f t="shared" si="8"/>
        <v>1.8200000000000001E-2</v>
      </c>
      <c r="X57" s="192">
        <f t="shared" si="8"/>
        <v>1.8200000000000001E-2</v>
      </c>
      <c r="Y57" s="192">
        <f t="shared" si="8"/>
        <v>1.8200000000000001E-2</v>
      </c>
      <c r="Z57" s="192">
        <f t="shared" si="8"/>
        <v>1.8200000000000001E-2</v>
      </c>
      <c r="AA57" s="192">
        <f t="shared" si="8"/>
        <v>1.8200000000000001E-2</v>
      </c>
      <c r="AB57" s="192">
        <f t="shared" si="8"/>
        <v>1.8200000000000001E-2</v>
      </c>
      <c r="AC57" s="192">
        <f t="shared" si="8"/>
        <v>1.8200000000000001E-2</v>
      </c>
      <c r="AD57" s="192">
        <f t="shared" si="8"/>
        <v>1.8200000000000001E-2</v>
      </c>
      <c r="AE57" s="192">
        <f t="shared" si="8"/>
        <v>1.8200000000000001E-2</v>
      </c>
    </row>
    <row r="58" spans="1:31">
      <c r="O58" s="184" t="s">
        <v>562</v>
      </c>
      <c r="P58" s="192" t="e">
        <f>SUM(P54:P57)</f>
        <v>#DIV/0!</v>
      </c>
      <c r="Q58" s="192" t="e">
        <f t="shared" ref="Q58:AE58" si="9">SUM(Q54:Q57)</f>
        <v>#DIV/0!</v>
      </c>
      <c r="R58" s="192" t="e">
        <f t="shared" si="9"/>
        <v>#DIV/0!</v>
      </c>
      <c r="S58" s="192" t="e">
        <f t="shared" si="9"/>
        <v>#DIV/0!</v>
      </c>
      <c r="T58" s="192" t="e">
        <f t="shared" si="9"/>
        <v>#DIV/0!</v>
      </c>
      <c r="U58" s="192" t="e">
        <f t="shared" si="9"/>
        <v>#DIV/0!</v>
      </c>
      <c r="V58" s="192" t="e">
        <f t="shared" si="9"/>
        <v>#DIV/0!</v>
      </c>
      <c r="W58" s="192" t="e">
        <f t="shared" si="9"/>
        <v>#DIV/0!</v>
      </c>
      <c r="X58" s="192" t="e">
        <f t="shared" si="9"/>
        <v>#DIV/0!</v>
      </c>
      <c r="Y58" s="192" t="e">
        <f t="shared" si="9"/>
        <v>#DIV/0!</v>
      </c>
      <c r="Z58" s="192" t="e">
        <f t="shared" si="9"/>
        <v>#DIV/0!</v>
      </c>
      <c r="AA58" s="192" t="e">
        <f t="shared" si="9"/>
        <v>#DIV/0!</v>
      </c>
      <c r="AB58" s="192" t="e">
        <f t="shared" si="9"/>
        <v>#DIV/0!</v>
      </c>
      <c r="AC58" s="192" t="e">
        <f t="shared" si="9"/>
        <v>#DIV/0!</v>
      </c>
      <c r="AD58" s="192" t="e">
        <f t="shared" si="9"/>
        <v>#DIV/0!</v>
      </c>
      <c r="AE58" s="192" t="e">
        <f t="shared" si="9"/>
        <v>#DIV/0!</v>
      </c>
    </row>
    <row r="62" spans="1:31">
      <c r="A62" s="115" t="s">
        <v>564</v>
      </c>
      <c r="B62" s="115"/>
      <c r="C62" s="115"/>
      <c r="D62" s="115"/>
      <c r="E62" s="115"/>
      <c r="F62" s="115"/>
      <c r="G62" s="115"/>
      <c r="H62" s="115"/>
      <c r="I62" s="115"/>
      <c r="J62" s="115"/>
      <c r="K62" s="116"/>
      <c r="L62" s="116"/>
      <c r="M62" s="116"/>
      <c r="N62" s="116"/>
      <c r="O62" s="116"/>
      <c r="Q62" s="168"/>
      <c r="R62" s="168"/>
      <c r="S62" s="168"/>
    </row>
    <row r="64" spans="1:31">
      <c r="B64" s="57" t="s">
        <v>566</v>
      </c>
      <c r="C64" s="197">
        <v>50</v>
      </c>
      <c r="D64" s="194" t="s">
        <v>565</v>
      </c>
    </row>
    <row r="65" spans="2:4">
      <c r="B65" s="174" t="s">
        <v>567</v>
      </c>
      <c r="C65" s="196">
        <f>VLOOKUP(Flyback!C34,Converters!B3:Y100,11,FALSE)</f>
        <v>110</v>
      </c>
      <c r="D65" s="195" t="s">
        <v>568</v>
      </c>
    </row>
    <row r="66" spans="2:4">
      <c r="B66" s="174" t="s">
        <v>569</v>
      </c>
      <c r="C66" s="196" t="e">
        <f>(C37*C65)+C64</f>
        <v>#DIV/0!</v>
      </c>
      <c r="D66" s="195" t="s">
        <v>565</v>
      </c>
    </row>
  </sheetData>
  <dataConsolidate function="varp"/>
  <mergeCells count="3">
    <mergeCell ref="M5:O5"/>
    <mergeCell ref="C3:F3"/>
    <mergeCell ref="I24:J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76"/>
  <sheetViews>
    <sheetView topLeftCell="A37" zoomScale="80" zoomScaleNormal="80" workbookViewId="0">
      <selection activeCell="I66" sqref="I66"/>
    </sheetView>
  </sheetViews>
  <sheetFormatPr defaultColWidth="11.42578125" defaultRowHeight="15"/>
  <cols>
    <col min="1" max="5" width="11.42578125" style="65"/>
    <col min="6" max="6" width="16" style="65" customWidth="1"/>
    <col min="7" max="7" width="19.28515625" style="65" customWidth="1"/>
    <col min="8" max="8" width="19.140625" style="65" customWidth="1"/>
    <col min="9" max="9" width="15.7109375" style="65" bestFit="1" customWidth="1"/>
    <col min="10" max="10" width="21.140625" style="65" customWidth="1"/>
    <col min="11" max="11" width="30.85546875" style="65" customWidth="1"/>
    <col min="12" max="12" width="25.5703125" style="65" customWidth="1"/>
    <col min="13" max="13" width="17.140625" style="65" customWidth="1"/>
    <col min="14" max="16384" width="11.42578125" style="65"/>
  </cols>
  <sheetData>
    <row r="4" spans="6:16" ht="99.75">
      <c r="F4" s="68" t="s">
        <v>201</v>
      </c>
      <c r="G4" s="68" t="s">
        <v>202</v>
      </c>
      <c r="H4" s="68" t="s">
        <v>203</v>
      </c>
      <c r="I4" s="157" t="s">
        <v>493</v>
      </c>
      <c r="J4" s="157" t="s">
        <v>495</v>
      </c>
      <c r="K4" s="68" t="s">
        <v>204</v>
      </c>
      <c r="L4" s="68" t="s">
        <v>205</v>
      </c>
      <c r="M4" s="68" t="s">
        <v>206</v>
      </c>
      <c r="N4" s="68" t="s">
        <v>207</v>
      </c>
      <c r="O4" s="68" t="s">
        <v>208</v>
      </c>
      <c r="P4" s="68" t="s">
        <v>209</v>
      </c>
    </row>
    <row r="5" spans="6:16">
      <c r="F5" s="69" t="s">
        <v>210</v>
      </c>
      <c r="G5" s="70">
        <v>0.46</v>
      </c>
      <c r="H5" s="71">
        <v>11.683999999999999</v>
      </c>
      <c r="I5" s="166">
        <f t="shared" ref="I5:I37" si="0">H5+0.03</f>
        <v>11.713999999999999</v>
      </c>
      <c r="J5" s="166">
        <f>H5+0.06</f>
        <v>11.744</v>
      </c>
      <c r="K5" s="70">
        <v>4.9000000000000002E-2</v>
      </c>
      <c r="L5" s="70">
        <v>0.16072</v>
      </c>
      <c r="M5" s="70">
        <v>380</v>
      </c>
      <c r="N5" s="70">
        <v>302</v>
      </c>
      <c r="O5" s="72" t="s">
        <v>211</v>
      </c>
      <c r="P5" s="72" t="s">
        <v>212</v>
      </c>
    </row>
    <row r="6" spans="6:16">
      <c r="F6" s="69" t="s">
        <v>213</v>
      </c>
      <c r="G6" s="70">
        <v>0.40960000000000002</v>
      </c>
      <c r="H6" s="70">
        <v>10.403840000000001</v>
      </c>
      <c r="I6" s="166">
        <f t="shared" si="0"/>
        <v>10.43384</v>
      </c>
      <c r="J6" s="166">
        <f t="shared" ref="J6:J48" si="1">H6+0.06</f>
        <v>10.463840000000001</v>
      </c>
      <c r="K6" s="70">
        <v>6.1800000000000001E-2</v>
      </c>
      <c r="L6" s="70">
        <v>0.202704</v>
      </c>
      <c r="M6" s="70">
        <v>328</v>
      </c>
      <c r="N6" s="70">
        <v>239</v>
      </c>
      <c r="O6" s="72" t="s">
        <v>214</v>
      </c>
      <c r="P6" s="72" t="s">
        <v>215</v>
      </c>
    </row>
    <row r="7" spans="6:16">
      <c r="F7" s="69" t="s">
        <v>216</v>
      </c>
      <c r="G7" s="70">
        <v>0.36480000000000001</v>
      </c>
      <c r="H7" s="70">
        <v>9.2659199999999995</v>
      </c>
      <c r="I7" s="166">
        <f t="shared" si="0"/>
        <v>9.2959199999999989</v>
      </c>
      <c r="J7" s="166">
        <f t="shared" si="1"/>
        <v>9.32592</v>
      </c>
      <c r="K7" s="70">
        <v>7.7899999999999997E-2</v>
      </c>
      <c r="L7" s="70">
        <v>0.25551200000000002</v>
      </c>
      <c r="M7" s="70">
        <v>283</v>
      </c>
      <c r="N7" s="70">
        <v>190</v>
      </c>
      <c r="O7" s="72" t="s">
        <v>217</v>
      </c>
      <c r="P7" s="72" t="s">
        <v>218</v>
      </c>
    </row>
    <row r="8" spans="6:16">
      <c r="F8" s="69" t="s">
        <v>497</v>
      </c>
      <c r="G8" s="70">
        <v>0.32490000000000002</v>
      </c>
      <c r="H8" s="70">
        <v>8.2524599999999992</v>
      </c>
      <c r="I8" s="166">
        <f t="shared" si="0"/>
        <v>8.2824599999999986</v>
      </c>
      <c r="J8" s="166">
        <f t="shared" si="1"/>
        <v>8.3124599999999997</v>
      </c>
      <c r="K8" s="70">
        <v>9.8299999999999998E-2</v>
      </c>
      <c r="L8" s="70">
        <v>0.32242399999999999</v>
      </c>
      <c r="M8" s="70">
        <v>245</v>
      </c>
      <c r="N8" s="70">
        <v>150</v>
      </c>
      <c r="O8" s="72" t="s">
        <v>219</v>
      </c>
      <c r="P8" s="72" t="s">
        <v>220</v>
      </c>
    </row>
    <row r="9" spans="6:16">
      <c r="F9" s="69" t="s">
        <v>498</v>
      </c>
      <c r="G9" s="70">
        <v>0.2893</v>
      </c>
      <c r="H9" s="70">
        <v>7.3482200000000004</v>
      </c>
      <c r="I9" s="166">
        <f t="shared" si="0"/>
        <v>7.3782200000000007</v>
      </c>
      <c r="J9" s="166">
        <f t="shared" si="1"/>
        <v>7.40822</v>
      </c>
      <c r="K9" s="70">
        <v>0.1239</v>
      </c>
      <c r="L9" s="70">
        <v>0.40639199999999998</v>
      </c>
      <c r="M9" s="70">
        <v>211</v>
      </c>
      <c r="N9" s="70">
        <v>119</v>
      </c>
      <c r="O9" s="72" t="s">
        <v>221</v>
      </c>
      <c r="P9" s="72" t="s">
        <v>222</v>
      </c>
    </row>
    <row r="10" spans="6:16">
      <c r="F10" s="69" t="s">
        <v>499</v>
      </c>
      <c r="G10" s="70">
        <v>0.2576</v>
      </c>
      <c r="H10" s="70">
        <v>6.5430400000000004</v>
      </c>
      <c r="I10" s="166">
        <f t="shared" si="0"/>
        <v>6.5730400000000007</v>
      </c>
      <c r="J10" s="166">
        <f t="shared" si="1"/>
        <v>6.60304</v>
      </c>
      <c r="K10" s="70">
        <v>0.15629999999999999</v>
      </c>
      <c r="L10" s="70">
        <v>0.51266400000000001</v>
      </c>
      <c r="M10" s="70">
        <v>181</v>
      </c>
      <c r="N10" s="70">
        <v>94</v>
      </c>
      <c r="O10" s="72" t="s">
        <v>223</v>
      </c>
      <c r="P10" s="72" t="s">
        <v>224</v>
      </c>
    </row>
    <row r="11" spans="6:16">
      <c r="F11" s="69" t="s">
        <v>500</v>
      </c>
      <c r="G11" s="70">
        <v>0.22939999999999999</v>
      </c>
      <c r="H11" s="70">
        <v>5.8267600000000002</v>
      </c>
      <c r="I11" s="166">
        <f t="shared" si="0"/>
        <v>5.8567600000000004</v>
      </c>
      <c r="J11" s="166">
        <f t="shared" si="1"/>
        <v>5.8867599999999998</v>
      </c>
      <c r="K11" s="70">
        <v>0.19700000000000001</v>
      </c>
      <c r="L11" s="70">
        <v>0.64615999999999996</v>
      </c>
      <c r="M11" s="70">
        <v>158</v>
      </c>
      <c r="N11" s="70">
        <v>75</v>
      </c>
      <c r="O11" s="72" t="s">
        <v>225</v>
      </c>
      <c r="P11" s="72" t="s">
        <v>226</v>
      </c>
    </row>
    <row r="12" spans="6:16">
      <c r="F12" s="69" t="s">
        <v>501</v>
      </c>
      <c r="G12" s="70">
        <v>0.20430000000000001</v>
      </c>
      <c r="H12" s="70">
        <v>5.1892199999999997</v>
      </c>
      <c r="I12" s="166">
        <f t="shared" si="0"/>
        <v>5.21922</v>
      </c>
      <c r="J12" s="166">
        <f t="shared" si="1"/>
        <v>5.2492199999999993</v>
      </c>
      <c r="K12" s="70">
        <v>0.2485</v>
      </c>
      <c r="L12" s="70">
        <v>0.81508000000000003</v>
      </c>
      <c r="M12" s="70">
        <v>135</v>
      </c>
      <c r="N12" s="70">
        <v>60</v>
      </c>
      <c r="O12" s="72" t="s">
        <v>227</v>
      </c>
      <c r="P12" s="72" t="s">
        <v>228</v>
      </c>
    </row>
    <row r="13" spans="6:16">
      <c r="F13" s="69" t="s">
        <v>502</v>
      </c>
      <c r="G13" s="70">
        <v>0.18190000000000001</v>
      </c>
      <c r="H13" s="70">
        <v>4.62026</v>
      </c>
      <c r="I13" s="166">
        <f t="shared" si="0"/>
        <v>4.6502600000000003</v>
      </c>
      <c r="J13" s="166">
        <f t="shared" si="1"/>
        <v>4.6802599999999996</v>
      </c>
      <c r="K13" s="70">
        <v>0.31330000000000002</v>
      </c>
      <c r="L13" s="70">
        <v>1.0276240000000001</v>
      </c>
      <c r="M13" s="70">
        <v>118</v>
      </c>
      <c r="N13" s="70">
        <v>47</v>
      </c>
      <c r="O13" s="72" t="s">
        <v>229</v>
      </c>
      <c r="P13" s="72" t="s">
        <v>230</v>
      </c>
    </row>
    <row r="14" spans="6:16">
      <c r="F14" s="69" t="s">
        <v>503</v>
      </c>
      <c r="G14" s="70">
        <v>0.16200000000000001</v>
      </c>
      <c r="H14" s="70">
        <v>4.1147999999999998</v>
      </c>
      <c r="I14" s="166">
        <f t="shared" si="0"/>
        <v>4.1448</v>
      </c>
      <c r="J14" s="166">
        <f t="shared" si="1"/>
        <v>4.1747999999999994</v>
      </c>
      <c r="K14" s="70">
        <v>0.39510000000000001</v>
      </c>
      <c r="L14" s="70">
        <v>1.295928</v>
      </c>
      <c r="M14" s="70">
        <v>101</v>
      </c>
      <c r="N14" s="70">
        <v>37</v>
      </c>
      <c r="O14" s="72" t="s">
        <v>231</v>
      </c>
      <c r="P14" s="72" t="s">
        <v>232</v>
      </c>
    </row>
    <row r="15" spans="6:16">
      <c r="F15" s="69" t="s">
        <v>504</v>
      </c>
      <c r="G15" s="70">
        <v>0.14430000000000001</v>
      </c>
      <c r="H15" s="70">
        <v>3.6652200000000001</v>
      </c>
      <c r="I15" s="166">
        <f t="shared" si="0"/>
        <v>3.6952199999999999</v>
      </c>
      <c r="J15" s="166">
        <f t="shared" si="1"/>
        <v>3.7252200000000002</v>
      </c>
      <c r="K15" s="70">
        <v>0.49819999999999998</v>
      </c>
      <c r="L15" s="70">
        <v>1.634096</v>
      </c>
      <c r="M15" s="70">
        <v>89</v>
      </c>
      <c r="N15" s="70">
        <v>30</v>
      </c>
      <c r="O15" s="72" t="s">
        <v>233</v>
      </c>
      <c r="P15" s="72" t="s">
        <v>234</v>
      </c>
    </row>
    <row r="16" spans="6:16">
      <c r="F16" s="69" t="s">
        <v>505</v>
      </c>
      <c r="G16" s="70">
        <v>0.1285</v>
      </c>
      <c r="H16" s="70">
        <v>3.2639</v>
      </c>
      <c r="I16" s="166">
        <f t="shared" si="0"/>
        <v>3.2938999999999998</v>
      </c>
      <c r="J16" s="166">
        <f t="shared" si="1"/>
        <v>3.3239000000000001</v>
      </c>
      <c r="K16" s="70">
        <v>0.62819999999999998</v>
      </c>
      <c r="L16" s="70">
        <v>2.0604960000000001</v>
      </c>
      <c r="M16" s="70">
        <v>73</v>
      </c>
      <c r="N16" s="70">
        <v>24</v>
      </c>
      <c r="O16" s="72" t="s">
        <v>235</v>
      </c>
      <c r="P16" s="72" t="s">
        <v>236</v>
      </c>
    </row>
    <row r="17" spans="6:16">
      <c r="F17" s="69" t="s">
        <v>506</v>
      </c>
      <c r="G17" s="70">
        <v>0.1144</v>
      </c>
      <c r="H17" s="70">
        <v>2.9057599999999999</v>
      </c>
      <c r="I17" s="166">
        <f t="shared" si="0"/>
        <v>2.9357599999999997</v>
      </c>
      <c r="J17" s="166">
        <f t="shared" si="1"/>
        <v>2.96576</v>
      </c>
      <c r="K17" s="70">
        <v>0.79210000000000003</v>
      </c>
      <c r="L17" s="70">
        <v>2.5980880000000002</v>
      </c>
      <c r="M17" s="70">
        <v>64</v>
      </c>
      <c r="N17" s="70">
        <v>19</v>
      </c>
      <c r="O17" s="72" t="s">
        <v>237</v>
      </c>
      <c r="P17" s="72" t="s">
        <v>238</v>
      </c>
    </row>
    <row r="18" spans="6:16">
      <c r="F18" s="69" t="s">
        <v>507</v>
      </c>
      <c r="G18" s="70">
        <v>0.1019</v>
      </c>
      <c r="H18" s="70">
        <v>2.58826</v>
      </c>
      <c r="I18" s="166">
        <f t="shared" si="0"/>
        <v>2.6182599999999998</v>
      </c>
      <c r="J18" s="166">
        <f t="shared" si="1"/>
        <v>2.6482600000000001</v>
      </c>
      <c r="K18" s="70">
        <v>0.99890000000000001</v>
      </c>
      <c r="L18" s="70">
        <v>3.276392</v>
      </c>
      <c r="M18" s="70">
        <v>55</v>
      </c>
      <c r="N18" s="70">
        <v>15</v>
      </c>
      <c r="O18" s="72" t="s">
        <v>239</v>
      </c>
      <c r="P18" s="72" t="s">
        <v>240</v>
      </c>
    </row>
    <row r="19" spans="6:16">
      <c r="F19" s="69" t="s">
        <v>508</v>
      </c>
      <c r="G19" s="70">
        <v>9.0700000000000003E-2</v>
      </c>
      <c r="H19" s="70">
        <v>2.3037800000000002</v>
      </c>
      <c r="I19" s="166">
        <f t="shared" si="0"/>
        <v>2.33378</v>
      </c>
      <c r="J19" s="166">
        <f t="shared" si="1"/>
        <v>2.3637800000000002</v>
      </c>
      <c r="K19" s="70">
        <v>1.26</v>
      </c>
      <c r="L19" s="70">
        <v>4.1327999999999996</v>
      </c>
      <c r="M19" s="70">
        <v>47</v>
      </c>
      <c r="N19" s="70">
        <v>12</v>
      </c>
      <c r="O19" s="72" t="s">
        <v>241</v>
      </c>
      <c r="P19" s="72" t="s">
        <v>242</v>
      </c>
    </row>
    <row r="20" spans="6:16">
      <c r="F20" s="69" t="s">
        <v>509</v>
      </c>
      <c r="G20" s="70">
        <v>8.0799999999999997E-2</v>
      </c>
      <c r="H20" s="70">
        <v>2.0523199999999999</v>
      </c>
      <c r="I20" s="166">
        <f t="shared" si="0"/>
        <v>2.0823199999999997</v>
      </c>
      <c r="J20" s="166">
        <f t="shared" si="1"/>
        <v>2.11232</v>
      </c>
      <c r="K20" s="70">
        <v>1.5880000000000001</v>
      </c>
      <c r="L20" s="70">
        <v>5.2086399999999999</v>
      </c>
      <c r="M20" s="70">
        <v>41</v>
      </c>
      <c r="N20" s="70">
        <v>9.3000000000000007</v>
      </c>
      <c r="O20" s="72" t="s">
        <v>243</v>
      </c>
      <c r="P20" s="72" t="s">
        <v>244</v>
      </c>
    </row>
    <row r="21" spans="6:16">
      <c r="F21" s="69" t="s">
        <v>510</v>
      </c>
      <c r="G21" s="70">
        <v>7.1999999999999995E-2</v>
      </c>
      <c r="H21" s="70">
        <v>1.8288</v>
      </c>
      <c r="I21" s="166">
        <f t="shared" si="0"/>
        <v>1.8588</v>
      </c>
      <c r="J21" s="166">
        <f t="shared" si="1"/>
        <v>1.8888</v>
      </c>
      <c r="K21" s="70">
        <v>2.0030000000000001</v>
      </c>
      <c r="L21" s="70">
        <v>6.5698400000000001</v>
      </c>
      <c r="M21" s="70">
        <v>35</v>
      </c>
      <c r="N21" s="70">
        <v>7.4</v>
      </c>
      <c r="O21" s="72" t="s">
        <v>245</v>
      </c>
      <c r="P21" s="72" t="s">
        <v>246</v>
      </c>
    </row>
    <row r="22" spans="6:16">
      <c r="F22" s="69" t="s">
        <v>511</v>
      </c>
      <c r="G22" s="70">
        <v>6.4100000000000004E-2</v>
      </c>
      <c r="H22" s="70">
        <v>1.6281399999999999</v>
      </c>
      <c r="I22" s="166">
        <f t="shared" si="0"/>
        <v>1.6581399999999999</v>
      </c>
      <c r="J22" s="166">
        <f t="shared" si="1"/>
        <v>1.68814</v>
      </c>
      <c r="K22" s="70">
        <v>2.5249999999999999</v>
      </c>
      <c r="L22" s="70">
        <v>8.282</v>
      </c>
      <c r="M22" s="70">
        <v>32</v>
      </c>
      <c r="N22" s="70">
        <v>5.9</v>
      </c>
      <c r="O22" s="72" t="s">
        <v>247</v>
      </c>
      <c r="P22" s="72" t="s">
        <v>248</v>
      </c>
    </row>
    <row r="23" spans="6:16">
      <c r="F23" s="69" t="s">
        <v>512</v>
      </c>
      <c r="G23" s="70">
        <v>5.7099999999999998E-2</v>
      </c>
      <c r="H23" s="70">
        <v>1.45034</v>
      </c>
      <c r="I23" s="166">
        <f t="shared" si="0"/>
        <v>1.48034</v>
      </c>
      <c r="J23" s="166">
        <f t="shared" si="1"/>
        <v>1.51034</v>
      </c>
      <c r="K23" s="70">
        <v>3.1840000000000002</v>
      </c>
      <c r="L23" s="70">
        <v>10.443519999999999</v>
      </c>
      <c r="M23" s="70">
        <v>28</v>
      </c>
      <c r="N23" s="70">
        <v>4.7</v>
      </c>
      <c r="O23" s="72" t="s">
        <v>249</v>
      </c>
      <c r="P23" s="72" t="s">
        <v>250</v>
      </c>
    </row>
    <row r="24" spans="6:16">
      <c r="F24" s="69" t="s">
        <v>513</v>
      </c>
      <c r="G24" s="70">
        <v>5.0799999999999998E-2</v>
      </c>
      <c r="H24" s="70">
        <v>1.2903199999999999</v>
      </c>
      <c r="I24" s="166">
        <f t="shared" si="0"/>
        <v>1.3203199999999999</v>
      </c>
      <c r="J24" s="166">
        <f t="shared" si="1"/>
        <v>1.35032</v>
      </c>
      <c r="K24" s="70">
        <v>4.016</v>
      </c>
      <c r="L24" s="70">
        <v>13.17248</v>
      </c>
      <c r="M24" s="70">
        <v>22</v>
      </c>
      <c r="N24" s="70">
        <v>3.7</v>
      </c>
      <c r="O24" s="72" t="s">
        <v>251</v>
      </c>
      <c r="P24" s="72" t="s">
        <v>252</v>
      </c>
    </row>
    <row r="25" spans="6:16">
      <c r="F25" s="69" t="s">
        <v>514</v>
      </c>
      <c r="G25" s="70">
        <v>4.53E-2</v>
      </c>
      <c r="H25" s="70">
        <v>1.15062</v>
      </c>
      <c r="I25" s="166">
        <f t="shared" si="0"/>
        <v>1.18062</v>
      </c>
      <c r="J25" s="166">
        <f t="shared" si="1"/>
        <v>1.21062</v>
      </c>
      <c r="K25" s="70">
        <v>5.0640000000000001</v>
      </c>
      <c r="L25" s="70">
        <v>16.609919999999999</v>
      </c>
      <c r="M25" s="70">
        <v>19</v>
      </c>
      <c r="N25" s="70">
        <v>2.9</v>
      </c>
      <c r="O25" s="72" t="s">
        <v>253</v>
      </c>
      <c r="P25" s="72" t="s">
        <v>254</v>
      </c>
    </row>
    <row r="26" spans="6:16">
      <c r="F26" s="69" t="s">
        <v>515</v>
      </c>
      <c r="G26" s="70">
        <v>4.0300000000000002E-2</v>
      </c>
      <c r="H26" s="70">
        <v>1.02362</v>
      </c>
      <c r="I26" s="166">
        <f t="shared" si="0"/>
        <v>1.05362</v>
      </c>
      <c r="J26" s="166">
        <f t="shared" si="1"/>
        <v>1.08362</v>
      </c>
      <c r="K26" s="70">
        <v>6.3849999999999998</v>
      </c>
      <c r="L26" s="70">
        <v>20.942799999999998</v>
      </c>
      <c r="M26" s="70">
        <v>16</v>
      </c>
      <c r="N26" s="70">
        <v>2.2999999999999998</v>
      </c>
      <c r="O26" s="72" t="s">
        <v>255</v>
      </c>
      <c r="P26" s="72" t="s">
        <v>256</v>
      </c>
    </row>
    <row r="27" spans="6:16">
      <c r="F27" s="69" t="s">
        <v>516</v>
      </c>
      <c r="G27" s="70">
        <v>3.5900000000000001E-2</v>
      </c>
      <c r="H27" s="70">
        <v>0.91186</v>
      </c>
      <c r="I27" s="166">
        <f t="shared" si="0"/>
        <v>0.94186000000000003</v>
      </c>
      <c r="J27" s="166">
        <f t="shared" si="1"/>
        <v>0.97185999999999995</v>
      </c>
      <c r="K27" s="70">
        <v>8.0510000000000002</v>
      </c>
      <c r="L27" s="70">
        <v>26.40728</v>
      </c>
      <c r="M27" s="70">
        <v>14</v>
      </c>
      <c r="N27" s="70">
        <v>1.8</v>
      </c>
      <c r="O27" s="72" t="s">
        <v>257</v>
      </c>
      <c r="P27" s="72" t="s">
        <v>258</v>
      </c>
    </row>
    <row r="28" spans="6:16">
      <c r="F28" s="69" t="s">
        <v>517</v>
      </c>
      <c r="G28" s="70">
        <v>3.2000000000000001E-2</v>
      </c>
      <c r="H28" s="70">
        <v>0.81279999999999997</v>
      </c>
      <c r="I28" s="166">
        <f t="shared" si="0"/>
        <v>0.84279999999999999</v>
      </c>
      <c r="J28" s="166">
        <f t="shared" si="1"/>
        <v>0.87280000000000002</v>
      </c>
      <c r="K28" s="70">
        <v>10.15</v>
      </c>
      <c r="L28" s="70">
        <v>33.292000000000002</v>
      </c>
      <c r="M28" s="70">
        <v>11</v>
      </c>
      <c r="N28" s="70">
        <v>1.5</v>
      </c>
      <c r="O28" s="72" t="s">
        <v>259</v>
      </c>
      <c r="P28" s="72" t="s">
        <v>260</v>
      </c>
    </row>
    <row r="29" spans="6:16">
      <c r="F29" s="69" t="s">
        <v>518</v>
      </c>
      <c r="G29" s="70">
        <v>2.8500000000000001E-2</v>
      </c>
      <c r="H29" s="70">
        <v>0.72389999999999999</v>
      </c>
      <c r="I29" s="166">
        <f t="shared" si="0"/>
        <v>0.75390000000000001</v>
      </c>
      <c r="J29" s="166">
        <f t="shared" si="1"/>
        <v>0.78390000000000004</v>
      </c>
      <c r="K29" s="70">
        <v>12.8</v>
      </c>
      <c r="L29" s="70">
        <v>41.984000000000002</v>
      </c>
      <c r="M29" s="70">
        <v>9</v>
      </c>
      <c r="N29" s="70">
        <v>1.2</v>
      </c>
      <c r="O29" s="72" t="s">
        <v>261</v>
      </c>
      <c r="P29" s="72" t="s">
        <v>262</v>
      </c>
    </row>
    <row r="30" spans="6:16">
      <c r="F30" s="69" t="s">
        <v>519</v>
      </c>
      <c r="G30" s="70">
        <v>2.5399999999999999E-2</v>
      </c>
      <c r="H30" s="70">
        <v>0.64515999999999996</v>
      </c>
      <c r="I30" s="166">
        <f t="shared" si="0"/>
        <v>0.67515999999999998</v>
      </c>
      <c r="J30" s="166">
        <f t="shared" si="1"/>
        <v>0.70516000000000001</v>
      </c>
      <c r="K30" s="70">
        <v>16.14</v>
      </c>
      <c r="L30" s="70">
        <v>52.9392</v>
      </c>
      <c r="M30" s="70">
        <v>7</v>
      </c>
      <c r="N30" s="70">
        <v>0.92</v>
      </c>
      <c r="O30" s="72" t="s">
        <v>263</v>
      </c>
      <c r="P30" s="72" t="s">
        <v>264</v>
      </c>
    </row>
    <row r="31" spans="6:16">
      <c r="F31" s="69" t="s">
        <v>520</v>
      </c>
      <c r="G31" s="70">
        <v>2.2599999999999999E-2</v>
      </c>
      <c r="H31" s="70">
        <v>0.57403999999999999</v>
      </c>
      <c r="I31" s="166">
        <f t="shared" si="0"/>
        <v>0.60404000000000002</v>
      </c>
      <c r="J31" s="166">
        <f t="shared" si="1"/>
        <v>0.63403999999999994</v>
      </c>
      <c r="K31" s="70">
        <v>20.36</v>
      </c>
      <c r="L31" s="70">
        <v>66.780799999999999</v>
      </c>
      <c r="M31" s="70">
        <v>4.7</v>
      </c>
      <c r="N31" s="70">
        <v>0.72899999999999998</v>
      </c>
      <c r="O31" s="72" t="s">
        <v>265</v>
      </c>
      <c r="P31" s="72" t="s">
        <v>266</v>
      </c>
    </row>
    <row r="32" spans="6:16">
      <c r="F32" s="69" t="s">
        <v>521</v>
      </c>
      <c r="G32" s="70">
        <v>2.01E-2</v>
      </c>
      <c r="H32" s="70">
        <v>0.51053999999999999</v>
      </c>
      <c r="I32" s="166">
        <f t="shared" si="0"/>
        <v>0.54054000000000002</v>
      </c>
      <c r="J32" s="166">
        <f t="shared" si="1"/>
        <v>0.57054000000000005</v>
      </c>
      <c r="K32" s="70">
        <v>25.67</v>
      </c>
      <c r="L32" s="70">
        <v>84.197599999999994</v>
      </c>
      <c r="M32" s="70">
        <v>3.5</v>
      </c>
      <c r="N32" s="70">
        <v>0.57699999999999996</v>
      </c>
      <c r="O32" s="72" t="s">
        <v>267</v>
      </c>
      <c r="P32" s="72" t="s">
        <v>268</v>
      </c>
    </row>
    <row r="33" spans="6:16">
      <c r="F33" s="69" t="s">
        <v>522</v>
      </c>
      <c r="G33" s="70">
        <v>1.7899999999999999E-2</v>
      </c>
      <c r="H33" s="70">
        <v>0.45466000000000001</v>
      </c>
      <c r="I33" s="166">
        <f t="shared" si="0"/>
        <v>0.48465999999999998</v>
      </c>
      <c r="J33" s="166">
        <f t="shared" si="1"/>
        <v>0.51466000000000001</v>
      </c>
      <c r="K33" s="70">
        <v>32.369999999999997</v>
      </c>
      <c r="L33" s="70">
        <v>106.17359999999999</v>
      </c>
      <c r="M33" s="70">
        <v>2.7</v>
      </c>
      <c r="N33" s="70">
        <v>0.45700000000000002</v>
      </c>
      <c r="O33" s="72" t="s">
        <v>269</v>
      </c>
      <c r="P33" s="72" t="s">
        <v>270</v>
      </c>
    </row>
    <row r="34" spans="6:16">
      <c r="F34" s="69" t="s">
        <v>523</v>
      </c>
      <c r="G34" s="70">
        <v>1.5900000000000001E-2</v>
      </c>
      <c r="H34" s="70">
        <v>0.40386</v>
      </c>
      <c r="I34" s="166">
        <f t="shared" si="0"/>
        <v>0.43386000000000002</v>
      </c>
      <c r="J34" s="166">
        <f t="shared" si="1"/>
        <v>0.46385999999999999</v>
      </c>
      <c r="K34" s="70">
        <v>40.81</v>
      </c>
      <c r="L34" s="70">
        <v>133.85679999999999</v>
      </c>
      <c r="M34" s="70">
        <v>2.2000000000000002</v>
      </c>
      <c r="N34" s="70">
        <v>0.36099999999999999</v>
      </c>
      <c r="O34" s="72" t="s">
        <v>271</v>
      </c>
      <c r="P34" s="72" t="s">
        <v>272</v>
      </c>
    </row>
    <row r="35" spans="6:16">
      <c r="F35" s="69" t="s">
        <v>524</v>
      </c>
      <c r="G35" s="70">
        <v>1.4200000000000001E-2</v>
      </c>
      <c r="H35" s="70">
        <v>0.36068</v>
      </c>
      <c r="I35" s="166">
        <f t="shared" si="0"/>
        <v>0.39068000000000003</v>
      </c>
      <c r="J35" s="166">
        <f t="shared" si="1"/>
        <v>0.42068</v>
      </c>
      <c r="K35" s="70">
        <v>51.47</v>
      </c>
      <c r="L35" s="70">
        <v>168.82159999999999</v>
      </c>
      <c r="M35" s="70">
        <v>1.7</v>
      </c>
      <c r="N35" s="70">
        <v>0.28799999999999998</v>
      </c>
      <c r="O35" s="72" t="s">
        <v>273</v>
      </c>
      <c r="P35" s="72" t="s">
        <v>274</v>
      </c>
    </row>
    <row r="36" spans="6:16">
      <c r="F36" s="69" t="s">
        <v>537</v>
      </c>
      <c r="G36" s="70">
        <v>1.26E-2</v>
      </c>
      <c r="H36" s="70">
        <v>0.32003999999999999</v>
      </c>
      <c r="I36" s="166">
        <f t="shared" si="0"/>
        <v>0.35004000000000002</v>
      </c>
      <c r="J36" s="166">
        <f t="shared" si="1"/>
        <v>0.38003999999999999</v>
      </c>
      <c r="K36" s="70">
        <v>64.900000000000006</v>
      </c>
      <c r="L36" s="70">
        <v>212.87200000000001</v>
      </c>
      <c r="M36" s="70">
        <v>1.4</v>
      </c>
      <c r="N36" s="70">
        <v>0.22600000000000001</v>
      </c>
      <c r="O36" s="72" t="s">
        <v>275</v>
      </c>
      <c r="P36" s="72" t="s">
        <v>276</v>
      </c>
    </row>
    <row r="37" spans="6:16">
      <c r="F37" s="69" t="s">
        <v>536</v>
      </c>
      <c r="G37" s="70">
        <v>1.1299999999999999E-2</v>
      </c>
      <c r="H37" s="70">
        <v>0.28702</v>
      </c>
      <c r="I37" s="166">
        <f t="shared" si="0"/>
        <v>0.31701999999999997</v>
      </c>
      <c r="J37" s="166">
        <f t="shared" si="1"/>
        <v>0.34702</v>
      </c>
      <c r="K37" s="70">
        <v>81.83</v>
      </c>
      <c r="L37" s="70">
        <v>268.4024</v>
      </c>
      <c r="M37" s="70">
        <v>1.2</v>
      </c>
      <c r="N37" s="70">
        <v>0.182</v>
      </c>
      <c r="O37" s="72" t="s">
        <v>277</v>
      </c>
      <c r="P37" s="72" t="s">
        <v>278</v>
      </c>
    </row>
    <row r="38" spans="6:16">
      <c r="F38" s="69" t="s">
        <v>535</v>
      </c>
      <c r="G38" s="70">
        <v>0.01</v>
      </c>
      <c r="H38" s="70">
        <v>0.254</v>
      </c>
      <c r="I38" s="166">
        <f>H38+0.03</f>
        <v>0.28400000000000003</v>
      </c>
      <c r="J38" s="166">
        <f t="shared" si="1"/>
        <v>0.314</v>
      </c>
      <c r="K38" s="70">
        <v>103.2</v>
      </c>
      <c r="L38" s="70">
        <v>338.49599999999998</v>
      </c>
      <c r="M38" s="70">
        <v>0.86</v>
      </c>
      <c r="N38" s="70">
        <v>0.14199999999999999</v>
      </c>
      <c r="O38" s="72" t="s">
        <v>279</v>
      </c>
      <c r="P38" s="72" t="s">
        <v>280</v>
      </c>
    </row>
    <row r="39" spans="6:16">
      <c r="F39" s="69" t="s">
        <v>534</v>
      </c>
      <c r="G39" s="70">
        <v>8.8999999999999999E-3</v>
      </c>
      <c r="H39" s="70">
        <v>0.22606000000000001</v>
      </c>
      <c r="I39" s="166">
        <f t="shared" ref="I39:I48" si="2">H39+0.03</f>
        <v>0.25606000000000001</v>
      </c>
      <c r="J39" s="166">
        <f t="shared" si="1"/>
        <v>0.28605999999999998</v>
      </c>
      <c r="K39" s="70">
        <v>130.1</v>
      </c>
      <c r="L39" s="70">
        <v>426.72800000000001</v>
      </c>
      <c r="M39" s="70">
        <v>0.7</v>
      </c>
      <c r="N39" s="70">
        <v>0.113</v>
      </c>
      <c r="O39" s="72" t="s">
        <v>281</v>
      </c>
      <c r="P39" s="72" t="s">
        <v>282</v>
      </c>
    </row>
    <row r="40" spans="6:16">
      <c r="F40" s="69" t="s">
        <v>533</v>
      </c>
      <c r="G40" s="70">
        <v>8.0000000000000002E-3</v>
      </c>
      <c r="H40" s="70">
        <v>0.20319999999999999</v>
      </c>
      <c r="I40" s="166">
        <f t="shared" si="2"/>
        <v>0.23319999999999999</v>
      </c>
      <c r="J40" s="166">
        <f t="shared" si="1"/>
        <v>0.26319999999999999</v>
      </c>
      <c r="K40" s="70">
        <v>164.1</v>
      </c>
      <c r="L40" s="70">
        <v>538.24800000000005</v>
      </c>
      <c r="M40" s="70">
        <v>0.53</v>
      </c>
      <c r="N40" s="70">
        <v>9.0999999999999998E-2</v>
      </c>
      <c r="O40" s="72" t="s">
        <v>283</v>
      </c>
      <c r="P40" s="72" t="s">
        <v>284</v>
      </c>
    </row>
    <row r="41" spans="6:16">
      <c r="F41" s="69" t="s">
        <v>532</v>
      </c>
      <c r="G41" s="70">
        <v>7.1000000000000004E-3</v>
      </c>
      <c r="H41" s="70">
        <v>0.18034</v>
      </c>
      <c r="I41" s="166">
        <f t="shared" si="2"/>
        <v>0.21034</v>
      </c>
      <c r="J41" s="166">
        <f t="shared" si="1"/>
        <v>0.24034</v>
      </c>
      <c r="K41" s="70">
        <v>206.9</v>
      </c>
      <c r="L41" s="70">
        <v>678.63199999999995</v>
      </c>
      <c r="M41" s="70">
        <v>0.43</v>
      </c>
      <c r="N41" s="70">
        <v>7.1999999999999995E-2</v>
      </c>
      <c r="O41" s="72" t="s">
        <v>285</v>
      </c>
      <c r="P41" s="72" t="s">
        <v>286</v>
      </c>
    </row>
    <row r="42" spans="6:16">
      <c r="F42" s="69" t="s">
        <v>531</v>
      </c>
      <c r="G42" s="70">
        <v>6.3E-3</v>
      </c>
      <c r="H42" s="70">
        <v>0.16002</v>
      </c>
      <c r="I42" s="166">
        <f t="shared" si="2"/>
        <v>0.19001999999999999</v>
      </c>
      <c r="J42" s="166">
        <f t="shared" si="1"/>
        <v>0.22001999999999999</v>
      </c>
      <c r="K42" s="70">
        <v>260.89999999999998</v>
      </c>
      <c r="L42" s="70">
        <v>855.75199999999995</v>
      </c>
      <c r="M42" s="70">
        <v>0.33</v>
      </c>
      <c r="N42" s="70">
        <v>5.6000000000000001E-2</v>
      </c>
      <c r="O42" s="72" t="s">
        <v>287</v>
      </c>
      <c r="P42" s="72" t="s">
        <v>288</v>
      </c>
    </row>
    <row r="43" spans="6:16">
      <c r="F43" s="69" t="s">
        <v>530</v>
      </c>
      <c r="G43" s="70">
        <v>5.5999999999999999E-3</v>
      </c>
      <c r="H43" s="70">
        <v>0.14224000000000001</v>
      </c>
      <c r="I43" s="166">
        <f t="shared" si="2"/>
        <v>0.17224</v>
      </c>
      <c r="J43" s="166">
        <f t="shared" si="1"/>
        <v>0.20224</v>
      </c>
      <c r="K43" s="70">
        <v>329</v>
      </c>
      <c r="L43" s="70">
        <v>1079.1199999999999</v>
      </c>
      <c r="M43" s="70">
        <v>0.27</v>
      </c>
      <c r="N43" s="70">
        <v>4.3999999999999997E-2</v>
      </c>
      <c r="O43" s="72" t="s">
        <v>289</v>
      </c>
      <c r="P43" s="72" t="s">
        <v>290</v>
      </c>
    </row>
    <row r="44" spans="6:16">
      <c r="F44" s="69" t="s">
        <v>529</v>
      </c>
      <c r="G44" s="70">
        <v>5.0000000000000001E-3</v>
      </c>
      <c r="H44" s="70">
        <v>0.127</v>
      </c>
      <c r="I44" s="166">
        <f t="shared" si="2"/>
        <v>0.157</v>
      </c>
      <c r="J44" s="166">
        <f t="shared" si="1"/>
        <v>0.187</v>
      </c>
      <c r="K44" s="70">
        <v>414.8</v>
      </c>
      <c r="L44" s="70">
        <v>1360</v>
      </c>
      <c r="M44" s="70">
        <v>0.21</v>
      </c>
      <c r="N44" s="70">
        <v>3.5000000000000003E-2</v>
      </c>
      <c r="O44" s="72" t="s">
        <v>291</v>
      </c>
      <c r="P44" s="72" t="s">
        <v>292</v>
      </c>
    </row>
    <row r="45" spans="6:16">
      <c r="F45" s="69" t="s">
        <v>528</v>
      </c>
      <c r="G45" s="70">
        <v>4.4999999999999997E-3</v>
      </c>
      <c r="H45" s="70">
        <v>0.1143</v>
      </c>
      <c r="I45" s="166">
        <f t="shared" si="2"/>
        <v>0.14429999999999998</v>
      </c>
      <c r="J45" s="166">
        <f t="shared" si="1"/>
        <v>0.17430000000000001</v>
      </c>
      <c r="K45" s="70">
        <v>523.1</v>
      </c>
      <c r="L45" s="70">
        <v>1715</v>
      </c>
      <c r="M45" s="70">
        <v>0.17</v>
      </c>
      <c r="N45" s="70">
        <v>2.8899999999999999E-2</v>
      </c>
      <c r="O45" s="72" t="s">
        <v>293</v>
      </c>
      <c r="P45" s="72" t="s">
        <v>294</v>
      </c>
    </row>
    <row r="46" spans="6:16">
      <c r="F46" s="69" t="s">
        <v>527</v>
      </c>
      <c r="G46" s="70">
        <v>4.0000000000000001E-3</v>
      </c>
      <c r="H46" s="70">
        <v>0.1016</v>
      </c>
      <c r="I46" s="166">
        <f t="shared" si="2"/>
        <v>0.13159999999999999</v>
      </c>
      <c r="J46" s="166">
        <f t="shared" si="1"/>
        <v>0.16159999999999999</v>
      </c>
      <c r="K46" s="70">
        <v>659.6</v>
      </c>
      <c r="L46" s="70">
        <v>2163</v>
      </c>
      <c r="M46" s="70">
        <v>0.13</v>
      </c>
      <c r="N46" s="70">
        <v>2.2800000000000001E-2</v>
      </c>
      <c r="O46" s="72" t="s">
        <v>295</v>
      </c>
      <c r="P46" s="72" t="s">
        <v>296</v>
      </c>
    </row>
    <row r="47" spans="6:16">
      <c r="F47" s="69" t="s">
        <v>526</v>
      </c>
      <c r="G47" s="70">
        <v>3.5000000000000001E-3</v>
      </c>
      <c r="H47" s="70">
        <v>8.8900000000000007E-2</v>
      </c>
      <c r="I47" s="166">
        <f t="shared" si="2"/>
        <v>0.11890000000000001</v>
      </c>
      <c r="J47" s="166">
        <f t="shared" si="1"/>
        <v>0.1489</v>
      </c>
      <c r="K47" s="70">
        <v>831.8</v>
      </c>
      <c r="L47" s="70">
        <v>2728</v>
      </c>
      <c r="M47" s="70">
        <v>0.11</v>
      </c>
      <c r="N47" s="70">
        <v>1.7500000000000002E-2</v>
      </c>
      <c r="O47" s="72" t="s">
        <v>297</v>
      </c>
      <c r="P47" s="72" t="s">
        <v>298</v>
      </c>
    </row>
    <row r="48" spans="6:16">
      <c r="F48" s="69" t="s">
        <v>525</v>
      </c>
      <c r="G48" s="70">
        <v>3.0999999999999999E-3</v>
      </c>
      <c r="H48" s="70">
        <v>7.8740000000000004E-2</v>
      </c>
      <c r="I48" s="166">
        <f t="shared" si="2"/>
        <v>0.10874</v>
      </c>
      <c r="J48" s="166">
        <f t="shared" si="1"/>
        <v>0.13874</v>
      </c>
      <c r="K48" s="70">
        <v>1049</v>
      </c>
      <c r="L48" s="70">
        <v>3440</v>
      </c>
      <c r="M48" s="70">
        <v>0.09</v>
      </c>
      <c r="N48" s="70">
        <v>1.37E-2</v>
      </c>
      <c r="O48" s="72" t="s">
        <v>299</v>
      </c>
      <c r="P48" s="72" t="s">
        <v>300</v>
      </c>
    </row>
    <row r="49" spans="2:12">
      <c r="I49" s="156"/>
      <c r="J49" s="156"/>
    </row>
    <row r="50" spans="2:12" s="157" customFormat="1">
      <c r="F50" s="65" t="s">
        <v>466</v>
      </c>
      <c r="G50" s="65" t="s">
        <v>494</v>
      </c>
      <c r="H50" s="161">
        <v>0.2</v>
      </c>
      <c r="I50" s="161">
        <v>0.4</v>
      </c>
      <c r="J50" s="161">
        <v>0.41699999999999998</v>
      </c>
      <c r="K50" s="157" t="s">
        <v>494</v>
      </c>
      <c r="L50" s="161">
        <v>607.6</v>
      </c>
    </row>
    <row r="51" spans="2:12" s="157" customFormat="1">
      <c r="F51" s="65" t="s">
        <v>467</v>
      </c>
      <c r="G51" s="157" t="s">
        <v>494</v>
      </c>
      <c r="H51" s="161">
        <v>0.21</v>
      </c>
      <c r="I51" s="161">
        <v>0.41</v>
      </c>
      <c r="J51" s="161">
        <v>0.42699999999999999</v>
      </c>
      <c r="K51" s="157" t="s">
        <v>494</v>
      </c>
      <c r="L51" s="161">
        <v>549</v>
      </c>
    </row>
    <row r="52" spans="2:12" s="157" customFormat="1">
      <c r="F52" s="65" t="s">
        <v>468</v>
      </c>
      <c r="G52" s="157" t="s">
        <v>494</v>
      </c>
      <c r="H52" s="161">
        <v>0.22</v>
      </c>
      <c r="I52" s="161">
        <v>0.42</v>
      </c>
      <c r="J52" s="161">
        <v>0.437</v>
      </c>
      <c r="K52" s="157" t="s">
        <v>494</v>
      </c>
      <c r="L52" s="161">
        <v>498.4</v>
      </c>
    </row>
    <row r="53" spans="2:12" s="157" customFormat="1">
      <c r="F53" s="157" t="s">
        <v>469</v>
      </c>
      <c r="G53" s="157" t="s">
        <v>494</v>
      </c>
      <c r="H53" s="161">
        <v>0.23</v>
      </c>
      <c r="I53" s="161">
        <v>0.43</v>
      </c>
      <c r="J53" s="161">
        <v>0.44700000000000001</v>
      </c>
      <c r="K53" s="157" t="s">
        <v>494</v>
      </c>
      <c r="L53" s="161">
        <v>454.5</v>
      </c>
    </row>
    <row r="54" spans="2:12" s="157" customFormat="1">
      <c r="F54" s="157" t="s">
        <v>470</v>
      </c>
      <c r="G54" s="157" t="s">
        <v>494</v>
      </c>
      <c r="H54" s="161">
        <v>0.24</v>
      </c>
      <c r="I54" s="161">
        <v>0.44</v>
      </c>
      <c r="J54" s="161">
        <v>0.45700000000000002</v>
      </c>
      <c r="K54" s="157" t="s">
        <v>494</v>
      </c>
      <c r="L54" s="161">
        <v>416.2</v>
      </c>
    </row>
    <row r="55" spans="2:12" s="157" customFormat="1">
      <c r="F55" s="157" t="s">
        <v>471</v>
      </c>
      <c r="G55" s="157" t="s">
        <v>494</v>
      </c>
      <c r="H55" s="161">
        <v>0.25</v>
      </c>
      <c r="I55" s="161">
        <v>0.45</v>
      </c>
      <c r="J55" s="161">
        <v>0.46700000000000003</v>
      </c>
      <c r="K55" s="157" t="s">
        <v>494</v>
      </c>
      <c r="L55" s="161">
        <v>382.5</v>
      </c>
    </row>
    <row r="56" spans="2:12" s="157" customFormat="1">
      <c r="F56" s="157" t="s">
        <v>472</v>
      </c>
      <c r="G56" s="157" t="s">
        <v>494</v>
      </c>
      <c r="H56" s="161">
        <v>0.26</v>
      </c>
      <c r="I56" s="161">
        <v>0.46</v>
      </c>
      <c r="J56" s="161">
        <v>0.47699999999999998</v>
      </c>
      <c r="K56" s="157" t="s">
        <v>494</v>
      </c>
      <c r="L56" s="161">
        <v>358.4</v>
      </c>
    </row>
    <row r="57" spans="2:12" s="157" customFormat="1">
      <c r="F57" s="157" t="s">
        <v>473</v>
      </c>
      <c r="G57" s="157" t="s">
        <v>494</v>
      </c>
      <c r="H57" s="161">
        <v>0.27</v>
      </c>
      <c r="I57" s="161">
        <v>0.47</v>
      </c>
      <c r="J57" s="161">
        <v>0.48699999999999999</v>
      </c>
      <c r="K57" s="157" t="s">
        <v>494</v>
      </c>
      <c r="L57" s="161">
        <v>331.4</v>
      </c>
    </row>
    <row r="58" spans="2:12" s="157" customFormat="1">
      <c r="F58" s="157" t="s">
        <v>474</v>
      </c>
      <c r="G58" s="157" t="s">
        <v>494</v>
      </c>
      <c r="H58" s="161">
        <v>0.28000000000000003</v>
      </c>
      <c r="I58" s="161">
        <v>0.48</v>
      </c>
      <c r="J58" s="161">
        <v>0.497</v>
      </c>
      <c r="K58" s="157" t="s">
        <v>494</v>
      </c>
      <c r="L58" s="161">
        <v>307.3</v>
      </c>
    </row>
    <row r="59" spans="2:12" s="157" customFormat="1">
      <c r="F59" s="157" t="s">
        <v>475</v>
      </c>
      <c r="G59" s="157" t="s">
        <v>494</v>
      </c>
      <c r="H59" s="161">
        <v>0.28999999999999998</v>
      </c>
      <c r="I59" s="161">
        <v>0.49</v>
      </c>
      <c r="J59" s="161">
        <v>0.50700000000000001</v>
      </c>
      <c r="K59" s="157" t="s">
        <v>494</v>
      </c>
      <c r="L59" s="161">
        <v>285.7</v>
      </c>
    </row>
    <row r="60" spans="2:12">
      <c r="F60" s="157" t="s">
        <v>476</v>
      </c>
      <c r="G60" s="157" t="s">
        <v>494</v>
      </c>
      <c r="H60" s="161">
        <v>0.3</v>
      </c>
      <c r="I60" s="161">
        <v>0.5</v>
      </c>
      <c r="J60" s="161">
        <v>0.52</v>
      </c>
      <c r="K60" s="157" t="s">
        <v>494</v>
      </c>
      <c r="L60" s="161">
        <v>262.89999999999998</v>
      </c>
    </row>
    <row r="61" spans="2:12">
      <c r="B61" s="162" t="s">
        <v>464</v>
      </c>
      <c r="F61" s="65" t="s">
        <v>477</v>
      </c>
      <c r="G61" s="157" t="s">
        <v>494</v>
      </c>
      <c r="H61" s="161">
        <v>0.32</v>
      </c>
      <c r="I61" s="161">
        <v>0.52</v>
      </c>
      <c r="J61" s="161">
        <v>0.54</v>
      </c>
      <c r="K61" s="157" t="s">
        <v>494</v>
      </c>
      <c r="L61" s="161">
        <v>230.3</v>
      </c>
    </row>
    <row r="62" spans="2:12">
      <c r="B62" s="163" t="s">
        <v>465</v>
      </c>
      <c r="F62" s="65" t="s">
        <v>478</v>
      </c>
      <c r="G62" s="157" t="s">
        <v>494</v>
      </c>
      <c r="H62" s="161">
        <v>0.35</v>
      </c>
      <c r="I62" s="161">
        <v>0.55000000000000004</v>
      </c>
      <c r="J62" s="161">
        <v>0.56999999999999995</v>
      </c>
      <c r="K62" s="157" t="s">
        <v>494</v>
      </c>
      <c r="L62" s="161">
        <v>191.2</v>
      </c>
    </row>
    <row r="63" spans="2:12">
      <c r="F63" s="65" t="s">
        <v>479</v>
      </c>
      <c r="G63" s="157" t="s">
        <v>494</v>
      </c>
      <c r="H63" s="161">
        <v>0.37</v>
      </c>
      <c r="I63" s="161">
        <v>0.56999999999999995</v>
      </c>
      <c r="J63" s="161">
        <v>0.59</v>
      </c>
      <c r="K63" s="157" t="s">
        <v>494</v>
      </c>
      <c r="L63" s="161">
        <v>170.6</v>
      </c>
    </row>
    <row r="64" spans="2:12">
      <c r="F64" s="65" t="s">
        <v>480</v>
      </c>
      <c r="G64" s="157" t="s">
        <v>494</v>
      </c>
      <c r="H64" s="161">
        <v>0.4</v>
      </c>
      <c r="I64" s="161">
        <v>0.6</v>
      </c>
      <c r="J64" s="161">
        <v>0.625</v>
      </c>
      <c r="K64" s="157" t="s">
        <v>494</v>
      </c>
      <c r="L64" s="161">
        <v>145.30000000000001</v>
      </c>
    </row>
    <row r="65" spans="6:12">
      <c r="F65" s="65" t="s">
        <v>481</v>
      </c>
      <c r="G65" s="157" t="s">
        <v>494</v>
      </c>
      <c r="H65" s="161">
        <v>0.45</v>
      </c>
      <c r="I65" s="161">
        <v>0.65</v>
      </c>
      <c r="J65" s="161">
        <v>0.67500000000000004</v>
      </c>
      <c r="K65" s="157" t="s">
        <v>494</v>
      </c>
      <c r="L65" s="161">
        <v>114.2</v>
      </c>
    </row>
    <row r="66" spans="6:12">
      <c r="F66" s="65" t="s">
        <v>482</v>
      </c>
      <c r="G66" s="157" t="s">
        <v>494</v>
      </c>
      <c r="H66" s="161">
        <v>0.5</v>
      </c>
      <c r="I66" s="161">
        <v>0.7</v>
      </c>
      <c r="J66" s="161">
        <v>0.72499999999999998</v>
      </c>
      <c r="K66" s="157" t="s">
        <v>494</v>
      </c>
      <c r="L66" s="161">
        <v>91.43</v>
      </c>
    </row>
    <row r="67" spans="6:12">
      <c r="F67" s="65" t="s">
        <v>483</v>
      </c>
      <c r="G67" s="157" t="s">
        <v>494</v>
      </c>
      <c r="H67" s="161">
        <v>0.55000000000000004</v>
      </c>
      <c r="I67" s="161">
        <v>0.75</v>
      </c>
      <c r="J67" s="161">
        <v>0.77500000000000002</v>
      </c>
      <c r="K67" s="157" t="s">
        <v>494</v>
      </c>
      <c r="L67" s="161">
        <v>78.150000000000006</v>
      </c>
    </row>
    <row r="68" spans="6:12">
      <c r="F68" s="65" t="s">
        <v>484</v>
      </c>
      <c r="G68" s="157" t="s">
        <v>494</v>
      </c>
      <c r="H68" s="161">
        <v>0.6</v>
      </c>
      <c r="I68" s="161">
        <v>0.8</v>
      </c>
      <c r="J68" s="161">
        <v>0.82499999999999996</v>
      </c>
      <c r="K68" s="157" t="s">
        <v>494</v>
      </c>
      <c r="L68" s="161">
        <v>65.260000000000005</v>
      </c>
    </row>
    <row r="69" spans="6:12">
      <c r="F69" s="65" t="s">
        <v>485</v>
      </c>
      <c r="G69" s="157" t="s">
        <v>494</v>
      </c>
      <c r="H69" s="161">
        <v>0.65</v>
      </c>
      <c r="I69" s="161">
        <v>0.85</v>
      </c>
      <c r="J69" s="161">
        <v>0.875</v>
      </c>
      <c r="K69" s="157" t="s">
        <v>494</v>
      </c>
      <c r="L69" s="161">
        <v>55.31</v>
      </c>
    </row>
    <row r="70" spans="6:12">
      <c r="F70" s="65" t="s">
        <v>486</v>
      </c>
      <c r="G70" s="157" t="s">
        <v>494</v>
      </c>
      <c r="H70" s="161">
        <v>0.7</v>
      </c>
      <c r="I70" s="161">
        <v>0.9</v>
      </c>
      <c r="J70" s="161">
        <v>0.92500000000000004</v>
      </c>
      <c r="K70" s="157" t="s">
        <v>494</v>
      </c>
      <c r="L70" s="161">
        <v>47.47</v>
      </c>
    </row>
    <row r="71" spans="6:12">
      <c r="F71" s="65" t="s">
        <v>488</v>
      </c>
      <c r="G71" s="157" t="s">
        <v>494</v>
      </c>
      <c r="H71" s="161">
        <v>0.75</v>
      </c>
      <c r="I71" s="161">
        <v>0.95</v>
      </c>
      <c r="J71" s="161">
        <v>0.97499999999999998</v>
      </c>
      <c r="K71" s="157" t="s">
        <v>494</v>
      </c>
      <c r="L71" s="161">
        <v>41.19</v>
      </c>
    </row>
    <row r="72" spans="6:12">
      <c r="F72" s="157" t="s">
        <v>487</v>
      </c>
      <c r="G72" s="157" t="s">
        <v>494</v>
      </c>
      <c r="H72" s="161">
        <v>0.8</v>
      </c>
      <c r="I72" s="161">
        <v>1</v>
      </c>
      <c r="J72" s="161">
        <v>1.03</v>
      </c>
      <c r="K72" s="157" t="s">
        <v>494</v>
      </c>
      <c r="L72" s="161">
        <v>36.08</v>
      </c>
    </row>
    <row r="73" spans="6:12">
      <c r="F73" s="65" t="s">
        <v>489</v>
      </c>
      <c r="G73" s="157" t="s">
        <v>494</v>
      </c>
      <c r="H73" s="161">
        <v>0.85</v>
      </c>
      <c r="I73" s="161">
        <v>1.05</v>
      </c>
      <c r="J73" s="161">
        <v>1.08</v>
      </c>
      <c r="K73" s="157" t="s">
        <v>494</v>
      </c>
      <c r="L73" s="161">
        <v>31.87</v>
      </c>
    </row>
    <row r="74" spans="6:12">
      <c r="F74" s="65" t="s">
        <v>490</v>
      </c>
      <c r="G74" s="157" t="s">
        <v>494</v>
      </c>
      <c r="H74" s="161">
        <v>0.9</v>
      </c>
      <c r="I74" s="161">
        <v>1.1000000000000001</v>
      </c>
      <c r="J74" s="161">
        <v>1.1299999999999999</v>
      </c>
      <c r="K74" s="157" t="s">
        <v>494</v>
      </c>
      <c r="L74" s="161">
        <v>28.35</v>
      </c>
    </row>
    <row r="75" spans="6:12">
      <c r="F75" s="65" t="s">
        <v>491</v>
      </c>
      <c r="G75" s="157" t="s">
        <v>494</v>
      </c>
      <c r="H75" s="161">
        <v>0.95</v>
      </c>
      <c r="I75" s="161">
        <v>1.1499999999999999</v>
      </c>
      <c r="J75" s="161">
        <v>1.18</v>
      </c>
      <c r="K75" s="157" t="s">
        <v>494</v>
      </c>
      <c r="L75" s="161">
        <v>25.38</v>
      </c>
    </row>
    <row r="76" spans="6:12">
      <c r="F76" s="65" t="s">
        <v>492</v>
      </c>
      <c r="G76" s="157" t="s">
        <v>494</v>
      </c>
      <c r="H76" s="161">
        <v>1</v>
      </c>
      <c r="I76" s="161">
        <v>1.2</v>
      </c>
      <c r="J76" s="161">
        <v>1.23</v>
      </c>
      <c r="K76" s="157" t="s">
        <v>494</v>
      </c>
      <c r="L76" s="161">
        <v>23.33</v>
      </c>
    </row>
  </sheetData>
  <hyperlinks>
    <hyperlink ref="B6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7"/>
  <sheetViews>
    <sheetView zoomScale="60" zoomScaleNormal="60" workbookViewId="0">
      <pane xSplit="2" topLeftCell="C1" activePane="topRight" state="frozen"/>
      <selection pane="topRight" activeCell="X16" sqref="X16"/>
    </sheetView>
  </sheetViews>
  <sheetFormatPr defaultColWidth="11.5703125" defaultRowHeight="15"/>
  <cols>
    <col min="1" max="1" width="6" style="65" customWidth="1"/>
    <col min="2" max="2" width="16" style="65" customWidth="1"/>
    <col min="3" max="3" width="13.85546875" style="65" bestFit="1" customWidth="1"/>
    <col min="4" max="4" width="11.5703125" style="65"/>
    <col min="5" max="5" width="12" style="65" bestFit="1" customWidth="1"/>
    <col min="6" max="6" width="11.5703125" style="65"/>
    <col min="7" max="7" width="11.5703125" style="76"/>
    <col min="8" max="10" width="11.5703125" style="65"/>
    <col min="11" max="11" width="11.5703125" style="97"/>
    <col min="12" max="12" width="11.5703125" style="65"/>
    <col min="13" max="13" width="11.5703125" style="97"/>
    <col min="14" max="14" width="11.5703125" style="65"/>
    <col min="15" max="15" width="11.5703125" style="97"/>
    <col min="16" max="16" width="12.5703125" style="65" bestFit="1" customWidth="1"/>
    <col min="17" max="19" width="11.5703125" style="65"/>
    <col min="20" max="20" width="20.140625" style="65" bestFit="1" customWidth="1"/>
    <col min="21" max="16384" width="11.5703125" style="65"/>
  </cols>
  <sheetData>
    <row r="1" spans="2:25">
      <c r="B1" s="65">
        <v>1</v>
      </c>
      <c r="C1" s="65">
        <v>2</v>
      </c>
      <c r="D1" s="97">
        <v>3</v>
      </c>
      <c r="E1" s="65">
        <v>4</v>
      </c>
      <c r="F1" s="65">
        <v>5</v>
      </c>
      <c r="G1" s="76">
        <v>6</v>
      </c>
      <c r="H1" s="65">
        <v>7</v>
      </c>
      <c r="I1" s="65">
        <v>8</v>
      </c>
      <c r="J1" s="65">
        <v>9</v>
      </c>
      <c r="K1" s="97">
        <v>10</v>
      </c>
      <c r="L1" s="65">
        <v>11</v>
      </c>
      <c r="M1" s="97">
        <v>12</v>
      </c>
      <c r="N1" s="65">
        <v>13</v>
      </c>
      <c r="O1" s="97">
        <v>14</v>
      </c>
      <c r="P1" s="65">
        <v>15</v>
      </c>
      <c r="Q1" s="65">
        <v>16</v>
      </c>
      <c r="R1" s="65">
        <v>17</v>
      </c>
      <c r="S1" s="65">
        <v>18</v>
      </c>
      <c r="T1" s="65">
        <v>19</v>
      </c>
      <c r="U1" s="65">
        <v>20</v>
      </c>
      <c r="V1" s="65">
        <v>21</v>
      </c>
      <c r="W1" s="65">
        <v>22</v>
      </c>
      <c r="X1" s="65">
        <v>23</v>
      </c>
      <c r="Y1" s="65">
        <v>24</v>
      </c>
    </row>
    <row r="2" spans="2:25">
      <c r="B2" s="65" t="s">
        <v>301</v>
      </c>
      <c r="C2" s="65" t="s">
        <v>302</v>
      </c>
      <c r="D2" s="97" t="s">
        <v>370</v>
      </c>
      <c r="E2" s="65" t="s">
        <v>303</v>
      </c>
      <c r="F2" s="97" t="s">
        <v>377</v>
      </c>
      <c r="G2" s="76" t="s">
        <v>355</v>
      </c>
      <c r="H2" s="65" t="s">
        <v>304</v>
      </c>
      <c r="I2" s="65" t="s">
        <v>305</v>
      </c>
      <c r="J2" s="97" t="s">
        <v>399</v>
      </c>
      <c r="K2" s="97" t="s">
        <v>306</v>
      </c>
      <c r="L2" s="65" t="s">
        <v>307</v>
      </c>
      <c r="M2" s="97" t="s">
        <v>364</v>
      </c>
      <c r="N2" s="65" t="s">
        <v>308</v>
      </c>
      <c r="O2" s="97" t="s">
        <v>365</v>
      </c>
      <c r="P2" s="97" t="s">
        <v>371</v>
      </c>
      <c r="Q2" s="65" t="s">
        <v>309</v>
      </c>
      <c r="R2" s="65" t="s">
        <v>310</v>
      </c>
      <c r="S2" s="65" t="s">
        <v>311</v>
      </c>
      <c r="T2" s="65" t="s">
        <v>312</v>
      </c>
      <c r="U2" s="97" t="s">
        <v>420</v>
      </c>
      <c r="V2" s="97" t="s">
        <v>421</v>
      </c>
      <c r="W2" s="97" t="s">
        <v>422</v>
      </c>
      <c r="X2" s="97" t="s">
        <v>423</v>
      </c>
      <c r="Y2" s="97" t="s">
        <v>424</v>
      </c>
    </row>
    <row r="3" spans="2:25">
      <c r="B3" s="65" t="s">
        <v>313</v>
      </c>
      <c r="C3" s="65">
        <v>900</v>
      </c>
      <c r="D3" s="65">
        <v>38</v>
      </c>
      <c r="E3" s="65">
        <v>2</v>
      </c>
      <c r="F3" s="65">
        <v>13</v>
      </c>
      <c r="G3" s="76">
        <v>1.4</v>
      </c>
      <c r="H3" s="117">
        <v>40</v>
      </c>
      <c r="I3" s="117">
        <v>40</v>
      </c>
      <c r="J3" s="65">
        <v>10</v>
      </c>
      <c r="L3" s="65">
        <v>110</v>
      </c>
      <c r="M3" s="97">
        <v>50</v>
      </c>
      <c r="P3" s="74" t="s">
        <v>357</v>
      </c>
      <c r="Q3" s="73">
        <v>0.7</v>
      </c>
      <c r="R3" s="65">
        <v>2.5</v>
      </c>
      <c r="T3" s="97" t="s">
        <v>352</v>
      </c>
    </row>
    <row r="4" spans="2:25" s="97" customFormat="1">
      <c r="B4" s="97" t="s">
        <v>425</v>
      </c>
      <c r="C4" s="97">
        <v>800</v>
      </c>
      <c r="D4" s="97">
        <v>28</v>
      </c>
      <c r="E4" s="97">
        <v>2</v>
      </c>
      <c r="F4" s="97">
        <v>13</v>
      </c>
      <c r="G4" s="97">
        <v>1.4</v>
      </c>
      <c r="H4" s="117">
        <v>40</v>
      </c>
      <c r="I4" s="117">
        <v>40</v>
      </c>
      <c r="J4" s="97">
        <v>10</v>
      </c>
      <c r="L4" s="97">
        <v>110</v>
      </c>
      <c r="M4" s="97">
        <v>50</v>
      </c>
      <c r="P4" s="74" t="s">
        <v>357</v>
      </c>
      <c r="Q4" s="73">
        <v>0.7</v>
      </c>
      <c r="R4" s="97">
        <v>2.5</v>
      </c>
      <c r="T4" s="97" t="s">
        <v>352</v>
      </c>
    </row>
    <row r="5" spans="2:25">
      <c r="B5" s="65" t="s">
        <v>314</v>
      </c>
      <c r="C5" s="65">
        <v>800</v>
      </c>
      <c r="D5" s="65">
        <v>67</v>
      </c>
      <c r="E5" s="65">
        <v>10</v>
      </c>
      <c r="F5" s="65">
        <v>13</v>
      </c>
      <c r="G5" s="76">
        <v>1.3</v>
      </c>
      <c r="H5" s="117">
        <v>40</v>
      </c>
      <c r="I5" s="117">
        <v>40</v>
      </c>
      <c r="J5" s="65">
        <v>40</v>
      </c>
      <c r="L5" s="65">
        <v>90</v>
      </c>
      <c r="M5" s="97">
        <v>27</v>
      </c>
      <c r="N5" s="65">
        <v>30</v>
      </c>
      <c r="O5" s="97">
        <v>33</v>
      </c>
      <c r="P5" s="75">
        <v>0.35</v>
      </c>
      <c r="Q5" s="73">
        <v>0.7</v>
      </c>
      <c r="R5" s="75">
        <v>3.3</v>
      </c>
      <c r="S5" s="65">
        <v>15</v>
      </c>
      <c r="T5" s="65" t="s">
        <v>315</v>
      </c>
    </row>
    <row r="6" spans="2:25">
      <c r="B6" s="65" t="s">
        <v>316</v>
      </c>
      <c r="C6" s="65">
        <v>800</v>
      </c>
      <c r="D6" s="65">
        <v>67</v>
      </c>
      <c r="E6" s="65">
        <v>10</v>
      </c>
      <c r="F6" s="65">
        <v>13</v>
      </c>
      <c r="G6" s="76">
        <v>1.45</v>
      </c>
      <c r="H6" s="117">
        <v>40</v>
      </c>
      <c r="I6" s="117">
        <v>40</v>
      </c>
      <c r="J6" s="65">
        <v>40</v>
      </c>
      <c r="L6" s="65">
        <v>90</v>
      </c>
      <c r="M6" s="97">
        <v>54</v>
      </c>
      <c r="N6" s="65">
        <v>60</v>
      </c>
      <c r="O6" s="97">
        <v>66</v>
      </c>
      <c r="P6" s="75">
        <v>0.35</v>
      </c>
      <c r="Q6" s="73">
        <v>0.7</v>
      </c>
      <c r="R6" s="75">
        <v>3.3</v>
      </c>
      <c r="S6" s="65">
        <v>15</v>
      </c>
      <c r="T6" s="65" t="s">
        <v>317</v>
      </c>
    </row>
    <row r="7" spans="2:25">
      <c r="B7" s="65" t="s">
        <v>318</v>
      </c>
      <c r="C7" s="65">
        <v>800</v>
      </c>
      <c r="D7" s="65">
        <v>67</v>
      </c>
      <c r="E7" s="65">
        <v>10</v>
      </c>
      <c r="F7" s="65">
        <v>13</v>
      </c>
      <c r="G7" s="76">
        <v>1.6</v>
      </c>
      <c r="H7" s="117">
        <v>40</v>
      </c>
      <c r="I7" s="117">
        <v>40</v>
      </c>
      <c r="J7" s="65">
        <v>40</v>
      </c>
      <c r="L7" s="65">
        <v>90</v>
      </c>
      <c r="M7" s="97">
        <v>103</v>
      </c>
      <c r="N7" s="65">
        <v>115</v>
      </c>
      <c r="O7" s="97">
        <v>127</v>
      </c>
      <c r="P7" s="75">
        <v>0.35</v>
      </c>
      <c r="Q7" s="73">
        <v>0.7</v>
      </c>
      <c r="R7" s="75">
        <v>3.3</v>
      </c>
      <c r="S7" s="65">
        <v>15</v>
      </c>
      <c r="T7" s="65" t="s">
        <v>319</v>
      </c>
    </row>
    <row r="8" spans="2:25">
      <c r="B8" s="65" t="s">
        <v>320</v>
      </c>
      <c r="C8" s="65">
        <v>800</v>
      </c>
      <c r="D8" s="65">
        <v>67</v>
      </c>
      <c r="E8" s="65">
        <v>10</v>
      </c>
      <c r="F8" s="65">
        <v>13</v>
      </c>
      <c r="G8" s="76">
        <v>1.3</v>
      </c>
      <c r="H8" s="117">
        <v>40</v>
      </c>
      <c r="I8" s="117">
        <v>40</v>
      </c>
      <c r="J8" s="65">
        <v>35</v>
      </c>
      <c r="L8" s="65">
        <v>80</v>
      </c>
      <c r="M8" s="97">
        <v>27</v>
      </c>
      <c r="N8" s="65">
        <v>30</v>
      </c>
      <c r="O8" s="97">
        <v>33</v>
      </c>
      <c r="P8" s="75">
        <v>0.35</v>
      </c>
      <c r="Q8" s="73">
        <v>0.7</v>
      </c>
      <c r="R8" s="75">
        <v>3.3</v>
      </c>
      <c r="S8" s="65">
        <v>15</v>
      </c>
      <c r="T8" s="65" t="s">
        <v>321</v>
      </c>
    </row>
    <row r="9" spans="2:25">
      <c r="B9" s="65" t="s">
        <v>322</v>
      </c>
      <c r="C9" s="65">
        <v>800</v>
      </c>
      <c r="D9" s="65">
        <v>67</v>
      </c>
      <c r="E9" s="65">
        <v>10</v>
      </c>
      <c r="F9" s="65">
        <v>13</v>
      </c>
      <c r="G9" s="76">
        <v>1.45</v>
      </c>
      <c r="H9" s="117">
        <v>40</v>
      </c>
      <c r="I9" s="117">
        <v>40</v>
      </c>
      <c r="J9" s="65">
        <v>35</v>
      </c>
      <c r="L9" s="65">
        <v>80</v>
      </c>
      <c r="M9" s="97">
        <v>54</v>
      </c>
      <c r="N9" s="65">
        <v>60</v>
      </c>
      <c r="O9" s="97">
        <v>66</v>
      </c>
      <c r="P9" s="75">
        <v>0.35</v>
      </c>
      <c r="Q9" s="73">
        <v>0.7</v>
      </c>
      <c r="R9" s="75">
        <v>3.3</v>
      </c>
      <c r="S9" s="65">
        <v>15</v>
      </c>
      <c r="T9" s="65" t="s">
        <v>321</v>
      </c>
    </row>
    <row r="10" spans="2:25">
      <c r="B10" s="65" t="s">
        <v>323</v>
      </c>
      <c r="C10" s="65">
        <v>800</v>
      </c>
      <c r="D10" s="65">
        <v>67</v>
      </c>
      <c r="E10" s="65">
        <v>10</v>
      </c>
      <c r="F10" s="65">
        <v>13</v>
      </c>
      <c r="G10" s="76">
        <v>1.6</v>
      </c>
      <c r="H10" s="117">
        <v>40</v>
      </c>
      <c r="I10" s="117">
        <v>40</v>
      </c>
      <c r="J10" s="65">
        <v>35</v>
      </c>
      <c r="L10" s="65">
        <v>80</v>
      </c>
      <c r="M10" s="97">
        <v>103</v>
      </c>
      <c r="N10" s="65">
        <v>115</v>
      </c>
      <c r="O10" s="97">
        <v>127</v>
      </c>
      <c r="P10" s="75">
        <v>0.35</v>
      </c>
      <c r="Q10" s="73">
        <v>0.7</v>
      </c>
      <c r="R10" s="75">
        <v>3.3</v>
      </c>
      <c r="S10" s="65">
        <v>15</v>
      </c>
      <c r="T10" s="65" t="s">
        <v>321</v>
      </c>
    </row>
    <row r="11" spans="2:25">
      <c r="B11" s="65" t="s">
        <v>348</v>
      </c>
      <c r="C11" s="65">
        <v>800</v>
      </c>
      <c r="D11" s="65">
        <v>48</v>
      </c>
      <c r="E11" s="65">
        <v>10</v>
      </c>
      <c r="F11" s="65">
        <v>13</v>
      </c>
      <c r="G11" s="76">
        <v>1.3</v>
      </c>
      <c r="H11" s="117">
        <v>40</v>
      </c>
      <c r="I11" s="117">
        <v>40</v>
      </c>
      <c r="J11" s="65">
        <v>40</v>
      </c>
      <c r="L11" s="65">
        <v>90</v>
      </c>
      <c r="M11" s="97">
        <v>54</v>
      </c>
      <c r="N11" s="65">
        <v>60</v>
      </c>
      <c r="O11" s="97">
        <v>66</v>
      </c>
      <c r="P11" s="74">
        <v>0.4</v>
      </c>
      <c r="Q11" s="73">
        <v>0.7</v>
      </c>
      <c r="R11" s="75">
        <v>3.3</v>
      </c>
      <c r="S11" s="65">
        <v>15</v>
      </c>
      <c r="T11" s="65" t="s">
        <v>315</v>
      </c>
    </row>
    <row r="12" spans="2:25">
      <c r="B12" s="65" t="s">
        <v>349</v>
      </c>
      <c r="C12" s="65">
        <v>800</v>
      </c>
      <c r="D12" s="65">
        <v>48</v>
      </c>
      <c r="E12" s="65">
        <v>10</v>
      </c>
      <c r="F12" s="65">
        <v>13</v>
      </c>
      <c r="G12" s="76">
        <v>1.5</v>
      </c>
      <c r="H12" s="117">
        <v>40</v>
      </c>
      <c r="I12" s="117">
        <v>40</v>
      </c>
      <c r="J12" s="65">
        <v>40</v>
      </c>
      <c r="L12" s="65">
        <v>90</v>
      </c>
      <c r="M12" s="97">
        <v>103</v>
      </c>
      <c r="N12" s="65">
        <v>115</v>
      </c>
      <c r="O12" s="97">
        <v>127</v>
      </c>
      <c r="P12" s="74">
        <v>0.4</v>
      </c>
      <c r="Q12" s="73">
        <v>0.7</v>
      </c>
      <c r="R12" s="75">
        <v>3.3</v>
      </c>
      <c r="S12" s="65">
        <v>15</v>
      </c>
      <c r="T12" s="65" t="s">
        <v>315</v>
      </c>
    </row>
    <row r="13" spans="2:25">
      <c r="B13" s="65" t="s">
        <v>350</v>
      </c>
      <c r="C13" s="65">
        <v>800</v>
      </c>
      <c r="D13" s="65">
        <v>48</v>
      </c>
      <c r="E13" s="65">
        <v>10</v>
      </c>
      <c r="F13" s="65">
        <v>13</v>
      </c>
      <c r="G13" s="76">
        <v>1.5</v>
      </c>
      <c r="H13" s="117">
        <v>40</v>
      </c>
      <c r="I13" s="117">
        <v>40</v>
      </c>
      <c r="J13" s="65">
        <v>35</v>
      </c>
      <c r="L13" s="65">
        <v>80</v>
      </c>
      <c r="M13" s="97">
        <v>103</v>
      </c>
      <c r="N13" s="65">
        <v>115</v>
      </c>
      <c r="O13" s="97">
        <v>127</v>
      </c>
      <c r="P13" s="74">
        <v>0.4</v>
      </c>
      <c r="Q13" s="73">
        <v>0.7</v>
      </c>
      <c r="R13" s="75">
        <v>3.3</v>
      </c>
      <c r="S13" s="65">
        <v>15</v>
      </c>
      <c r="T13" s="97" t="s">
        <v>352</v>
      </c>
    </row>
    <row r="14" spans="2:25">
      <c r="B14" s="65" t="s">
        <v>351</v>
      </c>
      <c r="C14" s="65">
        <v>800</v>
      </c>
      <c r="D14" s="65">
        <v>48</v>
      </c>
      <c r="E14" s="65">
        <v>10</v>
      </c>
      <c r="F14" s="65">
        <v>13</v>
      </c>
      <c r="G14" s="76">
        <v>1.3</v>
      </c>
      <c r="H14" s="117">
        <v>40</v>
      </c>
      <c r="I14" s="117">
        <v>40</v>
      </c>
      <c r="J14" s="65">
        <v>35</v>
      </c>
      <c r="L14" s="65">
        <v>80</v>
      </c>
      <c r="M14" s="97">
        <v>54</v>
      </c>
      <c r="N14" s="65">
        <v>60</v>
      </c>
      <c r="O14" s="97">
        <v>66</v>
      </c>
      <c r="P14" s="74">
        <v>0.4</v>
      </c>
      <c r="Q14" s="73">
        <v>0.7</v>
      </c>
      <c r="R14" s="75">
        <v>3.3</v>
      </c>
      <c r="S14" s="65">
        <v>15</v>
      </c>
      <c r="T14" s="97" t="s">
        <v>352</v>
      </c>
    </row>
    <row r="15" spans="2:25">
      <c r="B15" s="97" t="s">
        <v>366</v>
      </c>
      <c r="C15" s="97">
        <v>800</v>
      </c>
      <c r="D15" s="65">
        <v>14</v>
      </c>
      <c r="E15" s="65">
        <v>40</v>
      </c>
      <c r="F15" s="97">
        <v>13</v>
      </c>
      <c r="G15" s="76">
        <v>2.5</v>
      </c>
      <c r="H15" s="117">
        <v>40</v>
      </c>
      <c r="I15" s="117">
        <v>40</v>
      </c>
      <c r="J15" s="65">
        <v>35</v>
      </c>
      <c r="L15" s="65">
        <v>80</v>
      </c>
      <c r="M15" s="97">
        <v>54</v>
      </c>
      <c r="N15" s="97">
        <v>60</v>
      </c>
      <c r="O15" s="97">
        <v>66</v>
      </c>
      <c r="P15" s="65">
        <v>0.7</v>
      </c>
      <c r="Q15" s="73">
        <v>0.7</v>
      </c>
      <c r="R15" s="75">
        <v>3.3</v>
      </c>
      <c r="S15" s="97">
        <v>15</v>
      </c>
      <c r="T15" s="182" t="s">
        <v>315</v>
      </c>
    </row>
    <row r="16" spans="2:25">
      <c r="B16" s="97" t="s">
        <v>367</v>
      </c>
      <c r="C16" s="97">
        <v>800</v>
      </c>
      <c r="D16" s="65">
        <v>14</v>
      </c>
      <c r="E16" s="97">
        <v>40</v>
      </c>
      <c r="F16" s="97">
        <v>13</v>
      </c>
      <c r="G16" s="76">
        <v>3.5</v>
      </c>
      <c r="H16" s="117">
        <v>40</v>
      </c>
      <c r="I16" s="117">
        <v>40</v>
      </c>
      <c r="J16" s="65">
        <v>35</v>
      </c>
      <c r="L16" s="65">
        <v>80</v>
      </c>
      <c r="M16" s="97">
        <v>103</v>
      </c>
      <c r="N16" s="97">
        <v>115</v>
      </c>
      <c r="O16" s="97">
        <v>127</v>
      </c>
      <c r="P16" s="97">
        <v>0.7</v>
      </c>
      <c r="Q16" s="73">
        <v>0.7</v>
      </c>
      <c r="R16" s="75">
        <v>3.3</v>
      </c>
      <c r="S16" s="97">
        <v>15</v>
      </c>
      <c r="T16" s="182" t="s">
        <v>315</v>
      </c>
    </row>
    <row r="17" spans="2:20">
      <c r="B17" s="97" t="s">
        <v>368</v>
      </c>
      <c r="C17" s="97">
        <v>800</v>
      </c>
      <c r="D17" s="65">
        <v>14</v>
      </c>
      <c r="E17" s="97">
        <v>40</v>
      </c>
      <c r="F17" s="97">
        <v>13</v>
      </c>
      <c r="G17" s="76">
        <v>3.5</v>
      </c>
      <c r="H17" s="117">
        <v>40</v>
      </c>
      <c r="I17" s="117">
        <v>40</v>
      </c>
      <c r="J17" s="65">
        <v>25</v>
      </c>
      <c r="L17" s="65">
        <v>50</v>
      </c>
      <c r="M17" s="97">
        <v>103</v>
      </c>
      <c r="N17" s="97">
        <v>115</v>
      </c>
      <c r="O17" s="97">
        <v>127</v>
      </c>
      <c r="P17" s="97">
        <v>0.7</v>
      </c>
      <c r="Q17" s="73">
        <v>0.7</v>
      </c>
      <c r="R17" s="75">
        <v>3.3</v>
      </c>
      <c r="S17" s="97">
        <v>15</v>
      </c>
      <c r="T17" s="97" t="s">
        <v>376</v>
      </c>
    </row>
    <row r="18" spans="2:20">
      <c r="B18" s="97" t="s">
        <v>369</v>
      </c>
      <c r="C18" s="97">
        <v>800</v>
      </c>
      <c r="D18" s="65">
        <v>14</v>
      </c>
      <c r="E18" s="97">
        <v>40</v>
      </c>
      <c r="F18" s="97">
        <v>13</v>
      </c>
      <c r="G18" s="76">
        <v>2.5</v>
      </c>
      <c r="H18" s="117">
        <v>40</v>
      </c>
      <c r="I18" s="117">
        <v>40</v>
      </c>
      <c r="J18" s="65">
        <v>25</v>
      </c>
      <c r="L18" s="65">
        <v>50</v>
      </c>
      <c r="M18" s="97">
        <v>54</v>
      </c>
      <c r="N18" s="97">
        <v>60</v>
      </c>
      <c r="O18" s="97">
        <v>66</v>
      </c>
      <c r="P18" s="97">
        <v>0.7</v>
      </c>
      <c r="Q18" s="73">
        <v>0.7</v>
      </c>
      <c r="R18" s="75">
        <v>3.3</v>
      </c>
      <c r="S18" s="97">
        <v>15</v>
      </c>
      <c r="T18" s="97" t="s">
        <v>376</v>
      </c>
    </row>
    <row r="19" spans="2:20">
      <c r="B19" s="97" t="s">
        <v>372</v>
      </c>
      <c r="C19" s="97">
        <v>800</v>
      </c>
      <c r="D19" s="65">
        <v>48</v>
      </c>
      <c r="E19" s="65">
        <v>10</v>
      </c>
      <c r="F19" s="65">
        <v>14</v>
      </c>
      <c r="G19" s="76">
        <v>1.8</v>
      </c>
      <c r="H19" s="117">
        <v>40</v>
      </c>
      <c r="I19" s="117">
        <v>40</v>
      </c>
      <c r="J19" s="65">
        <v>40</v>
      </c>
      <c r="L19" s="65">
        <v>90</v>
      </c>
      <c r="M19" s="97">
        <v>54</v>
      </c>
      <c r="N19" s="97">
        <v>60</v>
      </c>
      <c r="O19" s="97">
        <v>66</v>
      </c>
      <c r="P19" s="74">
        <v>0.4</v>
      </c>
      <c r="Q19" s="73">
        <v>0.7</v>
      </c>
      <c r="R19" s="75">
        <v>3.3</v>
      </c>
      <c r="S19" s="65">
        <v>16.5</v>
      </c>
      <c r="T19" s="97" t="s">
        <v>315</v>
      </c>
    </row>
    <row r="20" spans="2:20">
      <c r="B20" s="97" t="s">
        <v>373</v>
      </c>
      <c r="C20" s="97">
        <v>800</v>
      </c>
      <c r="D20" s="97">
        <v>48</v>
      </c>
      <c r="E20" s="97">
        <v>10</v>
      </c>
      <c r="F20" s="97">
        <v>14</v>
      </c>
      <c r="G20" s="76">
        <v>2</v>
      </c>
      <c r="H20" s="117">
        <v>40</v>
      </c>
      <c r="I20" s="117">
        <v>40</v>
      </c>
      <c r="J20" s="65">
        <v>40</v>
      </c>
      <c r="L20" s="65">
        <v>90</v>
      </c>
      <c r="M20" s="97">
        <v>103</v>
      </c>
      <c r="N20" s="97">
        <v>115</v>
      </c>
      <c r="O20" s="97">
        <v>127</v>
      </c>
      <c r="P20" s="74">
        <v>0.4</v>
      </c>
      <c r="Q20" s="73">
        <v>0.7</v>
      </c>
      <c r="R20" s="75">
        <v>3.3</v>
      </c>
      <c r="S20" s="97">
        <v>16.5</v>
      </c>
      <c r="T20" s="97" t="s">
        <v>315</v>
      </c>
    </row>
    <row r="21" spans="2:20">
      <c r="B21" s="97" t="s">
        <v>374</v>
      </c>
      <c r="C21" s="97">
        <v>800</v>
      </c>
      <c r="D21" s="97">
        <v>48</v>
      </c>
      <c r="E21" s="97">
        <v>10</v>
      </c>
      <c r="F21" s="97">
        <v>14</v>
      </c>
      <c r="G21" s="76">
        <v>2</v>
      </c>
      <c r="H21" s="117">
        <v>40</v>
      </c>
      <c r="I21" s="117">
        <v>40</v>
      </c>
      <c r="J21" s="65">
        <v>35</v>
      </c>
      <c r="L21" s="65">
        <v>80</v>
      </c>
      <c r="M21" s="97">
        <v>103</v>
      </c>
      <c r="N21" s="97">
        <v>115</v>
      </c>
      <c r="O21" s="97">
        <v>127</v>
      </c>
      <c r="P21" s="74">
        <v>0.4</v>
      </c>
      <c r="Q21" s="73">
        <v>0.7</v>
      </c>
      <c r="R21" s="75">
        <v>3.3</v>
      </c>
      <c r="S21" s="97">
        <v>16.5</v>
      </c>
      <c r="T21" s="97" t="s">
        <v>352</v>
      </c>
    </row>
    <row r="22" spans="2:20">
      <c r="B22" s="97" t="s">
        <v>375</v>
      </c>
      <c r="C22" s="97">
        <v>800</v>
      </c>
      <c r="D22" s="97">
        <v>48</v>
      </c>
      <c r="E22" s="97">
        <v>10</v>
      </c>
      <c r="F22" s="97">
        <v>14</v>
      </c>
      <c r="G22" s="76">
        <v>1.8</v>
      </c>
      <c r="H22" s="117">
        <v>40</v>
      </c>
      <c r="I22" s="117">
        <v>40</v>
      </c>
      <c r="J22" s="65">
        <v>35</v>
      </c>
      <c r="L22" s="65">
        <v>80</v>
      </c>
      <c r="M22" s="97">
        <v>54</v>
      </c>
      <c r="N22" s="97">
        <v>60</v>
      </c>
      <c r="O22" s="97">
        <v>66</v>
      </c>
      <c r="P22" s="74">
        <v>0.4</v>
      </c>
      <c r="Q22" s="73">
        <v>0.7</v>
      </c>
      <c r="R22" s="75">
        <v>3.3</v>
      </c>
      <c r="S22" s="97">
        <v>16.5</v>
      </c>
      <c r="T22" s="97" t="s">
        <v>352</v>
      </c>
    </row>
    <row r="23" spans="2:20" s="97" customFormat="1">
      <c r="B23" s="97" t="s">
        <v>393</v>
      </c>
      <c r="C23" s="97">
        <v>800</v>
      </c>
      <c r="D23" s="97">
        <v>14</v>
      </c>
      <c r="E23" s="97">
        <v>40</v>
      </c>
      <c r="F23" s="97">
        <v>14</v>
      </c>
      <c r="G23" s="97">
        <v>2.5</v>
      </c>
      <c r="H23" s="117">
        <v>40</v>
      </c>
      <c r="I23" s="117">
        <v>40</v>
      </c>
      <c r="J23" s="97">
        <v>35</v>
      </c>
      <c r="L23" s="97">
        <v>80</v>
      </c>
      <c r="M23" s="97">
        <v>54</v>
      </c>
      <c r="N23" s="97">
        <v>60</v>
      </c>
      <c r="O23" s="97">
        <v>66</v>
      </c>
      <c r="P23" s="97">
        <v>0.7</v>
      </c>
      <c r="Q23" s="73">
        <v>0.7</v>
      </c>
      <c r="R23" s="97">
        <v>3.5</v>
      </c>
      <c r="S23" s="97">
        <v>17.5</v>
      </c>
      <c r="T23" s="97" t="s">
        <v>315</v>
      </c>
    </row>
    <row r="24" spans="2:20" s="97" customFormat="1">
      <c r="B24" s="97" t="s">
        <v>394</v>
      </c>
      <c r="C24" s="97">
        <v>800</v>
      </c>
      <c r="D24" s="97">
        <v>14</v>
      </c>
      <c r="E24" s="97">
        <v>40</v>
      </c>
      <c r="F24" s="97">
        <v>14</v>
      </c>
      <c r="G24" s="97">
        <v>3.5</v>
      </c>
      <c r="H24" s="117">
        <v>40</v>
      </c>
      <c r="I24" s="117">
        <v>40</v>
      </c>
      <c r="J24" s="97">
        <v>35</v>
      </c>
      <c r="L24" s="97">
        <v>80</v>
      </c>
      <c r="M24" s="97">
        <v>103</v>
      </c>
      <c r="N24" s="97">
        <v>115</v>
      </c>
      <c r="O24" s="97">
        <v>127</v>
      </c>
      <c r="P24" s="97">
        <v>0.7</v>
      </c>
      <c r="Q24" s="73">
        <v>0.7</v>
      </c>
      <c r="R24" s="97">
        <v>3.5</v>
      </c>
      <c r="S24" s="97">
        <v>17.5</v>
      </c>
      <c r="T24" s="97" t="s">
        <v>315</v>
      </c>
    </row>
    <row r="25" spans="2:20" s="97" customFormat="1">
      <c r="B25" s="97" t="s">
        <v>395</v>
      </c>
      <c r="C25" s="97">
        <v>800</v>
      </c>
      <c r="D25" s="97">
        <v>14</v>
      </c>
      <c r="E25" s="97">
        <v>40</v>
      </c>
      <c r="F25" s="97">
        <v>14</v>
      </c>
      <c r="G25" s="97">
        <v>3.5</v>
      </c>
      <c r="H25" s="117">
        <v>40</v>
      </c>
      <c r="I25" s="117">
        <v>40</v>
      </c>
      <c r="J25" s="97">
        <v>25</v>
      </c>
      <c r="L25" s="97">
        <v>50</v>
      </c>
      <c r="M25" s="97">
        <v>103</v>
      </c>
      <c r="N25" s="97">
        <v>115</v>
      </c>
      <c r="O25" s="97">
        <v>127</v>
      </c>
      <c r="P25" s="97">
        <v>0.7</v>
      </c>
      <c r="Q25" s="73">
        <v>0.7</v>
      </c>
      <c r="R25" s="97">
        <v>3.5</v>
      </c>
      <c r="S25" s="97">
        <v>17.5</v>
      </c>
      <c r="T25" s="97" t="s">
        <v>352</v>
      </c>
    </row>
    <row r="26" spans="2:20" s="97" customFormat="1">
      <c r="B26" s="97" t="s">
        <v>396</v>
      </c>
      <c r="C26" s="97">
        <v>800</v>
      </c>
      <c r="D26" s="97">
        <v>14</v>
      </c>
      <c r="E26" s="97">
        <v>40</v>
      </c>
      <c r="F26" s="97">
        <v>14</v>
      </c>
      <c r="G26" s="97">
        <v>2.5</v>
      </c>
      <c r="H26" s="117">
        <v>40</v>
      </c>
      <c r="I26" s="117">
        <v>40</v>
      </c>
      <c r="J26" s="97">
        <v>25</v>
      </c>
      <c r="L26" s="97">
        <v>50</v>
      </c>
      <c r="M26" s="97">
        <v>54</v>
      </c>
      <c r="N26" s="97">
        <v>60</v>
      </c>
      <c r="O26" s="97">
        <v>66</v>
      </c>
      <c r="P26" s="97">
        <v>0.7</v>
      </c>
      <c r="Q26" s="73">
        <v>0.7</v>
      </c>
      <c r="R26" s="97">
        <v>3.5</v>
      </c>
      <c r="S26" s="97">
        <v>17.5</v>
      </c>
      <c r="T26" s="97" t="s">
        <v>352</v>
      </c>
    </row>
    <row r="27" spans="2:20" s="97" customFormat="1">
      <c r="B27" s="97" t="s">
        <v>397</v>
      </c>
      <c r="C27" s="97">
        <v>800</v>
      </c>
      <c r="D27" s="97">
        <v>9</v>
      </c>
      <c r="E27" s="97">
        <v>17</v>
      </c>
      <c r="F27" s="97">
        <v>14</v>
      </c>
      <c r="G27" s="97">
        <v>2.5</v>
      </c>
      <c r="H27" s="117">
        <v>40</v>
      </c>
      <c r="I27" s="117">
        <v>40</v>
      </c>
      <c r="J27" s="97">
        <v>35</v>
      </c>
      <c r="L27" s="97">
        <v>65</v>
      </c>
      <c r="M27" s="97">
        <v>54</v>
      </c>
      <c r="N27" s="97">
        <v>60</v>
      </c>
      <c r="O27" s="97">
        <v>66</v>
      </c>
      <c r="P27" s="97">
        <v>1</v>
      </c>
      <c r="Q27" s="73">
        <v>0.7</v>
      </c>
      <c r="R27" s="97">
        <v>3.5</v>
      </c>
      <c r="S27" s="97">
        <v>17.5</v>
      </c>
      <c r="T27" s="97" t="s">
        <v>392</v>
      </c>
    </row>
    <row r="28" spans="2:20" s="97" customFormat="1">
      <c r="B28" s="97" t="s">
        <v>398</v>
      </c>
      <c r="C28" s="97">
        <v>800</v>
      </c>
      <c r="D28" s="97">
        <v>9</v>
      </c>
      <c r="E28" s="97">
        <v>17</v>
      </c>
      <c r="F28" s="97">
        <v>14</v>
      </c>
      <c r="G28" s="97">
        <v>3.5</v>
      </c>
      <c r="H28" s="117">
        <v>40</v>
      </c>
      <c r="I28" s="117">
        <v>40</v>
      </c>
      <c r="J28" s="97">
        <v>35</v>
      </c>
      <c r="L28" s="97">
        <v>65</v>
      </c>
      <c r="M28" s="97">
        <v>103</v>
      </c>
      <c r="N28" s="97">
        <v>115</v>
      </c>
      <c r="O28" s="97">
        <v>127</v>
      </c>
      <c r="P28" s="97">
        <v>1</v>
      </c>
      <c r="Q28" s="73">
        <v>0.7</v>
      </c>
      <c r="R28" s="97">
        <v>3.5</v>
      </c>
      <c r="S28" s="97">
        <v>17.5</v>
      </c>
      <c r="T28" s="97" t="s">
        <v>392</v>
      </c>
    </row>
    <row r="29" spans="2:20">
      <c r="B29" s="97" t="s">
        <v>378</v>
      </c>
      <c r="C29" s="97">
        <v>800</v>
      </c>
      <c r="D29" s="65">
        <v>14</v>
      </c>
      <c r="E29" s="65">
        <v>40</v>
      </c>
      <c r="F29" s="97">
        <v>14</v>
      </c>
      <c r="G29" s="76">
        <v>2.5</v>
      </c>
      <c r="H29" s="117">
        <v>40</v>
      </c>
      <c r="I29" s="117">
        <v>40</v>
      </c>
      <c r="J29" s="65">
        <v>35</v>
      </c>
      <c r="L29" s="65">
        <v>80</v>
      </c>
      <c r="M29" s="97">
        <v>54</v>
      </c>
      <c r="N29" s="97">
        <v>60</v>
      </c>
      <c r="O29" s="97">
        <v>66</v>
      </c>
      <c r="P29" s="65">
        <v>0.7</v>
      </c>
      <c r="Q29" s="73">
        <v>0.7</v>
      </c>
      <c r="R29" s="65">
        <v>3.5</v>
      </c>
      <c r="S29" s="65">
        <v>17.5</v>
      </c>
      <c r="T29" s="97" t="s">
        <v>315</v>
      </c>
    </row>
    <row r="30" spans="2:20">
      <c r="B30" s="97" t="s">
        <v>379</v>
      </c>
      <c r="C30" s="97">
        <v>800</v>
      </c>
      <c r="D30" s="97">
        <v>14</v>
      </c>
      <c r="E30" s="97">
        <v>40</v>
      </c>
      <c r="F30" s="97">
        <v>14</v>
      </c>
      <c r="G30" s="76">
        <v>3.5</v>
      </c>
      <c r="H30" s="117">
        <v>40</v>
      </c>
      <c r="I30" s="117">
        <v>40</v>
      </c>
      <c r="J30" s="65">
        <v>35</v>
      </c>
      <c r="L30" s="65">
        <v>80</v>
      </c>
      <c r="M30" s="97">
        <v>103</v>
      </c>
      <c r="N30" s="97">
        <v>115</v>
      </c>
      <c r="O30" s="97">
        <v>127</v>
      </c>
      <c r="P30" s="97">
        <v>0.7</v>
      </c>
      <c r="Q30" s="73">
        <v>0.7</v>
      </c>
      <c r="R30" s="97">
        <v>3.5</v>
      </c>
      <c r="S30" s="97">
        <v>17.5</v>
      </c>
      <c r="T30" s="97" t="s">
        <v>315</v>
      </c>
    </row>
    <row r="31" spans="2:20">
      <c r="B31" s="97" t="s">
        <v>380</v>
      </c>
      <c r="C31" s="97">
        <v>800</v>
      </c>
      <c r="D31" s="97">
        <v>14</v>
      </c>
      <c r="E31" s="97">
        <v>40</v>
      </c>
      <c r="F31" s="97">
        <v>14</v>
      </c>
      <c r="G31" s="76">
        <v>3.5</v>
      </c>
      <c r="H31" s="117">
        <v>40</v>
      </c>
      <c r="I31" s="117">
        <v>40</v>
      </c>
      <c r="J31" s="65">
        <v>25</v>
      </c>
      <c r="L31" s="65">
        <v>50</v>
      </c>
      <c r="M31" s="97">
        <v>103</v>
      </c>
      <c r="N31" s="97">
        <v>115</v>
      </c>
      <c r="O31" s="97">
        <v>127</v>
      </c>
      <c r="P31" s="97">
        <v>0.7</v>
      </c>
      <c r="Q31" s="73">
        <v>0.7</v>
      </c>
      <c r="R31" s="97">
        <v>3.5</v>
      </c>
      <c r="S31" s="97">
        <v>17.5</v>
      </c>
      <c r="T31" s="97" t="s">
        <v>352</v>
      </c>
    </row>
    <row r="32" spans="2:20">
      <c r="B32" s="97" t="s">
        <v>381</v>
      </c>
      <c r="C32" s="97">
        <v>800</v>
      </c>
      <c r="D32" s="97">
        <v>14</v>
      </c>
      <c r="E32" s="97">
        <v>40</v>
      </c>
      <c r="F32" s="97">
        <v>14</v>
      </c>
      <c r="G32" s="76">
        <v>2.5</v>
      </c>
      <c r="H32" s="117">
        <v>40</v>
      </c>
      <c r="I32" s="117">
        <v>40</v>
      </c>
      <c r="J32" s="65">
        <v>25</v>
      </c>
      <c r="L32" s="65">
        <v>50</v>
      </c>
      <c r="M32" s="97">
        <v>54</v>
      </c>
      <c r="N32" s="97">
        <v>60</v>
      </c>
      <c r="O32" s="97">
        <v>66</v>
      </c>
      <c r="P32" s="97">
        <v>0.7</v>
      </c>
      <c r="Q32" s="73">
        <v>0.7</v>
      </c>
      <c r="R32" s="97">
        <v>3.5</v>
      </c>
      <c r="S32" s="97">
        <v>17.5</v>
      </c>
      <c r="T32" s="97" t="s">
        <v>352</v>
      </c>
    </row>
    <row r="33" spans="2:20">
      <c r="B33" s="97" t="s">
        <v>382</v>
      </c>
      <c r="C33" s="97">
        <v>800</v>
      </c>
      <c r="D33" s="97">
        <v>48</v>
      </c>
      <c r="E33" s="97">
        <v>10</v>
      </c>
      <c r="F33" s="97">
        <v>14</v>
      </c>
      <c r="G33" s="97">
        <v>2.5</v>
      </c>
      <c r="H33" s="117">
        <v>40</v>
      </c>
      <c r="I33" s="117">
        <v>40</v>
      </c>
      <c r="J33" s="97">
        <v>40</v>
      </c>
      <c r="L33" s="65">
        <v>90</v>
      </c>
      <c r="M33" s="97">
        <v>122</v>
      </c>
      <c r="N33" s="65">
        <v>136</v>
      </c>
      <c r="O33" s="97">
        <v>150</v>
      </c>
      <c r="P33" s="74">
        <v>0.4</v>
      </c>
      <c r="R33" s="65">
        <v>3.3</v>
      </c>
      <c r="S33" s="97">
        <v>16.5</v>
      </c>
      <c r="T33" s="97" t="s">
        <v>315</v>
      </c>
    </row>
    <row r="34" spans="2:20">
      <c r="B34" s="97" t="s">
        <v>383</v>
      </c>
      <c r="C34" s="97">
        <v>800</v>
      </c>
      <c r="D34" s="97">
        <v>48</v>
      </c>
      <c r="E34" s="97">
        <v>10</v>
      </c>
      <c r="F34" s="97">
        <v>14</v>
      </c>
      <c r="G34" s="97">
        <v>2.5</v>
      </c>
      <c r="H34" s="117">
        <v>40</v>
      </c>
      <c r="I34" s="117">
        <v>40</v>
      </c>
      <c r="J34" s="97">
        <v>40</v>
      </c>
      <c r="L34" s="65">
        <v>90</v>
      </c>
      <c r="M34" s="97">
        <v>200</v>
      </c>
      <c r="N34" s="65">
        <v>225</v>
      </c>
      <c r="O34" s="97">
        <v>250</v>
      </c>
      <c r="P34" s="74">
        <v>0.4</v>
      </c>
      <c r="R34" s="97">
        <v>3.3</v>
      </c>
      <c r="S34" s="97">
        <v>16.5</v>
      </c>
      <c r="T34" s="97" t="s">
        <v>315</v>
      </c>
    </row>
    <row r="35" spans="2:20">
      <c r="B35" s="97" t="s">
        <v>384</v>
      </c>
      <c r="C35" s="97">
        <v>800</v>
      </c>
      <c r="D35" s="97">
        <v>48</v>
      </c>
      <c r="E35" s="97">
        <v>10</v>
      </c>
      <c r="F35" s="97">
        <v>14</v>
      </c>
      <c r="G35" s="97">
        <v>2.5</v>
      </c>
      <c r="H35" s="117">
        <v>40</v>
      </c>
      <c r="I35" s="117">
        <v>40</v>
      </c>
      <c r="J35" s="97">
        <v>35</v>
      </c>
      <c r="L35" s="65">
        <v>80</v>
      </c>
      <c r="M35" s="97">
        <v>200</v>
      </c>
      <c r="N35" s="97">
        <v>225</v>
      </c>
      <c r="O35" s="97">
        <v>250</v>
      </c>
      <c r="P35" s="74">
        <v>0.4</v>
      </c>
      <c r="R35" s="97">
        <v>3.3</v>
      </c>
      <c r="S35" s="97">
        <v>16.5</v>
      </c>
      <c r="T35" s="97" t="s">
        <v>352</v>
      </c>
    </row>
    <row r="36" spans="2:20">
      <c r="B36" s="97" t="s">
        <v>385</v>
      </c>
      <c r="C36" s="97">
        <v>800</v>
      </c>
      <c r="D36" s="97">
        <v>48</v>
      </c>
      <c r="E36" s="97">
        <v>10</v>
      </c>
      <c r="F36" s="97">
        <v>14</v>
      </c>
      <c r="G36" s="97">
        <v>2.5</v>
      </c>
      <c r="H36" s="117">
        <v>40</v>
      </c>
      <c r="I36" s="117">
        <v>40</v>
      </c>
      <c r="J36" s="97">
        <v>35</v>
      </c>
      <c r="L36" s="65">
        <v>80</v>
      </c>
      <c r="M36" s="97">
        <v>122</v>
      </c>
      <c r="N36" s="97">
        <v>136</v>
      </c>
      <c r="O36" s="97">
        <v>150</v>
      </c>
      <c r="P36" s="74">
        <v>0.4</v>
      </c>
      <c r="R36" s="97">
        <v>3.3</v>
      </c>
      <c r="S36" s="97">
        <v>16.5</v>
      </c>
      <c r="T36" s="97" t="s">
        <v>352</v>
      </c>
    </row>
    <row r="37" spans="2:20">
      <c r="B37" s="97" t="s">
        <v>386</v>
      </c>
      <c r="C37" s="97">
        <v>800</v>
      </c>
      <c r="D37" s="65">
        <v>14</v>
      </c>
      <c r="E37" s="65">
        <v>40</v>
      </c>
      <c r="F37" s="97">
        <v>14</v>
      </c>
      <c r="G37" s="97">
        <v>2.5</v>
      </c>
      <c r="H37" s="117">
        <v>40</v>
      </c>
      <c r="I37" s="117">
        <v>40</v>
      </c>
      <c r="J37" s="65">
        <v>35</v>
      </c>
      <c r="L37" s="65">
        <v>80</v>
      </c>
      <c r="M37" s="97">
        <v>54</v>
      </c>
      <c r="N37" s="97">
        <v>60</v>
      </c>
      <c r="O37" s="97">
        <v>66</v>
      </c>
      <c r="P37" s="65">
        <v>0.8</v>
      </c>
      <c r="Q37" s="73">
        <v>0.7</v>
      </c>
      <c r="R37" s="65">
        <v>3.5</v>
      </c>
      <c r="S37" s="65">
        <v>17</v>
      </c>
      <c r="T37" s="97" t="s">
        <v>315</v>
      </c>
    </row>
    <row r="38" spans="2:20">
      <c r="B38" s="97" t="s">
        <v>387</v>
      </c>
      <c r="C38" s="97">
        <v>800</v>
      </c>
      <c r="D38" s="97">
        <v>14</v>
      </c>
      <c r="E38" s="97">
        <v>40</v>
      </c>
      <c r="F38" s="97">
        <v>14</v>
      </c>
      <c r="G38" s="97">
        <v>3.5</v>
      </c>
      <c r="H38" s="117">
        <v>40</v>
      </c>
      <c r="I38" s="117">
        <v>40</v>
      </c>
      <c r="J38" s="65">
        <v>35</v>
      </c>
      <c r="L38" s="65">
        <v>80</v>
      </c>
      <c r="M38" s="97">
        <v>103</v>
      </c>
      <c r="N38" s="97">
        <v>115</v>
      </c>
      <c r="O38" s="97">
        <v>127</v>
      </c>
      <c r="P38" s="97">
        <v>0.8</v>
      </c>
      <c r="Q38" s="73">
        <v>0.7</v>
      </c>
      <c r="R38" s="97">
        <v>3.5</v>
      </c>
      <c r="S38" s="97">
        <v>17</v>
      </c>
      <c r="T38" s="97" t="s">
        <v>315</v>
      </c>
    </row>
    <row r="39" spans="2:20">
      <c r="B39" s="97" t="s">
        <v>388</v>
      </c>
      <c r="C39" s="97">
        <v>800</v>
      </c>
      <c r="D39" s="97">
        <v>14</v>
      </c>
      <c r="E39" s="97">
        <v>40</v>
      </c>
      <c r="F39" s="97">
        <v>14</v>
      </c>
      <c r="G39" s="97">
        <v>2.5</v>
      </c>
      <c r="H39" s="117">
        <v>40</v>
      </c>
      <c r="I39" s="117">
        <v>40</v>
      </c>
      <c r="J39" s="65">
        <v>35</v>
      </c>
      <c r="L39" s="65">
        <v>65</v>
      </c>
      <c r="M39" s="97">
        <v>54</v>
      </c>
      <c r="N39" s="97">
        <v>60</v>
      </c>
      <c r="O39" s="97">
        <v>66</v>
      </c>
      <c r="P39" s="97">
        <v>0.8</v>
      </c>
      <c r="Q39" s="73">
        <v>0.7</v>
      </c>
      <c r="R39" s="97">
        <v>3.5</v>
      </c>
      <c r="S39" s="97">
        <v>17</v>
      </c>
      <c r="T39" s="97" t="s">
        <v>392</v>
      </c>
    </row>
    <row r="40" spans="2:20">
      <c r="B40" s="97" t="s">
        <v>389</v>
      </c>
      <c r="C40" s="97">
        <v>800</v>
      </c>
      <c r="D40" s="97">
        <v>14</v>
      </c>
      <c r="E40" s="97">
        <v>40</v>
      </c>
      <c r="F40" s="97">
        <v>14</v>
      </c>
      <c r="G40" s="97">
        <v>3.5</v>
      </c>
      <c r="H40" s="117">
        <v>40</v>
      </c>
      <c r="I40" s="117">
        <v>40</v>
      </c>
      <c r="J40" s="65">
        <v>35</v>
      </c>
      <c r="L40" s="65">
        <v>65</v>
      </c>
      <c r="M40" s="97">
        <v>103</v>
      </c>
      <c r="N40" s="97">
        <v>115</v>
      </c>
      <c r="O40" s="97">
        <v>127</v>
      </c>
      <c r="P40" s="97">
        <v>0.8</v>
      </c>
      <c r="Q40" s="73">
        <v>0.7</v>
      </c>
      <c r="R40" s="97">
        <v>3.5</v>
      </c>
      <c r="S40" s="97">
        <v>17</v>
      </c>
      <c r="T40" s="97" t="s">
        <v>392</v>
      </c>
    </row>
    <row r="41" spans="2:20">
      <c r="B41" s="97" t="s">
        <v>390</v>
      </c>
      <c r="C41" s="97">
        <v>800</v>
      </c>
      <c r="D41" s="97">
        <v>14</v>
      </c>
      <c r="E41" s="97">
        <v>40</v>
      </c>
      <c r="F41" s="97">
        <v>14</v>
      </c>
      <c r="G41" s="97">
        <v>3.5</v>
      </c>
      <c r="H41" s="117">
        <v>40</v>
      </c>
      <c r="I41" s="117">
        <v>40</v>
      </c>
      <c r="J41" s="65">
        <v>25</v>
      </c>
      <c r="L41" s="65">
        <v>50</v>
      </c>
      <c r="M41" s="97">
        <v>103</v>
      </c>
      <c r="N41" s="97">
        <v>115</v>
      </c>
      <c r="O41" s="97">
        <v>127</v>
      </c>
      <c r="P41" s="97">
        <v>0.8</v>
      </c>
      <c r="Q41" s="73">
        <v>0.7</v>
      </c>
      <c r="R41" s="97">
        <v>3.5</v>
      </c>
      <c r="S41" s="97">
        <v>17</v>
      </c>
      <c r="T41" s="97" t="s">
        <v>352</v>
      </c>
    </row>
    <row r="42" spans="2:20">
      <c r="B42" s="97" t="s">
        <v>391</v>
      </c>
      <c r="C42" s="97">
        <v>800</v>
      </c>
      <c r="D42" s="97">
        <v>14</v>
      </c>
      <c r="E42" s="97">
        <v>40</v>
      </c>
      <c r="F42" s="97">
        <v>14</v>
      </c>
      <c r="G42" s="97">
        <v>2.5</v>
      </c>
      <c r="H42" s="117">
        <v>40</v>
      </c>
      <c r="I42" s="117">
        <v>40</v>
      </c>
      <c r="J42" s="65">
        <v>25</v>
      </c>
      <c r="L42" s="65">
        <v>50</v>
      </c>
      <c r="M42" s="97">
        <v>54</v>
      </c>
      <c r="N42" s="97">
        <v>60</v>
      </c>
      <c r="O42" s="97">
        <v>66</v>
      </c>
      <c r="P42" s="97">
        <v>0.8</v>
      </c>
      <c r="Q42" s="73">
        <v>0.7</v>
      </c>
      <c r="R42" s="97">
        <v>3.5</v>
      </c>
      <c r="S42" s="97">
        <v>17</v>
      </c>
      <c r="T42" s="97" t="s">
        <v>352</v>
      </c>
    </row>
    <row r="43" spans="2:20">
      <c r="B43" s="97" t="s">
        <v>400</v>
      </c>
      <c r="C43" s="65">
        <v>700</v>
      </c>
      <c r="D43" s="65">
        <v>5</v>
      </c>
      <c r="E43" s="65">
        <v>150</v>
      </c>
      <c r="F43" s="65">
        <v>11</v>
      </c>
      <c r="G43" s="76">
        <v>15.5</v>
      </c>
      <c r="H43" s="65">
        <v>100</v>
      </c>
      <c r="I43" s="65">
        <v>50</v>
      </c>
      <c r="K43" s="97">
        <v>1.4</v>
      </c>
      <c r="L43" s="65">
        <v>60</v>
      </c>
      <c r="M43" s="65">
        <v>90</v>
      </c>
      <c r="N43" s="97">
        <v>100</v>
      </c>
      <c r="O43" s="65">
        <v>110</v>
      </c>
      <c r="P43" s="65">
        <v>4</v>
      </c>
      <c r="R43" s="65">
        <v>2.5</v>
      </c>
      <c r="S43" s="65">
        <v>22</v>
      </c>
      <c r="T43" s="97" t="s">
        <v>403</v>
      </c>
    </row>
    <row r="44" spans="2:20">
      <c r="B44" s="97" t="s">
        <v>402</v>
      </c>
      <c r="C44" s="97">
        <v>700</v>
      </c>
      <c r="D44" s="65">
        <v>5</v>
      </c>
      <c r="E44" s="65">
        <v>150</v>
      </c>
      <c r="F44" s="65">
        <v>11</v>
      </c>
      <c r="G44" s="97">
        <v>15.5</v>
      </c>
      <c r="H44" s="65">
        <v>100</v>
      </c>
      <c r="I44" s="65">
        <v>50</v>
      </c>
      <c r="L44" s="65">
        <v>60</v>
      </c>
      <c r="M44" s="97">
        <v>90</v>
      </c>
      <c r="N44" s="97">
        <v>100</v>
      </c>
      <c r="O44" s="97">
        <v>110</v>
      </c>
      <c r="P44" s="97">
        <v>4</v>
      </c>
      <c r="R44" s="65">
        <v>2.5</v>
      </c>
      <c r="S44" s="65">
        <v>22</v>
      </c>
      <c r="T44" s="97" t="s">
        <v>405</v>
      </c>
    </row>
    <row r="45" spans="2:20">
      <c r="B45" s="97" t="s">
        <v>401</v>
      </c>
      <c r="C45" s="97">
        <v>700</v>
      </c>
      <c r="D45" s="65">
        <v>5</v>
      </c>
      <c r="E45" s="65">
        <v>150</v>
      </c>
      <c r="F45" s="65">
        <v>11</v>
      </c>
      <c r="G45" s="97">
        <v>15.5</v>
      </c>
      <c r="H45" s="65">
        <v>100</v>
      </c>
      <c r="I45" s="65">
        <v>50</v>
      </c>
      <c r="K45" s="97">
        <v>1.4</v>
      </c>
      <c r="M45" s="97">
        <v>90</v>
      </c>
      <c r="N45" s="97">
        <v>100</v>
      </c>
      <c r="O45" s="97">
        <v>110</v>
      </c>
      <c r="P45" s="97">
        <v>4</v>
      </c>
      <c r="R45" s="65">
        <v>2.5</v>
      </c>
      <c r="S45" s="65">
        <v>22</v>
      </c>
      <c r="T45" s="97" t="s">
        <v>404</v>
      </c>
    </row>
    <row r="46" spans="2:20">
      <c r="B46" s="97" t="s">
        <v>406</v>
      </c>
      <c r="C46" s="65">
        <v>730</v>
      </c>
      <c r="D46" s="65">
        <v>54</v>
      </c>
      <c r="E46" s="65">
        <v>40</v>
      </c>
      <c r="F46" s="65">
        <v>14.5</v>
      </c>
      <c r="G46" s="76">
        <v>4.5</v>
      </c>
      <c r="H46" s="97">
        <v>100</v>
      </c>
      <c r="I46" s="97">
        <v>50</v>
      </c>
      <c r="K46" s="97">
        <v>25</v>
      </c>
      <c r="L46" s="65">
        <v>55</v>
      </c>
      <c r="M46" s="97">
        <v>54</v>
      </c>
      <c r="N46" s="97">
        <v>60</v>
      </c>
      <c r="O46" s="97">
        <v>66</v>
      </c>
      <c r="P46" s="65">
        <v>0.4</v>
      </c>
      <c r="R46" s="65">
        <v>1</v>
      </c>
      <c r="S46" s="65">
        <v>1.2</v>
      </c>
      <c r="T46" s="97" t="s">
        <v>413</v>
      </c>
    </row>
    <row r="47" spans="2:20">
      <c r="B47" s="97" t="s">
        <v>407</v>
      </c>
      <c r="C47" s="65">
        <v>730</v>
      </c>
      <c r="D47" s="65">
        <v>54</v>
      </c>
      <c r="E47" s="65">
        <v>40</v>
      </c>
      <c r="F47" s="97">
        <v>14.5</v>
      </c>
      <c r="G47" s="76">
        <v>4.5</v>
      </c>
      <c r="H47" s="97">
        <v>100</v>
      </c>
      <c r="I47" s="97">
        <v>50</v>
      </c>
      <c r="K47" s="97">
        <v>15</v>
      </c>
      <c r="L47" s="65">
        <v>45</v>
      </c>
      <c r="M47" s="97">
        <v>54</v>
      </c>
      <c r="N47" s="97">
        <v>60</v>
      </c>
      <c r="O47" s="97">
        <v>66</v>
      </c>
      <c r="P47" s="65">
        <v>0.4</v>
      </c>
      <c r="R47" s="65">
        <v>1</v>
      </c>
      <c r="S47" s="65">
        <v>1.2</v>
      </c>
      <c r="T47" s="97" t="s">
        <v>317</v>
      </c>
    </row>
    <row r="48" spans="2:20">
      <c r="B48" s="97" t="s">
        <v>408</v>
      </c>
      <c r="C48" s="65">
        <v>700</v>
      </c>
      <c r="D48" s="65">
        <v>32</v>
      </c>
      <c r="E48" s="65">
        <v>90</v>
      </c>
      <c r="F48" s="65">
        <v>11</v>
      </c>
      <c r="G48" s="76">
        <v>13</v>
      </c>
      <c r="H48" s="97">
        <v>100</v>
      </c>
      <c r="I48" s="97">
        <v>50</v>
      </c>
      <c r="K48" s="97">
        <v>2</v>
      </c>
      <c r="M48" s="97">
        <v>90</v>
      </c>
      <c r="N48" s="97">
        <v>100</v>
      </c>
      <c r="O48" s="97">
        <v>110</v>
      </c>
      <c r="P48" s="65">
        <v>0.67</v>
      </c>
      <c r="R48" s="97">
        <v>1</v>
      </c>
      <c r="S48" s="97">
        <v>1.2</v>
      </c>
      <c r="T48" s="97" t="s">
        <v>403</v>
      </c>
    </row>
    <row r="49" spans="2:20">
      <c r="B49" s="97" t="s">
        <v>409</v>
      </c>
      <c r="C49" s="97">
        <v>700</v>
      </c>
      <c r="D49" s="97">
        <v>32</v>
      </c>
      <c r="E49" s="97">
        <v>90</v>
      </c>
      <c r="F49" s="65">
        <v>11</v>
      </c>
      <c r="G49" s="76">
        <v>13</v>
      </c>
      <c r="H49" s="97">
        <v>100</v>
      </c>
      <c r="I49" s="97">
        <v>50</v>
      </c>
      <c r="K49" s="97">
        <v>2</v>
      </c>
      <c r="M49" s="97">
        <v>90</v>
      </c>
      <c r="N49" s="97">
        <v>100</v>
      </c>
      <c r="O49" s="97">
        <v>110</v>
      </c>
      <c r="P49" s="97">
        <v>0.67</v>
      </c>
      <c r="R49" s="97">
        <v>1</v>
      </c>
      <c r="S49" s="97">
        <v>1.2</v>
      </c>
      <c r="T49" s="97" t="s">
        <v>405</v>
      </c>
    </row>
    <row r="50" spans="2:20">
      <c r="B50" s="97" t="s">
        <v>410</v>
      </c>
      <c r="C50" s="97">
        <v>700</v>
      </c>
      <c r="D50" s="97">
        <v>32</v>
      </c>
      <c r="E50" s="97">
        <v>90</v>
      </c>
      <c r="F50" s="65">
        <v>11</v>
      </c>
      <c r="G50" s="76">
        <v>13</v>
      </c>
      <c r="H50" s="97">
        <v>100</v>
      </c>
      <c r="I50" s="97">
        <v>50</v>
      </c>
      <c r="K50" s="97">
        <v>35</v>
      </c>
      <c r="L50" s="65">
        <v>20</v>
      </c>
      <c r="M50" s="97">
        <v>90</v>
      </c>
      <c r="N50" s="97">
        <v>100</v>
      </c>
      <c r="O50" s="97">
        <v>110</v>
      </c>
      <c r="P50" s="97">
        <v>0.67</v>
      </c>
      <c r="R50" s="97">
        <v>1</v>
      </c>
      <c r="S50" s="97">
        <v>1.2</v>
      </c>
      <c r="T50" s="97" t="s">
        <v>317</v>
      </c>
    </row>
    <row r="51" spans="2:20">
      <c r="B51" s="97" t="s">
        <v>411</v>
      </c>
      <c r="C51" s="97">
        <v>730</v>
      </c>
      <c r="D51" s="65">
        <v>31</v>
      </c>
      <c r="E51" s="65">
        <v>40</v>
      </c>
      <c r="F51" s="97">
        <v>14.5</v>
      </c>
      <c r="G51" s="97">
        <v>4.5</v>
      </c>
      <c r="H51" s="97">
        <v>100</v>
      </c>
      <c r="I51" s="97">
        <v>50</v>
      </c>
      <c r="K51" s="97">
        <v>25</v>
      </c>
      <c r="L51" s="65">
        <v>55</v>
      </c>
      <c r="M51" s="97">
        <v>54</v>
      </c>
      <c r="N51" s="97">
        <v>60</v>
      </c>
      <c r="O51" s="97">
        <v>66</v>
      </c>
      <c r="P51" s="65">
        <v>0.7</v>
      </c>
      <c r="R51" s="65">
        <v>1</v>
      </c>
      <c r="S51" s="97">
        <v>1.2</v>
      </c>
      <c r="T51" s="97" t="s">
        <v>413</v>
      </c>
    </row>
    <row r="52" spans="2:20">
      <c r="B52" s="97" t="s">
        <v>412</v>
      </c>
      <c r="C52" s="97">
        <v>730</v>
      </c>
      <c r="D52" s="65">
        <v>31</v>
      </c>
      <c r="E52" s="65">
        <v>40</v>
      </c>
      <c r="F52" s="97">
        <v>14.5</v>
      </c>
      <c r="G52" s="97">
        <v>4.5</v>
      </c>
      <c r="H52" s="97">
        <v>100</v>
      </c>
      <c r="I52" s="97">
        <v>50</v>
      </c>
      <c r="K52" s="97">
        <v>15</v>
      </c>
      <c r="L52" s="65">
        <v>45</v>
      </c>
      <c r="M52" s="97">
        <v>54</v>
      </c>
      <c r="N52" s="97">
        <v>60</v>
      </c>
      <c r="O52" s="97">
        <v>66</v>
      </c>
      <c r="P52" s="65">
        <v>0.7</v>
      </c>
      <c r="R52" s="65">
        <v>1</v>
      </c>
      <c r="S52" s="97">
        <v>1.2</v>
      </c>
      <c r="T52" s="97" t="s">
        <v>317</v>
      </c>
    </row>
    <row r="53" spans="2:20">
      <c r="B53" s="97" t="s">
        <v>414</v>
      </c>
      <c r="C53" s="65">
        <v>700</v>
      </c>
      <c r="D53" s="65">
        <v>10.3</v>
      </c>
      <c r="E53" s="65">
        <v>120</v>
      </c>
      <c r="F53" s="65">
        <v>11</v>
      </c>
      <c r="G53" s="97">
        <v>14</v>
      </c>
      <c r="H53" s="97">
        <v>100</v>
      </c>
      <c r="I53" s="97">
        <v>50</v>
      </c>
      <c r="K53" s="97">
        <v>1.9</v>
      </c>
      <c r="L53" s="65">
        <v>60</v>
      </c>
      <c r="M53" s="97">
        <v>90</v>
      </c>
      <c r="N53" s="97">
        <v>100</v>
      </c>
      <c r="O53" s="97">
        <v>110</v>
      </c>
      <c r="P53" s="65">
        <v>2</v>
      </c>
      <c r="R53" s="97">
        <v>1</v>
      </c>
      <c r="S53" s="97">
        <v>1.2</v>
      </c>
      <c r="T53" s="97" t="s">
        <v>403</v>
      </c>
    </row>
    <row r="54" spans="2:20">
      <c r="B54" s="97" t="s">
        <v>415</v>
      </c>
      <c r="C54" s="97">
        <v>700</v>
      </c>
      <c r="D54" s="97">
        <v>10.3</v>
      </c>
      <c r="E54" s="97">
        <v>120</v>
      </c>
      <c r="F54" s="97">
        <v>11</v>
      </c>
      <c r="G54" s="97">
        <v>14</v>
      </c>
      <c r="H54" s="97">
        <v>100</v>
      </c>
      <c r="I54" s="97">
        <v>50</v>
      </c>
      <c r="M54" s="97">
        <v>90</v>
      </c>
      <c r="N54" s="97">
        <v>100</v>
      </c>
      <c r="O54" s="97">
        <v>110</v>
      </c>
      <c r="P54" s="65">
        <v>2</v>
      </c>
      <c r="R54" s="97">
        <v>1</v>
      </c>
      <c r="S54" s="97">
        <v>1.2</v>
      </c>
      <c r="T54" s="97" t="s">
        <v>405</v>
      </c>
    </row>
    <row r="55" spans="2:20">
      <c r="B55" s="97" t="s">
        <v>416</v>
      </c>
      <c r="C55" s="97">
        <v>700</v>
      </c>
      <c r="D55" s="97">
        <v>10.3</v>
      </c>
      <c r="E55" s="97">
        <v>120</v>
      </c>
      <c r="F55" s="97">
        <v>11</v>
      </c>
      <c r="G55" s="97">
        <v>14</v>
      </c>
      <c r="H55" s="97">
        <v>100</v>
      </c>
      <c r="I55" s="97">
        <v>50</v>
      </c>
      <c r="M55" s="97">
        <v>90</v>
      </c>
      <c r="N55" s="97">
        <v>100</v>
      </c>
      <c r="O55" s="97">
        <v>110</v>
      </c>
      <c r="P55" s="65">
        <v>2</v>
      </c>
      <c r="R55" s="97">
        <v>1</v>
      </c>
      <c r="S55" s="97">
        <v>1.2</v>
      </c>
      <c r="T55" s="97" t="s">
        <v>404</v>
      </c>
    </row>
    <row r="56" spans="2:20">
      <c r="B56" s="97" t="s">
        <v>417</v>
      </c>
      <c r="C56" s="65">
        <v>620</v>
      </c>
      <c r="D56" s="65">
        <v>1.7</v>
      </c>
      <c r="E56" s="65">
        <v>60</v>
      </c>
      <c r="F56" s="65">
        <v>11.5</v>
      </c>
      <c r="G56" s="76">
        <v>9</v>
      </c>
      <c r="H56" s="65">
        <v>50</v>
      </c>
      <c r="I56" s="65">
        <v>100</v>
      </c>
      <c r="K56" s="97">
        <v>20</v>
      </c>
      <c r="L56" s="65">
        <v>80</v>
      </c>
      <c r="M56" s="97">
        <v>93</v>
      </c>
      <c r="N56" s="65">
        <v>100</v>
      </c>
      <c r="O56" s="97">
        <v>107</v>
      </c>
      <c r="P56" s="65">
        <v>2</v>
      </c>
      <c r="R56" s="97">
        <v>1</v>
      </c>
      <c r="S56" s="97">
        <v>1.2</v>
      </c>
      <c r="T56" s="97" t="s">
        <v>317</v>
      </c>
    </row>
    <row r="57" spans="2:20">
      <c r="B57" s="97" t="s">
        <v>418</v>
      </c>
      <c r="C57" s="65">
        <v>620</v>
      </c>
      <c r="D57" s="65">
        <v>1.7</v>
      </c>
      <c r="E57" s="65">
        <v>60</v>
      </c>
      <c r="F57" s="65">
        <v>11.5</v>
      </c>
      <c r="G57" s="76">
        <v>9</v>
      </c>
      <c r="H57" s="97">
        <v>50</v>
      </c>
      <c r="I57" s="97">
        <v>100</v>
      </c>
      <c r="K57" s="97">
        <v>2</v>
      </c>
      <c r="L57" s="65">
        <v>60</v>
      </c>
      <c r="M57" s="97">
        <v>93</v>
      </c>
      <c r="N57" s="97">
        <v>100</v>
      </c>
      <c r="O57" s="97">
        <v>107</v>
      </c>
      <c r="P57" s="65">
        <v>2</v>
      </c>
      <c r="R57" s="97">
        <v>1</v>
      </c>
      <c r="S57" s="97">
        <v>1.2</v>
      </c>
      <c r="T57" s="97" t="s">
        <v>405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2"/>
  <sheetViews>
    <sheetView zoomScale="80" zoomScaleNormal="80" workbookViewId="0">
      <pane xSplit="2" topLeftCell="C1" activePane="topRight" state="frozen"/>
      <selection pane="topRight" activeCell="T2" sqref="T2:Y3"/>
    </sheetView>
  </sheetViews>
  <sheetFormatPr defaultColWidth="11.5703125" defaultRowHeight="15"/>
  <cols>
    <col min="1" max="1" width="6" style="157" customWidth="1"/>
    <col min="2" max="2" width="16" style="157" customWidth="1"/>
    <col min="3" max="3" width="13.85546875" style="157" bestFit="1" customWidth="1"/>
    <col min="4" max="4" width="11.5703125" style="157"/>
    <col min="5" max="5" width="12" style="157" bestFit="1" customWidth="1"/>
    <col min="6" max="15" width="11.5703125" style="157"/>
    <col min="16" max="16" width="12.5703125" style="157" bestFit="1" customWidth="1"/>
    <col min="17" max="19" width="11.5703125" style="157"/>
    <col min="20" max="20" width="20.140625" style="157" bestFit="1" customWidth="1"/>
    <col min="21" max="16384" width="11.5703125" style="157"/>
  </cols>
  <sheetData>
    <row r="1" spans="2:25">
      <c r="B1" s="157">
        <v>1</v>
      </c>
      <c r="C1" s="157">
        <v>2</v>
      </c>
      <c r="D1" s="157">
        <v>3</v>
      </c>
      <c r="E1" s="157">
        <v>4</v>
      </c>
      <c r="F1" s="157">
        <v>5</v>
      </c>
      <c r="G1" s="157">
        <v>6</v>
      </c>
      <c r="H1" s="157">
        <v>7</v>
      </c>
      <c r="I1" s="157">
        <v>8</v>
      </c>
      <c r="J1" s="157">
        <v>9</v>
      </c>
      <c r="K1" s="157">
        <v>10</v>
      </c>
      <c r="L1" s="157">
        <v>11</v>
      </c>
      <c r="M1" s="157">
        <v>12</v>
      </c>
      <c r="N1" s="157">
        <v>13</v>
      </c>
      <c r="O1" s="157">
        <v>14</v>
      </c>
      <c r="P1" s="157">
        <v>15</v>
      </c>
      <c r="Q1" s="157">
        <v>16</v>
      </c>
      <c r="R1" s="157">
        <v>17</v>
      </c>
      <c r="S1" s="157">
        <v>18</v>
      </c>
      <c r="T1" s="157">
        <v>19</v>
      </c>
      <c r="U1" s="157">
        <v>20</v>
      </c>
      <c r="V1" s="157">
        <v>21</v>
      </c>
      <c r="W1" s="157">
        <v>22</v>
      </c>
      <c r="X1" s="157">
        <v>23</v>
      </c>
      <c r="Y1" s="157">
        <v>24</v>
      </c>
    </row>
    <row r="2" spans="2:25">
      <c r="B2" s="157" t="s">
        <v>458</v>
      </c>
      <c r="C2" s="157" t="s">
        <v>460</v>
      </c>
      <c r="D2" s="157" t="s">
        <v>462</v>
      </c>
      <c r="E2" s="157" t="s">
        <v>463</v>
      </c>
    </row>
    <row r="3" spans="2:25">
      <c r="H3" s="117"/>
      <c r="I3" s="117"/>
      <c r="P3" s="74"/>
      <c r="Q3" s="73"/>
    </row>
    <row r="4" spans="2:25">
      <c r="B4" s="157" t="s">
        <v>459</v>
      </c>
      <c r="C4" s="157" t="s">
        <v>461</v>
      </c>
      <c r="D4" s="157">
        <v>32.1</v>
      </c>
      <c r="H4" s="117"/>
      <c r="I4" s="117"/>
      <c r="P4" s="74"/>
      <c r="Q4" s="73"/>
    </row>
    <row r="5" spans="2:25">
      <c r="H5" s="117"/>
      <c r="I5" s="117"/>
      <c r="P5" s="75"/>
      <c r="Q5" s="73"/>
      <c r="R5" s="75"/>
    </row>
    <row r="6" spans="2:25">
      <c r="H6" s="117"/>
      <c r="I6" s="117"/>
      <c r="P6" s="75"/>
      <c r="Q6" s="73"/>
      <c r="R6" s="75"/>
    </row>
    <row r="7" spans="2:25">
      <c r="H7" s="117"/>
      <c r="I7" s="117"/>
      <c r="P7" s="75"/>
      <c r="Q7" s="73"/>
      <c r="R7" s="75"/>
    </row>
    <row r="8" spans="2:25">
      <c r="H8" s="117"/>
      <c r="I8" s="117"/>
      <c r="P8" s="75"/>
      <c r="Q8" s="73"/>
      <c r="R8" s="75"/>
    </row>
    <row r="9" spans="2:25">
      <c r="H9" s="117"/>
      <c r="I9" s="117"/>
      <c r="P9" s="75"/>
      <c r="Q9" s="73"/>
      <c r="R9" s="75"/>
    </row>
    <row r="10" spans="2:25">
      <c r="H10" s="117"/>
      <c r="I10" s="117"/>
      <c r="P10" s="75"/>
      <c r="Q10" s="73"/>
      <c r="R10" s="75"/>
    </row>
    <row r="11" spans="2:25">
      <c r="H11" s="117"/>
      <c r="I11" s="117"/>
      <c r="P11" s="74"/>
      <c r="Q11" s="73"/>
      <c r="R11" s="75"/>
    </row>
    <row r="12" spans="2:25">
      <c r="H12" s="117"/>
      <c r="I12" s="117"/>
      <c r="P12" s="74"/>
      <c r="Q12" s="73"/>
      <c r="R12" s="75"/>
    </row>
    <row r="13" spans="2:25">
      <c r="H13" s="117"/>
      <c r="I13" s="117"/>
      <c r="P13" s="74"/>
      <c r="Q13" s="73"/>
      <c r="R13" s="75"/>
    </row>
    <row r="14" spans="2:25">
      <c r="H14" s="117"/>
      <c r="I14" s="117"/>
      <c r="P14" s="74"/>
      <c r="Q14" s="73"/>
      <c r="R14" s="75"/>
    </row>
    <row r="15" spans="2:25">
      <c r="H15" s="117"/>
      <c r="I15" s="117"/>
      <c r="Q15" s="73"/>
      <c r="R15" s="75"/>
    </row>
    <row r="16" spans="2:25">
      <c r="H16" s="117"/>
      <c r="I16" s="117"/>
      <c r="Q16" s="73"/>
      <c r="R16" s="75"/>
    </row>
    <row r="17" spans="8:18">
      <c r="H17" s="117"/>
      <c r="I17" s="117"/>
      <c r="Q17" s="73"/>
      <c r="R17" s="75"/>
    </row>
    <row r="18" spans="8:18">
      <c r="H18" s="117"/>
      <c r="I18" s="117"/>
      <c r="Q18" s="73"/>
      <c r="R18" s="75"/>
    </row>
    <row r="19" spans="8:18">
      <c r="H19" s="117"/>
      <c r="I19" s="117"/>
      <c r="P19" s="74"/>
      <c r="Q19" s="73"/>
      <c r="R19" s="75"/>
    </row>
    <row r="20" spans="8:18">
      <c r="H20" s="117"/>
      <c r="I20" s="117"/>
      <c r="P20" s="74"/>
      <c r="Q20" s="73"/>
      <c r="R20" s="75"/>
    </row>
    <row r="21" spans="8:18">
      <c r="H21" s="117"/>
      <c r="I21" s="117"/>
      <c r="P21" s="74"/>
      <c r="Q21" s="73"/>
      <c r="R21" s="75"/>
    </row>
    <row r="22" spans="8:18">
      <c r="H22" s="117"/>
      <c r="I22" s="117"/>
      <c r="P22" s="74"/>
      <c r="Q22" s="73"/>
      <c r="R22" s="75"/>
    </row>
    <row r="23" spans="8:18">
      <c r="H23" s="117"/>
      <c r="I23" s="117"/>
      <c r="Q23" s="73"/>
    </row>
    <row r="24" spans="8:18">
      <c r="H24" s="117"/>
      <c r="I24" s="117"/>
      <c r="Q24" s="73"/>
    </row>
    <row r="25" spans="8:18">
      <c r="H25" s="117"/>
      <c r="I25" s="117"/>
      <c r="Q25" s="73"/>
    </row>
    <row r="26" spans="8:18">
      <c r="H26" s="117"/>
      <c r="I26" s="117"/>
      <c r="Q26" s="73"/>
    </row>
    <row r="27" spans="8:18">
      <c r="H27" s="117"/>
      <c r="I27" s="117"/>
      <c r="Q27" s="73"/>
    </row>
    <row r="28" spans="8:18">
      <c r="H28" s="117"/>
      <c r="I28" s="117"/>
      <c r="Q28" s="73"/>
    </row>
    <row r="29" spans="8:18">
      <c r="H29" s="117"/>
      <c r="I29" s="117"/>
      <c r="Q29" s="73"/>
    </row>
    <row r="30" spans="8:18">
      <c r="H30" s="117"/>
      <c r="I30" s="117"/>
      <c r="Q30" s="73"/>
    </row>
    <row r="31" spans="8:18">
      <c r="H31" s="117"/>
      <c r="I31" s="117"/>
      <c r="Q31" s="73"/>
    </row>
    <row r="32" spans="8:18">
      <c r="H32" s="117"/>
      <c r="I32" s="117"/>
      <c r="Q32" s="73"/>
    </row>
    <row r="33" spans="8:17">
      <c r="H33" s="117"/>
      <c r="I33" s="117"/>
      <c r="P33" s="74"/>
    </row>
    <row r="34" spans="8:17">
      <c r="H34" s="117"/>
      <c r="I34" s="117"/>
      <c r="P34" s="74"/>
    </row>
    <row r="35" spans="8:17">
      <c r="H35" s="117"/>
      <c r="I35" s="117"/>
      <c r="P35" s="74"/>
    </row>
    <row r="36" spans="8:17">
      <c r="H36" s="117"/>
      <c r="I36" s="117"/>
      <c r="P36" s="74"/>
    </row>
    <row r="37" spans="8:17">
      <c r="H37" s="117"/>
      <c r="I37" s="117"/>
      <c r="Q37" s="73"/>
    </row>
    <row r="38" spans="8:17">
      <c r="H38" s="117"/>
      <c r="I38" s="117"/>
      <c r="Q38" s="73"/>
    </row>
    <row r="39" spans="8:17">
      <c r="H39" s="117"/>
      <c r="I39" s="117"/>
      <c r="Q39" s="73"/>
    </row>
    <row r="40" spans="8:17">
      <c r="H40" s="117"/>
      <c r="I40" s="117"/>
      <c r="Q40" s="73"/>
    </row>
    <row r="41" spans="8:17">
      <c r="H41" s="117"/>
      <c r="I41" s="117"/>
      <c r="Q41" s="73"/>
    </row>
    <row r="42" spans="8:17">
      <c r="H42" s="117"/>
      <c r="I42" s="117"/>
      <c r="Q42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sheetData>
    <row r="1" spans="1:7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</row>
    <row r="2" spans="1:7">
      <c r="A2" t="s">
        <v>331</v>
      </c>
      <c r="B2" t="s">
        <v>332</v>
      </c>
      <c r="C2" t="s">
        <v>333</v>
      </c>
      <c r="D2" t="s">
        <v>334</v>
      </c>
      <c r="E2" t="s">
        <v>335</v>
      </c>
      <c r="F2">
        <v>20</v>
      </c>
      <c r="G2" t="s">
        <v>336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86</vt:i4>
      </vt:variant>
    </vt:vector>
  </HeadingPairs>
  <TitlesOfParts>
    <vt:vector size="93" baseType="lpstr">
      <vt:lpstr>Flyback</vt:lpstr>
      <vt:lpstr>Transformer</vt:lpstr>
      <vt:lpstr>Power Losses</vt:lpstr>
      <vt:lpstr>Wire Table</vt:lpstr>
      <vt:lpstr>Converters</vt:lpstr>
      <vt:lpstr>Cores and bobbins</vt:lpstr>
      <vt:lpstr>Classified as UnClassified</vt:lpstr>
      <vt:lpstr>_Nc</vt:lpstr>
      <vt:lpstr>_Ns1</vt:lpstr>
      <vt:lpstr>_Ns2</vt:lpstr>
      <vt:lpstr>_Ns3</vt:lpstr>
      <vt:lpstr>_Ns4</vt:lpstr>
      <vt:lpstr>_Ns5</vt:lpstr>
      <vt:lpstr>_Ns6</vt:lpstr>
      <vt:lpstr>_VF1</vt:lpstr>
      <vt:lpstr>_VF2</vt:lpstr>
      <vt:lpstr>_VF3</vt:lpstr>
      <vt:lpstr>_VF4</vt:lpstr>
      <vt:lpstr>_VF5</vt:lpstr>
      <vt:lpstr>_VF6</vt:lpstr>
      <vt:lpstr>_Vo1</vt:lpstr>
      <vt:lpstr>_Vo2</vt:lpstr>
      <vt:lpstr>_Vo3</vt:lpstr>
      <vt:lpstr>_Vo4</vt:lpstr>
      <vt:lpstr>_Vo5</vt:lpstr>
      <vt:lpstr>_Vo6</vt:lpstr>
      <vt:lpstr>Ae</vt:lpstr>
      <vt:lpstr>AL</vt:lpstr>
      <vt:lpstr>Bsat</vt:lpstr>
      <vt:lpstr>Co_1</vt:lpstr>
      <vt:lpstr>Co_2</vt:lpstr>
      <vt:lpstr>Co_3</vt:lpstr>
      <vt:lpstr>Co_4</vt:lpstr>
      <vt:lpstr>Co_5</vt:lpstr>
      <vt:lpstr>Co_6</vt:lpstr>
      <vt:lpstr>Coss</vt:lpstr>
      <vt:lpstr>D_act</vt:lpstr>
      <vt:lpstr>Dmax</vt:lpstr>
      <vt:lpstr>fi</vt:lpstr>
      <vt:lpstr>fL</vt:lpstr>
      <vt:lpstr>fp</vt:lpstr>
      <vt:lpstr>fp_1</vt:lpstr>
      <vt:lpstr>fz</vt:lpstr>
      <vt:lpstr>fz_1</vt:lpstr>
      <vt:lpstr>fzr</vt:lpstr>
      <vt:lpstr>Idspk_act</vt:lpstr>
      <vt:lpstr>Idsrms_act</vt:lpstr>
      <vt:lpstr>Ilim</vt:lpstr>
      <vt:lpstr>Io_1</vt:lpstr>
      <vt:lpstr>Io_2</vt:lpstr>
      <vt:lpstr>Io_3</vt:lpstr>
      <vt:lpstr>Io_4</vt:lpstr>
      <vt:lpstr>Io_5</vt:lpstr>
      <vt:lpstr>Io_6</vt:lpstr>
      <vt:lpstr>Io1rms</vt:lpstr>
      <vt:lpstr>Io2rms</vt:lpstr>
      <vt:lpstr>Io3rms</vt:lpstr>
      <vt:lpstr>Io4rms</vt:lpstr>
      <vt:lpstr>Io5rms</vt:lpstr>
      <vt:lpstr>Io6rms</vt:lpstr>
      <vt:lpstr>Iop</vt:lpstr>
      <vt:lpstr>Ipk</vt:lpstr>
      <vt:lpstr>Irms</vt:lpstr>
      <vt:lpstr>k_1</vt:lpstr>
      <vt:lpstr>KRF</vt:lpstr>
      <vt:lpstr>Llk</vt:lpstr>
      <vt:lpstr>Np</vt:lpstr>
      <vt:lpstr>Pin</vt:lpstr>
      <vt:lpstr>Pin_act</vt:lpstr>
      <vt:lpstr>Po</vt:lpstr>
      <vt:lpstr>Pout_act</vt:lpstr>
      <vt:lpstr>R_1</vt:lpstr>
      <vt:lpstr>Rc_1</vt:lpstr>
      <vt:lpstr>Rc_2</vt:lpstr>
      <vt:lpstr>Rc_3</vt:lpstr>
      <vt:lpstr>Rc_4</vt:lpstr>
      <vt:lpstr>Rc_5</vt:lpstr>
      <vt:lpstr>Rc_6</vt:lpstr>
      <vt:lpstr>Tf</vt:lpstr>
      <vt:lpstr>Tr</vt:lpstr>
      <vt:lpstr>V_line_max</vt:lpstr>
      <vt:lpstr>V_line_min</vt:lpstr>
      <vt:lpstr>Vac_act</vt:lpstr>
      <vt:lpstr>Vcc</vt:lpstr>
      <vt:lpstr>Vdc_act</vt:lpstr>
      <vt:lpstr>Vdc_max</vt:lpstr>
      <vt:lpstr>Vdc_min</vt:lpstr>
      <vt:lpstr>Vdd</vt:lpstr>
      <vt:lpstr>Vfb</vt:lpstr>
      <vt:lpstr>VFC</vt:lpstr>
      <vt:lpstr>VRO</vt:lpstr>
      <vt:lpstr>Vsn</vt:lpstr>
      <vt:lpstr>Zfb</vt:lpstr>
    </vt:vector>
  </TitlesOfParts>
  <Company>ST Microelectronics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GUERRERO</dc:creator>
  <cp:lastModifiedBy>Sergio GUERRERO</cp:lastModifiedBy>
  <dcterms:created xsi:type="dcterms:W3CDTF">2013-03-20T10:15:00Z</dcterms:created>
  <dcterms:modified xsi:type="dcterms:W3CDTF">2014-02-26T19:07:23Z</dcterms:modified>
</cp:coreProperties>
</file>