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queryTables/queryTable5.xml" ContentType="application/vnd.openxmlformats-officedocument.spreadsheetml.queryTable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-20" yWindow="0" windowWidth="29160" windowHeight="20560" tabRatio="445" activeTab="5"/>
  </bookViews>
  <sheets>
    <sheet name="Video 1" sheetId="1" r:id="rId1"/>
    <sheet name="Video 2" sheetId="2" r:id="rId2"/>
    <sheet name="Video 3" sheetId="3" r:id="rId3"/>
    <sheet name="Video 4" sheetId="4" r:id="rId4"/>
    <sheet name="Video 5" sheetId="5" r:id="rId5"/>
    <sheet name="Stats" sheetId="6" r:id="rId6"/>
    <sheet name="Sheet1" sheetId="7" r:id="rId7"/>
    <sheet name="Aggregation" sheetId="8" r:id="rId8"/>
  </sheets>
  <definedNames>
    <definedName name="output_1" localSheetId="0">'Video 1'!$A$1:$I$13</definedName>
    <definedName name="output_2" localSheetId="0">'Video 1'!#REF!</definedName>
    <definedName name="output_2" localSheetId="1">'Video 2'!$A$1:$I$30</definedName>
    <definedName name="output_3_tab" localSheetId="2">'Video 3'!$A$1:$I$19</definedName>
    <definedName name="output_4_tab" localSheetId="3">'Video 4'!$A$1:$I$26</definedName>
    <definedName name="output_5_tab" localSheetId="4">'Video 5'!$A$1:$I$16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1" i="6" l="1"/>
  <c r="P39" i="6"/>
  <c r="O39" i="6"/>
  <c r="Q33" i="6"/>
  <c r="Q34" i="6"/>
  <c r="Q31" i="6"/>
  <c r="Q32" i="6"/>
  <c r="P32" i="6"/>
  <c r="Q30" i="6"/>
  <c r="P14" i="6"/>
  <c r="L17" i="6"/>
  <c r="L16" i="6"/>
  <c r="L15" i="6"/>
  <c r="L14" i="6"/>
  <c r="L13" i="6"/>
  <c r="L12" i="6"/>
  <c r="K16" i="6"/>
  <c r="K15" i="6"/>
  <c r="K14" i="6"/>
  <c r="K13" i="6"/>
  <c r="K12" i="6"/>
  <c r="J16" i="6"/>
  <c r="J15" i="6"/>
  <c r="J14" i="6"/>
  <c r="J13" i="6"/>
  <c r="J12" i="6"/>
  <c r="G35" i="6"/>
  <c r="F35" i="6"/>
  <c r="G34" i="6"/>
  <c r="F34" i="6"/>
  <c r="E33" i="6"/>
  <c r="E25" i="6"/>
  <c r="D25" i="6"/>
  <c r="E24" i="6"/>
  <c r="D24" i="6"/>
  <c r="C25" i="6"/>
  <c r="C24" i="6"/>
  <c r="E23" i="6"/>
  <c r="D23" i="6"/>
  <c r="C23" i="6"/>
  <c r="E22" i="6"/>
  <c r="D22" i="6"/>
  <c r="C22" i="6"/>
  <c r="C21" i="6"/>
  <c r="B25" i="6"/>
  <c r="B24" i="6"/>
  <c r="B23" i="6"/>
  <c r="B22" i="6"/>
  <c r="B12" i="1"/>
  <c r="B13" i="1"/>
  <c r="N13" i="1"/>
  <c r="M13" i="1"/>
  <c r="J13" i="1"/>
  <c r="I13" i="1"/>
  <c r="H13" i="1"/>
  <c r="G21" i="6"/>
  <c r="F21" i="6"/>
  <c r="E21" i="6"/>
  <c r="D21" i="6"/>
  <c r="B21" i="6"/>
  <c r="D33" i="6"/>
  <c r="C16" i="6"/>
  <c r="B16" i="6"/>
  <c r="N12" i="1"/>
  <c r="M12" i="1"/>
  <c r="J12" i="1"/>
  <c r="I12" i="1"/>
  <c r="H12" i="1"/>
  <c r="C6" i="6"/>
  <c r="B6" i="6"/>
  <c r="C5" i="6"/>
  <c r="B5" i="6"/>
  <c r="C4" i="6"/>
  <c r="B4" i="6"/>
  <c r="C3" i="6"/>
  <c r="B3" i="6"/>
  <c r="C2" i="6"/>
  <c r="B2" i="6"/>
  <c r="N16" i="5"/>
  <c r="M16" i="5"/>
  <c r="J16" i="5"/>
  <c r="I16" i="5"/>
  <c r="H16" i="5"/>
  <c r="G16" i="5"/>
  <c r="E16" i="5"/>
  <c r="B16" i="5"/>
  <c r="D16" i="5"/>
  <c r="F16" i="5"/>
  <c r="N15" i="5"/>
  <c r="M15" i="5"/>
  <c r="J15" i="5"/>
  <c r="I15" i="5"/>
  <c r="H15" i="5"/>
  <c r="B15" i="5"/>
  <c r="D15" i="5"/>
  <c r="P15" i="5"/>
  <c r="P16" i="5"/>
  <c r="P17" i="5"/>
  <c r="O31" i="2"/>
  <c r="N30" i="2"/>
  <c r="M30" i="2"/>
  <c r="J30" i="2"/>
  <c r="I30" i="2"/>
  <c r="I29" i="2"/>
  <c r="H29" i="2"/>
  <c r="H30" i="2"/>
  <c r="K30" i="2"/>
  <c r="L30" i="2"/>
  <c r="M29" i="2"/>
  <c r="N29" i="2"/>
  <c r="B18" i="3"/>
  <c r="N18" i="3"/>
  <c r="O27" i="4"/>
  <c r="N27" i="4"/>
  <c r="M27" i="4"/>
  <c r="J27" i="4"/>
  <c r="N26" i="4"/>
  <c r="M26" i="4"/>
  <c r="J26" i="4"/>
  <c r="I26" i="4"/>
  <c r="H26" i="4"/>
  <c r="F26" i="4"/>
  <c r="D26" i="4"/>
  <c r="C26" i="4"/>
  <c r="B26" i="4"/>
  <c r="N25" i="4"/>
  <c r="M25" i="4"/>
  <c r="J25" i="4"/>
  <c r="I25" i="4"/>
  <c r="H25" i="4"/>
  <c r="F25" i="4"/>
  <c r="B25" i="4"/>
  <c r="C25" i="4"/>
  <c r="D25" i="4"/>
  <c r="P27" i="4"/>
  <c r="P26" i="4"/>
  <c r="P25" i="4"/>
  <c r="S20" i="3"/>
  <c r="S19" i="3"/>
  <c r="P20" i="3"/>
  <c r="P19" i="3"/>
  <c r="P18" i="3"/>
  <c r="P31" i="2"/>
  <c r="P30" i="2"/>
  <c r="P29" i="2"/>
  <c r="P14" i="1"/>
  <c r="P13" i="1"/>
  <c r="P12" i="1"/>
  <c r="I18" i="3"/>
  <c r="H18" i="3"/>
  <c r="J18" i="3"/>
  <c r="G33" i="6"/>
  <c r="F33" i="6"/>
  <c r="F32" i="6"/>
  <c r="G32" i="6"/>
  <c r="G31" i="6"/>
  <c r="F31" i="6"/>
  <c r="L34" i="6"/>
  <c r="L30" i="6"/>
  <c r="L31" i="6"/>
  <c r="L32" i="6"/>
  <c r="L33" i="6"/>
  <c r="K32" i="6"/>
  <c r="K41" i="6"/>
  <c r="L43" i="6"/>
  <c r="L42" i="6"/>
  <c r="L41" i="6"/>
  <c r="L40" i="6"/>
  <c r="L39" i="6"/>
  <c r="K39" i="6"/>
  <c r="J39" i="6"/>
  <c r="G27" i="4"/>
  <c r="G26" i="4"/>
  <c r="G25" i="4"/>
  <c r="U26" i="8" a="1"/>
  <c r="U26" i="8"/>
  <c r="U27" i="8"/>
  <c r="U28" i="8"/>
  <c r="U29" i="8"/>
  <c r="U4" i="8" a="1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P91" i="8"/>
  <c r="P92" i="8"/>
  <c r="K33" i="6"/>
  <c r="J33" i="6"/>
  <c r="G17" i="5"/>
  <c r="E17" i="5"/>
  <c r="O17" i="5"/>
  <c r="N17" i="5"/>
  <c r="M17" i="5"/>
  <c r="L17" i="5"/>
  <c r="K17" i="5"/>
  <c r="J17" i="5"/>
  <c r="I17" i="5"/>
  <c r="H17" i="5"/>
  <c r="F17" i="5"/>
  <c r="D17" i="5"/>
  <c r="C17" i="5"/>
  <c r="B17" i="5"/>
  <c r="H27" i="4"/>
  <c r="I27" i="4"/>
  <c r="K27" i="4"/>
  <c r="L27" i="4"/>
  <c r="G21" i="3"/>
  <c r="F27" i="4"/>
  <c r="E27" i="4"/>
  <c r="D27" i="4"/>
  <c r="C27" i="4"/>
  <c r="B27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N31" i="2"/>
  <c r="M31" i="2"/>
  <c r="L31" i="2"/>
  <c r="K31" i="2"/>
  <c r="J29" i="2"/>
  <c r="J31" i="2"/>
  <c r="I31" i="2"/>
  <c r="H31" i="2"/>
  <c r="G31" i="2"/>
  <c r="F31" i="2"/>
  <c r="E31" i="2"/>
  <c r="D31" i="2"/>
  <c r="B29" i="2"/>
  <c r="C31" i="2"/>
  <c r="B31" i="2"/>
  <c r="I14" i="1"/>
  <c r="L14" i="1"/>
  <c r="H14" i="1"/>
  <c r="K14" i="1"/>
  <c r="J2" i="1"/>
  <c r="S2" i="1"/>
  <c r="F2" i="1"/>
  <c r="C2" i="1"/>
  <c r="G2" i="1"/>
  <c r="J3" i="1"/>
  <c r="S3" i="1"/>
  <c r="F3" i="1"/>
  <c r="C3" i="1"/>
  <c r="G3" i="1"/>
  <c r="J4" i="1"/>
  <c r="S4" i="1"/>
  <c r="F4" i="1"/>
  <c r="C4" i="1"/>
  <c r="G4" i="1"/>
  <c r="J5" i="1"/>
  <c r="S5" i="1"/>
  <c r="F5" i="1"/>
  <c r="C5" i="1"/>
  <c r="G5" i="1"/>
  <c r="J6" i="1"/>
  <c r="S6" i="1"/>
  <c r="F6" i="1"/>
  <c r="C6" i="1"/>
  <c r="G6" i="1"/>
  <c r="J7" i="1"/>
  <c r="S7" i="1"/>
  <c r="F7" i="1"/>
  <c r="C7" i="1"/>
  <c r="G7" i="1"/>
  <c r="J8" i="1"/>
  <c r="S8" i="1"/>
  <c r="F8" i="1"/>
  <c r="C8" i="1"/>
  <c r="G8" i="1"/>
  <c r="J9" i="1"/>
  <c r="S9" i="1"/>
  <c r="F9" i="1"/>
  <c r="C9" i="1"/>
  <c r="G9" i="1"/>
  <c r="J10" i="1"/>
  <c r="S10" i="1"/>
  <c r="F10" i="1"/>
  <c r="C10" i="1"/>
  <c r="G10" i="1"/>
  <c r="J11" i="1"/>
  <c r="S11" i="1"/>
  <c r="F11" i="1"/>
  <c r="C11" i="1"/>
  <c r="G11" i="1"/>
  <c r="G14" i="1"/>
  <c r="F14" i="1"/>
  <c r="E14" i="1"/>
  <c r="B14" i="1"/>
  <c r="C14" i="1"/>
  <c r="O20" i="3"/>
  <c r="N20" i="3"/>
  <c r="M20" i="3"/>
  <c r="L20" i="3"/>
  <c r="K20" i="3"/>
  <c r="J20" i="3"/>
  <c r="I20" i="3"/>
  <c r="H20" i="3"/>
  <c r="G20" i="3"/>
  <c r="E20" i="3"/>
  <c r="F20" i="3"/>
  <c r="D20" i="3"/>
  <c r="C20" i="3"/>
  <c r="B20" i="3"/>
  <c r="D14" i="1"/>
  <c r="J14" i="1"/>
  <c r="O2" i="1"/>
  <c r="O3" i="1"/>
  <c r="O4" i="1"/>
  <c r="O5" i="1"/>
  <c r="O6" i="1"/>
  <c r="O7" i="1"/>
  <c r="O8" i="1"/>
  <c r="O9" i="1"/>
  <c r="O10" i="1"/>
  <c r="O11" i="1"/>
  <c r="O14" i="1"/>
  <c r="N14" i="1"/>
  <c r="M14" i="1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O2" i="5"/>
  <c r="K2" i="5"/>
  <c r="L2" i="5"/>
  <c r="J2" i="5"/>
  <c r="F2" i="5"/>
  <c r="C2" i="5"/>
  <c r="G2" i="5"/>
  <c r="K3" i="5"/>
  <c r="L3" i="5"/>
  <c r="J3" i="5"/>
  <c r="F3" i="5"/>
  <c r="C3" i="5"/>
  <c r="G3" i="5"/>
  <c r="K4" i="5"/>
  <c r="L4" i="5"/>
  <c r="J4" i="5"/>
  <c r="F4" i="5"/>
  <c r="C4" i="5"/>
  <c r="G4" i="5"/>
  <c r="K5" i="5"/>
  <c r="L5" i="5"/>
  <c r="J5" i="5"/>
  <c r="F5" i="5"/>
  <c r="C5" i="5"/>
  <c r="G5" i="5"/>
  <c r="K6" i="5"/>
  <c r="L6" i="5"/>
  <c r="J6" i="5"/>
  <c r="F6" i="5"/>
  <c r="C6" i="5"/>
  <c r="G6" i="5"/>
  <c r="K7" i="5"/>
  <c r="L7" i="5"/>
  <c r="J7" i="5"/>
  <c r="F7" i="5"/>
  <c r="C7" i="5"/>
  <c r="G7" i="5"/>
  <c r="K8" i="5"/>
  <c r="L8" i="5"/>
  <c r="J8" i="5"/>
  <c r="F8" i="5"/>
  <c r="C8" i="5"/>
  <c r="G8" i="5"/>
  <c r="K9" i="5"/>
  <c r="L9" i="5"/>
  <c r="J9" i="5"/>
  <c r="F9" i="5"/>
  <c r="C9" i="5"/>
  <c r="G9" i="5"/>
  <c r="K10" i="5"/>
  <c r="L10" i="5"/>
  <c r="J10" i="5"/>
  <c r="F10" i="5"/>
  <c r="C10" i="5"/>
  <c r="G10" i="5"/>
  <c r="K11" i="5"/>
  <c r="L11" i="5"/>
  <c r="J11" i="5"/>
  <c r="F11" i="5"/>
  <c r="C11" i="5"/>
  <c r="G11" i="5"/>
  <c r="K12" i="5"/>
  <c r="L12" i="5"/>
  <c r="J12" i="5"/>
  <c r="F12" i="5"/>
  <c r="C12" i="5"/>
  <c r="G12" i="5"/>
  <c r="K13" i="5"/>
  <c r="L13" i="5"/>
  <c r="J13" i="5"/>
  <c r="F13" i="5"/>
  <c r="C13" i="5"/>
  <c r="G13" i="5"/>
  <c r="K14" i="5"/>
  <c r="L14" i="5"/>
  <c r="J14" i="5"/>
  <c r="F14" i="5"/>
  <c r="C14" i="5"/>
  <c r="G14" i="5"/>
  <c r="K15" i="5"/>
  <c r="L15" i="5"/>
  <c r="F15" i="5"/>
  <c r="G15" i="5"/>
  <c r="K16" i="5"/>
  <c r="L16" i="5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O13" i="1"/>
  <c r="O12" i="1"/>
  <c r="G25" i="1"/>
  <c r="G24" i="1"/>
  <c r="G23" i="1"/>
  <c r="G29" i="1"/>
  <c r="G28" i="1"/>
  <c r="G12" i="1"/>
  <c r="O30" i="6"/>
  <c r="G13" i="1"/>
  <c r="P30" i="6"/>
  <c r="O34" i="6"/>
  <c r="P34" i="6"/>
  <c r="J3" i="4"/>
  <c r="J4" i="4"/>
  <c r="J5" i="4"/>
  <c r="J8" i="4"/>
  <c r="J9" i="4"/>
  <c r="J10" i="4"/>
  <c r="J11" i="4"/>
  <c r="J12" i="4"/>
  <c r="J13" i="4"/>
  <c r="J14" i="4"/>
  <c r="J15" i="4"/>
  <c r="J16" i="4"/>
  <c r="J19" i="4"/>
  <c r="J20" i="4"/>
  <c r="J21" i="4"/>
  <c r="J23" i="4"/>
  <c r="J24" i="4"/>
  <c r="O33" i="6"/>
  <c r="J2" i="4"/>
  <c r="J6" i="4"/>
  <c r="J7" i="4"/>
  <c r="J17" i="4"/>
  <c r="J18" i="4"/>
  <c r="J22" i="4"/>
  <c r="P33" i="6"/>
  <c r="J2" i="3"/>
  <c r="S2" i="3"/>
  <c r="F2" i="3"/>
  <c r="C2" i="3"/>
  <c r="G2" i="3"/>
  <c r="J3" i="3"/>
  <c r="S3" i="3"/>
  <c r="F3" i="3"/>
  <c r="C3" i="3"/>
  <c r="G3" i="3"/>
  <c r="J4" i="3"/>
  <c r="S4" i="3"/>
  <c r="F4" i="3"/>
  <c r="C4" i="3"/>
  <c r="G4" i="3"/>
  <c r="J5" i="3"/>
  <c r="S5" i="3"/>
  <c r="F5" i="3"/>
  <c r="C5" i="3"/>
  <c r="G5" i="3"/>
  <c r="J6" i="3"/>
  <c r="S6" i="3"/>
  <c r="F6" i="3"/>
  <c r="C6" i="3"/>
  <c r="G6" i="3"/>
  <c r="J7" i="3"/>
  <c r="S7" i="3"/>
  <c r="F7" i="3"/>
  <c r="C7" i="3"/>
  <c r="G7" i="3"/>
  <c r="J8" i="3"/>
  <c r="S8" i="3"/>
  <c r="F8" i="3"/>
  <c r="C8" i="3"/>
  <c r="G8" i="3"/>
  <c r="J9" i="3"/>
  <c r="S9" i="3"/>
  <c r="F9" i="3"/>
  <c r="C9" i="3"/>
  <c r="G9" i="3"/>
  <c r="J10" i="3"/>
  <c r="S10" i="3"/>
  <c r="F10" i="3"/>
  <c r="C10" i="3"/>
  <c r="G10" i="3"/>
  <c r="J11" i="3"/>
  <c r="S11" i="3"/>
  <c r="F11" i="3"/>
  <c r="C11" i="3"/>
  <c r="G11" i="3"/>
  <c r="J12" i="3"/>
  <c r="S12" i="3"/>
  <c r="F12" i="3"/>
  <c r="C12" i="3"/>
  <c r="G12" i="3"/>
  <c r="J13" i="3"/>
  <c r="S13" i="3"/>
  <c r="F13" i="3"/>
  <c r="C13" i="3"/>
  <c r="G13" i="3"/>
  <c r="J14" i="3"/>
  <c r="S14" i="3"/>
  <c r="F14" i="3"/>
  <c r="C14" i="3"/>
  <c r="G14" i="3"/>
  <c r="J15" i="3"/>
  <c r="S15" i="3"/>
  <c r="F15" i="3"/>
  <c r="C15" i="3"/>
  <c r="G15" i="3"/>
  <c r="J16" i="3"/>
  <c r="S16" i="3"/>
  <c r="F16" i="3"/>
  <c r="C16" i="3"/>
  <c r="G16" i="3"/>
  <c r="J17" i="3"/>
  <c r="S17" i="3"/>
  <c r="F17" i="3"/>
  <c r="C17" i="3"/>
  <c r="G17" i="3"/>
  <c r="G18" i="3"/>
  <c r="O32" i="6"/>
  <c r="S2" i="2"/>
  <c r="J2" i="2"/>
  <c r="F2" i="2"/>
  <c r="C2" i="2"/>
  <c r="G2" i="2"/>
  <c r="S3" i="2"/>
  <c r="J3" i="2"/>
  <c r="F3" i="2"/>
  <c r="C3" i="2"/>
  <c r="G3" i="2"/>
  <c r="S4" i="2"/>
  <c r="J4" i="2"/>
  <c r="F4" i="2"/>
  <c r="C4" i="2"/>
  <c r="G4" i="2"/>
  <c r="S5" i="2"/>
  <c r="J5" i="2"/>
  <c r="F5" i="2"/>
  <c r="C5" i="2"/>
  <c r="G5" i="2"/>
  <c r="S6" i="2"/>
  <c r="J6" i="2"/>
  <c r="F6" i="2"/>
  <c r="C6" i="2"/>
  <c r="G6" i="2"/>
  <c r="S7" i="2"/>
  <c r="J7" i="2"/>
  <c r="F7" i="2"/>
  <c r="C7" i="2"/>
  <c r="G7" i="2"/>
  <c r="S8" i="2"/>
  <c r="J8" i="2"/>
  <c r="F8" i="2"/>
  <c r="C8" i="2"/>
  <c r="G8" i="2"/>
  <c r="S9" i="2"/>
  <c r="J9" i="2"/>
  <c r="F9" i="2"/>
  <c r="C9" i="2"/>
  <c r="G9" i="2"/>
  <c r="S10" i="2"/>
  <c r="J10" i="2"/>
  <c r="F10" i="2"/>
  <c r="C10" i="2"/>
  <c r="G10" i="2"/>
  <c r="S11" i="2"/>
  <c r="J11" i="2"/>
  <c r="F11" i="2"/>
  <c r="C11" i="2"/>
  <c r="G11" i="2"/>
  <c r="S12" i="2"/>
  <c r="J12" i="2"/>
  <c r="F12" i="2"/>
  <c r="C12" i="2"/>
  <c r="G12" i="2"/>
  <c r="S13" i="2"/>
  <c r="J13" i="2"/>
  <c r="F13" i="2"/>
  <c r="C13" i="2"/>
  <c r="G13" i="2"/>
  <c r="S14" i="2"/>
  <c r="J14" i="2"/>
  <c r="F14" i="2"/>
  <c r="C14" i="2"/>
  <c r="G14" i="2"/>
  <c r="S15" i="2"/>
  <c r="J15" i="2"/>
  <c r="F15" i="2"/>
  <c r="C15" i="2"/>
  <c r="G15" i="2"/>
  <c r="S16" i="2"/>
  <c r="J16" i="2"/>
  <c r="F16" i="2"/>
  <c r="C16" i="2"/>
  <c r="G16" i="2"/>
  <c r="S17" i="2"/>
  <c r="J17" i="2"/>
  <c r="F17" i="2"/>
  <c r="C17" i="2"/>
  <c r="G17" i="2"/>
  <c r="S18" i="2"/>
  <c r="J18" i="2"/>
  <c r="F18" i="2"/>
  <c r="C18" i="2"/>
  <c r="G18" i="2"/>
  <c r="S19" i="2"/>
  <c r="J19" i="2"/>
  <c r="F19" i="2"/>
  <c r="C19" i="2"/>
  <c r="G19" i="2"/>
  <c r="S20" i="2"/>
  <c r="J20" i="2"/>
  <c r="F20" i="2"/>
  <c r="C20" i="2"/>
  <c r="G20" i="2"/>
  <c r="S21" i="2"/>
  <c r="J21" i="2"/>
  <c r="F21" i="2"/>
  <c r="C21" i="2"/>
  <c r="G21" i="2"/>
  <c r="S22" i="2"/>
  <c r="J22" i="2"/>
  <c r="F22" i="2"/>
  <c r="C22" i="2"/>
  <c r="G22" i="2"/>
  <c r="S23" i="2"/>
  <c r="J23" i="2"/>
  <c r="F23" i="2"/>
  <c r="C23" i="2"/>
  <c r="G23" i="2"/>
  <c r="S24" i="2"/>
  <c r="J24" i="2"/>
  <c r="F24" i="2"/>
  <c r="C24" i="2"/>
  <c r="G24" i="2"/>
  <c r="S25" i="2"/>
  <c r="J25" i="2"/>
  <c r="F25" i="2"/>
  <c r="C25" i="2"/>
  <c r="G25" i="2"/>
  <c r="S26" i="2"/>
  <c r="J26" i="2"/>
  <c r="F26" i="2"/>
  <c r="C26" i="2"/>
  <c r="G26" i="2"/>
  <c r="S27" i="2"/>
  <c r="J27" i="2"/>
  <c r="F27" i="2"/>
  <c r="C27" i="2"/>
  <c r="G27" i="2"/>
  <c r="G29" i="2"/>
  <c r="O31" i="6"/>
  <c r="S28" i="2"/>
  <c r="J28" i="2"/>
  <c r="F28" i="2"/>
  <c r="C28" i="2"/>
  <c r="G28" i="2"/>
  <c r="G30" i="2"/>
  <c r="P31" i="6"/>
  <c r="F12" i="1"/>
  <c r="J30" i="6"/>
  <c r="J34" i="6"/>
  <c r="F29" i="2"/>
  <c r="J31" i="6"/>
  <c r="J36" i="6"/>
  <c r="F13" i="1"/>
  <c r="K30" i="6"/>
  <c r="K34" i="6"/>
  <c r="F30" i="2"/>
  <c r="K31" i="6"/>
  <c r="K36" i="6"/>
  <c r="F18" i="3"/>
  <c r="J32" i="6"/>
  <c r="L36" i="6"/>
  <c r="O12" i="6"/>
  <c r="O13" i="6"/>
  <c r="O14" i="6"/>
  <c r="O15" i="6"/>
  <c r="O16" i="6"/>
  <c r="K23" i="6"/>
  <c r="K21" i="6"/>
  <c r="K22" i="6"/>
  <c r="K24" i="6"/>
  <c r="K25" i="6"/>
  <c r="K27" i="6"/>
  <c r="J21" i="6"/>
  <c r="J22" i="6"/>
  <c r="J23" i="6"/>
  <c r="J24" i="6"/>
  <c r="J25" i="6"/>
  <c r="J27" i="6"/>
  <c r="L23" i="6"/>
  <c r="L21" i="6"/>
  <c r="L22" i="6"/>
  <c r="L24" i="6"/>
  <c r="L25" i="6"/>
  <c r="L27" i="6"/>
  <c r="C16" i="7"/>
  <c r="D2" i="6"/>
  <c r="D3" i="6"/>
  <c r="D4" i="6"/>
  <c r="D5" i="6"/>
  <c r="D6" i="6"/>
  <c r="D8" i="6"/>
  <c r="C8" i="6"/>
  <c r="B8" i="6"/>
  <c r="K35" i="6"/>
  <c r="J35" i="6"/>
  <c r="F12" i="6"/>
  <c r="M4" i="6"/>
  <c r="F13" i="6"/>
  <c r="M5" i="6"/>
  <c r="F14" i="6"/>
  <c r="M6" i="6"/>
  <c r="F15" i="6"/>
  <c r="M7" i="6"/>
  <c r="F11" i="6"/>
  <c r="M3" i="6"/>
  <c r="E12" i="6"/>
  <c r="L4" i="6"/>
  <c r="E13" i="6"/>
  <c r="L5" i="6"/>
  <c r="E14" i="6"/>
  <c r="L6" i="6"/>
  <c r="E15" i="6"/>
  <c r="L7" i="6"/>
  <c r="E11" i="6"/>
  <c r="L3" i="6"/>
  <c r="P43" i="6"/>
  <c r="O43" i="6"/>
  <c r="K43" i="6"/>
  <c r="J43" i="6"/>
  <c r="L26" i="4"/>
  <c r="E34" i="6"/>
  <c r="K42" i="6"/>
  <c r="J42" i="6"/>
  <c r="K18" i="3"/>
  <c r="B33" i="6"/>
  <c r="D32" i="6"/>
  <c r="P40" i="6"/>
  <c r="K40" i="6"/>
  <c r="K13" i="1"/>
  <c r="D31" i="6"/>
  <c r="C35" i="6"/>
  <c r="E35" i="6"/>
  <c r="B35" i="6"/>
  <c r="D35" i="6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B34" i="6"/>
  <c r="K26" i="4"/>
  <c r="D34" i="6"/>
  <c r="K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C34" i="6"/>
  <c r="L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C33" i="6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2" i="3"/>
  <c r="L12" i="1"/>
  <c r="C31" i="6"/>
  <c r="L13" i="1"/>
  <c r="E31" i="6"/>
  <c r="K12" i="1"/>
  <c r="B31" i="6"/>
  <c r="L3" i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L29" i="2"/>
  <c r="C32" i="6"/>
  <c r="E32" i="6"/>
  <c r="K29" i="2"/>
  <c r="B32" i="6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L3" i="2"/>
  <c r="K3" i="2"/>
  <c r="L2" i="2"/>
  <c r="K2" i="2"/>
  <c r="C7" i="6"/>
  <c r="Q43" i="6"/>
  <c r="E25" i="4"/>
  <c r="O42" i="6"/>
  <c r="E26" i="4"/>
  <c r="P42" i="6"/>
  <c r="D18" i="3"/>
  <c r="J41" i="6"/>
  <c r="E18" i="3"/>
  <c r="O41" i="6"/>
  <c r="Q41" i="6"/>
  <c r="D13" i="1"/>
  <c r="D12" i="1"/>
  <c r="E13" i="1"/>
  <c r="E12" i="1"/>
  <c r="D29" i="2"/>
  <c r="J40" i="6"/>
  <c r="E29" i="2"/>
  <c r="O40" i="6"/>
  <c r="Q40" i="6"/>
  <c r="G22" i="6"/>
  <c r="G23" i="6"/>
  <c r="G24" i="6"/>
  <c r="G25" i="6"/>
  <c r="F22" i="6"/>
  <c r="F23" i="6"/>
  <c r="F24" i="6"/>
  <c r="F25" i="6"/>
  <c r="D26" i="6"/>
  <c r="E26" i="6"/>
  <c r="C26" i="6"/>
  <c r="B26" i="6"/>
  <c r="C15" i="5"/>
  <c r="C16" i="5"/>
  <c r="C18" i="3"/>
  <c r="C19" i="3"/>
  <c r="S18" i="3"/>
  <c r="C29" i="2"/>
  <c r="C30" i="2"/>
  <c r="D16" i="6"/>
  <c r="K17" i="6"/>
  <c r="O27" i="6"/>
  <c r="P27" i="6"/>
  <c r="Q27" i="6"/>
  <c r="Q42" i="6"/>
  <c r="F16" i="6"/>
  <c r="M8" i="6"/>
  <c r="E16" i="6"/>
  <c r="L8" i="6"/>
  <c r="F26" i="6"/>
  <c r="G26" i="6"/>
  <c r="E36" i="6"/>
  <c r="D36" i="6"/>
  <c r="C36" i="6"/>
  <c r="G36" i="6"/>
  <c r="B36" i="6"/>
  <c r="P22" i="6"/>
  <c r="Q22" i="6"/>
  <c r="P23" i="6"/>
  <c r="Q23" i="6"/>
  <c r="P24" i="6"/>
  <c r="Q24" i="6"/>
  <c r="P25" i="6"/>
  <c r="Q25" i="6"/>
  <c r="P21" i="6"/>
  <c r="Q21" i="6"/>
  <c r="O26" i="6"/>
  <c r="P26" i="6"/>
  <c r="Q26" i="6"/>
  <c r="P13" i="6"/>
  <c r="P15" i="6"/>
  <c r="P16" i="6"/>
  <c r="P12" i="6"/>
  <c r="P17" i="6"/>
  <c r="J17" i="6"/>
  <c r="O17" i="6"/>
  <c r="Q13" i="6"/>
  <c r="Q14" i="6"/>
  <c r="Q15" i="6"/>
  <c r="Q16" i="6"/>
  <c r="B7" i="6"/>
  <c r="F4" i="6"/>
  <c r="K5" i="6"/>
  <c r="O5" i="6"/>
  <c r="E4" i="6"/>
  <c r="J5" i="6"/>
  <c r="N5" i="6"/>
  <c r="F2" i="6"/>
  <c r="K3" i="6"/>
  <c r="O3" i="6"/>
  <c r="E2" i="6"/>
  <c r="J3" i="6"/>
  <c r="N3" i="6"/>
  <c r="F5" i="6"/>
  <c r="K6" i="6"/>
  <c r="O6" i="6"/>
  <c r="E5" i="6"/>
  <c r="J6" i="6"/>
  <c r="N6" i="6"/>
  <c r="F3" i="6"/>
  <c r="K4" i="6"/>
  <c r="O4" i="6"/>
  <c r="E3" i="6"/>
  <c r="J4" i="6"/>
  <c r="N4" i="6"/>
  <c r="F6" i="6"/>
  <c r="K7" i="6"/>
  <c r="O7" i="6"/>
  <c r="E6" i="6"/>
  <c r="J7" i="6"/>
  <c r="N7" i="6"/>
  <c r="F36" i="6"/>
  <c r="J26" i="6"/>
  <c r="K26" i="6"/>
  <c r="D7" i="6"/>
  <c r="F7" i="6"/>
  <c r="K8" i="6"/>
  <c r="O8" i="6"/>
  <c r="Q12" i="6"/>
  <c r="S29" i="2"/>
  <c r="S30" i="2"/>
  <c r="E7" i="6"/>
  <c r="J8" i="6"/>
  <c r="N8" i="6"/>
  <c r="L26" i="6"/>
  <c r="Q17" i="6"/>
  <c r="A20" i="1"/>
  <c r="B18" i="1"/>
  <c r="B19" i="1"/>
  <c r="B20" i="1"/>
  <c r="B21" i="1"/>
  <c r="B22" i="1"/>
  <c r="B23" i="1"/>
  <c r="B24" i="1"/>
  <c r="B25" i="1"/>
  <c r="B26" i="1"/>
  <c r="C12" i="1"/>
  <c r="B27" i="1"/>
  <c r="C13" i="1"/>
  <c r="B28" i="1"/>
  <c r="B17" i="1"/>
  <c r="V3" i="1"/>
  <c r="V4" i="1"/>
  <c r="V5" i="1"/>
  <c r="V6" i="1"/>
  <c r="V7" i="1"/>
  <c r="V8" i="1"/>
  <c r="V9" i="1"/>
  <c r="V10" i="1"/>
  <c r="V11" i="1"/>
  <c r="V2" i="1"/>
  <c r="P44" i="6"/>
  <c r="K44" i="6"/>
  <c r="O44" i="6"/>
  <c r="Q39" i="6"/>
  <c r="Q44" i="6"/>
  <c r="L44" i="6"/>
  <c r="J44" i="6"/>
  <c r="P35" i="6"/>
  <c r="Q35" i="6"/>
  <c r="L35" i="6"/>
  <c r="O35" i="6"/>
</calcChain>
</file>

<file path=xl/connections.xml><?xml version="1.0" encoding="utf-8"?>
<connections xmlns="http://schemas.openxmlformats.org/spreadsheetml/2006/main">
  <connection id="1" name="output" type="6" refreshedVersion="4" background="1" saveData="1">
    <textPr codePage="850" sourceFile="C:\Users\Simon\Desktop\output.csv" decimal="," thousands=".">
      <textFields count="6">
        <textField/>
        <textField/>
        <textField/>
        <textField/>
        <textField/>
        <textField/>
      </textFields>
    </textPr>
  </connection>
  <connection id="2" name="output_1" type="6" refreshedVersion="4" background="1">
    <textPr codePage="850" sourceFile="C:\Users\Simon\Documents\NetBeansProjects\oot\src\output_1.csv" decimal="," thousands="." tab="0" comma="1">
      <textFields count="6">
        <textField/>
        <textField/>
        <textField/>
        <textField/>
        <textField/>
        <textField/>
      </textFields>
    </textPr>
  </connection>
  <connection id="3" name="output_2" type="6" refreshedVersion="4" background="1" saveData="1">
    <textPr codePage="850" sourceFile="C:\Users\Simon\Desktop\output_2.csv" decimal="," thousands=".">
      <textFields count="6">
        <textField type="text"/>
        <textField/>
        <textField/>
        <textField/>
        <textField/>
        <textField/>
      </textFields>
    </textPr>
  </connection>
  <connection id="4" name="output_3_tab" type="6" refreshedVersion="4" background="1" saveData="1">
    <textPr codePage="850" sourceFile="C:\Users\Simon\Documents\NetBeansProjects\oot\src\excel\output_3_tab.csv" decimal="," thousands=".">
      <textFields count="6">
        <textField/>
        <textField/>
        <textField/>
        <textField/>
        <textField/>
        <textField/>
      </textFields>
    </textPr>
  </connection>
  <connection id="5" name="output_4_tab" type="6" refreshedVersion="4" background="1" saveData="1">
    <textPr codePage="850" sourceFile="C:\Users\Simon\Documents\NetBeansProjects\oot\src\excel\output_4_tab.csv" decimal="," thousands=".">
      <textFields count="6">
        <textField/>
        <textField/>
        <textField/>
        <textField/>
        <textField/>
        <textField/>
      </textFields>
    </textPr>
  </connection>
  <connection id="6" name="output_5_tab" type="6" refreshedVersion="4" background="1" saveData="1">
    <textPr codePage="850" sourceFile="C:\Users\Simon\Documents\NetBeansProjects\oot\src\excel\output_5_tab.csv" decimal="," thousands=".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<sst xmlns="http://schemas.openxmlformats.org/spreadsheetml/2006/main" count="746" uniqueCount="173">
  <si>
    <t>time on table (in m)</t>
  </si>
  <si>
    <t>sizeX</t>
  </si>
  <si>
    <t>sizeY</t>
  </si>
  <si>
    <t>Large1</t>
  </si>
  <si>
    <t>Blue1</t>
  </si>
  <si>
    <t>Small1</t>
  </si>
  <si>
    <t>Blue2</t>
  </si>
  <si>
    <t>White1</t>
  </si>
  <si>
    <t>White2</t>
  </si>
  <si>
    <t>Glass1</t>
  </si>
  <si>
    <t>Blue3</t>
  </si>
  <si>
    <t>Ipad</t>
  </si>
  <si>
    <t>Keyboard</t>
  </si>
  <si>
    <t>videoX</t>
  </si>
  <si>
    <t>videoY</t>
  </si>
  <si>
    <t>size px²</t>
  </si>
  <si>
    <t>video px²</t>
  </si>
  <si>
    <t>displayX</t>
  </si>
  <si>
    <t>displayY</t>
  </si>
  <si>
    <t>display px²</t>
  </si>
  <si>
    <t xml:space="preserve"> total time in seconds</t>
  </si>
  <si>
    <t>total time physicals</t>
  </si>
  <si>
    <t>case_1</t>
  </si>
  <si>
    <t>glass_1</t>
  </si>
  <si>
    <t>mouse</t>
  </si>
  <si>
    <t>rack_clear</t>
  </si>
  <si>
    <t>glas_tiny</t>
  </si>
  <si>
    <t>rack_tri</t>
  </si>
  <si>
    <t>glass_3</t>
  </si>
  <si>
    <t>aluminum</t>
  </si>
  <si>
    <t>pen_h</t>
  </si>
  <si>
    <t>blue_1</t>
  </si>
  <si>
    <t>blue_border</t>
  </si>
  <si>
    <t>blue_top</t>
  </si>
  <si>
    <t>glass_2</t>
  </si>
  <si>
    <t>pip_v</t>
  </si>
  <si>
    <t>blue_3</t>
  </si>
  <si>
    <t>jar_1</t>
  </si>
  <si>
    <t>jar_1_cap</t>
  </si>
  <si>
    <t>pen_v</t>
  </si>
  <si>
    <t>blue_2</t>
  </si>
  <si>
    <t>pip_h</t>
  </si>
  <si>
    <t>white_1</t>
  </si>
  <si>
    <t>pip2_v</t>
  </si>
  <si>
    <t>jar_2</t>
  </si>
  <si>
    <t>jar_2_cap</t>
  </si>
  <si>
    <t>pip2_h</t>
  </si>
  <si>
    <t>glass_tiny</t>
  </si>
  <si>
    <t>large_1</t>
  </si>
  <si>
    <t>Object</t>
  </si>
  <si>
    <t>pen_2</t>
  </si>
  <si>
    <t>white_rack_2</t>
  </si>
  <si>
    <t>white_rack</t>
  </si>
  <si>
    <t>pen_1</t>
  </si>
  <si>
    <t>caps</t>
  </si>
  <si>
    <t>blue_box_2</t>
  </si>
  <si>
    <t>vial</t>
  </si>
  <si>
    <t>blue_box</t>
  </si>
  <si>
    <t>small_glass</t>
  </si>
  <si>
    <t>small_rack_1</t>
  </si>
  <si>
    <t>pipette</t>
  </si>
  <si>
    <t>notes</t>
  </si>
  <si>
    <t>Physical objects</t>
  </si>
  <si>
    <t>Hybrid Objects</t>
  </si>
  <si>
    <t>Hybrid objects</t>
  </si>
  <si>
    <t>small_1</t>
  </si>
  <si>
    <t>rack_1</t>
  </si>
  <si>
    <t>long_1</t>
  </si>
  <si>
    <t>glass_small</t>
  </si>
  <si>
    <t>tube_1</t>
  </si>
  <si>
    <t>glove</t>
  </si>
  <si>
    <t>testtube_1</t>
  </si>
  <si>
    <t>testtube_2</t>
  </si>
  <si>
    <t>keyboard</t>
  </si>
  <si>
    <t>box_1</t>
  </si>
  <si>
    <t>small_2</t>
  </si>
  <si>
    <t>box_2</t>
  </si>
  <si>
    <t>cap_1</t>
  </si>
  <si>
    <t>pipette_1</t>
  </si>
  <si>
    <t>tag_1</t>
  </si>
  <si>
    <t>pipette_3</t>
  </si>
  <si>
    <t>pipette_2</t>
  </si>
  <si>
    <t>plate_3</t>
  </si>
  <si>
    <t>Rack</t>
  </si>
  <si>
    <t>Box_1</t>
  </si>
  <si>
    <t>plate_2</t>
  </si>
  <si>
    <t>plate_1</t>
  </si>
  <si>
    <t>pen</t>
  </si>
  <si>
    <t>tag</t>
  </si>
  <si>
    <t>calc</t>
  </si>
  <si>
    <t>Physical Objects</t>
  </si>
  <si>
    <t>All Objects</t>
  </si>
  <si>
    <t>Object Count</t>
  </si>
  <si>
    <t>Objects on Table (average)</t>
  </si>
  <si>
    <t>Time on Table in s (average)</t>
  </si>
  <si>
    <t>X in cm</t>
  </si>
  <si>
    <t>Y in cm</t>
  </si>
  <si>
    <t>Time on Table in m (average)</t>
  </si>
  <si>
    <t>no Hybrid objects</t>
  </si>
  <si>
    <t>Overall</t>
  </si>
  <si>
    <t xml:space="preserve">Video Duration </t>
  </si>
  <si>
    <t>in Minutes</t>
  </si>
  <si>
    <t>in Seconds</t>
  </si>
  <si>
    <t>Time on Table in % (average)</t>
  </si>
  <si>
    <t>In Total</t>
  </si>
  <si>
    <t>On average</t>
  </si>
  <si>
    <t>On Average</t>
  </si>
  <si>
    <t>total time</t>
  </si>
  <si>
    <t>Time in s</t>
  </si>
  <si>
    <t>size²</t>
  </si>
  <si>
    <t>Object size</t>
  </si>
  <si>
    <t>x in px</t>
  </si>
  <si>
    <t>y in px</t>
  </si>
  <si>
    <t>y in cm</t>
  </si>
  <si>
    <t>x in cm</t>
  </si>
  <si>
    <t>OcclusionVideo</t>
  </si>
  <si>
    <t>OcclusionDisplay</t>
  </si>
  <si>
    <t>OccV / Time</t>
  </si>
  <si>
    <t>Per Object</t>
  </si>
  <si>
    <t>OccD / Time</t>
  </si>
  <si>
    <t>Physical Object</t>
  </si>
  <si>
    <t>Hybrid Object</t>
  </si>
  <si>
    <t>Session 1</t>
  </si>
  <si>
    <t>Session 2</t>
  </si>
  <si>
    <t>Session 3</t>
  </si>
  <si>
    <t>Session 4</t>
  </si>
  <si>
    <t>Session 5</t>
  </si>
  <si>
    <t>Variance</t>
  </si>
  <si>
    <t>Total Amount</t>
  </si>
  <si>
    <t>(Physical Objects)</t>
  </si>
  <si>
    <t>Average amount on table</t>
  </si>
  <si>
    <t>(Hybrid Objects)</t>
  </si>
  <si>
    <t>Video Duration (in m)</t>
  </si>
  <si>
    <t>Average</t>
  </si>
  <si>
    <t>Average Occlusion per Object</t>
  </si>
  <si>
    <t>Average Occlusion over Time</t>
  </si>
  <si>
    <t>small group</t>
  </si>
  <si>
    <t>large racks, paper, keyboard, ipad, laptop</t>
  </si>
  <si>
    <t>small boxes, medium racks</t>
  </si>
  <si>
    <t>large instruments</t>
  </si>
  <si>
    <t>occurences</t>
  </si>
  <si>
    <t>distance</t>
  </si>
  <si>
    <t>distance in cm</t>
  </si>
  <si>
    <t>avg distance</t>
  </si>
  <si>
    <t>st.dev</t>
  </si>
  <si>
    <t>3 groups</t>
  </si>
  <si>
    <t>no mvt</t>
  </si>
  <si>
    <t>little mvt</t>
  </si>
  <si>
    <t>lot of mvt</t>
  </si>
  <si>
    <t>All objects</t>
  </si>
  <si>
    <t>type</t>
  </si>
  <si>
    <t>P</t>
  </si>
  <si>
    <t>Time on table (min)</t>
  </si>
  <si>
    <t>Time (s)</t>
  </si>
  <si>
    <t>Type</t>
  </si>
  <si>
    <t>H</t>
  </si>
  <si>
    <t>Overall Display Occlusion per s (%)</t>
  </si>
  <si>
    <t>Display Occluded (%)</t>
  </si>
  <si>
    <t>Occlusion (relative to video size)</t>
  </si>
  <si>
    <t>stdev (lot)</t>
  </si>
  <si>
    <t>Presence (%)</t>
  </si>
  <si>
    <t>Total Objects</t>
  </si>
  <si>
    <t>Occlusion per time (relative to Video)</t>
  </si>
  <si>
    <t>Total time</t>
  </si>
  <si>
    <t>Distance (cm)</t>
  </si>
  <si>
    <t>Distance (px)</t>
  </si>
  <si>
    <t>Session1</t>
  </si>
  <si>
    <t>Session2</t>
  </si>
  <si>
    <t>Session3</t>
  </si>
  <si>
    <t>Session5</t>
  </si>
  <si>
    <t>Session4</t>
  </si>
  <si>
    <t>Session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</si>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</sst>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0000000000000000000_);_(* \(#,##0.0000000000000000000000\);_(* &quot;-&quot;??_);_(@_)"/>
    <numFmt numFmtId="165" formatCode="0.00000"/>
  </numFmts>
  <fonts count="26" x14ac:knownFonts="1">
    <font>
      <sz val="11"/>
      <color theme="1"/>
      <name val="Garamond"/>
      <family val="2"/>
      <scheme val="minor"/>
    </font>
    <font>
      <sz val="12"/>
      <color theme="1"/>
      <name val="Garamond"/>
      <family val="2"/>
      <scheme val="minor"/>
    </font>
    <font>
      <sz val="12"/>
      <color theme="1"/>
      <name val="Garamond"/>
      <family val="2"/>
      <scheme val="minor"/>
    </font>
    <font>
      <sz val="11"/>
      <color theme="1"/>
      <name val="Garamond"/>
      <family val="2"/>
      <scheme val="minor"/>
    </font>
    <font>
      <b/>
      <sz val="18"/>
      <color theme="3"/>
      <name val="Garamond"/>
      <family val="2"/>
      <scheme val="major"/>
    </font>
    <font>
      <b/>
      <sz val="15"/>
      <color theme="3"/>
      <name val="Garamond"/>
      <family val="2"/>
      <scheme val="minor"/>
    </font>
    <font>
      <b/>
      <sz val="13"/>
      <color theme="3"/>
      <name val="Garamond"/>
      <family val="2"/>
      <scheme val="minor"/>
    </font>
    <font>
      <b/>
      <sz val="11"/>
      <color theme="3"/>
      <name val="Garamond"/>
      <family val="2"/>
      <scheme val="minor"/>
    </font>
    <font>
      <sz val="11"/>
      <color rgb="FF006100"/>
      <name val="Garamond"/>
      <family val="2"/>
      <scheme val="minor"/>
    </font>
    <font>
      <sz val="11"/>
      <color rgb="FF9C0006"/>
      <name val="Garamond"/>
      <family val="2"/>
      <scheme val="minor"/>
    </font>
    <font>
      <sz val="11"/>
      <color rgb="FF9C6500"/>
      <name val="Garamond"/>
      <family val="2"/>
      <scheme val="minor"/>
    </font>
    <font>
      <sz val="11"/>
      <color rgb="FF3F3F76"/>
      <name val="Garamond"/>
      <family val="2"/>
      <scheme val="minor"/>
    </font>
    <font>
      <b/>
      <sz val="11"/>
      <color rgb="FF3F3F3F"/>
      <name val="Garamond"/>
      <family val="2"/>
      <scheme val="minor"/>
    </font>
    <font>
      <b/>
      <sz val="11"/>
      <color rgb="FFFA7D00"/>
      <name val="Garamond"/>
      <family val="2"/>
      <scheme val="minor"/>
    </font>
    <font>
      <sz val="11"/>
      <color rgb="FFFA7D00"/>
      <name val="Garamond"/>
      <family val="2"/>
      <scheme val="minor"/>
    </font>
    <font>
      <b/>
      <sz val="11"/>
      <color theme="0"/>
      <name val="Garamond"/>
      <family val="2"/>
      <scheme val="minor"/>
    </font>
    <font>
      <sz val="11"/>
      <color rgb="FFFF0000"/>
      <name val="Garamond"/>
      <family val="2"/>
      <scheme val="minor"/>
    </font>
    <font>
      <i/>
      <sz val="11"/>
      <color rgb="FF7F7F7F"/>
      <name val="Garamond"/>
      <family val="2"/>
      <scheme val="minor"/>
    </font>
    <font>
      <b/>
      <sz val="11"/>
      <color theme="1"/>
      <name val="Garamond"/>
      <family val="2"/>
      <scheme val="minor"/>
    </font>
    <font>
      <sz val="11"/>
      <color theme="0"/>
      <name val="Garamond"/>
      <family val="2"/>
      <scheme val="minor"/>
    </font>
    <font>
      <u/>
      <sz val="11"/>
      <color theme="10"/>
      <name val="Garamond"/>
      <family val="2"/>
      <scheme val="minor"/>
    </font>
    <font>
      <u/>
      <sz val="11"/>
      <color theme="11"/>
      <name val="Garamond"/>
      <family val="2"/>
      <scheme val="minor"/>
    </font>
    <font>
      <sz val="8"/>
      <name val="Garamond"/>
      <family val="2"/>
      <scheme val="minor"/>
    </font>
    <font>
      <sz val="12"/>
      <color rgb="FF000000"/>
      <name val="Garamond"/>
      <family val="2"/>
      <scheme val="minor"/>
    </font>
    <font>
      <b/>
      <sz val="12"/>
      <color theme="3"/>
      <name val="Garamond"/>
      <scheme val="minor"/>
    </font>
    <font>
      <b/>
      <sz val="12"/>
      <color theme="1"/>
      <name val="Garamond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theme="4" tint="0.3999755851924192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theme="4" tint="0.39997558519241921"/>
      </bottom>
      <diagonal/>
    </border>
    <border>
      <left/>
      <right/>
      <top style="thin">
        <color auto="1"/>
      </top>
      <bottom style="medium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medium">
        <color theme="4" tint="0.39997558519241921"/>
      </bottom>
      <diagonal/>
    </border>
  </borders>
  <cellStyleXfs count="70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43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91">
    <xf numFmtId="0" fontId="0" fillId="0" borderId="0" xfId="0"/>
    <xf numFmtId="0" fontId="0" fillId="0" borderId="0" xfId="0" applyBorder="1"/>
    <xf numFmtId="0" fontId="7" fillId="0" borderId="3" xfId="4"/>
    <xf numFmtId="43" fontId="0" fillId="0" borderId="0" xfId="42" applyFont="1"/>
    <xf numFmtId="43" fontId="0" fillId="0" borderId="0" xfId="42" applyFont="1" applyBorder="1"/>
    <xf numFmtId="0" fontId="24" fillId="0" borderId="3" xfId="4" applyFont="1"/>
    <xf numFmtId="43" fontId="24" fillId="0" borderId="3" xfId="42" applyFont="1" applyBorder="1"/>
    <xf numFmtId="0" fontId="24" fillId="0" borderId="27" xfId="5" applyFont="1" applyBorder="1"/>
    <xf numFmtId="43" fontId="2" fillId="0" borderId="22" xfId="42" applyFont="1" applyBorder="1"/>
    <xf numFmtId="43" fontId="2" fillId="0" borderId="0" xfId="42" applyFont="1"/>
    <xf numFmtId="43" fontId="2" fillId="0" borderId="21" xfId="42" applyFont="1" applyBorder="1"/>
    <xf numFmtId="0" fontId="2" fillId="0" borderId="21" xfId="0" applyFont="1" applyBorder="1"/>
    <xf numFmtId="0" fontId="2" fillId="0" borderId="23" xfId="0" applyFont="1" applyBorder="1"/>
    <xf numFmtId="0" fontId="2" fillId="0" borderId="22" xfId="0" applyFont="1" applyBorder="1"/>
    <xf numFmtId="0" fontId="2" fillId="0" borderId="0" xfId="0" applyFont="1"/>
    <xf numFmtId="0" fontId="24" fillId="0" borderId="12" xfId="5" applyFont="1" applyBorder="1"/>
    <xf numFmtId="43" fontId="2" fillId="0" borderId="11" xfId="42" applyFont="1" applyBorder="1"/>
    <xf numFmtId="43" fontId="2" fillId="0" borderId="0" xfId="42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4" fillId="0" borderId="35" xfId="5" applyFont="1" applyBorder="1"/>
    <xf numFmtId="0" fontId="2" fillId="0" borderId="29" xfId="0" applyFont="1" applyBorder="1"/>
    <xf numFmtId="0" fontId="2" fillId="0" borderId="30" xfId="0" applyFont="1" applyBorder="1"/>
    <xf numFmtId="0" fontId="24" fillId="0" borderId="24" xfId="5" applyFont="1" applyBorder="1"/>
    <xf numFmtId="43" fontId="2" fillId="0" borderId="0" xfId="42" applyFont="1" applyFill="1" applyBorder="1"/>
    <xf numFmtId="0" fontId="2" fillId="0" borderId="0" xfId="0" applyFont="1" applyFill="1" applyBorder="1"/>
    <xf numFmtId="0" fontId="2" fillId="0" borderId="12" xfId="0" applyFont="1" applyFill="1" applyBorder="1"/>
    <xf numFmtId="0" fontId="2" fillId="0" borderId="25" xfId="0" applyFont="1" applyBorder="1"/>
    <xf numFmtId="0" fontId="24" fillId="0" borderId="36" xfId="5" applyFont="1" applyBorder="1"/>
    <xf numFmtId="0" fontId="2" fillId="0" borderId="33" xfId="0" applyFont="1" applyBorder="1"/>
    <xf numFmtId="0" fontId="2" fillId="0" borderId="34" xfId="0" applyFont="1" applyBorder="1"/>
    <xf numFmtId="0" fontId="25" fillId="0" borderId="0" xfId="0" applyFont="1" applyBorder="1"/>
    <xf numFmtId="0" fontId="25" fillId="0" borderId="0" xfId="0" applyFont="1" applyBorder="1" applyAlignment="1">
      <alignment horizontal="right"/>
    </xf>
    <xf numFmtId="0" fontId="25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5" fillId="0" borderId="0" xfId="0" applyFont="1" applyFill="1" applyBorder="1"/>
    <xf numFmtId="3" fontId="2" fillId="0" borderId="0" xfId="0" applyNumberFormat="1" applyFont="1" applyBorder="1"/>
    <xf numFmtId="0" fontId="2" fillId="0" borderId="0" xfId="0" applyFont="1" applyFill="1" applyBorder="1" applyAlignment="1">
      <alignment horizontal="center"/>
    </xf>
    <xf numFmtId="43" fontId="25" fillId="0" borderId="0" xfId="42" applyFont="1" applyBorder="1"/>
    <xf numFmtId="43" fontId="25" fillId="0" borderId="0" xfId="42" applyFont="1" applyBorder="1" applyAlignment="1">
      <alignment horizontal="right"/>
    </xf>
    <xf numFmtId="43" fontId="2" fillId="0" borderId="0" xfId="42" applyFont="1" applyFill="1" applyBorder="1" applyAlignment="1">
      <alignment horizontal="center"/>
    </xf>
    <xf numFmtId="43" fontId="25" fillId="0" borderId="0" xfId="42" applyFont="1" applyBorder="1" applyAlignment="1">
      <alignment horizontal="center"/>
    </xf>
    <xf numFmtId="43" fontId="2" fillId="0" borderId="0" xfId="42" applyFont="1" applyBorder="1" applyAlignment="1">
      <alignment horizontal="center"/>
    </xf>
    <xf numFmtId="43" fontId="25" fillId="0" borderId="0" xfId="42" applyFont="1" applyBorder="1" applyAlignment="1">
      <alignment horizontal="left"/>
    </xf>
    <xf numFmtId="43" fontId="25" fillId="0" borderId="0" xfId="42" applyFont="1" applyFill="1" applyBorder="1" applyAlignment="1">
      <alignment horizontal="right"/>
    </xf>
    <xf numFmtId="43" fontId="2" fillId="0" borderId="0" xfId="42" applyFont="1" applyBorder="1" applyAlignment="1">
      <alignment horizontal="left"/>
    </xf>
    <xf numFmtId="43" fontId="2" fillId="0" borderId="22" xfId="42" applyFont="1" applyFill="1" applyBorder="1"/>
    <xf numFmtId="43" fontId="2" fillId="0" borderId="21" xfId="42" applyFont="1" applyFill="1" applyBorder="1" applyAlignment="1">
      <alignment horizontal="center"/>
    </xf>
    <xf numFmtId="43" fontId="2" fillId="0" borderId="21" xfId="42" applyFont="1" applyFill="1" applyBorder="1"/>
    <xf numFmtId="43" fontId="2" fillId="0" borderId="21" xfId="42" applyFont="1" applyBorder="1" applyAlignment="1">
      <alignment horizontal="left"/>
    </xf>
    <xf numFmtId="0" fontId="2" fillId="0" borderId="21" xfId="0" applyFont="1" applyFill="1" applyBorder="1"/>
    <xf numFmtId="0" fontId="2" fillId="0" borderId="21" xfId="0" applyFont="1" applyFill="1" applyBorder="1" applyAlignment="1">
      <alignment horizontal="center"/>
    </xf>
    <xf numFmtId="43" fontId="2" fillId="0" borderId="11" xfId="42" applyFont="1" applyFill="1" applyBorder="1"/>
    <xf numFmtId="0" fontId="2" fillId="0" borderId="23" xfId="0" applyFont="1" applyFill="1" applyBorder="1"/>
    <xf numFmtId="43" fontId="2" fillId="0" borderId="14" xfId="42" applyFont="1" applyBorder="1"/>
    <xf numFmtId="43" fontId="25" fillId="0" borderId="29" xfId="42" applyFont="1" applyBorder="1"/>
    <xf numFmtId="43" fontId="25" fillId="0" borderId="29" xfId="42" applyFont="1" applyBorder="1" applyAlignment="1">
      <alignment horizontal="center"/>
    </xf>
    <xf numFmtId="43" fontId="25" fillId="0" borderId="29" xfId="42" applyFont="1" applyBorder="1" applyAlignment="1">
      <alignment horizontal="left"/>
    </xf>
    <xf numFmtId="0" fontId="25" fillId="0" borderId="29" xfId="0" applyFont="1" applyBorder="1"/>
    <xf numFmtId="43" fontId="25" fillId="0" borderId="33" xfId="42" applyFont="1" applyBorder="1"/>
    <xf numFmtId="43" fontId="24" fillId="0" borderId="3" xfId="4" applyNumberFormat="1" applyFont="1" applyAlignment="1">
      <alignment horizontal="right"/>
    </xf>
    <xf numFmtId="43" fontId="24" fillId="0" borderId="3" xfId="4" applyNumberFormat="1" applyFont="1" applyAlignment="1">
      <alignment horizontal="center"/>
    </xf>
    <xf numFmtId="43" fontId="24" fillId="0" borderId="3" xfId="4" applyNumberFormat="1" applyFont="1" applyAlignment="1">
      <alignment horizontal="left"/>
    </xf>
    <xf numFmtId="43" fontId="24" fillId="0" borderId="3" xfId="4" applyNumberFormat="1" applyFont="1" applyFill="1" applyAlignment="1">
      <alignment horizontal="center"/>
    </xf>
    <xf numFmtId="0" fontId="24" fillId="0" borderId="3" xfId="4" applyFont="1" applyAlignment="1">
      <alignment horizontal="right"/>
    </xf>
    <xf numFmtId="43" fontId="24" fillId="0" borderId="3" xfId="4" applyNumberFormat="1" applyFont="1" applyFill="1" applyAlignment="1">
      <alignment horizontal="right"/>
    </xf>
    <xf numFmtId="0" fontId="24" fillId="0" borderId="3" xfId="4" applyFont="1" applyFill="1" applyAlignment="1">
      <alignment horizontal="right"/>
    </xf>
    <xf numFmtId="0" fontId="24" fillId="0" borderId="3" xfId="4" applyFont="1" applyAlignment="1">
      <alignment horizontal="center"/>
    </xf>
    <xf numFmtId="0" fontId="24" fillId="0" borderId="27" xfId="5" applyFont="1" applyFill="1" applyBorder="1"/>
    <xf numFmtId="0" fontId="24" fillId="0" borderId="12" xfId="5" applyFont="1" applyFill="1" applyBorder="1"/>
    <xf numFmtId="0" fontId="24" fillId="0" borderId="28" xfId="5" applyFont="1" applyBorder="1"/>
    <xf numFmtId="0" fontId="24" fillId="0" borderId="31" xfId="5" applyFont="1" applyBorder="1"/>
    <xf numFmtId="0" fontId="24" fillId="0" borderId="32" xfId="5" applyFont="1" applyFill="1" applyBorder="1"/>
    <xf numFmtId="0" fontId="25" fillId="0" borderId="30" xfId="0" applyFont="1" applyBorder="1"/>
    <xf numFmtId="0" fontId="25" fillId="0" borderId="25" xfId="0" applyFont="1" applyBorder="1"/>
    <xf numFmtId="0" fontId="25" fillId="0" borderId="33" xfId="0" applyFont="1" applyBorder="1"/>
    <xf numFmtId="0" fontId="25" fillId="0" borderId="34" xfId="0" applyFont="1" applyBorder="1"/>
    <xf numFmtId="0" fontId="25" fillId="0" borderId="16" xfId="0" applyFont="1" applyBorder="1" applyAlignment="1">
      <alignment horizontal="left"/>
    </xf>
    <xf numFmtId="0" fontId="25" fillId="0" borderId="17" xfId="0" applyFont="1" applyBorder="1" applyAlignment="1">
      <alignment horizontal="right"/>
    </xf>
    <xf numFmtId="0" fontId="25" fillId="0" borderId="18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21" xfId="0" applyFont="1" applyBorder="1" applyAlignment="1">
      <alignment horizontal="right"/>
    </xf>
    <xf numFmtId="0" fontId="25" fillId="0" borderId="26" xfId="0" applyFont="1" applyBorder="1" applyAlignment="1">
      <alignment horizontal="left"/>
    </xf>
    <xf numFmtId="0" fontId="2" fillId="0" borderId="23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5" fillId="0" borderId="19" xfId="0" applyFont="1" applyBorder="1" applyAlignment="1">
      <alignment horizontal="left"/>
    </xf>
    <xf numFmtId="10" fontId="2" fillId="0" borderId="11" xfId="0" applyNumberFormat="1" applyFont="1" applyBorder="1" applyAlignment="1">
      <alignment horizontal="right"/>
    </xf>
    <xf numFmtId="0" fontId="25" fillId="0" borderId="20" xfId="0" applyFont="1" applyBorder="1" applyAlignment="1">
      <alignment horizontal="left"/>
    </xf>
    <xf numFmtId="0" fontId="2" fillId="0" borderId="13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right"/>
    </xf>
    <xf numFmtId="10" fontId="2" fillId="0" borderId="13" xfId="0" applyNumberFormat="1" applyFont="1" applyBorder="1" applyAlignment="1">
      <alignment horizontal="right"/>
    </xf>
    <xf numFmtId="0" fontId="25" fillId="0" borderId="22" xfId="0" applyFont="1" applyBorder="1" applyAlignment="1">
      <alignment horizontal="left"/>
    </xf>
    <xf numFmtId="0" fontId="25" fillId="0" borderId="21" xfId="0" applyFont="1" applyBorder="1" applyAlignment="1">
      <alignment horizontal="right"/>
    </xf>
    <xf numFmtId="0" fontId="25" fillId="0" borderId="23" xfId="0" applyFont="1" applyBorder="1" applyAlignment="1">
      <alignment horizontal="right"/>
    </xf>
    <xf numFmtId="0" fontId="25" fillId="0" borderId="10" xfId="0" applyFont="1" applyBorder="1" applyAlignment="1">
      <alignment horizontal="right"/>
    </xf>
    <xf numFmtId="10" fontId="2" fillId="0" borderId="12" xfId="0" applyNumberFormat="1" applyFont="1" applyBorder="1" applyAlignment="1">
      <alignment horizontal="right"/>
    </xf>
    <xf numFmtId="0" fontId="25" fillId="0" borderId="13" xfId="0" applyFont="1" applyBorder="1" applyAlignment="1">
      <alignment horizontal="left"/>
    </xf>
    <xf numFmtId="10" fontId="2" fillId="0" borderId="16" xfId="0" applyNumberFormat="1" applyFont="1" applyBorder="1" applyAlignment="1">
      <alignment horizontal="right"/>
    </xf>
    <xf numFmtId="10" fontId="2" fillId="0" borderId="18" xfId="0" applyNumberFormat="1" applyFont="1" applyBorder="1" applyAlignment="1">
      <alignment horizontal="right"/>
    </xf>
    <xf numFmtId="0" fontId="25" fillId="0" borderId="0" xfId="0" applyFont="1"/>
    <xf numFmtId="0" fontId="25" fillId="0" borderId="22" xfId="0" applyFont="1" applyBorder="1" applyAlignment="1">
      <alignment horizontal="right"/>
    </xf>
    <xf numFmtId="0" fontId="25" fillId="0" borderId="13" xfId="0" applyFont="1" applyBorder="1"/>
    <xf numFmtId="0" fontId="25" fillId="0" borderId="13" xfId="0" applyFont="1" applyBorder="1" applyAlignment="1">
      <alignment horizontal="right"/>
    </xf>
    <xf numFmtId="0" fontId="25" fillId="0" borderId="15" xfId="0" applyFont="1" applyBorder="1" applyAlignment="1">
      <alignment horizontal="right"/>
    </xf>
    <xf numFmtId="0" fontId="2" fillId="0" borderId="0" xfId="0" applyFont="1" applyBorder="1" applyAlignment="1"/>
    <xf numFmtId="0" fontId="25" fillId="0" borderId="11" xfId="0" applyFont="1" applyBorder="1" applyAlignment="1">
      <alignment horizontal="right"/>
    </xf>
    <xf numFmtId="0" fontId="25" fillId="0" borderId="12" xfId="0" applyFont="1" applyBorder="1" applyAlignment="1">
      <alignment horizontal="right"/>
    </xf>
    <xf numFmtId="10" fontId="2" fillId="0" borderId="21" xfId="0" applyNumberFormat="1" applyFont="1" applyBorder="1" applyAlignment="1">
      <alignment horizontal="right"/>
    </xf>
    <xf numFmtId="10" fontId="2" fillId="0" borderId="23" xfId="0" applyNumberFormat="1" applyFont="1" applyBorder="1" applyAlignment="1">
      <alignment horizontal="right"/>
    </xf>
    <xf numFmtId="10" fontId="2" fillId="0" borderId="22" xfId="0" applyNumberFormat="1" applyFont="1" applyBorder="1"/>
    <xf numFmtId="10" fontId="2" fillId="0" borderId="21" xfId="0" applyNumberFormat="1" applyFont="1" applyBorder="1"/>
    <xf numFmtId="10" fontId="2" fillId="0" borderId="23" xfId="0" applyNumberFormat="1" applyFont="1" applyBorder="1"/>
    <xf numFmtId="10" fontId="2" fillId="0" borderId="0" xfId="0" applyNumberFormat="1" applyFont="1" applyBorder="1" applyAlignment="1">
      <alignment horizontal="right"/>
    </xf>
    <xf numFmtId="10" fontId="2" fillId="0" borderId="11" xfId="0" applyNumberFormat="1" applyFont="1" applyBorder="1"/>
    <xf numFmtId="10" fontId="2" fillId="0" borderId="0" xfId="0" applyNumberFormat="1" applyFont="1" applyBorder="1"/>
    <xf numFmtId="10" fontId="2" fillId="0" borderId="12" xfId="0" applyNumberFormat="1" applyFont="1" applyBorder="1"/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0" fontId="0" fillId="8" borderId="8" xfId="15" applyFont="1"/>
    <xf numFmtId="0" fontId="2" fillId="8" borderId="8" xfId="15" applyFont="1"/>
    <xf numFmtId="0" fontId="2" fillId="8" borderId="8" xfId="15" applyFont="1" applyAlignment="1">
      <alignment horizontal="left"/>
    </xf>
    <xf numFmtId="43" fontId="2" fillId="8" borderId="8" xfId="15" applyNumberFormat="1" applyFont="1"/>
    <xf numFmtId="43" fontId="0" fillId="8" borderId="8" xfId="15" applyNumberFormat="1" applyFont="1"/>
    <xf numFmtId="0" fontId="0" fillId="0" borderId="0" xfId="42" applyNumberFormat="1" applyFont="1" applyAlignment="1">
      <alignment horizontal="center"/>
    </xf>
    <xf numFmtId="43" fontId="7" fillId="0" borderId="3" xfId="42" applyFont="1" applyBorder="1" applyAlignment="1"/>
    <xf numFmtId="43" fontId="7" fillId="0" borderId="3" xfId="42" applyFont="1" applyFill="1" applyBorder="1" applyAlignment="1"/>
    <xf numFmtId="43" fontId="24" fillId="0" borderId="3" xfId="42" applyFont="1" applyBorder="1" applyAlignment="1"/>
    <xf numFmtId="43" fontId="24" fillId="0" borderId="3" xfId="42" applyFont="1" applyFill="1" applyBorder="1" applyAlignment="1"/>
    <xf numFmtId="0" fontId="25" fillId="0" borderId="28" xfId="0" applyFont="1" applyBorder="1"/>
    <xf numFmtId="0" fontId="25" fillId="0" borderId="31" xfId="0" applyFont="1" applyBorder="1"/>
    <xf numFmtId="0" fontId="25" fillId="0" borderId="32" xfId="0" applyFont="1" applyFill="1" applyBorder="1"/>
    <xf numFmtId="43" fontId="2" fillId="0" borderId="22" xfId="42" applyFont="1" applyBorder="1" applyAlignment="1">
      <alignment horizontal="right"/>
    </xf>
    <xf numFmtId="43" fontId="2" fillId="0" borderId="11" xfId="42" applyFont="1" applyBorder="1" applyAlignment="1">
      <alignment horizontal="right"/>
    </xf>
    <xf numFmtId="43" fontId="25" fillId="0" borderId="29" xfId="42" applyFont="1" applyBorder="1" applyAlignment="1">
      <alignment horizontal="right"/>
    </xf>
    <xf numFmtId="43" fontId="23" fillId="0" borderId="21" xfId="42" applyFont="1" applyBorder="1" applyAlignment="1">
      <alignment horizontal="right"/>
    </xf>
    <xf numFmtId="43" fontId="23" fillId="0" borderId="0" xfId="42" applyFont="1" applyBorder="1" applyAlignment="1">
      <alignment horizontal="right"/>
    </xf>
    <xf numFmtId="43" fontId="2" fillId="0" borderId="21" xfId="42" applyFont="1" applyBorder="1" applyAlignment="1">
      <alignment horizontal="right"/>
    </xf>
    <xf numFmtId="43" fontId="2" fillId="0" borderId="0" xfId="42" applyFont="1" applyBorder="1" applyAlignment="1">
      <alignment horizontal="right"/>
    </xf>
    <xf numFmtId="43" fontId="23" fillId="0" borderId="21" xfId="42" applyFont="1" applyBorder="1"/>
    <xf numFmtId="43" fontId="23" fillId="0" borderId="0" xfId="42" applyFont="1" applyBorder="1"/>
    <xf numFmtId="43" fontId="24" fillId="0" borderId="38" xfId="42" applyFont="1" applyBorder="1"/>
    <xf numFmtId="43" fontId="24" fillId="0" borderId="39" xfId="42" applyFont="1" applyBorder="1"/>
    <xf numFmtId="0" fontId="24" fillId="0" borderId="39" xfId="4" applyFont="1" applyBorder="1"/>
    <xf numFmtId="0" fontId="24" fillId="0" borderId="40" xfId="4" applyFont="1" applyBorder="1"/>
    <xf numFmtId="43" fontId="2" fillId="0" borderId="13" xfId="42" applyFont="1" applyBorder="1" applyAlignment="1">
      <alignment horizontal="right"/>
    </xf>
    <xf numFmtId="43" fontId="2" fillId="0" borderId="14" xfId="42" applyFont="1" applyBorder="1" applyAlignment="1">
      <alignment horizontal="right"/>
    </xf>
    <xf numFmtId="43" fontId="24" fillId="0" borderId="39" xfId="42" applyFont="1" applyBorder="1" applyAlignment="1"/>
    <xf numFmtId="43" fontId="24" fillId="0" borderId="39" xfId="42" applyFont="1" applyFill="1" applyBorder="1" applyAlignment="1"/>
    <xf numFmtId="0" fontId="24" fillId="0" borderId="27" xfId="5" applyFont="1" applyBorder="1" applyAlignment="1">
      <alignment horizontal="left"/>
    </xf>
    <xf numFmtId="0" fontId="24" fillId="0" borderId="12" xfId="5" applyFont="1" applyBorder="1" applyAlignment="1">
      <alignment horizontal="left"/>
    </xf>
    <xf numFmtId="0" fontId="24" fillId="0" borderId="0" xfId="5" applyFont="1" applyFill="1" applyBorder="1" applyAlignment="1">
      <alignment horizontal="left"/>
    </xf>
    <xf numFmtId="0" fontId="24" fillId="0" borderId="28" xfId="5" applyFont="1" applyBorder="1" applyAlignment="1">
      <alignment horizontal="left"/>
    </xf>
    <xf numFmtId="0" fontId="24" fillId="0" borderId="31" xfId="5" applyFont="1" applyBorder="1" applyAlignment="1">
      <alignment horizontal="left"/>
    </xf>
    <xf numFmtId="0" fontId="24" fillId="0" borderId="32" xfId="5" applyFont="1" applyBorder="1"/>
    <xf numFmtId="49" fontId="24" fillId="0" borderId="3" xfId="4" applyNumberFormat="1" applyFont="1" applyAlignment="1">
      <alignment horizontal="left"/>
    </xf>
    <xf numFmtId="43" fontId="24" fillId="0" borderId="3" xfId="42" applyFont="1" applyBorder="1" applyAlignment="1">
      <alignment horizontal="right"/>
    </xf>
    <xf numFmtId="43" fontId="24" fillId="0" borderId="3" xfId="42" applyFont="1" applyFill="1" applyBorder="1" applyAlignment="1">
      <alignment horizontal="right"/>
    </xf>
    <xf numFmtId="49" fontId="24" fillId="0" borderId="0" xfId="5" applyNumberFormat="1" applyFont="1" applyBorder="1" applyAlignment="1">
      <alignment horizontal="left"/>
    </xf>
    <xf numFmtId="43" fontId="2" fillId="0" borderId="22" xfId="42" applyFont="1" applyBorder="1" applyAlignment="1"/>
    <xf numFmtId="43" fontId="2" fillId="0" borderId="21" xfId="42" applyFont="1" applyBorder="1" applyAlignment="1"/>
    <xf numFmtId="0" fontId="2" fillId="0" borderId="21" xfId="0" applyFont="1" applyBorder="1" applyAlignment="1"/>
    <xf numFmtId="43" fontId="2" fillId="0" borderId="11" xfId="42" applyFont="1" applyBorder="1" applyAlignment="1"/>
    <xf numFmtId="43" fontId="2" fillId="0" borderId="0" xfId="42" applyFont="1" applyBorder="1" applyAlignment="1"/>
    <xf numFmtId="49" fontId="24" fillId="0" borderId="28" xfId="5" applyNumberFormat="1" applyFont="1" applyBorder="1" applyAlignment="1">
      <alignment horizontal="left"/>
    </xf>
    <xf numFmtId="49" fontId="24" fillId="0" borderId="31" xfId="5" applyNumberFormat="1" applyFont="1" applyBorder="1" applyAlignment="1">
      <alignment horizontal="left"/>
    </xf>
    <xf numFmtId="49" fontId="25" fillId="0" borderId="32" xfId="0" applyNumberFormat="1" applyFont="1" applyFill="1" applyBorder="1" applyAlignment="1">
      <alignment horizontal="left"/>
    </xf>
    <xf numFmtId="0" fontId="2" fillId="0" borderId="0" xfId="0" applyFont="1" applyAlignment="1"/>
    <xf numFmtId="0" fontId="25" fillId="0" borderId="19" xfId="0" applyFont="1" applyBorder="1" applyAlignment="1">
      <alignment horizontal="center"/>
    </xf>
    <xf numFmtId="43" fontId="2" fillId="0" borderId="0" xfId="42" applyFont="1" applyAlignment="1"/>
    <xf numFmtId="0" fontId="2" fillId="0" borderId="20" xfId="0" applyFont="1" applyBorder="1" applyAlignment="1">
      <alignment horizontal="center"/>
    </xf>
    <xf numFmtId="164" fontId="0" fillId="0" borderId="0" xfId="42" applyNumberFormat="1" applyFont="1" applyBorder="1"/>
    <xf numFmtId="2" fontId="24" fillId="0" borderId="39" xfId="42" applyNumberFormat="1" applyFont="1" applyBorder="1"/>
    <xf numFmtId="2" fontId="0" fillId="0" borderId="0" xfId="42" applyNumberFormat="1" applyFont="1"/>
    <xf numFmtId="2" fontId="24" fillId="0" borderId="3" xfId="4" applyNumberFormat="1" applyFont="1"/>
    <xf numFmtId="2" fontId="24" fillId="0" borderId="38" xfId="42" applyNumberFormat="1" applyFont="1" applyBorder="1"/>
    <xf numFmtId="2" fontId="24" fillId="0" borderId="39" xfId="42" applyNumberFormat="1" applyFont="1" applyBorder="1" applyAlignment="1"/>
    <xf numFmtId="2" fontId="24" fillId="0" borderId="39" xfId="42" applyNumberFormat="1" applyFont="1" applyFill="1" applyBorder="1" applyAlignment="1"/>
    <xf numFmtId="2" fontId="24" fillId="0" borderId="39" xfId="4" applyNumberFormat="1" applyFont="1" applyBorder="1"/>
    <xf numFmtId="2" fontId="24" fillId="0" borderId="40" xfId="4" applyNumberFormat="1" applyFont="1" applyBorder="1"/>
    <xf numFmtId="2" fontId="0" fillId="0" borderId="0" xfId="0" applyNumberFormat="1"/>
    <xf numFmtId="43" fontId="25" fillId="0" borderId="33" xfId="42" applyFont="1" applyBorder="1" applyAlignment="1">
      <alignment horizontal="right"/>
    </xf>
    <xf numFmtId="0" fontId="25" fillId="0" borderId="11" xfId="0" applyFont="1" applyBorder="1" applyAlignment="1">
      <alignment horizontal="left"/>
    </xf>
    <xf numFmtId="2" fontId="2" fillId="0" borderId="22" xfId="0" applyNumberFormat="1" applyFont="1" applyBorder="1" applyAlignment="1">
      <alignment horizontal="right"/>
    </xf>
    <xf numFmtId="2" fontId="2" fillId="0" borderId="11" xfId="0" applyNumberFormat="1" applyFont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2" fontId="2" fillId="0" borderId="12" xfId="0" applyNumberFormat="1" applyFont="1" applyBorder="1" applyAlignment="1">
      <alignment horizontal="right"/>
    </xf>
    <xf numFmtId="2" fontId="2" fillId="0" borderId="13" xfId="0" applyNumberFormat="1" applyFont="1" applyBorder="1" applyAlignment="1">
      <alignment horizontal="right"/>
    </xf>
    <xf numFmtId="2" fontId="2" fillId="0" borderId="14" xfId="0" applyNumberFormat="1" applyFont="1" applyBorder="1" applyAlignment="1">
      <alignment horizontal="right"/>
    </xf>
    <xf numFmtId="2" fontId="2" fillId="0" borderId="15" xfId="0" applyNumberFormat="1" applyFont="1" applyBorder="1" applyAlignment="1">
      <alignment horizontal="right"/>
    </xf>
    <xf numFmtId="2" fontId="0" fillId="0" borderId="21" xfId="42" applyNumberFormat="1" applyFont="1" applyBorder="1"/>
    <xf numFmtId="2" fontId="0" fillId="0" borderId="23" xfId="42" applyNumberFormat="1" applyFont="1" applyBorder="1"/>
    <xf numFmtId="2" fontId="2" fillId="0" borderId="0" xfId="0" applyNumberFormat="1" applyFont="1" applyAlignment="1">
      <alignment horizontal="right"/>
    </xf>
    <xf numFmtId="2" fontId="2" fillId="0" borderId="21" xfId="0" applyNumberFormat="1" applyFont="1" applyBorder="1" applyAlignment="1">
      <alignment horizontal="right"/>
    </xf>
    <xf numFmtId="2" fontId="2" fillId="0" borderId="23" xfId="0" applyNumberFormat="1" applyFont="1" applyBorder="1" applyAlignment="1">
      <alignment horizontal="right"/>
    </xf>
    <xf numFmtId="10" fontId="0" fillId="0" borderId="0" xfId="479" applyNumberFormat="1" applyFont="1"/>
    <xf numFmtId="10" fontId="0" fillId="0" borderId="16" xfId="479" applyNumberFormat="1" applyFont="1" applyBorder="1"/>
    <xf numFmtId="10" fontId="0" fillId="0" borderId="17" xfId="479" applyNumberFormat="1" applyFont="1" applyBorder="1"/>
    <xf numFmtId="10" fontId="0" fillId="0" borderId="18" xfId="479" applyNumberFormat="1" applyFont="1" applyBorder="1"/>
    <xf numFmtId="10" fontId="2" fillId="0" borderId="22" xfId="0" applyNumberFormat="1" applyFont="1" applyBorder="1" applyAlignment="1">
      <alignment horizontal="right"/>
    </xf>
    <xf numFmtId="10" fontId="0" fillId="0" borderId="11" xfId="479" applyNumberFormat="1" applyFont="1" applyBorder="1"/>
    <xf numFmtId="10" fontId="0" fillId="0" borderId="0" xfId="479" applyNumberFormat="1" applyFont="1" applyBorder="1"/>
    <xf numFmtId="10" fontId="0" fillId="0" borderId="12" xfId="479" applyNumberFormat="1" applyFont="1" applyBorder="1"/>
    <xf numFmtId="10" fontId="0" fillId="0" borderId="13" xfId="479" applyNumberFormat="1" applyFont="1" applyBorder="1"/>
    <xf numFmtId="10" fontId="0" fillId="0" borderId="14" xfId="479" applyNumberFormat="1" applyFont="1" applyBorder="1"/>
    <xf numFmtId="10" fontId="0" fillId="0" borderId="15" xfId="479" applyNumberFormat="1" applyFont="1" applyBorder="1"/>
    <xf numFmtId="2" fontId="2" fillId="0" borderId="22" xfId="0" applyNumberFormat="1" applyFont="1" applyBorder="1"/>
    <xf numFmtId="2" fontId="2" fillId="0" borderId="21" xfId="0" applyNumberFormat="1" applyFont="1" applyBorder="1"/>
    <xf numFmtId="2" fontId="2" fillId="0" borderId="11" xfId="0" applyNumberFormat="1" applyFont="1" applyBorder="1" applyAlignment="1"/>
    <xf numFmtId="2" fontId="2" fillId="0" borderId="0" xfId="0" applyNumberFormat="1" applyFont="1" applyBorder="1" applyAlignment="1"/>
    <xf numFmtId="2" fontId="2" fillId="0" borderId="16" xfId="0" applyNumberFormat="1" applyFont="1" applyBorder="1" applyAlignment="1">
      <alignment horizontal="right"/>
    </xf>
    <xf numFmtId="2" fontId="2" fillId="0" borderId="17" xfId="0" applyNumberFormat="1" applyFont="1" applyBorder="1" applyAlignment="1">
      <alignment horizontal="right"/>
    </xf>
    <xf numFmtId="2" fontId="2" fillId="0" borderId="18" xfId="0" applyNumberFormat="1" applyFont="1" applyBorder="1" applyAlignment="1">
      <alignment horizontal="right"/>
    </xf>
    <xf numFmtId="43" fontId="25" fillId="0" borderId="29" xfId="42" applyFont="1" applyBorder="1" applyAlignment="1"/>
    <xf numFmtId="0" fontId="25" fillId="0" borderId="29" xfId="0" applyFont="1" applyBorder="1" applyAlignment="1"/>
    <xf numFmtId="43" fontId="25" fillId="0" borderId="0" xfId="42" applyFont="1" applyBorder="1" applyAlignment="1"/>
    <xf numFmtId="0" fontId="25" fillId="0" borderId="0" xfId="0" applyFont="1" applyBorder="1" applyAlignment="1"/>
    <xf numFmtId="43" fontId="25" fillId="0" borderId="33" xfId="42" applyFont="1" applyBorder="1" applyAlignment="1"/>
    <xf numFmtId="0" fontId="25" fillId="0" borderId="33" xfId="0" applyFont="1" applyBorder="1" applyAlignment="1"/>
    <xf numFmtId="0" fontId="25" fillId="0" borderId="34" xfId="0" applyFont="1" applyBorder="1" applyAlignment="1"/>
    <xf numFmtId="43" fontId="25" fillId="0" borderId="35" xfId="42" applyFont="1" applyBorder="1"/>
    <xf numFmtId="2" fontId="25" fillId="0" borderId="29" xfId="0" applyNumberFormat="1" applyFont="1" applyBorder="1"/>
    <xf numFmtId="43" fontId="25" fillId="0" borderId="24" xfId="42" applyFont="1" applyBorder="1"/>
    <xf numFmtId="43" fontId="25" fillId="0" borderId="0" xfId="42" applyFont="1" applyFill="1" applyBorder="1"/>
    <xf numFmtId="0" fontId="25" fillId="0" borderId="12" xfId="0" applyFont="1" applyFill="1" applyBorder="1"/>
    <xf numFmtId="43" fontId="25" fillId="0" borderId="36" xfId="42" applyFont="1" applyBorder="1"/>
    <xf numFmtId="43" fontId="25" fillId="0" borderId="33" xfId="42" applyNumberFormat="1" applyFont="1" applyBorder="1"/>
    <xf numFmtId="0" fontId="25" fillId="0" borderId="37" xfId="0" applyFont="1" applyBorder="1"/>
    <xf numFmtId="0" fontId="18" fillId="0" borderId="29" xfId="0" applyFont="1" applyBorder="1"/>
    <xf numFmtId="0" fontId="18" fillId="0" borderId="0" xfId="0" applyFont="1" applyBorder="1"/>
    <xf numFmtId="43" fontId="25" fillId="0" borderId="33" xfId="42" applyFont="1" applyFill="1" applyBorder="1" applyAlignment="1">
      <alignment horizontal="right"/>
    </xf>
    <xf numFmtId="0" fontId="18" fillId="0" borderId="33" xfId="0" applyFont="1" applyBorder="1"/>
    <xf numFmtId="0" fontId="25" fillId="8" borderId="8" xfId="15" applyFont="1"/>
    <xf numFmtId="0" fontId="25" fillId="8" borderId="8" xfId="15" applyFont="1" applyAlignment="1">
      <alignment horizontal="left"/>
    </xf>
    <xf numFmtId="2" fontId="25" fillId="0" borderId="0" xfId="0" applyNumberFormat="1" applyFont="1" applyBorder="1" applyAlignment="1"/>
    <xf numFmtId="0" fontId="1" fillId="0" borderId="12" xfId="0" applyFont="1" applyBorder="1"/>
    <xf numFmtId="1" fontId="2" fillId="0" borderId="22" xfId="0" applyNumberFormat="1" applyFont="1" applyBorder="1"/>
    <xf numFmtId="9" fontId="2" fillId="0" borderId="26" xfId="0" applyNumberFormat="1" applyFont="1" applyBorder="1" applyAlignment="1">
      <alignment horizontal="right"/>
    </xf>
    <xf numFmtId="9" fontId="2" fillId="0" borderId="19" xfId="0" applyNumberFormat="1" applyFont="1" applyBorder="1" applyAlignment="1">
      <alignment horizontal="right"/>
    </xf>
    <xf numFmtId="9" fontId="2" fillId="0" borderId="11" xfId="0" applyNumberFormat="1" applyFont="1" applyBorder="1" applyAlignment="1">
      <alignment horizontal="right"/>
    </xf>
    <xf numFmtId="9" fontId="2" fillId="0" borderId="12" xfId="0" applyNumberFormat="1" applyFont="1" applyBorder="1" applyAlignment="1">
      <alignment horizontal="right"/>
    </xf>
    <xf numFmtId="9" fontId="2" fillId="0" borderId="16" xfId="0" applyNumberFormat="1" applyFont="1" applyBorder="1" applyAlignment="1">
      <alignment horizontal="right"/>
    </xf>
    <xf numFmtId="9" fontId="2" fillId="0" borderId="18" xfId="0" applyNumberFormat="1" applyFont="1" applyBorder="1" applyAlignment="1">
      <alignment horizontal="right"/>
    </xf>
    <xf numFmtId="2" fontId="2" fillId="0" borderId="23" xfId="0" applyNumberFormat="1" applyFont="1" applyBorder="1"/>
    <xf numFmtId="2" fontId="2" fillId="0" borderId="12" xfId="0" applyNumberFormat="1" applyFont="1" applyBorder="1" applyAlignment="1"/>
    <xf numFmtId="0" fontId="25" fillId="0" borderId="10" xfId="0" applyFont="1" applyBorder="1" applyAlignment="1">
      <alignment horizontal="left"/>
    </xf>
    <xf numFmtId="10" fontId="2" fillId="0" borderId="17" xfId="0" applyNumberFormat="1" applyFont="1" applyBorder="1" applyAlignment="1">
      <alignment horizontal="right"/>
    </xf>
    <xf numFmtId="0" fontId="25" fillId="0" borderId="16" xfId="0" applyFont="1" applyBorder="1" applyAlignment="1">
      <alignment horizontal="right"/>
    </xf>
    <xf numFmtId="1" fontId="2" fillId="0" borderId="21" xfId="0" applyNumberFormat="1" applyFont="1" applyBorder="1"/>
    <xf numFmtId="165" fontId="2" fillId="0" borderId="0" xfId="0" applyNumberFormat="1" applyFont="1" applyBorder="1" applyAlignment="1">
      <alignment horizontal="right"/>
    </xf>
    <xf numFmtId="165" fontId="2" fillId="0" borderId="12" xfId="0" applyNumberFormat="1" applyFont="1" applyBorder="1" applyAlignment="1">
      <alignment horizontal="right"/>
    </xf>
    <xf numFmtId="165" fontId="2" fillId="0" borderId="14" xfId="0" applyNumberFormat="1" applyFont="1" applyBorder="1" applyAlignment="1">
      <alignment horizontal="right"/>
    </xf>
    <xf numFmtId="165" fontId="2" fillId="0" borderId="15" xfId="0" applyNumberFormat="1" applyFont="1" applyBorder="1" applyAlignment="1">
      <alignment horizontal="right"/>
    </xf>
    <xf numFmtId="0" fontId="25" fillId="0" borderId="0" xfId="0" applyFont="1" applyBorder="1" applyAlignment="1">
      <alignment horizontal="left"/>
    </xf>
    <xf numFmtId="0" fontId="25" fillId="0" borderId="16" xfId="0" applyFont="1" applyBorder="1" applyAlignment="1">
      <alignment horizontal="center"/>
    </xf>
    <xf numFmtId="0" fontId="25" fillId="0" borderId="18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2" fontId="23" fillId="0" borderId="11" xfId="0" applyNumberFormat="1" applyFont="1" applyBorder="1" applyAlignment="1">
      <alignment horizontal="right"/>
    </xf>
    <xf numFmtId="2" fontId="23" fillId="0" borderId="12" xfId="0" applyNumberFormat="1" applyFont="1" applyBorder="1" applyAlignment="1">
      <alignment horizontal="right"/>
    </xf>
    <xf numFmtId="2" fontId="2" fillId="0" borderId="13" xfId="42" applyNumberFormat="1" applyFont="1" applyBorder="1" applyAlignment="1">
      <alignment horizontal="right"/>
    </xf>
    <xf numFmtId="9" fontId="2" fillId="0" borderId="10" xfId="0" applyNumberFormat="1" applyFont="1" applyBorder="1" applyAlignment="1">
      <alignment horizontal="right"/>
    </xf>
    <xf numFmtId="43" fontId="2" fillId="0" borderId="15" xfId="42" applyFont="1" applyBorder="1" applyAlignment="1">
      <alignment horizontal="right"/>
    </xf>
    <xf numFmtId="2" fontId="2" fillId="0" borderId="0" xfId="0" applyNumberFormat="1" applyFont="1"/>
    <xf numFmtId="2" fontId="2" fillId="0" borderId="12" xfId="0" applyNumberFormat="1" applyFont="1" applyFill="1" applyBorder="1" applyAlignment="1">
      <alignment horizontal="right"/>
    </xf>
    <xf numFmtId="2" fontId="25" fillId="0" borderId="21" xfId="0" applyNumberFormat="1" applyFont="1" applyBorder="1" applyAlignment="1">
      <alignment horizontal="right"/>
    </xf>
    <xf numFmtId="2" fontId="25" fillId="0" borderId="23" xfId="0" applyNumberFormat="1" applyFont="1" applyBorder="1" applyAlignment="1">
      <alignment horizontal="right"/>
    </xf>
    <xf numFmtId="2" fontId="25" fillId="0" borderId="26" xfId="0" applyNumberFormat="1" applyFont="1" applyBorder="1" applyAlignment="1">
      <alignment horizontal="right"/>
    </xf>
    <xf numFmtId="1" fontId="2" fillId="0" borderId="19" xfId="0" applyNumberFormat="1" applyFont="1" applyBorder="1" applyAlignment="1">
      <alignment horizontal="right"/>
    </xf>
    <xf numFmtId="1" fontId="2" fillId="0" borderId="20" xfId="0" applyNumberFormat="1" applyFont="1" applyBorder="1" applyAlignment="1">
      <alignment horizontal="right"/>
    </xf>
    <xf numFmtId="1" fontId="2" fillId="0" borderId="26" xfId="0" applyNumberFormat="1" applyFont="1" applyBorder="1" applyAlignment="1">
      <alignment horizontal="right"/>
    </xf>
    <xf numFmtId="10" fontId="2" fillId="0" borderId="13" xfId="0" applyNumberFormat="1" applyFont="1" applyBorder="1"/>
    <xf numFmtId="10" fontId="2" fillId="0" borderId="14" xfId="0" applyNumberFormat="1" applyFont="1" applyBorder="1"/>
    <xf numFmtId="10" fontId="2" fillId="0" borderId="15" xfId="0" applyNumberFormat="1" applyFont="1" applyBorder="1"/>
    <xf numFmtId="2" fontId="0" fillId="0" borderId="22" xfId="0" applyNumberFormat="1" applyBorder="1"/>
    <xf numFmtId="2" fontId="0" fillId="0" borderId="21" xfId="0" applyNumberFormat="1" applyBorder="1"/>
    <xf numFmtId="2" fontId="0" fillId="0" borderId="23" xfId="0" applyNumberFormat="1" applyBorder="1"/>
    <xf numFmtId="2" fontId="0" fillId="0" borderId="11" xfId="0" applyNumberFormat="1" applyBorder="1"/>
    <xf numFmtId="2" fontId="0" fillId="0" borderId="0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</cellXfs>
  <cellStyles count="70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79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layout>
        <c:manualLayout>
          <c:xMode val="edge"/>
          <c:yMode val="edge"/>
          <c:x val="0.326478265559271"/>
          <c:y val="0.0309278350515464"/>
        </c:manualLayout>
      </c:layout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'Video 1'!$B$1</c:f>
              <c:strCache>
                <c:ptCount val="1"/>
                <c:pt idx="0">
                  <c:v>Time on table (min)</c:v>
                </c:pt>
              </c:strCache>
            </c:strRef>
          </c:tx>
          <c:invertIfNegative val="0"/>
          <c:dPt>
            <c:idx val="10"/>
            <c:invertIfNegative val="0"/>
            <c:bubble3D val="0"/>
            <c:spPr>
              <a:gradFill>
                <a:gsLst>
                  <a:gs pos="0">
                    <a:schemeClr val="tx2">
                      <a:lumMod val="60000"/>
                      <a:lumOff val="40000"/>
                    </a:schemeClr>
                  </a:gs>
                  <a:gs pos="5000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0"/>
              </a:gradFill>
            </c:spPr>
          </c:dPt>
          <c:dPt>
            <c:idx val="11"/>
            <c:invertIfNegative val="0"/>
            <c:bubble3D val="0"/>
            <c:spPr>
              <a:gradFill>
                <a:gsLst>
                  <a:gs pos="0">
                    <a:schemeClr val="accent6">
                      <a:lumMod val="60000"/>
                      <a:lumOff val="40000"/>
                    </a:schemeClr>
                  </a:gs>
                  <a:gs pos="50000">
                    <a:schemeClr val="accent6"/>
                  </a:gs>
                  <a:gs pos="100000">
                    <a:schemeClr val="accent6">
                      <a:lumMod val="75000"/>
                    </a:schemeClr>
                  </a:gs>
                </a:gsLst>
                <a:lin ang="5400000" scaled="0"/>
              </a:gradFill>
            </c:spPr>
          </c:dPt>
          <c:cat>
            <c:strRef>
              <c:f>'Video 1'!$A$2:$A$13</c:f>
              <c:strCache>
                <c:ptCount val="12"/>
                <c:pt idx="0">
                  <c:v>Large1</c:v>
                </c:pt>
                <c:pt idx="1">
                  <c:v>Blue1</c:v>
                </c:pt>
                <c:pt idx="2">
                  <c:v>Small1</c:v>
                </c:pt>
                <c:pt idx="3">
                  <c:v>Blue2</c:v>
                </c:pt>
                <c:pt idx="4">
                  <c:v>White1</c:v>
                </c:pt>
                <c:pt idx="5">
                  <c:v>White2</c:v>
                </c:pt>
                <c:pt idx="6">
                  <c:v>Glass1</c:v>
                </c:pt>
                <c:pt idx="7">
                  <c:v>Blue3</c:v>
                </c:pt>
                <c:pt idx="8">
                  <c:v>Ipad</c:v>
                </c:pt>
                <c:pt idx="9">
                  <c:v>Keyboard</c:v>
                </c:pt>
                <c:pt idx="10">
                  <c:v>Physical objects</c:v>
                </c:pt>
                <c:pt idx="11">
                  <c:v>Hybrid objects</c:v>
                </c:pt>
              </c:strCache>
            </c:strRef>
          </c:cat>
          <c:val>
            <c:numRef>
              <c:f>'Video 1'!$B$2:$B$13</c:f>
              <c:numCache>
                <c:formatCode>_(* #,##0.00_);_(* \(#,##0.00\);_(* "-"??_);_(@_)</c:formatCode>
                <c:ptCount val="12"/>
                <c:pt idx="0">
                  <c:v>125.1613</c:v>
                </c:pt>
                <c:pt idx="1">
                  <c:v>6.383</c:v>
                </c:pt>
                <c:pt idx="2">
                  <c:v>48.953</c:v>
                </c:pt>
                <c:pt idx="3">
                  <c:v>0.6993</c:v>
                </c:pt>
                <c:pt idx="4">
                  <c:v>121.6894</c:v>
                </c:pt>
                <c:pt idx="5">
                  <c:v>89.67319999999999</c:v>
                </c:pt>
                <c:pt idx="6">
                  <c:v>24.616</c:v>
                </c:pt>
                <c:pt idx="7">
                  <c:v>64.2502</c:v>
                </c:pt>
                <c:pt idx="8">
                  <c:v>4.0642</c:v>
                </c:pt>
                <c:pt idx="9">
                  <c:v>97.3198</c:v>
                </c:pt>
                <c:pt idx="10">
                  <c:v>51.0868875</c:v>
                </c:pt>
                <c:pt idx="11">
                  <c:v>87.05715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-2025079016"/>
        <c:axId val="-2025076040"/>
      </c:barChart>
      <c:catAx>
        <c:axId val="-2025079016"/>
        <c:scaling>
          <c:orientation val="minMax"/>
        </c:scaling>
        <c:delete val="0"/>
        <c:axPos val="l"/>
        <c:majorTickMark val="none"/>
        <c:minorTickMark val="none"/>
        <c:tickLblPos val="nextTo"/>
        <c:crossAx val="-2025076040"/>
        <c:crosses val="autoZero"/>
        <c:auto val="1"/>
        <c:lblAlgn val="ctr"/>
        <c:lblOffset val="100"/>
        <c:noMultiLvlLbl val="0"/>
      </c:catAx>
      <c:valAx>
        <c:axId val="-2025076040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none"/>
        <c:minorTickMark val="none"/>
        <c:tickLblPos val="nextTo"/>
        <c:crossAx val="-2025079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'Video 2'!$B$1</c:f>
              <c:strCache>
                <c:ptCount val="1"/>
                <c:pt idx="0">
                  <c:v>time on table (in m)</c:v>
                </c:pt>
              </c:strCache>
            </c:strRef>
          </c:tx>
          <c:invertIfNegative val="0"/>
          <c:dPt>
            <c:idx val="27"/>
            <c:invertIfNegative val="0"/>
            <c:bubble3D val="0"/>
            <c:spPr>
              <a:gradFill>
                <a:gsLst>
                  <a:gs pos="0">
                    <a:schemeClr val="tx2">
                      <a:lumMod val="60000"/>
                      <a:lumOff val="40000"/>
                    </a:schemeClr>
                  </a:gs>
                  <a:gs pos="5000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0"/>
              </a:gradFill>
            </c:spPr>
          </c:dPt>
          <c:dPt>
            <c:idx val="28"/>
            <c:invertIfNegative val="0"/>
            <c:bubble3D val="0"/>
            <c:spPr>
              <a:gradFill>
                <a:gsLst>
                  <a:gs pos="0">
                    <a:schemeClr val="accent6">
                      <a:lumMod val="60000"/>
                      <a:lumOff val="40000"/>
                    </a:schemeClr>
                  </a:gs>
                  <a:gs pos="50000">
                    <a:schemeClr val="accent6"/>
                  </a:gs>
                  <a:gs pos="100000">
                    <a:schemeClr val="accent6">
                      <a:lumMod val="75000"/>
                    </a:schemeClr>
                  </a:gs>
                </a:gsLst>
                <a:lin ang="5400000" scaled="0"/>
              </a:gradFill>
            </c:spPr>
          </c:dPt>
          <c:cat>
            <c:strRef>
              <c:f>'Video 2'!$A$2:$A$30</c:f>
              <c:strCache>
                <c:ptCount val="29"/>
                <c:pt idx="0">
                  <c:v>case_1</c:v>
                </c:pt>
                <c:pt idx="1">
                  <c:v>glass_1</c:v>
                </c:pt>
                <c:pt idx="2">
                  <c:v>mouse</c:v>
                </c:pt>
                <c:pt idx="3">
                  <c:v>rack_clear</c:v>
                </c:pt>
                <c:pt idx="4">
                  <c:v>glas_tiny</c:v>
                </c:pt>
                <c:pt idx="5">
                  <c:v>rack_tri</c:v>
                </c:pt>
                <c:pt idx="6">
                  <c:v>glass_3</c:v>
                </c:pt>
                <c:pt idx="7">
                  <c:v>aluminum</c:v>
                </c:pt>
                <c:pt idx="8">
                  <c:v>pen_h</c:v>
                </c:pt>
                <c:pt idx="9">
                  <c:v>blue_1</c:v>
                </c:pt>
                <c:pt idx="10">
                  <c:v>blue_border</c:v>
                </c:pt>
                <c:pt idx="11">
                  <c:v>blue_top</c:v>
                </c:pt>
                <c:pt idx="12">
                  <c:v>glass_2</c:v>
                </c:pt>
                <c:pt idx="13">
                  <c:v>pip_v</c:v>
                </c:pt>
                <c:pt idx="14">
                  <c:v>blue_3</c:v>
                </c:pt>
                <c:pt idx="15">
                  <c:v>jar_1</c:v>
                </c:pt>
                <c:pt idx="16">
                  <c:v>jar_1_cap</c:v>
                </c:pt>
                <c:pt idx="17">
                  <c:v>pen_v</c:v>
                </c:pt>
                <c:pt idx="18">
                  <c:v>blue_2</c:v>
                </c:pt>
                <c:pt idx="19">
                  <c:v>pip_h</c:v>
                </c:pt>
                <c:pt idx="20">
                  <c:v>white_1</c:v>
                </c:pt>
                <c:pt idx="21">
                  <c:v>pip2_v</c:v>
                </c:pt>
                <c:pt idx="22">
                  <c:v>jar_2</c:v>
                </c:pt>
                <c:pt idx="23">
                  <c:v>jar_2_cap</c:v>
                </c:pt>
                <c:pt idx="24">
                  <c:v>pip2_h</c:v>
                </c:pt>
                <c:pt idx="25">
                  <c:v>glass_tiny</c:v>
                </c:pt>
                <c:pt idx="26">
                  <c:v>large_1</c:v>
                </c:pt>
                <c:pt idx="27">
                  <c:v>Physical objects</c:v>
                </c:pt>
                <c:pt idx="28">
                  <c:v>Hybrid Objects</c:v>
                </c:pt>
              </c:strCache>
            </c:strRef>
          </c:cat>
          <c:val>
            <c:numRef>
              <c:f>'Video 2'!$B$2:$B$30</c:f>
              <c:numCache>
                <c:formatCode>_(* #,##0.00_);_(* \(#,##0.00\);_(* "-"??_);_(@_)</c:formatCode>
                <c:ptCount val="29"/>
                <c:pt idx="0">
                  <c:v>507.866666667</c:v>
                </c:pt>
                <c:pt idx="1">
                  <c:v>507.639333333</c:v>
                </c:pt>
                <c:pt idx="2">
                  <c:v>507.765116667</c:v>
                </c:pt>
                <c:pt idx="3">
                  <c:v>444.066666667</c:v>
                </c:pt>
                <c:pt idx="4">
                  <c:v>5.29318333333</c:v>
                </c:pt>
                <c:pt idx="5">
                  <c:v>420.898333333</c:v>
                </c:pt>
                <c:pt idx="6">
                  <c:v>53.453</c:v>
                </c:pt>
                <c:pt idx="7">
                  <c:v>5.65296666667</c:v>
                </c:pt>
                <c:pt idx="8">
                  <c:v>66.16393333329999</c:v>
                </c:pt>
                <c:pt idx="9">
                  <c:v>48.31835</c:v>
                </c:pt>
                <c:pt idx="10">
                  <c:v>2.0</c:v>
                </c:pt>
                <c:pt idx="11">
                  <c:v>347.95</c:v>
                </c:pt>
                <c:pt idx="12">
                  <c:v>475.38205</c:v>
                </c:pt>
                <c:pt idx="13">
                  <c:v>231.716666667</c:v>
                </c:pt>
                <c:pt idx="14">
                  <c:v>40.4833333333</c:v>
                </c:pt>
                <c:pt idx="15">
                  <c:v>5.25</c:v>
                </c:pt>
                <c:pt idx="16">
                  <c:v>1.45</c:v>
                </c:pt>
                <c:pt idx="17">
                  <c:v>60.6595833333</c:v>
                </c:pt>
                <c:pt idx="18">
                  <c:v>78.38908333329999</c:v>
                </c:pt>
                <c:pt idx="19">
                  <c:v>56.2666666667</c:v>
                </c:pt>
                <c:pt idx="20">
                  <c:v>16.6666666667</c:v>
                </c:pt>
                <c:pt idx="21">
                  <c:v>85.35</c:v>
                </c:pt>
                <c:pt idx="22">
                  <c:v>6.2</c:v>
                </c:pt>
                <c:pt idx="23">
                  <c:v>3.1</c:v>
                </c:pt>
                <c:pt idx="24">
                  <c:v>9.7</c:v>
                </c:pt>
                <c:pt idx="25">
                  <c:v>176.937216667</c:v>
                </c:pt>
                <c:pt idx="26">
                  <c:v>16.0833333333</c:v>
                </c:pt>
                <c:pt idx="27">
                  <c:v>160.1776467949077</c:v>
                </c:pt>
                <c:pt idx="28">
                  <c:v>16.0833333333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831720"/>
        <c:axId val="-2025828744"/>
      </c:barChart>
      <c:catAx>
        <c:axId val="-2025831720"/>
        <c:scaling>
          <c:orientation val="minMax"/>
        </c:scaling>
        <c:delete val="0"/>
        <c:axPos val="l"/>
        <c:majorTickMark val="none"/>
        <c:minorTickMark val="none"/>
        <c:tickLblPos val="nextTo"/>
        <c:crossAx val="-2025828744"/>
        <c:crosses val="autoZero"/>
        <c:auto val="1"/>
        <c:lblAlgn val="ctr"/>
        <c:lblOffset val="100"/>
        <c:noMultiLvlLbl val="0"/>
      </c:catAx>
      <c:valAx>
        <c:axId val="-2025828744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none"/>
        <c:minorTickMark val="none"/>
        <c:tickLblPos val="nextTo"/>
        <c:crossAx val="-2025831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'Video 2'!$J$1</c:f>
              <c:strCache>
                <c:ptCount val="1"/>
                <c:pt idx="0">
                  <c:v>size px²</c:v>
                </c:pt>
              </c:strCache>
            </c:strRef>
          </c:tx>
          <c:invertIfNegative val="0"/>
          <c:val>
            <c:numRef>
              <c:f>'Video 2'!$J$2:$J$28</c:f>
              <c:numCache>
                <c:formatCode>General</c:formatCode>
                <c:ptCount val="27"/>
                <c:pt idx="0">
                  <c:v>6696.0</c:v>
                </c:pt>
                <c:pt idx="1">
                  <c:v>6240.0</c:v>
                </c:pt>
                <c:pt idx="2">
                  <c:v>1550.0</c:v>
                </c:pt>
                <c:pt idx="3">
                  <c:v>9472.0</c:v>
                </c:pt>
                <c:pt idx="4">
                  <c:v>896.0</c:v>
                </c:pt>
                <c:pt idx="5">
                  <c:v>6630.0</c:v>
                </c:pt>
                <c:pt idx="6">
                  <c:v>9800.0</c:v>
                </c:pt>
                <c:pt idx="7">
                  <c:v>13920.0</c:v>
                </c:pt>
                <c:pt idx="8">
                  <c:v>704.0</c:v>
                </c:pt>
                <c:pt idx="9">
                  <c:v>6072.0</c:v>
                </c:pt>
                <c:pt idx="10">
                  <c:v>2080.0</c:v>
                </c:pt>
                <c:pt idx="11">
                  <c:v>4160.0</c:v>
                </c:pt>
                <c:pt idx="12">
                  <c:v>6972.0</c:v>
                </c:pt>
                <c:pt idx="13">
                  <c:v>2576.0</c:v>
                </c:pt>
                <c:pt idx="14">
                  <c:v>3536.0</c:v>
                </c:pt>
                <c:pt idx="15">
                  <c:v>700.0</c:v>
                </c:pt>
                <c:pt idx="16">
                  <c:v>462.0</c:v>
                </c:pt>
                <c:pt idx="17">
                  <c:v>480.0</c:v>
                </c:pt>
                <c:pt idx="18">
                  <c:v>7878.0</c:v>
                </c:pt>
                <c:pt idx="19">
                  <c:v>3360.0</c:v>
                </c:pt>
                <c:pt idx="20">
                  <c:v>5168.0</c:v>
                </c:pt>
                <c:pt idx="21">
                  <c:v>2875.0</c:v>
                </c:pt>
                <c:pt idx="22">
                  <c:v>1122.0</c:v>
                </c:pt>
                <c:pt idx="23">
                  <c:v>960.0</c:v>
                </c:pt>
                <c:pt idx="24">
                  <c:v>4495.0</c:v>
                </c:pt>
                <c:pt idx="25">
                  <c:v>784.0</c:v>
                </c:pt>
                <c:pt idx="26">
                  <c:v>19260.0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805128"/>
        <c:axId val="-2025802184"/>
      </c:barChart>
      <c:catAx>
        <c:axId val="-20258051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5802184"/>
        <c:crosses val="autoZero"/>
        <c:auto val="1"/>
        <c:lblAlgn val="ctr"/>
        <c:lblOffset val="100"/>
        <c:noMultiLvlLbl val="0"/>
      </c:catAx>
      <c:valAx>
        <c:axId val="-2025802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25805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'Video 3'!$B$1</c:f>
              <c:strCache>
                <c:ptCount val="1"/>
                <c:pt idx="0">
                  <c:v>Time on table (min)</c:v>
                </c:pt>
              </c:strCache>
            </c:strRef>
          </c:tx>
          <c:invertIfNegative val="0"/>
          <c:dPt>
            <c:idx val="16"/>
            <c:invertIfNegative val="0"/>
            <c:bubble3D val="0"/>
            <c:spPr>
              <a:gradFill>
                <a:gsLst>
                  <a:gs pos="0">
                    <a:schemeClr val="tx2">
                      <a:lumMod val="60000"/>
                      <a:lumOff val="40000"/>
                    </a:schemeClr>
                  </a:gs>
                  <a:gs pos="5000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0"/>
              </a:gradFill>
            </c:spPr>
          </c:dPt>
          <c:cat>
            <c:strRef>
              <c:f>'Video 3'!$A$2:$A$19</c:f>
              <c:strCache>
                <c:ptCount val="18"/>
                <c:pt idx="0">
                  <c:v>glass_1</c:v>
                </c:pt>
                <c:pt idx="1">
                  <c:v>mouse</c:v>
                </c:pt>
                <c:pt idx="2">
                  <c:v>notes</c:v>
                </c:pt>
                <c:pt idx="3">
                  <c:v>pipette</c:v>
                </c:pt>
                <c:pt idx="4">
                  <c:v>glass_2</c:v>
                </c:pt>
                <c:pt idx="5">
                  <c:v>aluminum</c:v>
                </c:pt>
                <c:pt idx="6">
                  <c:v>small_rack_1</c:v>
                </c:pt>
                <c:pt idx="7">
                  <c:v>small_glass</c:v>
                </c:pt>
                <c:pt idx="8">
                  <c:v>blue_box</c:v>
                </c:pt>
                <c:pt idx="9">
                  <c:v>vial</c:v>
                </c:pt>
                <c:pt idx="10">
                  <c:v>blue_box_2</c:v>
                </c:pt>
                <c:pt idx="11">
                  <c:v>caps</c:v>
                </c:pt>
                <c:pt idx="12">
                  <c:v>pen_1</c:v>
                </c:pt>
                <c:pt idx="13">
                  <c:v>white_rack</c:v>
                </c:pt>
                <c:pt idx="14">
                  <c:v>white_rack_2</c:v>
                </c:pt>
                <c:pt idx="15">
                  <c:v>pen_2</c:v>
                </c:pt>
                <c:pt idx="16">
                  <c:v>Physical Objects</c:v>
                </c:pt>
                <c:pt idx="17">
                  <c:v>no Hybrid objects</c:v>
                </c:pt>
              </c:strCache>
            </c:strRef>
          </c:cat>
          <c:val>
            <c:numRef>
              <c:f>'Video 3'!$B$2:$B$19</c:f>
              <c:numCache>
                <c:formatCode>_(* #,##0.00_);_(* \(#,##0.00\);_(* "-"??_);_(@_)</c:formatCode>
                <c:ptCount val="18"/>
                <c:pt idx="0">
                  <c:v>100.866666667</c:v>
                </c:pt>
                <c:pt idx="1">
                  <c:v>46.1833333333</c:v>
                </c:pt>
                <c:pt idx="2">
                  <c:v>45.0666666667</c:v>
                </c:pt>
                <c:pt idx="3">
                  <c:v>100.498683333</c:v>
                </c:pt>
                <c:pt idx="4">
                  <c:v>100.666666667</c:v>
                </c:pt>
                <c:pt idx="5">
                  <c:v>35.5666666667</c:v>
                </c:pt>
                <c:pt idx="6">
                  <c:v>4.56666666667</c:v>
                </c:pt>
                <c:pt idx="7">
                  <c:v>64.9812166667</c:v>
                </c:pt>
                <c:pt idx="8">
                  <c:v>61.3666666667</c:v>
                </c:pt>
                <c:pt idx="9">
                  <c:v>26.7166666667</c:v>
                </c:pt>
                <c:pt idx="10">
                  <c:v>57.9166666667</c:v>
                </c:pt>
                <c:pt idx="11">
                  <c:v>39.2166666667</c:v>
                </c:pt>
                <c:pt idx="12">
                  <c:v>55.5646166667</c:v>
                </c:pt>
                <c:pt idx="13">
                  <c:v>17.7166666667</c:v>
                </c:pt>
                <c:pt idx="14">
                  <c:v>3.83333333333</c:v>
                </c:pt>
                <c:pt idx="15">
                  <c:v>6.56666666667</c:v>
                </c:pt>
                <c:pt idx="16">
                  <c:v>47.95590729170438</c:v>
                </c:pt>
                <c:pt idx="1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8773096"/>
        <c:axId val="-2118775608"/>
      </c:barChart>
      <c:catAx>
        <c:axId val="-211877309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8775608"/>
        <c:crosses val="autoZero"/>
        <c:auto val="1"/>
        <c:lblAlgn val="ctr"/>
        <c:lblOffset val="100"/>
        <c:noMultiLvlLbl val="0"/>
      </c:catAx>
      <c:valAx>
        <c:axId val="-2118775608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out"/>
        <c:minorTickMark val="none"/>
        <c:tickLblPos val="nextTo"/>
        <c:crossAx val="-2118773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'Video 4'!$B$1</c:f>
              <c:strCache>
                <c:ptCount val="1"/>
                <c:pt idx="0">
                  <c:v>Time on table (min)</c:v>
                </c:pt>
              </c:strCache>
            </c:strRef>
          </c:tx>
          <c:invertIfNegative val="0"/>
          <c:dPt>
            <c:idx val="23"/>
            <c:invertIfNegative val="0"/>
            <c:bubble3D val="0"/>
            <c:spPr>
              <a:gradFill>
                <a:gsLst>
                  <a:gs pos="0">
                    <a:schemeClr val="tx2">
                      <a:lumMod val="60000"/>
                      <a:lumOff val="40000"/>
                    </a:schemeClr>
                  </a:gs>
                  <a:gs pos="5000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0"/>
              </a:gradFill>
            </c:spPr>
          </c:dPt>
          <c:dPt>
            <c:idx val="24"/>
            <c:invertIfNegative val="0"/>
            <c:bubble3D val="0"/>
            <c:spPr>
              <a:gradFill>
                <a:gsLst>
                  <a:gs pos="0">
                    <a:schemeClr val="accent6">
                      <a:lumMod val="60000"/>
                      <a:lumOff val="40000"/>
                    </a:schemeClr>
                  </a:gs>
                  <a:gs pos="50000">
                    <a:schemeClr val="accent6"/>
                  </a:gs>
                  <a:gs pos="100000">
                    <a:schemeClr val="accent6">
                      <a:lumMod val="75000"/>
                    </a:schemeClr>
                  </a:gs>
                </a:gsLst>
                <a:lin ang="5400000" scaled="0"/>
              </a:gradFill>
            </c:spPr>
          </c:dPt>
          <c:cat>
            <c:strRef>
              <c:f>'Video 4'!$A$2:$A$26</c:f>
              <c:strCache>
                <c:ptCount val="25"/>
                <c:pt idx="0">
                  <c:v>small_1</c:v>
                </c:pt>
                <c:pt idx="1">
                  <c:v>glass_1</c:v>
                </c:pt>
                <c:pt idx="2">
                  <c:v>mouse</c:v>
                </c:pt>
                <c:pt idx="3">
                  <c:v>pen_1</c:v>
                </c:pt>
                <c:pt idx="4">
                  <c:v>rack_1</c:v>
                </c:pt>
                <c:pt idx="5">
                  <c:v>long_1</c:v>
                </c:pt>
                <c:pt idx="6">
                  <c:v>glass_small</c:v>
                </c:pt>
                <c:pt idx="7">
                  <c:v>tube_1</c:v>
                </c:pt>
                <c:pt idx="8">
                  <c:v>jar_1</c:v>
                </c:pt>
                <c:pt idx="9">
                  <c:v>glove</c:v>
                </c:pt>
                <c:pt idx="10">
                  <c:v>testtube_1</c:v>
                </c:pt>
                <c:pt idx="11">
                  <c:v>testtube_2</c:v>
                </c:pt>
                <c:pt idx="12">
                  <c:v>keyboard</c:v>
                </c:pt>
                <c:pt idx="13">
                  <c:v>pen_2</c:v>
                </c:pt>
                <c:pt idx="14">
                  <c:v>box_1</c:v>
                </c:pt>
                <c:pt idx="15">
                  <c:v>large_1</c:v>
                </c:pt>
                <c:pt idx="16">
                  <c:v>small_2</c:v>
                </c:pt>
                <c:pt idx="17">
                  <c:v>box_2</c:v>
                </c:pt>
                <c:pt idx="18">
                  <c:v>cap_1</c:v>
                </c:pt>
                <c:pt idx="19">
                  <c:v>pipette_1</c:v>
                </c:pt>
                <c:pt idx="20">
                  <c:v>tag_1</c:v>
                </c:pt>
                <c:pt idx="21">
                  <c:v>pipette_3</c:v>
                </c:pt>
                <c:pt idx="22">
                  <c:v>pipette_2</c:v>
                </c:pt>
                <c:pt idx="23">
                  <c:v>Physical Objects</c:v>
                </c:pt>
                <c:pt idx="24">
                  <c:v>Hybrid Objects</c:v>
                </c:pt>
              </c:strCache>
            </c:strRef>
          </c:cat>
          <c:val>
            <c:numRef>
              <c:f>'Video 4'!$B$2:$B$26</c:f>
              <c:numCache>
                <c:formatCode>_(* #,##0.00_);_(* \(#,##0.00\);_(* "-"??_);_(@_)</c:formatCode>
                <c:ptCount val="25"/>
                <c:pt idx="0">
                  <c:v>17.8333333333</c:v>
                </c:pt>
                <c:pt idx="1">
                  <c:v>7.77666666667</c:v>
                </c:pt>
                <c:pt idx="2">
                  <c:v>15.3833333333</c:v>
                </c:pt>
                <c:pt idx="3">
                  <c:v>4.53333333333</c:v>
                </c:pt>
                <c:pt idx="4">
                  <c:v>21.3666666667</c:v>
                </c:pt>
                <c:pt idx="5">
                  <c:v>9.45</c:v>
                </c:pt>
                <c:pt idx="6">
                  <c:v>33.0666666667</c:v>
                </c:pt>
                <c:pt idx="7">
                  <c:v>51.7666666667</c:v>
                </c:pt>
                <c:pt idx="8">
                  <c:v>33.75</c:v>
                </c:pt>
                <c:pt idx="9">
                  <c:v>3.28333333333</c:v>
                </c:pt>
                <c:pt idx="10">
                  <c:v>12.9333333333</c:v>
                </c:pt>
                <c:pt idx="11">
                  <c:v>0.533333333333</c:v>
                </c:pt>
                <c:pt idx="12">
                  <c:v>12.6257833333</c:v>
                </c:pt>
                <c:pt idx="13">
                  <c:v>4.36666666667</c:v>
                </c:pt>
                <c:pt idx="14">
                  <c:v>18.7666666667</c:v>
                </c:pt>
                <c:pt idx="15">
                  <c:v>18.4371166667</c:v>
                </c:pt>
                <c:pt idx="16">
                  <c:v>14.4150833333</c:v>
                </c:pt>
                <c:pt idx="17">
                  <c:v>10.8084833333</c:v>
                </c:pt>
                <c:pt idx="18">
                  <c:v>3.1</c:v>
                </c:pt>
                <c:pt idx="19">
                  <c:v>2.15</c:v>
                </c:pt>
                <c:pt idx="20">
                  <c:v>5.68166666667</c:v>
                </c:pt>
                <c:pt idx="21">
                  <c:v>0.166666666667</c:v>
                </c:pt>
                <c:pt idx="22">
                  <c:v>4.21338333333</c:v>
                </c:pt>
                <c:pt idx="23">
                  <c:v>12.89554803921353</c:v>
                </c:pt>
                <c:pt idx="24">
                  <c:v>14.530644444445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8805896"/>
        <c:axId val="-2118804104"/>
      </c:barChart>
      <c:catAx>
        <c:axId val="-211880589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8804104"/>
        <c:crosses val="autoZero"/>
        <c:auto val="1"/>
        <c:lblAlgn val="ctr"/>
        <c:lblOffset val="100"/>
        <c:noMultiLvlLbl val="0"/>
      </c:catAx>
      <c:valAx>
        <c:axId val="-2118804104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out"/>
        <c:minorTickMark val="none"/>
        <c:tickLblPos val="nextTo"/>
        <c:crossAx val="-2118805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7410905166993"/>
          <c:y val="0.100029872938683"/>
          <c:w val="0.799472144807246"/>
          <c:h val="0.83550387503804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'Video 5'!$B$1</c:f>
              <c:strCache>
                <c:ptCount val="1"/>
                <c:pt idx="0">
                  <c:v>Time on table (min)</c:v>
                </c:pt>
              </c:strCache>
            </c:strRef>
          </c:tx>
          <c:invertIfNegative val="0"/>
          <c:dPt>
            <c:idx val="13"/>
            <c:invertIfNegative val="0"/>
            <c:bubble3D val="0"/>
            <c:spPr>
              <a:gradFill>
                <a:gsLst>
                  <a:gs pos="0">
                    <a:schemeClr val="accent1">
                      <a:lumMod val="60000"/>
                      <a:lumOff val="40000"/>
                    </a:schemeClr>
                  </a:gs>
                  <a:gs pos="5000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0"/>
              </a:gradFill>
            </c:spPr>
          </c:dPt>
          <c:dPt>
            <c:idx val="14"/>
            <c:invertIfNegative val="0"/>
            <c:bubble3D val="0"/>
            <c:spPr>
              <a:gradFill>
                <a:gsLst>
                  <a:gs pos="0">
                    <a:schemeClr val="accent6">
                      <a:lumMod val="60000"/>
                      <a:lumOff val="40000"/>
                    </a:schemeClr>
                  </a:gs>
                  <a:gs pos="50000">
                    <a:schemeClr val="accent6"/>
                  </a:gs>
                  <a:gs pos="100000">
                    <a:schemeClr val="accent6">
                      <a:lumMod val="75000"/>
                    </a:schemeClr>
                  </a:gs>
                </a:gsLst>
                <a:lin ang="5400000" scaled="0"/>
              </a:gradFill>
            </c:spPr>
          </c:dPt>
          <c:cat>
            <c:strRef>
              <c:f>'Video 5'!$A$2:$A$16</c:f>
              <c:strCache>
                <c:ptCount val="15"/>
                <c:pt idx="0">
                  <c:v>keyboard</c:v>
                </c:pt>
                <c:pt idx="1">
                  <c:v>mouse</c:v>
                </c:pt>
                <c:pt idx="2">
                  <c:v>glass_1</c:v>
                </c:pt>
                <c:pt idx="3">
                  <c:v>calc</c:v>
                </c:pt>
                <c:pt idx="4">
                  <c:v>large_1</c:v>
                </c:pt>
                <c:pt idx="5">
                  <c:v>small_1</c:v>
                </c:pt>
                <c:pt idx="6">
                  <c:v>tag</c:v>
                </c:pt>
                <c:pt idx="7">
                  <c:v>pen</c:v>
                </c:pt>
                <c:pt idx="8">
                  <c:v>plate_1</c:v>
                </c:pt>
                <c:pt idx="9">
                  <c:v>plate_2</c:v>
                </c:pt>
                <c:pt idx="10">
                  <c:v>Box_1</c:v>
                </c:pt>
                <c:pt idx="11">
                  <c:v>Rack</c:v>
                </c:pt>
                <c:pt idx="12">
                  <c:v>plate_3</c:v>
                </c:pt>
                <c:pt idx="13">
                  <c:v>Physical Objects</c:v>
                </c:pt>
                <c:pt idx="14">
                  <c:v>Hybrid Objects</c:v>
                </c:pt>
              </c:strCache>
            </c:strRef>
          </c:cat>
          <c:val>
            <c:numRef>
              <c:f>'Video 5'!$B$2:$B$16</c:f>
              <c:numCache>
                <c:formatCode>_(* #,##0.00_);_(* \(#,##0.00\);_(* "-"??_);_(@_)</c:formatCode>
                <c:ptCount val="15"/>
                <c:pt idx="0">
                  <c:v>22.9</c:v>
                </c:pt>
                <c:pt idx="1">
                  <c:v>31.9</c:v>
                </c:pt>
                <c:pt idx="2">
                  <c:v>22.5666666667</c:v>
                </c:pt>
                <c:pt idx="3">
                  <c:v>5.5</c:v>
                </c:pt>
                <c:pt idx="4">
                  <c:v>28.5372</c:v>
                </c:pt>
                <c:pt idx="5">
                  <c:v>17.9166666667</c:v>
                </c:pt>
                <c:pt idx="6">
                  <c:v>0.333333333333</c:v>
                </c:pt>
                <c:pt idx="7">
                  <c:v>15.0166666667</c:v>
                </c:pt>
                <c:pt idx="8">
                  <c:v>7.4734</c:v>
                </c:pt>
                <c:pt idx="9">
                  <c:v>0.7</c:v>
                </c:pt>
                <c:pt idx="10">
                  <c:v>6.9</c:v>
                </c:pt>
                <c:pt idx="11">
                  <c:v>4.73333333333</c:v>
                </c:pt>
                <c:pt idx="12">
                  <c:v>1.95</c:v>
                </c:pt>
                <c:pt idx="13">
                  <c:v>11.964006666673</c:v>
                </c:pt>
                <c:pt idx="14">
                  <c:v>15.59573333334433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8822824"/>
        <c:axId val="-2118832024"/>
      </c:barChart>
      <c:catAx>
        <c:axId val="-2118822824"/>
        <c:scaling>
          <c:orientation val="minMax"/>
        </c:scaling>
        <c:delete val="0"/>
        <c:axPos val="l"/>
        <c:majorTickMark val="out"/>
        <c:minorTickMark val="none"/>
        <c:tickLblPos val="nextTo"/>
        <c:crossAx val="-2118832024"/>
        <c:crosses val="autoZero"/>
        <c:auto val="1"/>
        <c:lblAlgn val="ctr"/>
        <c:lblOffset val="100"/>
        <c:noMultiLvlLbl val="0"/>
      </c:catAx>
      <c:valAx>
        <c:axId val="-2118832024"/>
        <c:scaling>
          <c:orientation val="minMax"/>
        </c:scaling>
        <c:delete val="0"/>
        <c:axPos val="b"/>
        <c:majorGridlines/>
        <c:numFmt formatCode="_(* #,##0.00_);_(* \(#,##0.00\);_(* &quot;-&quot;??_);_(@_)" sourceLinked="1"/>
        <c:majorTickMark val="out"/>
        <c:minorTickMark val="none"/>
        <c:tickLblPos val="nextTo"/>
        <c:crossAx val="-2118822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Stats!$B$1</c:f>
              <c:strCache>
                <c:ptCount val="1"/>
                <c:pt idx="0">
                  <c:v>Physical Objects</c:v>
                </c:pt>
              </c:strCache>
            </c:strRef>
          </c:tx>
          <c:invertIfNegative val="0"/>
          <c:cat>
            <c:strRef>
              <c:f>Stats!$A$2:$A$7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On Average</c:v>
                </c:pt>
              </c:strCache>
            </c:strRef>
          </c:cat>
          <c:val>
            <c:numRef>
              <c:f>Stats!$B$2:$B$7</c:f>
              <c:numCache>
                <c:formatCode>General</c:formatCode>
                <c:ptCount val="6"/>
                <c:pt idx="0" formatCode="0">
                  <c:v>8.0</c:v>
                </c:pt>
                <c:pt idx="1">
                  <c:v>26.0</c:v>
                </c:pt>
                <c:pt idx="2">
                  <c:v>16.0</c:v>
                </c:pt>
                <c:pt idx="3">
                  <c:v>17.0</c:v>
                </c:pt>
                <c:pt idx="4">
                  <c:v>10.0</c:v>
                </c:pt>
                <c:pt idx="5">
                  <c:v>15.4</c:v>
                </c:pt>
              </c:numCache>
            </c:numRef>
          </c:val>
        </c:ser>
        <c:ser>
          <c:idx val="1"/>
          <c:order val="1"/>
          <c:tx>
            <c:strRef>
              <c:f>Stats!$C$1</c:f>
              <c:strCache>
                <c:ptCount val="1"/>
                <c:pt idx="0">
                  <c:v>Hybrid Objects</c:v>
                </c:pt>
              </c:strCache>
            </c:strRef>
          </c:tx>
          <c:invertIfNegative val="0"/>
          <c:cat>
            <c:strRef>
              <c:f>Stats!$A$2:$A$7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On Average</c:v>
                </c:pt>
              </c:strCache>
            </c:strRef>
          </c:cat>
          <c:val>
            <c:numRef>
              <c:f>Stats!$C$2:$C$7</c:f>
              <c:numCache>
                <c:formatCode>General</c:formatCode>
                <c:ptCount val="6"/>
                <c:pt idx="0" formatCode="0">
                  <c:v>2.0</c:v>
                </c:pt>
                <c:pt idx="1">
                  <c:v>1.0</c:v>
                </c:pt>
                <c:pt idx="2">
                  <c:v>0.0</c:v>
                </c:pt>
                <c:pt idx="3">
                  <c:v>6.0</c:v>
                </c:pt>
                <c:pt idx="4">
                  <c:v>3.0</c:v>
                </c:pt>
                <c:pt idx="5">
                  <c:v>2.4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8857672"/>
        <c:axId val="-2118863448"/>
      </c:barChart>
      <c:lineChart>
        <c:grouping val="stacked"/>
        <c:varyColors val="0"/>
        <c:ser>
          <c:idx val="2"/>
          <c:order val="2"/>
          <c:tx>
            <c:strRef>
              <c:f>Stats!$Q$20</c:f>
              <c:strCache>
                <c:ptCount val="1"/>
                <c:pt idx="0">
                  <c:v>Video Duration (in m)</c:v>
                </c:pt>
              </c:strCache>
            </c:strRef>
          </c:tx>
          <c:marker>
            <c:symbol val="none"/>
          </c:marker>
          <c:cat>
            <c:strRef>
              <c:f>Stats!$A$2:$A$7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On Average</c:v>
                </c:pt>
              </c:strCache>
            </c:strRef>
          </c:cat>
          <c:val>
            <c:numRef>
              <c:f>Stats!$Q$21:$Q$26</c:f>
              <c:numCache>
                <c:formatCode>0</c:formatCode>
                <c:ptCount val="6"/>
                <c:pt idx="0">
                  <c:v>146.0</c:v>
                </c:pt>
                <c:pt idx="1">
                  <c:v>508.0</c:v>
                </c:pt>
                <c:pt idx="2">
                  <c:v>101.0</c:v>
                </c:pt>
                <c:pt idx="3">
                  <c:v>86.0</c:v>
                </c:pt>
                <c:pt idx="4">
                  <c:v>32.0</c:v>
                </c:pt>
                <c:pt idx="5">
                  <c:v>175.0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871304"/>
        <c:axId val="-2118867080"/>
      </c:lineChart>
      <c:catAx>
        <c:axId val="-21188576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8863448"/>
        <c:crosses val="autoZero"/>
        <c:auto val="1"/>
        <c:lblAlgn val="ctr"/>
        <c:lblOffset val="100"/>
        <c:noMultiLvlLbl val="0"/>
      </c:catAx>
      <c:valAx>
        <c:axId val="-211886344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-2118857672"/>
        <c:crosses val="autoZero"/>
        <c:crossBetween val="between"/>
      </c:valAx>
      <c:valAx>
        <c:axId val="-2118867080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crossAx val="-2118871304"/>
        <c:crosses val="max"/>
        <c:crossBetween val="between"/>
      </c:valAx>
      <c:catAx>
        <c:axId val="-2118871304"/>
        <c:scaling>
          <c:orientation val="minMax"/>
        </c:scaling>
        <c:delete val="1"/>
        <c:axPos val="b"/>
        <c:majorTickMark val="out"/>
        <c:minorTickMark val="none"/>
        <c:tickLblPos val="none"/>
        <c:crossAx val="-211886708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64155430794395"/>
          <c:y val="0.0490979796611405"/>
          <c:w val="0.246016533309756"/>
          <c:h val="0.181322196633262"/>
        </c:manualLayout>
      </c:layout>
      <c:overlay val="1"/>
    </c:legend>
    <c:plotVisOnly val="1"/>
    <c:dispBlanksAs val="zero"/>
    <c:showDLblsOverMax val="0"/>
  </c:chart>
  <c:printSettings>
    <c:headerFooter/>
    <c:pageMargins b="0.787401575" l="0.7" r="0.7" t="0.7874015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Stats!$J$1:$J$2</c:f>
              <c:strCache>
                <c:ptCount val="1"/>
                <c:pt idx="0">
                  <c:v>Total Amount (Physical Objects)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strRef>
              <c:f>Stats!$I$3:$I$8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On Average</c:v>
                </c:pt>
              </c:strCache>
            </c:strRef>
          </c:cat>
          <c:val>
            <c:numRef>
              <c:f>Stats!$J$3:$J$8</c:f>
              <c:numCache>
                <c:formatCode>0.00%</c:formatCode>
                <c:ptCount val="6"/>
                <c:pt idx="0">
                  <c:v>0.8</c:v>
                </c:pt>
                <c:pt idx="1">
                  <c:v>0.962962962962963</c:v>
                </c:pt>
                <c:pt idx="2">
                  <c:v>1.0</c:v>
                </c:pt>
                <c:pt idx="3">
                  <c:v>0.739130434782609</c:v>
                </c:pt>
                <c:pt idx="4">
                  <c:v>0.769230769230769</c:v>
                </c:pt>
                <c:pt idx="5">
                  <c:v>0.865168539325843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Stats!$K$1:$K$2</c:f>
              <c:strCache>
                <c:ptCount val="1"/>
                <c:pt idx="0">
                  <c:v>Total Amount (Hybrid Objects)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Stats!$I$3:$I$8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On Average</c:v>
                </c:pt>
              </c:strCache>
            </c:strRef>
          </c:cat>
          <c:val>
            <c:numRef>
              <c:f>Stats!$K$3:$K$8</c:f>
              <c:numCache>
                <c:formatCode>0.00%</c:formatCode>
                <c:ptCount val="6"/>
                <c:pt idx="0">
                  <c:v>0.2</c:v>
                </c:pt>
                <c:pt idx="1">
                  <c:v>0.037037037037037</c:v>
                </c:pt>
                <c:pt idx="2">
                  <c:v>0.0</c:v>
                </c:pt>
                <c:pt idx="3">
                  <c:v>0.260869565217391</c:v>
                </c:pt>
                <c:pt idx="4">
                  <c:v>0.230769230769231</c:v>
                </c:pt>
                <c:pt idx="5">
                  <c:v>0.134831460674157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Stats!$L$1:$L$2</c:f>
              <c:strCache>
                <c:ptCount val="1"/>
                <c:pt idx="0">
                  <c:v>Average amount on table (Physical Objects)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Stats!$I$3:$I$8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On Average</c:v>
                </c:pt>
              </c:strCache>
            </c:strRef>
          </c:cat>
          <c:val>
            <c:numRef>
              <c:f>Stats!$L$3:$L$8</c:f>
              <c:numCache>
                <c:formatCode>0.00%</c:formatCode>
                <c:ptCount val="6"/>
                <c:pt idx="0">
                  <c:v>0.701257861635764</c:v>
                </c:pt>
                <c:pt idx="1">
                  <c:v>0.997725549659023</c:v>
                </c:pt>
                <c:pt idx="2">
                  <c:v>1.0</c:v>
                </c:pt>
                <c:pt idx="3">
                  <c:v>0.708215297450333</c:v>
                </c:pt>
                <c:pt idx="4">
                  <c:v>0.718562874251497</c:v>
                </c:pt>
                <c:pt idx="5">
                  <c:v>0.868005266969039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Stats!$M$1:$M$2</c:f>
              <c:strCache>
                <c:ptCount val="1"/>
                <c:pt idx="0">
                  <c:v>Average amount on table (Hybrid Objects)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Stats!$I$3:$I$8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On Average</c:v>
                </c:pt>
              </c:strCache>
            </c:strRef>
          </c:cat>
          <c:val>
            <c:numRef>
              <c:f>Stats!$M$3:$M$8</c:f>
              <c:numCache>
                <c:formatCode>0.00%</c:formatCode>
                <c:ptCount val="6"/>
                <c:pt idx="0">
                  <c:v>0.298742138364236</c:v>
                </c:pt>
                <c:pt idx="1">
                  <c:v>0.00227445034117128</c:v>
                </c:pt>
                <c:pt idx="2">
                  <c:v>0.0</c:v>
                </c:pt>
                <c:pt idx="3">
                  <c:v>0.29178470254908</c:v>
                </c:pt>
                <c:pt idx="4">
                  <c:v>0.281437125748503</c:v>
                </c:pt>
                <c:pt idx="5">
                  <c:v>0.131994733030947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884456"/>
        <c:axId val="-2118882520"/>
      </c:lineChart>
      <c:catAx>
        <c:axId val="-21188844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8882520"/>
        <c:crosses val="autoZero"/>
        <c:auto val="1"/>
        <c:lblAlgn val="ctr"/>
        <c:lblOffset val="100"/>
        <c:noMultiLvlLbl val="0"/>
      </c:catAx>
      <c:valAx>
        <c:axId val="-2118882520"/>
        <c:scaling>
          <c:orientation val="minMax"/>
          <c:max val="1.0"/>
          <c:min val="0.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-2118884456"/>
        <c:crosses val="autoZero"/>
        <c:crossBetween val="between"/>
        <c:majorUnit val="0.2"/>
      </c:valAx>
    </c:plotArea>
    <c:legend>
      <c:legendPos val="r"/>
      <c:layout>
        <c:manualLayout>
          <c:xMode val="edge"/>
          <c:yMode val="edge"/>
          <c:x val="0.174761801620023"/>
          <c:y val="0.335319460067492"/>
          <c:w val="0.366507982315708"/>
          <c:h val="0.224599175103112"/>
        </c:manualLayout>
      </c:layout>
      <c:overlay val="1"/>
      <c:spPr>
        <a:solidFill>
          <a:sysClr val="window" lastClr="FFFFFF"/>
        </a:solidFill>
        <a:ln w="12700">
          <a:solidFill>
            <a:sysClr val="windowText" lastClr="000000">
              <a:lumMod val="50000"/>
              <a:lumOff val="50000"/>
            </a:sysClr>
          </a:solidFill>
        </a:ln>
      </c:spPr>
    </c:legend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Stats!$J$29</c:f>
              <c:strCache>
                <c:ptCount val="1"/>
                <c:pt idx="0">
                  <c:v>Physical Object</c:v>
                </c:pt>
              </c:strCache>
            </c:strRef>
          </c:tx>
          <c:invertIfNegative val="0"/>
          <c:cat>
            <c:strRef>
              <c:f>Stats!$I$30:$I$35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Average Occlusion per Object</c:v>
                </c:pt>
              </c:strCache>
            </c:strRef>
          </c:cat>
          <c:val>
            <c:numRef>
              <c:f>Stats!$J$30:$J$35</c:f>
              <c:numCache>
                <c:formatCode>0.00%</c:formatCode>
                <c:ptCount val="6"/>
                <c:pt idx="0">
                  <c:v>0.0358719151627017</c:v>
                </c:pt>
                <c:pt idx="1">
                  <c:v>0.0185843169176502</c:v>
                </c:pt>
                <c:pt idx="2">
                  <c:v>0.014918430335097</c:v>
                </c:pt>
                <c:pt idx="3">
                  <c:v>0.0150230833064706</c:v>
                </c:pt>
                <c:pt idx="4">
                  <c:v>0.0759880952380952</c:v>
                </c:pt>
                <c:pt idx="5">
                  <c:v>0.0320771681920029</c:v>
                </c:pt>
              </c:numCache>
            </c:numRef>
          </c:val>
        </c:ser>
        <c:ser>
          <c:idx val="1"/>
          <c:order val="1"/>
          <c:tx>
            <c:strRef>
              <c:f>Stats!$K$29</c:f>
              <c:strCache>
                <c:ptCount val="1"/>
                <c:pt idx="0">
                  <c:v>Hybrid Object</c:v>
                </c:pt>
              </c:strCache>
            </c:strRef>
          </c:tx>
          <c:invertIfNegative val="0"/>
          <c:cat>
            <c:strRef>
              <c:f>Stats!$I$30:$I$35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Average Occlusion per Object</c:v>
                </c:pt>
              </c:strCache>
            </c:strRef>
          </c:cat>
          <c:val>
            <c:numRef>
              <c:f>Stats!$K$30:$K$35</c:f>
              <c:numCache>
                <c:formatCode>0.00%</c:formatCode>
                <c:ptCount val="6"/>
                <c:pt idx="0">
                  <c:v>0.0502674665025977</c:v>
                </c:pt>
                <c:pt idx="1">
                  <c:v>0.0849206349206349</c:v>
                </c:pt>
                <c:pt idx="2">
                  <c:v>0.0</c:v>
                </c:pt>
                <c:pt idx="3">
                  <c:v>0.0361280129366666</c:v>
                </c:pt>
                <c:pt idx="4">
                  <c:v>0.035026455026455</c:v>
                </c:pt>
                <c:pt idx="5">
                  <c:v>0.0515856423465886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8911992"/>
        <c:axId val="-2118912472"/>
      </c:barChart>
      <c:lineChart>
        <c:grouping val="standard"/>
        <c:varyColors val="0"/>
        <c:ser>
          <c:idx val="2"/>
          <c:order val="2"/>
          <c:tx>
            <c:strRef>
              <c:f>Stats!$L$29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none"/>
          </c:marker>
          <c:cat>
            <c:strRef>
              <c:f>Stats!$I$30:$I$35</c:f>
              <c:strCache>
                <c:ptCount val="6"/>
                <c:pt idx="0">
                  <c:v>Session 1</c:v>
                </c:pt>
                <c:pt idx="1">
                  <c:v>Session 2</c:v>
                </c:pt>
                <c:pt idx="2">
                  <c:v>Session 3</c:v>
                </c:pt>
                <c:pt idx="3">
                  <c:v>Session 4</c:v>
                </c:pt>
                <c:pt idx="4">
                  <c:v>Session 5</c:v>
                </c:pt>
                <c:pt idx="5">
                  <c:v>Average Occlusion per Object</c:v>
                </c:pt>
              </c:strCache>
            </c:strRef>
          </c:cat>
          <c:val>
            <c:numRef>
              <c:f>Stats!$L$30:$L$35</c:f>
              <c:numCache>
                <c:formatCode>0.00%</c:formatCode>
                <c:ptCount val="6"/>
                <c:pt idx="0">
                  <c:v>0.0387510254306809</c:v>
                </c:pt>
                <c:pt idx="1">
                  <c:v>0.0210412175844275</c:v>
                </c:pt>
                <c:pt idx="2">
                  <c:v>0.014918430335097</c:v>
                </c:pt>
                <c:pt idx="3">
                  <c:v>0.0205287171230435</c:v>
                </c:pt>
                <c:pt idx="4">
                  <c:v>0.066535409035409</c:v>
                </c:pt>
                <c:pt idx="5">
                  <c:v>0.0323549599017316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911992"/>
        <c:axId val="-2118912472"/>
      </c:lineChart>
      <c:catAx>
        <c:axId val="-21189119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8912472"/>
        <c:crosses val="autoZero"/>
        <c:auto val="1"/>
        <c:lblAlgn val="ctr"/>
        <c:lblOffset val="100"/>
        <c:noMultiLvlLbl val="0"/>
      </c:catAx>
      <c:valAx>
        <c:axId val="-2118912472"/>
        <c:scaling>
          <c:orientation val="minMax"/>
          <c:max val="0.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-2118911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2113426791199"/>
          <c:y val="0.0453399454797008"/>
          <c:w val="0.223387160319202"/>
          <c:h val="0.156859720114492"/>
        </c:manualLayout>
      </c:layout>
      <c:overlay val="1"/>
    </c:legend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Occlusion per Object and Time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Stats!$I$35</c:f>
              <c:strCache>
                <c:ptCount val="1"/>
                <c:pt idx="0">
                  <c:v>Average Occlusion per Object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cat>
            <c:strRef>
              <c:f>Stats!$J$29:$L$29</c:f>
              <c:strCache>
                <c:ptCount val="3"/>
                <c:pt idx="0">
                  <c:v>Physical Object</c:v>
                </c:pt>
                <c:pt idx="1">
                  <c:v>Hybrid Object</c:v>
                </c:pt>
                <c:pt idx="2">
                  <c:v>Average</c:v>
                </c:pt>
              </c:strCache>
            </c:strRef>
          </c:cat>
          <c:val>
            <c:numRef>
              <c:f>Stats!$J$35:$L$35</c:f>
              <c:numCache>
                <c:formatCode>0.00%</c:formatCode>
                <c:ptCount val="3"/>
                <c:pt idx="0">
                  <c:v>0.0320771681920029</c:v>
                </c:pt>
                <c:pt idx="1">
                  <c:v>0.0515856423465886</c:v>
                </c:pt>
                <c:pt idx="2">
                  <c:v>0.0323549599017316</c:v>
                </c:pt>
              </c:numCache>
            </c:numRef>
          </c:val>
        </c:ser>
        <c:ser>
          <c:idx val="0"/>
          <c:order val="0"/>
          <c:tx>
            <c:strRef>
              <c:f>Stats!$N$35</c:f>
              <c:strCache>
                <c:ptCount val="1"/>
                <c:pt idx="0">
                  <c:v>Average Occlusion over Time</c:v>
                </c:pt>
              </c:strCache>
            </c:strRef>
          </c:tx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cat>
            <c:strRef>
              <c:f>Stats!$O$29:$Q$29</c:f>
              <c:strCache>
                <c:ptCount val="3"/>
                <c:pt idx="0">
                  <c:v>Physical Objects</c:v>
                </c:pt>
                <c:pt idx="1">
                  <c:v>Hybrid Objects</c:v>
                </c:pt>
                <c:pt idx="2">
                  <c:v>All Objects</c:v>
                </c:pt>
              </c:strCache>
            </c:strRef>
          </c:cat>
          <c:val>
            <c:numRef>
              <c:f>Stats!$O$35:$Q$35</c:f>
              <c:numCache>
                <c:formatCode>0.00%</c:formatCode>
                <c:ptCount val="3"/>
                <c:pt idx="0">
                  <c:v>0.119796431151117</c:v>
                </c:pt>
                <c:pt idx="1">
                  <c:v>0.0350591101058024</c:v>
                </c:pt>
                <c:pt idx="2">
                  <c:v>0.15485554125692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8929704"/>
        <c:axId val="-2118931736"/>
      </c:barChart>
      <c:catAx>
        <c:axId val="-21189297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8931736"/>
        <c:crosses val="autoZero"/>
        <c:auto val="1"/>
        <c:lblAlgn val="ctr"/>
        <c:lblOffset val="100"/>
        <c:noMultiLvlLbl val="0"/>
      </c:catAx>
      <c:valAx>
        <c:axId val="-211893173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-2118929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Stats!$N$35</c:f>
              <c:strCache>
                <c:ptCount val="1"/>
                <c:pt idx="0">
                  <c:v>Average Occlusion over Time</c:v>
                </c:pt>
              </c:strCache>
            </c:strRef>
          </c:tx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cat>
            <c:strRef>
              <c:f>Stats!$O$29:$Q$29</c:f>
              <c:strCache>
                <c:ptCount val="3"/>
                <c:pt idx="0">
                  <c:v>Physical Objects</c:v>
                </c:pt>
                <c:pt idx="1">
                  <c:v>Hybrid Objects</c:v>
                </c:pt>
                <c:pt idx="2">
                  <c:v>All Objects</c:v>
                </c:pt>
              </c:strCache>
            </c:strRef>
          </c:cat>
          <c:val>
            <c:numRef>
              <c:f>Stats!$O$35:$Q$35</c:f>
              <c:numCache>
                <c:formatCode>0.00%</c:formatCode>
                <c:ptCount val="3"/>
                <c:pt idx="0">
                  <c:v>0.119796431151117</c:v>
                </c:pt>
                <c:pt idx="1">
                  <c:v>0.0350591101058024</c:v>
                </c:pt>
                <c:pt idx="2">
                  <c:v>0.15485554125692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8950600"/>
        <c:axId val="-2118951912"/>
      </c:barChart>
      <c:catAx>
        <c:axId val="-21189506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8951912"/>
        <c:crosses val="autoZero"/>
        <c:auto val="1"/>
        <c:lblAlgn val="ctr"/>
        <c:lblOffset val="100"/>
        <c:noMultiLvlLbl val="0"/>
      </c:catAx>
      <c:valAx>
        <c:axId val="-2118951912"/>
        <c:scaling>
          <c:orientation val="minMax"/>
          <c:max val="0.2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-2118950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Aggregation!$T$4:$T$20</c:f>
              <c:numCache>
                <c:formatCode>General</c:formatCode>
                <c:ptCount val="17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120.0</c:v>
                </c:pt>
                <c:pt idx="12">
                  <c:v>140.0</c:v>
                </c:pt>
                <c:pt idx="13">
                  <c:v>160.0</c:v>
                </c:pt>
                <c:pt idx="14">
                  <c:v>180.0</c:v>
                </c:pt>
                <c:pt idx="15">
                  <c:v>200.0</c:v>
                </c:pt>
                <c:pt idx="16">
                  <c:v>300.0</c:v>
                </c:pt>
              </c:numCache>
            </c:numRef>
          </c:xVal>
          <c:yVal>
            <c:numRef>
              <c:f>Aggregation!$U$4:$U$20</c:f>
              <c:numCache>
                <c:formatCode>General</c:formatCode>
                <c:ptCount val="17"/>
                <c:pt idx="0">
                  <c:v>25.0</c:v>
                </c:pt>
                <c:pt idx="1">
                  <c:v>14.0</c:v>
                </c:pt>
                <c:pt idx="2">
                  <c:v>9.0</c:v>
                </c:pt>
                <c:pt idx="3">
                  <c:v>6.0</c:v>
                </c:pt>
                <c:pt idx="4">
                  <c:v>4.0</c:v>
                </c:pt>
                <c:pt idx="5">
                  <c:v>2.0</c:v>
                </c:pt>
                <c:pt idx="6">
                  <c:v>1.0</c:v>
                </c:pt>
                <c:pt idx="7">
                  <c:v>5.0</c:v>
                </c:pt>
                <c:pt idx="8">
                  <c:v>4.0</c:v>
                </c:pt>
                <c:pt idx="9">
                  <c:v>3.0</c:v>
                </c:pt>
                <c:pt idx="10">
                  <c:v>2.0</c:v>
                </c:pt>
                <c:pt idx="11">
                  <c:v>4.0</c:v>
                </c:pt>
                <c:pt idx="12">
                  <c:v>2.0</c:v>
                </c:pt>
                <c:pt idx="13">
                  <c:v>4.0</c:v>
                </c:pt>
                <c:pt idx="14">
                  <c:v>0.0</c:v>
                </c:pt>
                <c:pt idx="15">
                  <c:v>1.0</c:v>
                </c:pt>
                <c:pt idx="16">
                  <c:v>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976632"/>
        <c:axId val="-2118974824"/>
      </c:scatterChart>
      <c:valAx>
        <c:axId val="-2118976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8974824"/>
        <c:crosses val="autoZero"/>
        <c:crossBetween val="midCat"/>
      </c:valAx>
      <c:valAx>
        <c:axId val="-2118974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89766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Aggregation!$T$26:$T$29</c:f>
              <c:numCache>
                <c:formatCode>General</c:formatCode>
                <c:ptCount val="4"/>
                <c:pt idx="0">
                  <c:v>0.0</c:v>
                </c:pt>
                <c:pt idx="1">
                  <c:v>15.0</c:v>
                </c:pt>
                <c:pt idx="2">
                  <c:v>60.0</c:v>
                </c:pt>
                <c:pt idx="3">
                  <c:v>300.0</c:v>
                </c:pt>
              </c:numCache>
            </c:numRef>
          </c:xVal>
          <c:yVal>
            <c:numRef>
              <c:f>Aggregation!$U$26:$U$29</c:f>
              <c:numCache>
                <c:formatCode>General</c:formatCode>
                <c:ptCount val="4"/>
                <c:pt idx="0">
                  <c:v>25.0</c:v>
                </c:pt>
                <c:pt idx="1">
                  <c:v>19.0</c:v>
                </c:pt>
                <c:pt idx="2">
                  <c:v>17.0</c:v>
                </c:pt>
                <c:pt idx="3">
                  <c:v>28.0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984600"/>
        <c:axId val="-2118993112"/>
      </c:scatterChart>
      <c:valAx>
        <c:axId val="-2118984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8993112"/>
        <c:crosses val="autoZero"/>
        <c:crossBetween val="midCat"/>
      </c:valAx>
      <c:valAx>
        <c:axId val="-2118993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8984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18</xdr:row>
      <xdr:rowOff>142875</xdr:rowOff>
    </xdr:from>
    <xdr:to>
      <xdr:col>15</xdr:col>
      <xdr:colOff>0</xdr:colOff>
      <xdr:row>38</xdr:row>
      <xdr:rowOff>15875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823911</xdr:colOff>
      <xdr:row>36</xdr:row>
      <xdr:rowOff>33338</xdr:rowOff>
    </xdr:from>
    <xdr:to>
      <xdr:col>11</xdr:col>
      <xdr:colOff>166687</xdr:colOff>
      <xdr:row>65</xdr:row>
      <xdr:rowOff>80962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803275</xdr:colOff>
      <xdr:row>36</xdr:row>
      <xdr:rowOff>161925</xdr:rowOff>
    </xdr:from>
    <xdr:to>
      <xdr:col>18</xdr:col>
      <xdr:colOff>422275</xdr:colOff>
      <xdr:row>52</xdr:row>
      <xdr:rowOff>111125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</xdr:colOff>
      <xdr:row>22</xdr:row>
      <xdr:rowOff>128587</xdr:rowOff>
    </xdr:from>
    <xdr:to>
      <xdr:col>14</xdr:col>
      <xdr:colOff>107950</xdr:colOff>
      <xdr:row>48</xdr:row>
      <xdr:rowOff>34925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425450</xdr:colOff>
      <xdr:row>35</xdr:row>
      <xdr:rowOff>185210</xdr:rowOff>
    </xdr:from>
    <xdr:to>
      <xdr:col>6</xdr:col>
      <xdr:colOff>699559</xdr:colOff>
      <xdr:row>72</xdr:row>
      <xdr:rowOff>175684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479424</xdr:colOff>
      <xdr:row>21</xdr:row>
      <xdr:rowOff>39687</xdr:rowOff>
    </xdr:from>
    <xdr:to>
      <xdr:col>10</xdr:col>
      <xdr:colOff>723900</xdr:colOff>
      <xdr:row>41</xdr:row>
      <xdr:rowOff>50800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489476</xdr:colOff>
      <xdr:row>36</xdr:row>
      <xdr:rowOff>153458</xdr:rowOff>
    </xdr:from>
    <xdr:to>
      <xdr:col>6</xdr:col>
      <xdr:colOff>370151</xdr:colOff>
      <xdr:row>64</xdr:row>
      <xdr:rowOff>89960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59531</xdr:colOff>
      <xdr:row>51</xdr:row>
      <xdr:rowOff>119063</xdr:rowOff>
    </xdr:from>
    <xdr:to>
      <xdr:col>14</xdr:col>
      <xdr:colOff>1035844</xdr:colOff>
      <xdr:row>78</xdr:row>
      <xdr:rowOff>35719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607220</xdr:colOff>
      <xdr:row>67</xdr:row>
      <xdr:rowOff>122635</xdr:rowOff>
    </xdr:from>
    <xdr:to>
      <xdr:col>6</xdr:col>
      <xdr:colOff>440532</xdr:colOff>
      <xdr:row>95</xdr:row>
      <xdr:rowOff>71438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190500</xdr:colOff>
      <xdr:row>101</xdr:row>
      <xdr:rowOff>98819</xdr:rowOff>
    </xdr:from>
    <xdr:to>
      <xdr:col>15</xdr:col>
      <xdr:colOff>444502</xdr:colOff>
      <xdr:row>126</xdr:row>
      <xdr:rowOff>158750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702468</xdr:colOff>
      <xdr:row>80</xdr:row>
      <xdr:rowOff>170259</xdr:rowOff>
    </xdr:from>
    <xdr:to>
      <xdr:col>16</xdr:col>
      <xdr:colOff>928687</xdr:colOff>
      <xdr:row>95</xdr:row>
      <xdr:rowOff>55959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0</xdr:row>
      <xdr:rowOff>88900</xdr:rowOff>
    </xdr:from>
    <xdr:to>
      <xdr:col>18</xdr:col>
      <xdr:colOff>241300</xdr:colOff>
      <xdr:row>34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215900</xdr:colOff>
      <xdr:row>37</xdr:row>
      <xdr:rowOff>57150</xdr:rowOff>
    </xdr:from>
    <xdr:to>
      <xdr:col>20</xdr:col>
      <xdr:colOff>660400</xdr:colOff>
      <xdr:row>53</xdr:row>
      <xdr:rowOff>158750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put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put_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utput_3_tab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utput_4_tab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utput_5_tab" connectionId="6" autoFormatId="16" applyNumberFormats="0" applyBorderFormats="0" applyFontFormats="1" applyPatternFormats="1" applyAlignmentFormats="0" applyWidthHeightFormats="0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uture">
  <a:themeElements>
    <a:clrScheme name="Couture">
      <a:dk1>
        <a:sysClr val="windowText" lastClr="000000"/>
      </a:dk1>
      <a:lt1>
        <a:sysClr val="window" lastClr="FFFFFF"/>
      </a:lt1>
      <a:dk2>
        <a:srgbClr val="37302A"/>
      </a:dk2>
      <a:lt2>
        <a:srgbClr val="D0CCB9"/>
      </a:lt2>
      <a:accent1>
        <a:srgbClr val="9E8E5C"/>
      </a:accent1>
      <a:accent2>
        <a:srgbClr val="A09781"/>
      </a:accent2>
      <a:accent3>
        <a:srgbClr val="85776D"/>
      </a:accent3>
      <a:accent4>
        <a:srgbClr val="AEAFA9"/>
      </a:accent4>
      <a:accent5>
        <a:srgbClr val="8D878B"/>
      </a:accent5>
      <a:accent6>
        <a:srgbClr val="6B6149"/>
      </a:accent6>
      <a:hlink>
        <a:srgbClr val="B6A272"/>
      </a:hlink>
      <a:folHlink>
        <a:srgbClr val="8A784F"/>
      </a:folHlink>
    </a:clrScheme>
    <a:fontScheme name="Black Tie">
      <a:majorFont>
        <a:latin typeface="Garamond"/>
        <a:ea typeface=""/>
        <a:cs typeface=""/>
        <a:font script="Grek" typeface="Constantia"/>
        <a:font script="Cyrl" typeface="Constantia"/>
        <a:font script="Jpan" typeface="ＭＳ Ｐ明朝"/>
        <a:font script="Hang" typeface="궁서"/>
        <a:font script="Hans" typeface="仿宋"/>
        <a:font script="Hant" typeface="標楷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aramond"/>
        <a:ea typeface=""/>
        <a:cs typeface=""/>
        <a:font script="Grek" typeface="Constantia"/>
        <a:font script="Cyrl" typeface="Constantia"/>
        <a:font script="Jpan" typeface="ＭＳ Ｐ明朝"/>
        <a:font script="Hang" typeface="궁서"/>
        <a:font script="Hans" typeface="仿宋"/>
        <a:font script="Hant" typeface="標楷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0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100000" r="100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30000"/>
                <a:satMod val="200000"/>
              </a:schemeClr>
              <a:schemeClr val="phClr">
                <a:tint val="2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E12" sqref="E12"/>
    </sheetView>
  </sheetViews>
  <sheetFormatPr baseColWidth="10" defaultRowHeight="14" x14ac:dyDescent="0"/>
  <cols>
    <col min="1" max="1" width="13.6640625" style="18" customWidth="1"/>
    <col min="2" max="2" width="18.1640625" style="17" customWidth="1"/>
    <col min="3" max="3" width="9.33203125" style="17" customWidth="1"/>
    <col min="4" max="4" width="10.5" style="17" customWidth="1"/>
    <col min="5" max="5" width="17.33203125" style="17" customWidth="1"/>
    <col min="6" max="6" width="11.1640625" style="3" customWidth="1"/>
    <col min="7" max="7" width="16.83203125" style="3" customWidth="1"/>
    <col min="8" max="8" width="6.1640625" style="18" customWidth="1"/>
    <col min="9" max="9" width="5.33203125" style="18" customWidth="1"/>
    <col min="10" max="10" width="7.1640625" style="18" customWidth="1"/>
    <col min="11" max="12" width="8.6640625" style="17" customWidth="1"/>
    <col min="13" max="13" width="10" style="17" customWidth="1"/>
    <col min="14" max="14" width="9" style="18" customWidth="1"/>
    <col min="15" max="15" width="13.83203125" style="18" customWidth="1"/>
    <col min="16" max="16" width="5.1640625" customWidth="1"/>
    <col min="17" max="17" width="8" style="18" customWidth="1"/>
    <col min="18" max="18" width="9.33203125" style="18" customWidth="1"/>
    <col min="19" max="19" width="11.1640625" style="18" customWidth="1"/>
    <col min="20" max="21" width="6.6640625" style="18" customWidth="1"/>
    <col min="22" max="22" width="11.1640625" style="17" customWidth="1"/>
    <col min="23" max="24" width="6.6640625" style="17" customWidth="1"/>
    <col min="25" max="25" width="11.1640625" style="17" customWidth="1"/>
    <col min="26" max="16384" width="10.83203125" style="18"/>
  </cols>
  <sheetData>
    <row r="1" spans="1:24" s="2" customFormat="1" ht="15" thickBot="1">
      <c r="A1" s="5" t="s">
        <v>49</v>
      </c>
      <c r="B1" s="66" t="s">
        <v>152</v>
      </c>
      <c r="C1" s="67" t="s">
        <v>153</v>
      </c>
      <c r="D1" s="68" t="s">
        <v>158</v>
      </c>
      <c r="E1" s="68" t="s">
        <v>162</v>
      </c>
      <c r="F1" s="68" t="s">
        <v>157</v>
      </c>
      <c r="G1" s="69" t="s">
        <v>156</v>
      </c>
      <c r="H1" s="70" t="s">
        <v>1</v>
      </c>
      <c r="I1" s="70" t="s">
        <v>2</v>
      </c>
      <c r="J1" s="70" t="s">
        <v>15</v>
      </c>
      <c r="K1" s="71" t="s">
        <v>95</v>
      </c>
      <c r="L1" s="66" t="s">
        <v>96</v>
      </c>
      <c r="M1" s="72" t="s">
        <v>140</v>
      </c>
      <c r="N1" s="71" t="s">
        <v>141</v>
      </c>
      <c r="O1" s="66" t="s">
        <v>142</v>
      </c>
      <c r="P1" s="5" t="s">
        <v>154</v>
      </c>
      <c r="Q1" s="73" t="s">
        <v>17</v>
      </c>
      <c r="R1" s="67" t="s">
        <v>18</v>
      </c>
      <c r="S1" s="67" t="s">
        <v>19</v>
      </c>
      <c r="T1" s="73" t="s">
        <v>13</v>
      </c>
      <c r="U1" s="73" t="s">
        <v>14</v>
      </c>
      <c r="V1" s="67" t="s">
        <v>16</v>
      </c>
    </row>
    <row r="2" spans="1:24" s="29" customFormat="1">
      <c r="A2" s="74" t="s">
        <v>3</v>
      </c>
      <c r="B2" s="52">
        <v>125.1613</v>
      </c>
      <c r="C2" s="53">
        <f t="shared" ref="C2:C14" si="0">(B2*60)</f>
        <v>7509.6779999999999</v>
      </c>
      <c r="D2" s="54">
        <v>5.4166999999999996</v>
      </c>
      <c r="E2" s="54">
        <v>4.6418999999999997</v>
      </c>
      <c r="F2" s="55">
        <f t="shared" ref="F2:F11" si="1">(J2/S2)*100</f>
        <v>7.1096527208094065</v>
      </c>
      <c r="G2" s="10">
        <f>(F2*C2)/A17</f>
        <v>6.0927995692231587</v>
      </c>
      <c r="H2" s="56">
        <v>160</v>
      </c>
      <c r="I2" s="56">
        <v>104</v>
      </c>
      <c r="J2" s="56">
        <f t="shared" ref="J2:J13" si="2">H2*I2</f>
        <v>16640</v>
      </c>
      <c r="K2" s="10">
        <f t="shared" ref="K2:K14" si="3">(H2)/6.1</f>
        <v>26.229508196721312</v>
      </c>
      <c r="L2" s="10">
        <f t="shared" ref="L2:L14" si="4">(I2)/6.1</f>
        <v>17.049180327868854</v>
      </c>
      <c r="M2" s="56">
        <v>6</v>
      </c>
      <c r="N2" s="54">
        <v>895.49923890000002</v>
      </c>
      <c r="O2" s="54">
        <f t="shared" ref="O2:O13" si="5">(N2)/6.1</f>
        <v>146.80315391803279</v>
      </c>
      <c r="P2" s="59" t="s">
        <v>155</v>
      </c>
      <c r="Q2" s="39">
        <v>640</v>
      </c>
      <c r="R2" s="48">
        <v>365.7</v>
      </c>
      <c r="S2" s="48">
        <f>Q2*R2</f>
        <v>234048</v>
      </c>
      <c r="T2" s="57">
        <v>640</v>
      </c>
      <c r="U2" s="57">
        <v>480</v>
      </c>
      <c r="V2" s="53">
        <f t="shared" ref="V2:V11" si="6">T2*U2</f>
        <v>307200</v>
      </c>
    </row>
    <row r="3" spans="1:24" s="29" customFormat="1">
      <c r="A3" s="75" t="s">
        <v>4</v>
      </c>
      <c r="B3" s="58">
        <v>6.383</v>
      </c>
      <c r="C3" s="46">
        <f t="shared" si="0"/>
        <v>382.98</v>
      </c>
      <c r="D3" s="28">
        <v>1.5938000000000001</v>
      </c>
      <c r="E3" s="28">
        <v>6.9699999999999998E-2</v>
      </c>
      <c r="F3" s="51">
        <f t="shared" si="1"/>
        <v>2.0918785890073828</v>
      </c>
      <c r="G3" s="17">
        <f>(F3*C3)/A17</f>
        <v>9.1423903003314794E-2</v>
      </c>
      <c r="H3" s="29">
        <v>96</v>
      </c>
      <c r="I3" s="29">
        <v>51</v>
      </c>
      <c r="J3" s="29">
        <f t="shared" si="2"/>
        <v>4896</v>
      </c>
      <c r="K3" s="17">
        <f t="shared" si="3"/>
        <v>15.737704918032788</v>
      </c>
      <c r="L3" s="17">
        <f t="shared" si="4"/>
        <v>8.3606557377049189</v>
      </c>
      <c r="M3" s="29">
        <v>2</v>
      </c>
      <c r="N3" s="28">
        <v>30.01666204</v>
      </c>
      <c r="O3" s="28">
        <f t="shared" si="5"/>
        <v>4.9207642688524595</v>
      </c>
      <c r="P3" s="30" t="s">
        <v>151</v>
      </c>
      <c r="Q3" s="39">
        <v>640</v>
      </c>
      <c r="R3" s="48">
        <v>365.7</v>
      </c>
      <c r="S3" s="48">
        <f t="shared" ref="S3:S11" si="7">Q3*R3</f>
        <v>234048</v>
      </c>
      <c r="T3" s="43">
        <v>640</v>
      </c>
      <c r="U3" s="43">
        <v>480</v>
      </c>
      <c r="V3" s="46">
        <f t="shared" si="6"/>
        <v>307200</v>
      </c>
    </row>
    <row r="4" spans="1:24">
      <c r="A4" s="75" t="s">
        <v>5</v>
      </c>
      <c r="B4" s="58">
        <v>48.953000000000003</v>
      </c>
      <c r="C4" s="46">
        <f t="shared" si="0"/>
        <v>2937.1800000000003</v>
      </c>
      <c r="D4" s="28">
        <v>2.2427999999999999</v>
      </c>
      <c r="E4" s="28">
        <v>0.75180000000000002</v>
      </c>
      <c r="F4" s="51">
        <f t="shared" si="1"/>
        <v>2.943840579710145</v>
      </c>
      <c r="G4" s="17">
        <f>(F4*C4)/A17</f>
        <v>0.98671569940808446</v>
      </c>
      <c r="H4" s="29">
        <v>106</v>
      </c>
      <c r="I4" s="29">
        <v>65</v>
      </c>
      <c r="J4" s="29">
        <f t="shared" si="2"/>
        <v>6890</v>
      </c>
      <c r="K4" s="17">
        <f t="shared" si="3"/>
        <v>17.377049180327869</v>
      </c>
      <c r="L4" s="17">
        <f t="shared" si="4"/>
        <v>10.655737704918034</v>
      </c>
      <c r="M4" s="29">
        <v>9</v>
      </c>
      <c r="N4" s="28">
        <v>940.48241270000005</v>
      </c>
      <c r="O4" s="28">
        <f t="shared" si="5"/>
        <v>154.17744470491806</v>
      </c>
      <c r="P4" s="30" t="s">
        <v>155</v>
      </c>
      <c r="Q4" s="39">
        <v>640</v>
      </c>
      <c r="R4" s="48">
        <v>365.7</v>
      </c>
      <c r="S4" s="48">
        <f t="shared" si="7"/>
        <v>234048</v>
      </c>
      <c r="T4" s="43">
        <v>640</v>
      </c>
      <c r="U4" s="43">
        <v>480</v>
      </c>
      <c r="V4" s="46">
        <f t="shared" si="6"/>
        <v>307200</v>
      </c>
    </row>
    <row r="5" spans="1:24" s="29" customFormat="1">
      <c r="A5" s="75" t="s">
        <v>6</v>
      </c>
      <c r="B5" s="58">
        <v>0.69930000000000003</v>
      </c>
      <c r="C5" s="46">
        <f t="shared" si="0"/>
        <v>41.957999999999998</v>
      </c>
      <c r="D5" s="28">
        <v>2.7604000000000002</v>
      </c>
      <c r="E5" s="28">
        <v>1.32E-2</v>
      </c>
      <c r="F5" s="51">
        <f t="shared" si="1"/>
        <v>3.6231884057971016</v>
      </c>
      <c r="G5" s="17">
        <f>(F5*C5)/A17</f>
        <v>1.7348138666031587E-2</v>
      </c>
      <c r="H5" s="29">
        <v>80</v>
      </c>
      <c r="I5" s="29">
        <v>106</v>
      </c>
      <c r="J5" s="29">
        <f t="shared" si="2"/>
        <v>8480</v>
      </c>
      <c r="K5" s="17">
        <f t="shared" si="3"/>
        <v>13.114754098360656</v>
      </c>
      <c r="L5" s="17">
        <f t="shared" si="4"/>
        <v>17.377049180327869</v>
      </c>
      <c r="M5" s="29">
        <v>1</v>
      </c>
      <c r="N5" s="28">
        <v>0</v>
      </c>
      <c r="O5" s="28">
        <f t="shared" si="5"/>
        <v>0</v>
      </c>
      <c r="P5" s="30" t="s">
        <v>151</v>
      </c>
      <c r="Q5" s="39">
        <v>640</v>
      </c>
      <c r="R5" s="48">
        <v>365.7</v>
      </c>
      <c r="S5" s="48">
        <f t="shared" si="7"/>
        <v>234048</v>
      </c>
      <c r="T5" s="43">
        <v>640</v>
      </c>
      <c r="U5" s="43">
        <v>480</v>
      </c>
      <c r="V5" s="46">
        <f t="shared" si="6"/>
        <v>307200</v>
      </c>
    </row>
    <row r="6" spans="1:24">
      <c r="A6" s="75" t="s">
        <v>7</v>
      </c>
      <c r="B6" s="58">
        <v>121.68940000000001</v>
      </c>
      <c r="C6" s="46">
        <f t="shared" si="0"/>
        <v>7301.3640000000005</v>
      </c>
      <c r="D6" s="28">
        <v>1.5557000000000001</v>
      </c>
      <c r="E6" s="28">
        <v>1.2962</v>
      </c>
      <c r="F6" s="51">
        <f t="shared" si="1"/>
        <v>2.041888843314192</v>
      </c>
      <c r="G6" s="17">
        <f>(F6*C6)/A17</f>
        <v>1.7013093338555156</v>
      </c>
      <c r="H6" s="29">
        <v>81</v>
      </c>
      <c r="I6" s="29">
        <v>59</v>
      </c>
      <c r="J6" s="29">
        <f t="shared" si="2"/>
        <v>4779</v>
      </c>
      <c r="K6" s="17">
        <f t="shared" si="3"/>
        <v>13.278688524590164</v>
      </c>
      <c r="L6" s="17">
        <f t="shared" si="4"/>
        <v>9.6721311475409841</v>
      </c>
      <c r="M6" s="29">
        <v>6</v>
      </c>
      <c r="N6" s="28">
        <v>490.6169597</v>
      </c>
      <c r="O6" s="28">
        <f t="shared" si="5"/>
        <v>80.429009786885246</v>
      </c>
      <c r="P6" s="30" t="s">
        <v>151</v>
      </c>
      <c r="Q6" s="39">
        <v>640</v>
      </c>
      <c r="R6" s="48">
        <v>365.7</v>
      </c>
      <c r="S6" s="48">
        <f t="shared" si="7"/>
        <v>234048</v>
      </c>
      <c r="T6" s="43">
        <v>640</v>
      </c>
      <c r="U6" s="43">
        <v>480</v>
      </c>
      <c r="V6" s="46">
        <f t="shared" si="6"/>
        <v>307200</v>
      </c>
    </row>
    <row r="7" spans="1:24">
      <c r="A7" s="75" t="s">
        <v>8</v>
      </c>
      <c r="B7" s="58">
        <v>89.673199999999994</v>
      </c>
      <c r="C7" s="46">
        <f t="shared" si="0"/>
        <v>5380.3919999999998</v>
      </c>
      <c r="D7" s="28">
        <v>1.4501999999999999</v>
      </c>
      <c r="E7" s="28">
        <v>0.89039999999999997</v>
      </c>
      <c r="F7" s="51">
        <f t="shared" si="1"/>
        <v>1.9034557013945859</v>
      </c>
      <c r="G7" s="17">
        <f>(F7*C7)/A17</f>
        <v>1.1687022512995342</v>
      </c>
      <c r="H7" s="29">
        <v>81</v>
      </c>
      <c r="I7" s="29">
        <v>55</v>
      </c>
      <c r="J7" s="29">
        <f t="shared" si="2"/>
        <v>4455</v>
      </c>
      <c r="K7" s="17">
        <f t="shared" si="3"/>
        <v>13.278688524590164</v>
      </c>
      <c r="L7" s="17">
        <f t="shared" si="4"/>
        <v>9.0163934426229506</v>
      </c>
      <c r="M7" s="29">
        <v>9</v>
      </c>
      <c r="N7" s="28">
        <v>818.79949439999996</v>
      </c>
      <c r="O7" s="28">
        <f t="shared" si="5"/>
        <v>134.22942531147541</v>
      </c>
      <c r="P7" s="30" t="s">
        <v>151</v>
      </c>
      <c r="Q7" s="39">
        <v>640</v>
      </c>
      <c r="R7" s="48">
        <v>365.7</v>
      </c>
      <c r="S7" s="48">
        <f t="shared" si="7"/>
        <v>234048</v>
      </c>
      <c r="T7" s="43">
        <v>640</v>
      </c>
      <c r="U7" s="43">
        <v>480</v>
      </c>
      <c r="V7" s="46">
        <f t="shared" si="6"/>
        <v>307200</v>
      </c>
    </row>
    <row r="8" spans="1:24" s="29" customFormat="1">
      <c r="A8" s="75" t="s">
        <v>9</v>
      </c>
      <c r="B8" s="58">
        <v>24.616</v>
      </c>
      <c r="C8" s="46">
        <f t="shared" si="0"/>
        <v>1476.96</v>
      </c>
      <c r="D8" s="28">
        <v>2.5781000000000001</v>
      </c>
      <c r="E8" s="28">
        <v>0.4345</v>
      </c>
      <c r="F8" s="51">
        <f t="shared" si="1"/>
        <v>3.3839212469237081</v>
      </c>
      <c r="G8" s="17">
        <f>(F8*C8)/A17</f>
        <v>0.57034307027917841</v>
      </c>
      <c r="H8" s="29">
        <v>88</v>
      </c>
      <c r="I8" s="29">
        <v>90</v>
      </c>
      <c r="J8" s="29">
        <f t="shared" si="2"/>
        <v>7920</v>
      </c>
      <c r="K8" s="17">
        <f t="shared" si="3"/>
        <v>14.426229508196721</v>
      </c>
      <c r="L8" s="17">
        <f t="shared" si="4"/>
        <v>14.754098360655739</v>
      </c>
      <c r="M8" s="29">
        <v>1</v>
      </c>
      <c r="N8" s="28">
        <v>0</v>
      </c>
      <c r="O8" s="28">
        <f t="shared" si="5"/>
        <v>0</v>
      </c>
      <c r="P8" s="30" t="s">
        <v>151</v>
      </c>
      <c r="Q8" s="39">
        <v>640</v>
      </c>
      <c r="R8" s="48">
        <v>365.7</v>
      </c>
      <c r="S8" s="48">
        <f t="shared" si="7"/>
        <v>234048</v>
      </c>
      <c r="T8" s="43">
        <v>640</v>
      </c>
      <c r="U8" s="43">
        <v>480</v>
      </c>
      <c r="V8" s="46">
        <f t="shared" si="6"/>
        <v>307200</v>
      </c>
    </row>
    <row r="9" spans="1:24">
      <c r="A9" s="75" t="s">
        <v>10</v>
      </c>
      <c r="B9" s="58">
        <v>64.250200000000007</v>
      </c>
      <c r="C9" s="46">
        <f t="shared" si="0"/>
        <v>3855.0120000000006</v>
      </c>
      <c r="D9" s="28">
        <v>1.9466000000000001</v>
      </c>
      <c r="E9" s="28">
        <v>0.85640000000000005</v>
      </c>
      <c r="F9" s="51">
        <f t="shared" si="1"/>
        <v>2.5550314465408808</v>
      </c>
      <c r="G9" s="17">
        <f>(F9*C9)/A17</f>
        <v>1.1240074046322555</v>
      </c>
      <c r="H9" s="29">
        <v>92</v>
      </c>
      <c r="I9" s="29">
        <v>65</v>
      </c>
      <c r="J9" s="29">
        <f t="shared" si="2"/>
        <v>5980</v>
      </c>
      <c r="K9" s="17">
        <f t="shared" si="3"/>
        <v>15.081967213114755</v>
      </c>
      <c r="L9" s="17">
        <f t="shared" si="4"/>
        <v>10.655737704918034</v>
      </c>
      <c r="M9" s="29">
        <v>3</v>
      </c>
      <c r="N9" s="28">
        <v>45.130829470000002</v>
      </c>
      <c r="O9" s="28">
        <f t="shared" si="5"/>
        <v>7.3984966344262304</v>
      </c>
      <c r="P9" s="30" t="s">
        <v>151</v>
      </c>
      <c r="Q9" s="39">
        <v>640</v>
      </c>
      <c r="R9" s="48">
        <v>365.7</v>
      </c>
      <c r="S9" s="48">
        <f t="shared" si="7"/>
        <v>234048</v>
      </c>
      <c r="T9" s="43">
        <v>640</v>
      </c>
      <c r="U9" s="43">
        <v>480</v>
      </c>
      <c r="V9" s="46">
        <f t="shared" si="6"/>
        <v>307200</v>
      </c>
    </row>
    <row r="10" spans="1:24" s="29" customFormat="1">
      <c r="A10" s="75" t="s">
        <v>11</v>
      </c>
      <c r="B10" s="58">
        <v>4.0641999999999996</v>
      </c>
      <c r="C10" s="46">
        <f t="shared" si="0"/>
        <v>243.85199999999998</v>
      </c>
      <c r="D10" s="28">
        <v>5.4199000000000002</v>
      </c>
      <c r="E10" s="28">
        <v>0.15079999999999999</v>
      </c>
      <c r="F10" s="51">
        <f t="shared" si="1"/>
        <v>7.1139253486464309</v>
      </c>
      <c r="G10" s="17">
        <f>(F10*C10)/A17</f>
        <v>0.19796244712063554</v>
      </c>
      <c r="H10" s="29">
        <v>90</v>
      </c>
      <c r="I10" s="29">
        <v>185</v>
      </c>
      <c r="J10" s="29">
        <f t="shared" si="2"/>
        <v>16650</v>
      </c>
      <c r="K10" s="17">
        <f t="shared" si="3"/>
        <v>14.754098360655739</v>
      </c>
      <c r="L10" s="17">
        <f t="shared" si="4"/>
        <v>30.327868852459019</v>
      </c>
      <c r="M10" s="29">
        <v>1</v>
      </c>
      <c r="N10" s="28">
        <v>0</v>
      </c>
      <c r="O10" s="28">
        <f t="shared" si="5"/>
        <v>0</v>
      </c>
      <c r="P10" s="30" t="s">
        <v>151</v>
      </c>
      <c r="Q10" s="39">
        <v>640</v>
      </c>
      <c r="R10" s="48">
        <v>365.7</v>
      </c>
      <c r="S10" s="48">
        <f t="shared" si="7"/>
        <v>234048</v>
      </c>
      <c r="T10" s="43">
        <v>640</v>
      </c>
      <c r="U10" s="43">
        <v>480</v>
      </c>
      <c r="V10" s="46">
        <f t="shared" si="6"/>
        <v>307200</v>
      </c>
    </row>
    <row r="11" spans="1:24" ht="15" thickBot="1">
      <c r="A11" s="75" t="s">
        <v>12</v>
      </c>
      <c r="B11" s="58">
        <v>97.319800000000001</v>
      </c>
      <c r="C11" s="46">
        <f t="shared" si="0"/>
        <v>5839.1880000000001</v>
      </c>
      <c r="D11" s="28">
        <v>4.5591999999999997</v>
      </c>
      <c r="E11" s="28">
        <v>3.0379999999999998</v>
      </c>
      <c r="F11" s="51">
        <f t="shared" si="1"/>
        <v>5.9842425485370523</v>
      </c>
      <c r="G11" s="17">
        <f>(F11*C11)/A17</f>
        <v>3.9875747208155849</v>
      </c>
      <c r="H11" s="29">
        <v>149</v>
      </c>
      <c r="I11" s="29">
        <v>94</v>
      </c>
      <c r="J11" s="29">
        <f t="shared" si="2"/>
        <v>14006</v>
      </c>
      <c r="K11" s="17">
        <f t="shared" si="3"/>
        <v>24.426229508196723</v>
      </c>
      <c r="L11" s="17">
        <f t="shared" si="4"/>
        <v>15.409836065573771</v>
      </c>
      <c r="M11" s="29">
        <v>7</v>
      </c>
      <c r="N11" s="28">
        <v>465.93240500000002</v>
      </c>
      <c r="O11" s="28">
        <f t="shared" si="5"/>
        <v>76.382361475409837</v>
      </c>
      <c r="P11" s="30" t="s">
        <v>151</v>
      </c>
      <c r="Q11" s="39">
        <v>640</v>
      </c>
      <c r="R11" s="48">
        <v>365.7</v>
      </c>
      <c r="S11" s="48">
        <f t="shared" si="7"/>
        <v>234048</v>
      </c>
      <c r="T11" s="43">
        <v>640</v>
      </c>
      <c r="U11" s="43">
        <v>480</v>
      </c>
      <c r="V11" s="46">
        <f t="shared" si="6"/>
        <v>307200</v>
      </c>
    </row>
    <row r="12" spans="1:24">
      <c r="A12" s="76" t="s">
        <v>62</v>
      </c>
      <c r="B12" s="61">
        <f>AVERAGE(B3,B5:B11)</f>
        <v>51.086887500000003</v>
      </c>
      <c r="C12" s="62">
        <f t="shared" si="0"/>
        <v>3065.2132500000002</v>
      </c>
      <c r="D12" s="61">
        <f>AVERAGE(D3,D5:D11)</f>
        <v>2.7329875000000001</v>
      </c>
      <c r="E12" s="61">
        <f>SUM(E3,E5:E11)</f>
        <v>6.7491999999999992</v>
      </c>
      <c r="F12" s="63">
        <f>AVERAGE(F3,F5,F6,F7,F8,F9,F10,F11)</f>
        <v>3.5871915162701669</v>
      </c>
      <c r="G12" s="61">
        <f>SUM(G5:G11,G3)</f>
        <v>8.8586712696720511</v>
      </c>
      <c r="H12" s="64">
        <f>AVERAGE(H3,H5,H6,H7,H8,H9,H10,H11)</f>
        <v>94.625</v>
      </c>
      <c r="I12" s="64">
        <f>AVERAGE(I3,I5,I6,I7,I8,I9,I10,I11)</f>
        <v>88.125</v>
      </c>
      <c r="J12" s="64">
        <f>AVERAGE(J3,J5,J6,J7,J8,J9,J10,J11)</f>
        <v>8395.75</v>
      </c>
      <c r="K12" s="61">
        <f t="shared" si="3"/>
        <v>15.512295081967213</v>
      </c>
      <c r="L12" s="61">
        <f t="shared" si="4"/>
        <v>14.446721311475411</v>
      </c>
      <c r="M12" s="63">
        <f>AVERAGE(M3,M5,M6,M7,M8,M9,M10,M11)</f>
        <v>3.75</v>
      </c>
      <c r="N12" s="61">
        <f>AVERAGE(N3,N5,N6,N7,N8,N9,N10,N11)</f>
        <v>231.31204382625</v>
      </c>
      <c r="O12" s="61">
        <f t="shared" si="5"/>
        <v>37.920007184631153</v>
      </c>
      <c r="P12" s="79">
        <f>COUNTIF(P2:P11,"P")</f>
        <v>8</v>
      </c>
      <c r="Q12" s="39"/>
      <c r="R12" s="48"/>
      <c r="S12" s="47"/>
      <c r="T12" s="37"/>
      <c r="U12" s="37"/>
      <c r="V12" s="47"/>
    </row>
    <row r="13" spans="1:24">
      <c r="A13" s="77" t="s">
        <v>64</v>
      </c>
      <c r="B13" s="49">
        <f>AVERAGE(B2,B4)</f>
        <v>87.057150000000007</v>
      </c>
      <c r="C13" s="47">
        <f t="shared" si="0"/>
        <v>5223.4290000000001</v>
      </c>
      <c r="D13" s="44">
        <f>AVERAGE(D2,D4)</f>
        <v>3.8297499999999998</v>
      </c>
      <c r="E13" s="44">
        <f>SUM(E2,E4)</f>
        <v>5.3936999999999999</v>
      </c>
      <c r="F13" s="49">
        <f>AVERAGE(F2,F4)</f>
        <v>5.026746650259776</v>
      </c>
      <c r="G13" s="44">
        <f>SUM(G2,G4)</f>
        <v>7.0795152686312433</v>
      </c>
      <c r="H13" s="35">
        <f>AVERAGE(H2,H4)</f>
        <v>133</v>
      </c>
      <c r="I13" s="35">
        <f>AVERAGE(I2,I4)</f>
        <v>84.5</v>
      </c>
      <c r="J13" s="35">
        <f>AVERAGE(J2,J4)</f>
        <v>11765</v>
      </c>
      <c r="K13" s="44">
        <f t="shared" si="3"/>
        <v>21.803278688524593</v>
      </c>
      <c r="L13" s="44">
        <f t="shared" si="4"/>
        <v>13.852459016393443</v>
      </c>
      <c r="M13" s="49">
        <f>AVERAGE(M2,M4)</f>
        <v>7.5</v>
      </c>
      <c r="N13" s="44">
        <f>AVERAGE(N2,N4)</f>
        <v>917.99082580000004</v>
      </c>
      <c r="O13" s="44">
        <f t="shared" si="5"/>
        <v>150.49029931147541</v>
      </c>
      <c r="P13" s="80">
        <f>COUNTIF(P2:P11,"H")</f>
        <v>2</v>
      </c>
      <c r="Q13" s="39"/>
      <c r="R13" s="48"/>
      <c r="S13" s="47"/>
      <c r="T13" s="37"/>
      <c r="U13" s="37"/>
      <c r="V13" s="47"/>
    </row>
    <row r="14" spans="1:24" ht="15" thickBot="1">
      <c r="A14" s="78" t="s">
        <v>149</v>
      </c>
      <c r="B14" s="65">
        <f>AVERAGE(B2:B11)</f>
        <v>58.280940000000001</v>
      </c>
      <c r="C14" s="65">
        <f t="shared" si="0"/>
        <v>3496.8564000000001</v>
      </c>
      <c r="D14" s="65">
        <f>AVERAGE(D2:D11)</f>
        <v>2.95234</v>
      </c>
      <c r="E14" s="65">
        <f>SUM(E2:E11)</f>
        <v>12.142900000000001</v>
      </c>
      <c r="F14" s="65">
        <f>AVERAGE(F2:F11)</f>
        <v>3.8751025430680883</v>
      </c>
      <c r="G14" s="65">
        <f>SUM(G2:G11)</f>
        <v>15.938186538303295</v>
      </c>
      <c r="H14" s="81">
        <f>AVERAGE(H2:H11)</f>
        <v>102.3</v>
      </c>
      <c r="I14" s="81">
        <f>AVERAGE(I2:I11)</f>
        <v>87.4</v>
      </c>
      <c r="J14" s="81">
        <f>AVERAGE(J2:J11)</f>
        <v>9069.6</v>
      </c>
      <c r="K14" s="65">
        <f t="shared" si="3"/>
        <v>16.770491803278688</v>
      </c>
      <c r="L14" s="65">
        <f t="shared" si="4"/>
        <v>14.327868852459018</v>
      </c>
      <c r="M14" s="81">
        <f>AVERAGE(M2:M11)</f>
        <v>4.5</v>
      </c>
      <c r="N14" s="65">
        <f>AVERAGE(N2:N11)</f>
        <v>368.64780022100001</v>
      </c>
      <c r="O14" s="65">
        <f>AVERAGE(O2:O11)</f>
        <v>60.434065610000005</v>
      </c>
      <c r="P14" s="82">
        <f>P12+P13</f>
        <v>10</v>
      </c>
      <c r="S14" s="17"/>
      <c r="T14" s="39"/>
      <c r="U14" s="40"/>
    </row>
    <row r="15" spans="1:24">
      <c r="H15" s="42"/>
      <c r="I15" s="42"/>
    </row>
    <row r="16" spans="1:24">
      <c r="A16" s="128" t="s">
        <v>20</v>
      </c>
      <c r="B16" s="133" t="s">
        <v>160</v>
      </c>
      <c r="J16" s="35"/>
      <c r="X16" s="50"/>
    </row>
    <row r="17" spans="1:10">
      <c r="A17" s="128">
        <v>8763</v>
      </c>
      <c r="B17" s="3">
        <f>C2/A17 * 100</f>
        <v>85.697569325573426</v>
      </c>
    </row>
    <row r="18" spans="1:10">
      <c r="A18" s="128"/>
      <c r="B18" s="3">
        <f>C3/A17* 100</f>
        <v>4.3704210886682642</v>
      </c>
    </row>
    <row r="19" spans="1:10">
      <c r="A19" s="128" t="s">
        <v>21</v>
      </c>
      <c r="B19" s="3">
        <f>C4/A17* 100</f>
        <v>33.517973296816159</v>
      </c>
    </row>
    <row r="20" spans="1:10">
      <c r="A20" s="128">
        <f>(B3+B5+B6+B7+B8+B9+B10+B11)*60</f>
        <v>24521.706000000002</v>
      </c>
      <c r="B20" s="3">
        <f>C5/A17* 100</f>
        <v>0.47880862718247175</v>
      </c>
    </row>
    <row r="21" spans="1:10">
      <c r="B21" s="3">
        <f>C6/A17* 100</f>
        <v>83.320369736391655</v>
      </c>
    </row>
    <row r="22" spans="1:10">
      <c r="B22" s="3">
        <f>C7/A17* 100</f>
        <v>61.398972954467645</v>
      </c>
      <c r="E22" s="129" t="s">
        <v>145</v>
      </c>
      <c r="F22" s="130" t="s">
        <v>146</v>
      </c>
      <c r="G22" s="129"/>
      <c r="H22" s="17"/>
    </row>
    <row r="23" spans="1:10">
      <c r="B23" s="3">
        <f>C8/A17* 100</f>
        <v>16.854501882916807</v>
      </c>
      <c r="E23" s="129"/>
      <c r="F23" s="130" t="s">
        <v>147</v>
      </c>
      <c r="G23" s="129">
        <f>AVERAGE(O9,O3)</f>
        <v>6.1596304516393445</v>
      </c>
      <c r="H23" s="17"/>
    </row>
    <row r="24" spans="1:10">
      <c r="B24" s="3">
        <f>C9/A17* 100</f>
        <v>43.991920575145507</v>
      </c>
      <c r="E24" s="129"/>
      <c r="F24" s="130" t="s">
        <v>148</v>
      </c>
      <c r="G24" s="129">
        <f>AVERAGE(O2,O4,O6,O7,O11)</f>
        <v>118.40427903934429</v>
      </c>
    </row>
    <row r="25" spans="1:10">
      <c r="B25" s="3">
        <f>C10/A17* 100</f>
        <v>2.7827456350564872</v>
      </c>
      <c r="E25" s="131"/>
      <c r="F25" s="128" t="s">
        <v>159</v>
      </c>
      <c r="G25" s="131">
        <f>_xlfn.STDEV.P(O11,O7,O6,O4,O2)</f>
        <v>33.300490570540227</v>
      </c>
    </row>
    <row r="26" spans="1:10">
      <c r="B26" s="3">
        <f>C11/A17* 100</f>
        <v>66.634577199589188</v>
      </c>
      <c r="E26" s="131"/>
      <c r="F26" s="132"/>
      <c r="G26" s="132"/>
    </row>
    <row r="27" spans="1:10">
      <c r="B27" s="3">
        <f>C12/A17* 100</f>
        <v>34.979039712427252</v>
      </c>
      <c r="E27" s="131"/>
      <c r="F27" s="132"/>
      <c r="G27" s="132"/>
      <c r="J27" s="35"/>
    </row>
    <row r="28" spans="1:10">
      <c r="B28" s="3">
        <f>C13/A17* 100</f>
        <v>59.607771311194803</v>
      </c>
      <c r="E28" s="131"/>
      <c r="F28" s="129" t="s">
        <v>143</v>
      </c>
      <c r="G28" s="129">
        <f>AVERAGE(O2:O11)</f>
        <v>60.434065610000005</v>
      </c>
      <c r="J28" s="35"/>
    </row>
    <row r="29" spans="1:10">
      <c r="E29" s="131"/>
      <c r="F29" s="129" t="s">
        <v>144</v>
      </c>
      <c r="G29" s="129">
        <f>_xlfn.STDEV.P(O2:O11)</f>
        <v>62.608840148360102</v>
      </c>
    </row>
  </sheetData>
  <phoneticPr fontId="22" type="noConversion"/>
  <conditionalFormatting sqref="B2:B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{A3DCD6CC-994C-2943-8C4B-664E76CC91EB}</x14:id>
        </ext>
      </extLst>
    </cfRule>
  </conditionalFormatting>
  <pageMargins left="0.7" right="0.7" top="0.78740157499999996" bottom="0.78740157499999996" header="0.3" footer="0.3"/>
  <pageSetup paperSize="9" scale="125" orientation="portrait" horizontalDpi="4294967292" verticalDpi="4294967292"/>
  <ignoredErrors>
    <ignoredError sqref="C14" formula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DCD6CC-994C-2943-8C4B-664E76CC91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B2:B11</xm:sqref>
        </x14:conditionalFormatting>
      </x14:conditionalFormattings>
    </ext>
    <ext xmlns:mx="http://schemas.microsoft.com/office/mac/excel/2008/main" uri="{64002731-A6B0-56B0-2670-7721B7C09600}">
      <mx:PLV Mode="0" OnePage="0" WScale="12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E29" sqref="E29"/>
    </sheetView>
  </sheetViews>
  <sheetFormatPr baseColWidth="10" defaultRowHeight="13" x14ac:dyDescent="0"/>
  <cols>
    <col min="1" max="1" width="13.6640625" customWidth="1"/>
    <col min="2" max="2" width="18" style="3" customWidth="1"/>
    <col min="3" max="3" width="10" style="3" customWidth="1"/>
    <col min="4" max="4" width="28" style="3" customWidth="1"/>
    <col min="5" max="5" width="31.83203125" style="3" customWidth="1"/>
    <col min="6" max="6" width="19.83203125" style="3" customWidth="1"/>
    <col min="7" max="7" width="30.5" style="3" bestFit="1" customWidth="1"/>
    <col min="8" max="8" width="5.5" customWidth="1"/>
    <col min="9" max="9" width="5.33203125" customWidth="1"/>
    <col min="10" max="10" width="7.1640625" customWidth="1"/>
    <col min="11" max="12" width="8.6640625" style="3" customWidth="1"/>
    <col min="13" max="13" width="10" customWidth="1"/>
    <col min="14" max="14" width="9" style="3" customWidth="1"/>
    <col min="15" max="15" width="13.83203125" style="3" bestFit="1" customWidth="1"/>
    <col min="16" max="16" width="5.1640625" customWidth="1"/>
    <col min="17" max="18" width="8" customWidth="1"/>
    <col min="19" max="19" width="9.6640625" customWidth="1"/>
  </cols>
  <sheetData>
    <row r="1" spans="1:19" ht="15" thickBot="1">
      <c r="A1" s="164" t="s">
        <v>49</v>
      </c>
      <c r="B1" s="165" t="s">
        <v>0</v>
      </c>
      <c r="C1" s="165" t="s">
        <v>108</v>
      </c>
      <c r="D1" s="136" t="s">
        <v>158</v>
      </c>
      <c r="E1" s="136" t="s">
        <v>162</v>
      </c>
      <c r="F1" s="136" t="s">
        <v>157</v>
      </c>
      <c r="G1" s="137" t="s">
        <v>156</v>
      </c>
      <c r="H1" s="70" t="s">
        <v>1</v>
      </c>
      <c r="I1" s="70" t="s">
        <v>2</v>
      </c>
      <c r="J1" s="72" t="s">
        <v>15</v>
      </c>
      <c r="K1" s="166" t="s">
        <v>95</v>
      </c>
      <c r="L1" s="166" t="s">
        <v>96</v>
      </c>
      <c r="M1" s="5" t="s">
        <v>140</v>
      </c>
      <c r="N1" s="6" t="s">
        <v>141</v>
      </c>
      <c r="O1" s="165" t="s">
        <v>142</v>
      </c>
      <c r="P1" s="5" t="s">
        <v>154</v>
      </c>
      <c r="Q1" s="70" t="s">
        <v>17</v>
      </c>
      <c r="R1" s="70" t="s">
        <v>18</v>
      </c>
      <c r="S1" s="70" t="s">
        <v>19</v>
      </c>
    </row>
    <row r="2" spans="1:19" ht="14">
      <c r="A2" s="167" t="s">
        <v>22</v>
      </c>
      <c r="B2" s="168">
        <v>507.866666667</v>
      </c>
      <c r="C2" s="169">
        <f t="shared" ref="C2:C31" si="0">B2 *60</f>
        <v>30472.000000020002</v>
      </c>
      <c r="D2" s="169">
        <v>2.1796875</v>
      </c>
      <c r="E2" s="169">
        <v>2.1796875</v>
      </c>
      <c r="F2" s="169">
        <f t="shared" ref="F2:F28" si="1">(J2/S2)*100</f>
        <v>2.9523809523809526</v>
      </c>
      <c r="G2" s="169">
        <f t="shared" ref="G2:G28" si="2">(F2*C2)/A33</f>
        <v>2.9523809523828901</v>
      </c>
      <c r="H2" s="170">
        <v>93</v>
      </c>
      <c r="I2" s="170">
        <v>72</v>
      </c>
      <c r="J2" s="170">
        <f>H2*I2</f>
        <v>6696</v>
      </c>
      <c r="K2" s="10">
        <f t="shared" ref="K2:K31" si="3">(H2/6.1)</f>
        <v>15.245901639344263</v>
      </c>
      <c r="L2" s="10">
        <f t="shared" ref="L2:L31" si="4">(I2/6.1)</f>
        <v>11.803278688524591</v>
      </c>
      <c r="M2" s="11">
        <v>1</v>
      </c>
      <c r="N2" s="10">
        <v>0</v>
      </c>
      <c r="O2" s="10">
        <f>(N2/6.1)</f>
        <v>0</v>
      </c>
      <c r="P2" s="19" t="s">
        <v>151</v>
      </c>
      <c r="Q2" s="114">
        <v>630</v>
      </c>
      <c r="R2" s="114">
        <v>360</v>
      </c>
      <c r="S2" s="114">
        <f>Q2*R2</f>
        <v>226800</v>
      </c>
    </row>
    <row r="3" spans="1:19" ht="14">
      <c r="A3" s="167" t="s">
        <v>23</v>
      </c>
      <c r="B3" s="171">
        <v>507.63933333300002</v>
      </c>
      <c r="C3" s="172">
        <f t="shared" si="0"/>
        <v>30458.359999980003</v>
      </c>
      <c r="D3" s="172">
        <v>2.03125</v>
      </c>
      <c r="E3" s="172">
        <v>2.0303407636499999</v>
      </c>
      <c r="F3" s="172">
        <f t="shared" si="1"/>
        <v>2.7513227513227512</v>
      </c>
      <c r="G3" s="172">
        <f t="shared" si="2"/>
        <v>2.7500911930928007</v>
      </c>
      <c r="H3" s="114">
        <v>80</v>
      </c>
      <c r="I3" s="114">
        <v>78</v>
      </c>
      <c r="J3" s="114">
        <f t="shared" ref="J3:J28" si="5">H3*I3</f>
        <v>6240</v>
      </c>
      <c r="K3" s="17">
        <f t="shared" si="3"/>
        <v>13.114754098360656</v>
      </c>
      <c r="L3" s="17">
        <f t="shared" si="4"/>
        <v>12.78688524590164</v>
      </c>
      <c r="M3" s="18">
        <v>4</v>
      </c>
      <c r="N3" s="17">
        <v>390.77448253900002</v>
      </c>
      <c r="O3" s="17">
        <f t="shared" ref="O3:O31" si="6">(N3/6.1)</f>
        <v>64.061390580163945</v>
      </c>
      <c r="P3" s="19" t="s">
        <v>151</v>
      </c>
      <c r="Q3" s="114">
        <v>630</v>
      </c>
      <c r="R3" s="114">
        <v>360</v>
      </c>
      <c r="S3" s="114">
        <f t="shared" ref="S3:S30" si="7">Q3*R3</f>
        <v>226800</v>
      </c>
    </row>
    <row r="4" spans="1:19" ht="14">
      <c r="A4" s="167" t="s">
        <v>24</v>
      </c>
      <c r="B4" s="171">
        <v>507.76511666699997</v>
      </c>
      <c r="C4" s="172">
        <f t="shared" si="0"/>
        <v>30465.907000019997</v>
      </c>
      <c r="D4" s="172">
        <v>0.50455729166700003</v>
      </c>
      <c r="E4" s="172">
        <v>0.50445640338999997</v>
      </c>
      <c r="F4" s="172">
        <f t="shared" si="1"/>
        <v>0.68342151675485008</v>
      </c>
      <c r="G4" s="172">
        <f t="shared" si="2"/>
        <v>0.68328486385094089</v>
      </c>
      <c r="H4" s="114">
        <v>31</v>
      </c>
      <c r="I4" s="114">
        <v>50</v>
      </c>
      <c r="J4" s="114">
        <f t="shared" si="5"/>
        <v>1550</v>
      </c>
      <c r="K4" s="17">
        <f t="shared" si="3"/>
        <v>5.081967213114754</v>
      </c>
      <c r="L4" s="17">
        <f t="shared" si="4"/>
        <v>8.1967213114754109</v>
      </c>
      <c r="M4" s="18">
        <v>7</v>
      </c>
      <c r="N4" s="17">
        <v>97.722694326699994</v>
      </c>
      <c r="O4" s="17">
        <f t="shared" si="6"/>
        <v>16.020113824049179</v>
      </c>
      <c r="P4" s="19" t="s">
        <v>151</v>
      </c>
      <c r="Q4" s="114">
        <v>630</v>
      </c>
      <c r="R4" s="114">
        <v>360</v>
      </c>
      <c r="S4" s="114">
        <f t="shared" si="7"/>
        <v>226800</v>
      </c>
    </row>
    <row r="5" spans="1:19" ht="14">
      <c r="A5" s="167" t="s">
        <v>25</v>
      </c>
      <c r="B5" s="171">
        <v>444.06666666699999</v>
      </c>
      <c r="C5" s="172">
        <f t="shared" si="0"/>
        <v>26644.000000019998</v>
      </c>
      <c r="D5" s="172">
        <v>3.0833333333300001</v>
      </c>
      <c r="E5" s="172">
        <v>2.69599413669</v>
      </c>
      <c r="F5" s="172">
        <f t="shared" si="1"/>
        <v>4.1763668430335095</v>
      </c>
      <c r="G5" s="172">
        <f t="shared" si="2"/>
        <v>3.6517169258948656</v>
      </c>
      <c r="H5" s="114">
        <v>148</v>
      </c>
      <c r="I5" s="114">
        <v>64</v>
      </c>
      <c r="J5" s="114">
        <f t="shared" si="5"/>
        <v>9472</v>
      </c>
      <c r="K5" s="17">
        <f t="shared" si="3"/>
        <v>24.262295081967213</v>
      </c>
      <c r="L5" s="17">
        <f t="shared" si="4"/>
        <v>10.491803278688526</v>
      </c>
      <c r="M5" s="18">
        <v>12</v>
      </c>
      <c r="N5" s="17">
        <v>889.415391054</v>
      </c>
      <c r="O5" s="17">
        <f t="shared" si="6"/>
        <v>145.80580181213116</v>
      </c>
      <c r="P5" s="19" t="s">
        <v>151</v>
      </c>
      <c r="Q5" s="114">
        <v>630</v>
      </c>
      <c r="R5" s="114">
        <v>360</v>
      </c>
      <c r="S5" s="114">
        <f t="shared" si="7"/>
        <v>226800</v>
      </c>
    </row>
    <row r="6" spans="1:19" ht="14">
      <c r="A6" s="167" t="s">
        <v>26</v>
      </c>
      <c r="B6" s="171">
        <v>5.29318333333</v>
      </c>
      <c r="C6" s="172">
        <f t="shared" si="0"/>
        <v>317.59099999979998</v>
      </c>
      <c r="D6" s="172">
        <v>0.29166666666699997</v>
      </c>
      <c r="E6" s="172">
        <v>3.0398630983600001E-3</v>
      </c>
      <c r="F6" s="172">
        <f t="shared" si="1"/>
        <v>0.39506172839506176</v>
      </c>
      <c r="G6" s="172">
        <f t="shared" si="2"/>
        <v>4.117486524764933E-3</v>
      </c>
      <c r="H6" s="114">
        <v>28</v>
      </c>
      <c r="I6" s="114">
        <v>32</v>
      </c>
      <c r="J6" s="114">
        <f t="shared" si="5"/>
        <v>896</v>
      </c>
      <c r="K6" s="17">
        <f t="shared" si="3"/>
        <v>4.5901639344262302</v>
      </c>
      <c r="L6" s="17">
        <f t="shared" si="4"/>
        <v>5.2459016393442628</v>
      </c>
      <c r="M6" s="18">
        <v>1</v>
      </c>
      <c r="N6" s="17">
        <v>0</v>
      </c>
      <c r="O6" s="17">
        <f t="shared" si="6"/>
        <v>0</v>
      </c>
      <c r="P6" s="19" t="s">
        <v>151</v>
      </c>
      <c r="Q6" s="114">
        <v>630</v>
      </c>
      <c r="R6" s="114">
        <v>360</v>
      </c>
      <c r="S6" s="114">
        <f t="shared" si="7"/>
        <v>226800</v>
      </c>
    </row>
    <row r="7" spans="1:19" ht="14">
      <c r="A7" s="167" t="s">
        <v>27</v>
      </c>
      <c r="B7" s="171">
        <v>420.89833333299998</v>
      </c>
      <c r="C7" s="172">
        <f t="shared" si="0"/>
        <v>25253.89999998</v>
      </c>
      <c r="D7" s="172">
        <v>2.158203125</v>
      </c>
      <c r="E7" s="172">
        <v>1.78862712977</v>
      </c>
      <c r="F7" s="172">
        <f t="shared" si="1"/>
        <v>2.9232804232804233</v>
      </c>
      <c r="G7" s="172">
        <f t="shared" si="2"/>
        <v>2.4226907154575681</v>
      </c>
      <c r="H7" s="114">
        <v>78</v>
      </c>
      <c r="I7" s="114">
        <v>85</v>
      </c>
      <c r="J7" s="114">
        <f t="shared" si="5"/>
        <v>6630</v>
      </c>
      <c r="K7" s="17">
        <f t="shared" si="3"/>
        <v>12.78688524590164</v>
      </c>
      <c r="L7" s="17">
        <f t="shared" si="4"/>
        <v>13.934426229508198</v>
      </c>
      <c r="M7" s="18">
        <v>9</v>
      </c>
      <c r="N7" s="17">
        <v>102.261496213</v>
      </c>
      <c r="O7" s="17">
        <f t="shared" si="6"/>
        <v>16.76417970704918</v>
      </c>
      <c r="P7" s="19" t="s">
        <v>151</v>
      </c>
      <c r="Q7" s="114">
        <v>630</v>
      </c>
      <c r="R7" s="114">
        <v>360</v>
      </c>
      <c r="S7" s="114">
        <f t="shared" si="7"/>
        <v>226800</v>
      </c>
    </row>
    <row r="8" spans="1:19" ht="14">
      <c r="A8" s="167" t="s">
        <v>28</v>
      </c>
      <c r="B8" s="171">
        <v>53.453000000000003</v>
      </c>
      <c r="C8" s="172">
        <f t="shared" si="0"/>
        <v>3207.1800000000003</v>
      </c>
      <c r="D8" s="172">
        <v>3.1901041666699999</v>
      </c>
      <c r="E8" s="172">
        <v>0.33575867292099998</v>
      </c>
      <c r="F8" s="172">
        <f t="shared" si="1"/>
        <v>4.3209876543209873</v>
      </c>
      <c r="G8" s="172">
        <f t="shared" si="2"/>
        <v>0.45478423422109432</v>
      </c>
      <c r="H8" s="114">
        <v>98</v>
      </c>
      <c r="I8" s="114">
        <v>100</v>
      </c>
      <c r="J8" s="114">
        <f t="shared" si="5"/>
        <v>9800</v>
      </c>
      <c r="K8" s="17">
        <f t="shared" si="3"/>
        <v>16.065573770491802</v>
      </c>
      <c r="L8" s="17">
        <f t="shared" si="4"/>
        <v>16.393442622950822</v>
      </c>
      <c r="M8" s="18">
        <v>2</v>
      </c>
      <c r="N8" s="17">
        <v>282.72955275300001</v>
      </c>
      <c r="O8" s="17">
        <f t="shared" si="6"/>
        <v>46.349107008688527</v>
      </c>
      <c r="P8" s="19" t="s">
        <v>151</v>
      </c>
      <c r="Q8" s="114">
        <v>630</v>
      </c>
      <c r="R8" s="114">
        <v>360</v>
      </c>
      <c r="S8" s="114">
        <f t="shared" si="7"/>
        <v>226800</v>
      </c>
    </row>
    <row r="9" spans="1:19" ht="14">
      <c r="A9" s="167" t="s">
        <v>29</v>
      </c>
      <c r="B9" s="171">
        <v>5.6529666666700003</v>
      </c>
      <c r="C9" s="172">
        <f t="shared" si="0"/>
        <v>339.17800000020003</v>
      </c>
      <c r="D9" s="172">
        <v>4.53125</v>
      </c>
      <c r="E9" s="172">
        <v>5.0436476519400003E-2</v>
      </c>
      <c r="F9" s="172">
        <f t="shared" si="1"/>
        <v>6.1375661375661377</v>
      </c>
      <c r="G9" s="172">
        <f t="shared" si="2"/>
        <v>6.8316074015772998E-2</v>
      </c>
      <c r="H9" s="114">
        <v>120</v>
      </c>
      <c r="I9" s="114">
        <v>116</v>
      </c>
      <c r="J9" s="114">
        <f t="shared" si="5"/>
        <v>13920</v>
      </c>
      <c r="K9" s="17">
        <f t="shared" si="3"/>
        <v>19.672131147540984</v>
      </c>
      <c r="L9" s="17">
        <f t="shared" si="4"/>
        <v>19.016393442622952</v>
      </c>
      <c r="M9" s="18">
        <v>1</v>
      </c>
      <c r="N9" s="17">
        <v>0</v>
      </c>
      <c r="O9" s="17">
        <f t="shared" si="6"/>
        <v>0</v>
      </c>
      <c r="P9" s="19" t="s">
        <v>151</v>
      </c>
      <c r="Q9" s="114">
        <v>630</v>
      </c>
      <c r="R9" s="114">
        <v>360</v>
      </c>
      <c r="S9" s="114">
        <f t="shared" si="7"/>
        <v>226800</v>
      </c>
    </row>
    <row r="10" spans="1:19" ht="14">
      <c r="A10" s="167" t="s">
        <v>30</v>
      </c>
      <c r="B10" s="171">
        <v>66.163933333299994</v>
      </c>
      <c r="C10" s="172">
        <f t="shared" si="0"/>
        <v>3969.8359999979998</v>
      </c>
      <c r="D10" s="172">
        <v>0.229166666667</v>
      </c>
      <c r="E10" s="172">
        <v>2.9855410978399999E-2</v>
      </c>
      <c r="F10" s="172">
        <f t="shared" si="1"/>
        <v>0.31040564373897706</v>
      </c>
      <c r="G10" s="172">
        <f t="shared" si="2"/>
        <v>4.0439075187632741E-2</v>
      </c>
      <c r="H10" s="114">
        <v>88</v>
      </c>
      <c r="I10" s="114">
        <v>8</v>
      </c>
      <c r="J10" s="114">
        <f t="shared" si="5"/>
        <v>704</v>
      </c>
      <c r="K10" s="17">
        <f t="shared" si="3"/>
        <v>14.426229508196721</v>
      </c>
      <c r="L10" s="17">
        <f t="shared" si="4"/>
        <v>1.3114754098360657</v>
      </c>
      <c r="M10" s="18">
        <v>1</v>
      </c>
      <c r="N10" s="17">
        <v>0</v>
      </c>
      <c r="O10" s="17">
        <f t="shared" si="6"/>
        <v>0</v>
      </c>
      <c r="P10" s="19" t="s">
        <v>151</v>
      </c>
      <c r="Q10" s="114">
        <v>630</v>
      </c>
      <c r="R10" s="114">
        <v>360</v>
      </c>
      <c r="S10" s="114">
        <f t="shared" si="7"/>
        <v>226800</v>
      </c>
    </row>
    <row r="11" spans="1:19" ht="14">
      <c r="A11" s="167" t="s">
        <v>31</v>
      </c>
      <c r="B11" s="171">
        <v>48.318350000000002</v>
      </c>
      <c r="C11" s="172">
        <f t="shared" si="0"/>
        <v>2899.1010000000001</v>
      </c>
      <c r="D11" s="172">
        <v>1.9765625</v>
      </c>
      <c r="E11" s="172">
        <v>0.18804982673599999</v>
      </c>
      <c r="F11" s="172">
        <f t="shared" si="1"/>
        <v>2.6772486772486772</v>
      </c>
      <c r="G11" s="172">
        <f t="shared" si="2"/>
        <v>0.25471299282818055</v>
      </c>
      <c r="H11" s="114">
        <v>92</v>
      </c>
      <c r="I11" s="114">
        <v>66</v>
      </c>
      <c r="J11" s="114">
        <f t="shared" si="5"/>
        <v>6072</v>
      </c>
      <c r="K11" s="17">
        <f t="shared" si="3"/>
        <v>15.081967213114755</v>
      </c>
      <c r="L11" s="17">
        <f t="shared" si="4"/>
        <v>10.819672131147541</v>
      </c>
      <c r="M11" s="18">
        <v>2</v>
      </c>
      <c r="N11" s="17">
        <v>210.44714300699999</v>
      </c>
      <c r="O11" s="17">
        <f t="shared" si="6"/>
        <v>34.499531640491803</v>
      </c>
      <c r="P11" s="19" t="s">
        <v>151</v>
      </c>
      <c r="Q11" s="114">
        <v>630</v>
      </c>
      <c r="R11" s="114">
        <v>360</v>
      </c>
      <c r="S11" s="114">
        <f t="shared" si="7"/>
        <v>226800</v>
      </c>
    </row>
    <row r="12" spans="1:19" ht="14">
      <c r="A12" s="167" t="s">
        <v>32</v>
      </c>
      <c r="B12" s="171">
        <v>2</v>
      </c>
      <c r="C12" s="172">
        <f t="shared" si="0"/>
        <v>120</v>
      </c>
      <c r="D12" s="172">
        <v>0.67708333333299997</v>
      </c>
      <c r="E12" s="172">
        <v>2.66638225256E-3</v>
      </c>
      <c r="F12" s="172">
        <f t="shared" si="1"/>
        <v>0.9171075837742505</v>
      </c>
      <c r="G12" s="172">
        <f t="shared" si="2"/>
        <v>3.6116077071708477E-3</v>
      </c>
      <c r="H12" s="114">
        <v>40</v>
      </c>
      <c r="I12" s="114">
        <v>52</v>
      </c>
      <c r="J12" s="114">
        <f t="shared" si="5"/>
        <v>2080</v>
      </c>
      <c r="K12" s="17">
        <f t="shared" si="3"/>
        <v>6.557377049180328</v>
      </c>
      <c r="L12" s="17">
        <f t="shared" si="4"/>
        <v>8.5245901639344268</v>
      </c>
      <c r="M12" s="18">
        <v>1</v>
      </c>
      <c r="N12" s="17">
        <v>0</v>
      </c>
      <c r="O12" s="17">
        <f t="shared" si="6"/>
        <v>0</v>
      </c>
      <c r="P12" s="19" t="s">
        <v>151</v>
      </c>
      <c r="Q12" s="114">
        <v>630</v>
      </c>
      <c r="R12" s="114">
        <v>360</v>
      </c>
      <c r="S12" s="114">
        <f t="shared" si="7"/>
        <v>226800</v>
      </c>
    </row>
    <row r="13" spans="1:19" ht="14">
      <c r="A13" s="167" t="s">
        <v>33</v>
      </c>
      <c r="B13" s="171">
        <v>347.95</v>
      </c>
      <c r="C13" s="172">
        <f t="shared" si="0"/>
        <v>20877</v>
      </c>
      <c r="D13" s="172">
        <v>1.3541666666700001</v>
      </c>
      <c r="E13" s="172">
        <v>0.92776770477799997</v>
      </c>
      <c r="F13" s="172">
        <f t="shared" si="1"/>
        <v>1.834215167548501</v>
      </c>
      <c r="G13" s="172">
        <f t="shared" si="2"/>
        <v>1.2566589017100962</v>
      </c>
      <c r="H13" s="114">
        <v>80</v>
      </c>
      <c r="I13" s="114">
        <v>52</v>
      </c>
      <c r="J13" s="114">
        <f t="shared" si="5"/>
        <v>4160</v>
      </c>
      <c r="K13" s="17">
        <f t="shared" si="3"/>
        <v>13.114754098360656</v>
      </c>
      <c r="L13" s="17">
        <f t="shared" si="4"/>
        <v>8.5245901639344268</v>
      </c>
      <c r="M13" s="18">
        <v>3</v>
      </c>
      <c r="N13" s="17">
        <v>507.95136778099999</v>
      </c>
      <c r="O13" s="17">
        <f t="shared" si="6"/>
        <v>83.27071602967213</v>
      </c>
      <c r="P13" s="19" t="s">
        <v>151</v>
      </c>
      <c r="Q13" s="114">
        <v>630</v>
      </c>
      <c r="R13" s="114">
        <v>360</v>
      </c>
      <c r="S13" s="114">
        <f t="shared" si="7"/>
        <v>226800</v>
      </c>
    </row>
    <row r="14" spans="1:19" ht="14">
      <c r="A14" s="167" t="s">
        <v>34</v>
      </c>
      <c r="B14" s="171">
        <v>475.38204999999999</v>
      </c>
      <c r="C14" s="172">
        <f t="shared" si="0"/>
        <v>28522.922999999999</v>
      </c>
      <c r="D14" s="172">
        <v>2.26953125</v>
      </c>
      <c r="E14" s="172">
        <v>2.1243654860099999</v>
      </c>
      <c r="F14" s="172">
        <f t="shared" si="1"/>
        <v>3.0740740740740744</v>
      </c>
      <c r="G14" s="172">
        <f t="shared" si="2"/>
        <v>2.8774474307925675</v>
      </c>
      <c r="H14" s="114">
        <v>83</v>
      </c>
      <c r="I14" s="114">
        <v>84</v>
      </c>
      <c r="J14" s="114">
        <f t="shared" si="5"/>
        <v>6972</v>
      </c>
      <c r="K14" s="17">
        <f t="shared" si="3"/>
        <v>13.606557377049182</v>
      </c>
      <c r="L14" s="17">
        <f t="shared" si="4"/>
        <v>13.77049180327869</v>
      </c>
      <c r="M14" s="18">
        <v>2</v>
      </c>
      <c r="N14" s="17">
        <v>48.0104155366</v>
      </c>
      <c r="O14" s="17">
        <f t="shared" si="6"/>
        <v>7.8705599240327873</v>
      </c>
      <c r="P14" s="19" t="s">
        <v>151</v>
      </c>
      <c r="Q14" s="114">
        <v>630</v>
      </c>
      <c r="R14" s="114">
        <v>360</v>
      </c>
      <c r="S14" s="114">
        <f t="shared" si="7"/>
        <v>226800</v>
      </c>
    </row>
    <row r="15" spans="1:19" ht="14">
      <c r="A15" s="167" t="s">
        <v>35</v>
      </c>
      <c r="B15" s="171">
        <v>231.716666667</v>
      </c>
      <c r="C15" s="172">
        <f t="shared" si="0"/>
        <v>13903.00000002</v>
      </c>
      <c r="D15" s="172">
        <v>0.83854166666700003</v>
      </c>
      <c r="E15" s="172">
        <v>0.38258876318099999</v>
      </c>
      <c r="F15" s="172">
        <f t="shared" si="1"/>
        <v>1.1358024691358024</v>
      </c>
      <c r="G15" s="172">
        <f t="shared" si="2"/>
        <v>0.51821546759050197</v>
      </c>
      <c r="H15" s="114">
        <v>23</v>
      </c>
      <c r="I15" s="114">
        <v>112</v>
      </c>
      <c r="J15" s="114">
        <f t="shared" si="5"/>
        <v>2576</v>
      </c>
      <c r="K15" s="17">
        <f t="shared" si="3"/>
        <v>3.7704918032786887</v>
      </c>
      <c r="L15" s="17">
        <f t="shared" si="4"/>
        <v>18.360655737704921</v>
      </c>
      <c r="M15" s="18">
        <v>12</v>
      </c>
      <c r="N15" s="17">
        <v>904.10347556099998</v>
      </c>
      <c r="O15" s="17">
        <f t="shared" si="6"/>
        <v>148.21368451819671</v>
      </c>
      <c r="P15" s="19" t="s">
        <v>151</v>
      </c>
      <c r="Q15" s="114">
        <v>630</v>
      </c>
      <c r="R15" s="114">
        <v>360</v>
      </c>
      <c r="S15" s="114">
        <f t="shared" si="7"/>
        <v>226800</v>
      </c>
    </row>
    <row r="16" spans="1:19" ht="14">
      <c r="A16" s="167" t="s">
        <v>36</v>
      </c>
      <c r="B16" s="171">
        <v>40.483333333300003</v>
      </c>
      <c r="C16" s="172">
        <f t="shared" si="0"/>
        <v>2428.999999998</v>
      </c>
      <c r="D16" s="172">
        <v>1.1510416666700001</v>
      </c>
      <c r="E16" s="172">
        <v>9.1752435295800003E-2</v>
      </c>
      <c r="F16" s="172">
        <f t="shared" si="1"/>
        <v>1.5590828924162259</v>
      </c>
      <c r="G16" s="172">
        <f t="shared" si="2"/>
        <v>0.12427843087673585</v>
      </c>
      <c r="H16" s="114">
        <v>68</v>
      </c>
      <c r="I16" s="114">
        <v>52</v>
      </c>
      <c r="J16" s="114">
        <f t="shared" si="5"/>
        <v>3536</v>
      </c>
      <c r="K16" s="17">
        <f t="shared" si="3"/>
        <v>11.147540983606557</v>
      </c>
      <c r="L16" s="17">
        <f t="shared" si="4"/>
        <v>8.5245901639344268</v>
      </c>
      <c r="M16" s="18">
        <v>2</v>
      </c>
      <c r="N16" s="17">
        <v>25.612496949699999</v>
      </c>
      <c r="O16" s="17">
        <f t="shared" si="6"/>
        <v>4.1987699917540988</v>
      </c>
      <c r="P16" s="19" t="s">
        <v>151</v>
      </c>
      <c r="Q16" s="114">
        <v>630</v>
      </c>
      <c r="R16" s="114">
        <v>360</v>
      </c>
      <c r="S16" s="114">
        <f t="shared" si="7"/>
        <v>226800</v>
      </c>
    </row>
    <row r="17" spans="1:19" ht="14">
      <c r="A17" s="167" t="s">
        <v>37</v>
      </c>
      <c r="B17" s="171">
        <v>5.25</v>
      </c>
      <c r="C17" s="172">
        <f t="shared" si="0"/>
        <v>315</v>
      </c>
      <c r="D17" s="172">
        <v>0.227864583333</v>
      </c>
      <c r="E17" s="172">
        <v>2.35551797552E-3</v>
      </c>
      <c r="F17" s="172">
        <f t="shared" si="1"/>
        <v>0.30864197530864196</v>
      </c>
      <c r="G17" s="172">
        <f t="shared" si="2"/>
        <v>3.1905428663107842E-3</v>
      </c>
      <c r="H17" s="114">
        <v>28</v>
      </c>
      <c r="I17" s="114">
        <v>25</v>
      </c>
      <c r="J17" s="114">
        <f t="shared" si="5"/>
        <v>700</v>
      </c>
      <c r="K17" s="17">
        <f t="shared" si="3"/>
        <v>4.5901639344262302</v>
      </c>
      <c r="L17" s="17">
        <f t="shared" si="4"/>
        <v>4.0983606557377055</v>
      </c>
      <c r="M17" s="18">
        <v>4</v>
      </c>
      <c r="N17" s="17">
        <v>638.97669286300004</v>
      </c>
      <c r="O17" s="17">
        <f t="shared" si="6"/>
        <v>104.7502775185246</v>
      </c>
      <c r="P17" s="19" t="s">
        <v>151</v>
      </c>
      <c r="Q17" s="114">
        <v>630</v>
      </c>
      <c r="R17" s="114">
        <v>360</v>
      </c>
      <c r="S17" s="114">
        <f t="shared" si="7"/>
        <v>226800</v>
      </c>
    </row>
    <row r="18" spans="1:19" ht="14">
      <c r="A18" s="167" t="s">
        <v>38</v>
      </c>
      <c r="B18" s="171">
        <v>1.45</v>
      </c>
      <c r="C18" s="172">
        <f t="shared" si="0"/>
        <v>87</v>
      </c>
      <c r="D18" s="172">
        <v>0.150390625</v>
      </c>
      <c r="E18" s="172">
        <v>4.2937727667999998E-4</v>
      </c>
      <c r="F18" s="172">
        <f t="shared" si="1"/>
        <v>0.20370370370370369</v>
      </c>
      <c r="G18" s="172">
        <f t="shared" si="2"/>
        <v>5.8159038534465158E-4</v>
      </c>
      <c r="H18" s="114">
        <v>21</v>
      </c>
      <c r="I18" s="114">
        <v>22</v>
      </c>
      <c r="J18" s="114">
        <f t="shared" si="5"/>
        <v>462</v>
      </c>
      <c r="K18" s="17">
        <f t="shared" si="3"/>
        <v>3.4426229508196724</v>
      </c>
      <c r="L18" s="17">
        <f t="shared" si="4"/>
        <v>3.6065573770491803</v>
      </c>
      <c r="M18" s="18">
        <v>1</v>
      </c>
      <c r="N18" s="17">
        <v>0</v>
      </c>
      <c r="O18" s="17">
        <f t="shared" si="6"/>
        <v>0</v>
      </c>
      <c r="P18" s="19" t="s">
        <v>151</v>
      </c>
      <c r="Q18" s="114">
        <v>630</v>
      </c>
      <c r="R18" s="114">
        <v>360</v>
      </c>
      <c r="S18" s="114">
        <f t="shared" si="7"/>
        <v>226800</v>
      </c>
    </row>
    <row r="19" spans="1:19" ht="14">
      <c r="A19" s="167" t="s">
        <v>39</v>
      </c>
      <c r="B19" s="171">
        <v>60.659583333299999</v>
      </c>
      <c r="C19" s="172">
        <f t="shared" si="0"/>
        <v>3639.5749999979998</v>
      </c>
      <c r="D19" s="172">
        <v>0.15625</v>
      </c>
      <c r="E19" s="172">
        <v>1.86624965132E-2</v>
      </c>
      <c r="F19" s="172">
        <f t="shared" si="1"/>
        <v>0.21164021164021166</v>
      </c>
      <c r="G19" s="172">
        <f t="shared" si="2"/>
        <v>2.5278302155421373E-2</v>
      </c>
      <c r="H19" s="114">
        <v>8</v>
      </c>
      <c r="I19" s="114">
        <v>60</v>
      </c>
      <c r="J19" s="114">
        <f t="shared" si="5"/>
        <v>480</v>
      </c>
      <c r="K19" s="17">
        <f t="shared" si="3"/>
        <v>1.3114754098360657</v>
      </c>
      <c r="L19" s="17">
        <f t="shared" si="4"/>
        <v>9.8360655737704921</v>
      </c>
      <c r="M19" s="18">
        <v>1</v>
      </c>
      <c r="N19" s="17">
        <v>0</v>
      </c>
      <c r="O19" s="17">
        <f t="shared" si="6"/>
        <v>0</v>
      </c>
      <c r="P19" s="19" t="s">
        <v>151</v>
      </c>
      <c r="Q19" s="114">
        <v>630</v>
      </c>
      <c r="R19" s="114">
        <v>360</v>
      </c>
      <c r="S19" s="114">
        <f t="shared" si="7"/>
        <v>226800</v>
      </c>
    </row>
    <row r="20" spans="1:19" ht="14">
      <c r="A20" s="167" t="s">
        <v>40</v>
      </c>
      <c r="B20" s="171">
        <v>78.389083333299993</v>
      </c>
      <c r="C20" s="172">
        <f t="shared" si="0"/>
        <v>4703.3449999979994</v>
      </c>
      <c r="D20" s="172">
        <v>2.564453125</v>
      </c>
      <c r="E20" s="172">
        <v>0.39582264975100001</v>
      </c>
      <c r="F20" s="172">
        <f t="shared" si="1"/>
        <v>3.4735449735449739</v>
      </c>
      <c r="G20" s="172">
        <f t="shared" si="2"/>
        <v>0.53614073193721901</v>
      </c>
      <c r="H20" s="114">
        <v>101</v>
      </c>
      <c r="I20" s="114">
        <v>78</v>
      </c>
      <c r="J20" s="114">
        <f t="shared" si="5"/>
        <v>7878</v>
      </c>
      <c r="K20" s="17">
        <f t="shared" si="3"/>
        <v>16.557377049180328</v>
      </c>
      <c r="L20" s="17">
        <f t="shared" si="4"/>
        <v>12.78688524590164</v>
      </c>
      <c r="M20" s="18">
        <v>3</v>
      </c>
      <c r="N20" s="17">
        <v>134.937235609</v>
      </c>
      <c r="O20" s="17">
        <f t="shared" si="6"/>
        <v>22.12085829655738</v>
      </c>
      <c r="P20" s="19" t="s">
        <v>151</v>
      </c>
      <c r="Q20" s="114">
        <v>630</v>
      </c>
      <c r="R20" s="114">
        <v>360</v>
      </c>
      <c r="S20" s="114">
        <f t="shared" si="7"/>
        <v>226800</v>
      </c>
    </row>
    <row r="21" spans="1:19" ht="14">
      <c r="A21" s="167" t="s">
        <v>41</v>
      </c>
      <c r="B21" s="171">
        <v>56.266666666699997</v>
      </c>
      <c r="C21" s="172">
        <f t="shared" si="0"/>
        <v>3376.000000002</v>
      </c>
      <c r="D21" s="172">
        <v>1.09375</v>
      </c>
      <c r="E21" s="172">
        <v>0.12117681806199999</v>
      </c>
      <c r="F21" s="172">
        <f t="shared" si="1"/>
        <v>1.4814814814814816</v>
      </c>
      <c r="G21" s="172">
        <f t="shared" si="2"/>
        <v>0.16413367949213853</v>
      </c>
      <c r="H21" s="114">
        <v>140</v>
      </c>
      <c r="I21" s="114">
        <v>24</v>
      </c>
      <c r="J21" s="114">
        <f t="shared" si="5"/>
        <v>3360</v>
      </c>
      <c r="K21" s="17">
        <f t="shared" si="3"/>
        <v>22.95081967213115</v>
      </c>
      <c r="L21" s="17">
        <f t="shared" si="4"/>
        <v>3.9344262295081971</v>
      </c>
      <c r="M21" s="18">
        <v>1</v>
      </c>
      <c r="N21" s="17">
        <v>0</v>
      </c>
      <c r="O21" s="17">
        <f t="shared" si="6"/>
        <v>0</v>
      </c>
      <c r="P21" s="19" t="s">
        <v>151</v>
      </c>
      <c r="Q21" s="114">
        <v>630</v>
      </c>
      <c r="R21" s="114">
        <v>360</v>
      </c>
      <c r="S21" s="114">
        <f t="shared" si="7"/>
        <v>226800</v>
      </c>
    </row>
    <row r="22" spans="1:19" ht="14">
      <c r="A22" s="167" t="s">
        <v>42</v>
      </c>
      <c r="B22" s="171">
        <v>16.666666666699999</v>
      </c>
      <c r="C22" s="172">
        <f t="shared" si="0"/>
        <v>1000.000000002</v>
      </c>
      <c r="D22" s="172">
        <v>1.6822916666700001</v>
      </c>
      <c r="E22" s="172">
        <v>5.5207786383099998E-2</v>
      </c>
      <c r="F22" s="172">
        <f t="shared" si="1"/>
        <v>2.2786596119929454</v>
      </c>
      <c r="G22" s="172">
        <f t="shared" si="2"/>
        <v>7.4778800603751083E-2</v>
      </c>
      <c r="H22" s="114">
        <v>76</v>
      </c>
      <c r="I22" s="114">
        <v>68</v>
      </c>
      <c r="J22" s="114">
        <f t="shared" si="5"/>
        <v>5168</v>
      </c>
      <c r="K22" s="17">
        <f t="shared" si="3"/>
        <v>12.459016393442624</v>
      </c>
      <c r="L22" s="17">
        <f t="shared" si="4"/>
        <v>11.147540983606557</v>
      </c>
      <c r="M22" s="18">
        <v>1</v>
      </c>
      <c r="N22" s="17">
        <v>0</v>
      </c>
      <c r="O22" s="17">
        <f t="shared" si="6"/>
        <v>0</v>
      </c>
      <c r="P22" s="19" t="s">
        <v>151</v>
      </c>
      <c r="Q22" s="114">
        <v>630</v>
      </c>
      <c r="R22" s="114">
        <v>360</v>
      </c>
      <c r="S22" s="114">
        <f t="shared" si="7"/>
        <v>226800</v>
      </c>
    </row>
    <row r="23" spans="1:19" ht="14">
      <c r="A23" s="167" t="s">
        <v>43</v>
      </c>
      <c r="B23" s="171">
        <v>85.35</v>
      </c>
      <c r="C23" s="172">
        <f t="shared" si="0"/>
        <v>5121</v>
      </c>
      <c r="D23" s="172">
        <v>0.93587239583299997</v>
      </c>
      <c r="E23" s="172">
        <v>0.15727889666100001</v>
      </c>
      <c r="F23" s="172">
        <f t="shared" si="1"/>
        <v>1.2676366843033509</v>
      </c>
      <c r="G23" s="172">
        <f t="shared" si="2"/>
        <v>0.21303384944596546</v>
      </c>
      <c r="H23" s="114">
        <v>25</v>
      </c>
      <c r="I23" s="114">
        <v>115</v>
      </c>
      <c r="J23" s="114">
        <f t="shared" si="5"/>
        <v>2875</v>
      </c>
      <c r="K23" s="17">
        <f t="shared" si="3"/>
        <v>4.0983606557377055</v>
      </c>
      <c r="L23" s="17">
        <f t="shared" si="4"/>
        <v>18.852459016393443</v>
      </c>
      <c r="M23" s="18">
        <v>5</v>
      </c>
      <c r="N23" s="17">
        <v>426.772431412</v>
      </c>
      <c r="O23" s="17">
        <f t="shared" si="6"/>
        <v>69.962693674098361</v>
      </c>
      <c r="P23" s="19" t="s">
        <v>151</v>
      </c>
      <c r="Q23" s="114">
        <v>630</v>
      </c>
      <c r="R23" s="114">
        <v>360</v>
      </c>
      <c r="S23" s="114">
        <f t="shared" si="7"/>
        <v>226800</v>
      </c>
    </row>
    <row r="24" spans="1:19" ht="14">
      <c r="A24" s="167" t="s">
        <v>44</v>
      </c>
      <c r="B24" s="171">
        <v>6.2</v>
      </c>
      <c r="C24" s="172">
        <f t="shared" si="0"/>
        <v>372</v>
      </c>
      <c r="D24" s="172">
        <v>0.365234375</v>
      </c>
      <c r="E24" s="172">
        <v>4.4587551686799997E-3</v>
      </c>
      <c r="F24" s="172">
        <f t="shared" si="1"/>
        <v>0.49470899470899471</v>
      </c>
      <c r="G24" s="172">
        <f t="shared" si="2"/>
        <v>6.0393720803277118E-3</v>
      </c>
      <c r="H24" s="114">
        <v>34</v>
      </c>
      <c r="I24" s="114">
        <v>33</v>
      </c>
      <c r="J24" s="114">
        <f t="shared" si="5"/>
        <v>1122</v>
      </c>
      <c r="K24" s="17">
        <f t="shared" si="3"/>
        <v>5.5737704918032787</v>
      </c>
      <c r="L24" s="17">
        <f t="shared" si="4"/>
        <v>5.4098360655737707</v>
      </c>
      <c r="M24" s="18">
        <v>2</v>
      </c>
      <c r="N24" s="17">
        <v>81.608823052399998</v>
      </c>
      <c r="O24" s="17">
        <f t="shared" si="6"/>
        <v>13.378495582360657</v>
      </c>
      <c r="P24" s="19" t="s">
        <v>151</v>
      </c>
      <c r="Q24" s="114">
        <v>630</v>
      </c>
      <c r="R24" s="114">
        <v>360</v>
      </c>
      <c r="S24" s="114">
        <f t="shared" si="7"/>
        <v>226800</v>
      </c>
    </row>
    <row r="25" spans="1:19" ht="14">
      <c r="A25" s="167" t="s">
        <v>45</v>
      </c>
      <c r="B25" s="171">
        <v>3.1</v>
      </c>
      <c r="C25" s="172">
        <f t="shared" si="0"/>
        <v>186</v>
      </c>
      <c r="D25" s="172">
        <v>0.3125</v>
      </c>
      <c r="E25" s="172">
        <v>1.9074888422200001E-3</v>
      </c>
      <c r="F25" s="172">
        <f t="shared" si="1"/>
        <v>0.42328042328042331</v>
      </c>
      <c r="G25" s="172">
        <f t="shared" si="2"/>
        <v>2.5836885905145294E-3</v>
      </c>
      <c r="H25" s="114">
        <v>32</v>
      </c>
      <c r="I25" s="114">
        <v>30</v>
      </c>
      <c r="J25" s="114">
        <f t="shared" si="5"/>
        <v>960</v>
      </c>
      <c r="K25" s="17">
        <f t="shared" si="3"/>
        <v>5.2459016393442628</v>
      </c>
      <c r="L25" s="17">
        <f t="shared" si="4"/>
        <v>4.918032786885246</v>
      </c>
      <c r="M25" s="18">
        <v>1</v>
      </c>
      <c r="N25" s="17">
        <v>0</v>
      </c>
      <c r="O25" s="17">
        <f t="shared" si="6"/>
        <v>0</v>
      </c>
      <c r="P25" s="19" t="s">
        <v>151</v>
      </c>
      <c r="Q25" s="114">
        <v>630</v>
      </c>
      <c r="R25" s="114">
        <v>360</v>
      </c>
      <c r="S25" s="114">
        <f t="shared" si="7"/>
        <v>226800</v>
      </c>
    </row>
    <row r="26" spans="1:19" ht="14">
      <c r="A26" s="167" t="s">
        <v>46</v>
      </c>
      <c r="B26" s="171">
        <v>9.6999999999999993</v>
      </c>
      <c r="C26" s="172">
        <f t="shared" si="0"/>
        <v>582</v>
      </c>
      <c r="D26" s="172">
        <v>1.4632161458299999</v>
      </c>
      <c r="E26" s="172">
        <v>2.7946698506000001E-2</v>
      </c>
      <c r="F26" s="172">
        <f t="shared" si="1"/>
        <v>1.9819223985890655</v>
      </c>
      <c r="G26" s="172">
        <f t="shared" si="2"/>
        <v>3.7853729193319641E-2</v>
      </c>
      <c r="H26" s="114">
        <v>155</v>
      </c>
      <c r="I26" s="114">
        <v>29</v>
      </c>
      <c r="J26" s="114">
        <f t="shared" si="5"/>
        <v>4495</v>
      </c>
      <c r="K26" s="17">
        <f t="shared" si="3"/>
        <v>25.409836065573771</v>
      </c>
      <c r="L26" s="17">
        <f t="shared" si="4"/>
        <v>4.7540983606557381</v>
      </c>
      <c r="M26" s="18">
        <v>1</v>
      </c>
      <c r="N26" s="17">
        <v>0</v>
      </c>
      <c r="O26" s="17">
        <f t="shared" si="6"/>
        <v>0</v>
      </c>
      <c r="P26" s="19" t="s">
        <v>151</v>
      </c>
      <c r="Q26" s="114">
        <v>630</v>
      </c>
      <c r="R26" s="114">
        <v>360</v>
      </c>
      <c r="S26" s="114">
        <f t="shared" si="7"/>
        <v>226800</v>
      </c>
    </row>
    <row r="27" spans="1:19" ht="14">
      <c r="A27" s="167" t="s">
        <v>47</v>
      </c>
      <c r="B27" s="171">
        <v>176.937216667</v>
      </c>
      <c r="C27" s="172">
        <f t="shared" si="0"/>
        <v>10616.23300002</v>
      </c>
      <c r="D27" s="172">
        <v>0.25520833333300003</v>
      </c>
      <c r="E27" s="172">
        <v>8.8912809471299994E-2</v>
      </c>
      <c r="F27" s="172">
        <f t="shared" si="1"/>
        <v>0.34567901234567905</v>
      </c>
      <c r="G27" s="172">
        <f t="shared" si="2"/>
        <v>0.12043216520998026</v>
      </c>
      <c r="H27" s="114">
        <v>28</v>
      </c>
      <c r="I27" s="114">
        <v>28</v>
      </c>
      <c r="J27" s="114">
        <f t="shared" si="5"/>
        <v>784</v>
      </c>
      <c r="K27" s="17">
        <f t="shared" si="3"/>
        <v>4.5901639344262302</v>
      </c>
      <c r="L27" s="17">
        <f t="shared" si="4"/>
        <v>4.5901639344262302</v>
      </c>
      <c r="M27" s="18">
        <v>3</v>
      </c>
      <c r="N27" s="17">
        <v>444.54170555500002</v>
      </c>
      <c r="O27" s="17">
        <f t="shared" si="6"/>
        <v>72.875689435245903</v>
      </c>
      <c r="P27" s="19" t="s">
        <v>151</v>
      </c>
      <c r="Q27" s="114">
        <v>630</v>
      </c>
      <c r="R27" s="114">
        <v>360</v>
      </c>
      <c r="S27" s="114">
        <f t="shared" si="7"/>
        <v>226800</v>
      </c>
    </row>
    <row r="28" spans="1:19" ht="15" thickBot="1">
      <c r="A28" s="167" t="s">
        <v>48</v>
      </c>
      <c r="B28" s="171">
        <v>16.083333333300001</v>
      </c>
      <c r="C28" s="172">
        <f t="shared" si="0"/>
        <v>964.99999999800002</v>
      </c>
      <c r="D28" s="172">
        <v>6.26953125</v>
      </c>
      <c r="E28" s="172">
        <v>0.19854612943899999</v>
      </c>
      <c r="F28" s="172">
        <f t="shared" si="1"/>
        <v>8.4920634920634921</v>
      </c>
      <c r="G28" s="172">
        <f t="shared" si="2"/>
        <v>0.26893020706958148</v>
      </c>
      <c r="H28" s="114">
        <v>180</v>
      </c>
      <c r="I28" s="114">
        <v>107</v>
      </c>
      <c r="J28" s="114">
        <f t="shared" si="5"/>
        <v>19260</v>
      </c>
      <c r="K28" s="17">
        <f t="shared" si="3"/>
        <v>29.508196721311478</v>
      </c>
      <c r="L28" s="17">
        <f t="shared" si="4"/>
        <v>17.540983606557379</v>
      </c>
      <c r="M28" s="18">
        <v>4</v>
      </c>
      <c r="N28" s="17">
        <v>179.14029621500001</v>
      </c>
      <c r="O28" s="17">
        <f t="shared" si="6"/>
        <v>29.367261674590168</v>
      </c>
      <c r="P28" s="19" t="s">
        <v>155</v>
      </c>
      <c r="Q28" s="114">
        <v>630</v>
      </c>
      <c r="R28" s="114">
        <v>360</v>
      </c>
      <c r="S28" s="114">
        <f t="shared" si="7"/>
        <v>226800</v>
      </c>
    </row>
    <row r="29" spans="1:19" ht="14">
      <c r="A29" s="173" t="s">
        <v>62</v>
      </c>
      <c r="B29" s="222">
        <f>AVERAGE(B2:B27)</f>
        <v>160.17764679490767</v>
      </c>
      <c r="C29" s="222">
        <f t="shared" si="0"/>
        <v>9610.6588076944608</v>
      </c>
      <c r="D29" s="222">
        <f>AVERAGE(D2:D27)</f>
        <v>1.372045272436154</v>
      </c>
      <c r="E29" s="222">
        <f>SUM(E2:E27)</f>
        <v>14.209546249881214</v>
      </c>
      <c r="F29" s="222">
        <f>AVERAGE(F2:F27)</f>
        <v>1.8584316917650245</v>
      </c>
      <c r="G29" s="222">
        <f>SUM(G2:G27)</f>
        <v>19.246792804093875</v>
      </c>
      <c r="H29" s="223">
        <f>AVERAGE(H2:H27)</f>
        <v>69.15384615384616</v>
      </c>
      <c r="I29" s="223">
        <f>AVERAGE(I2:I27)</f>
        <v>59.03846153846154</v>
      </c>
      <c r="J29" s="223">
        <f>AVERAGE(J2:J27)</f>
        <v>4214.9230769230771</v>
      </c>
      <c r="K29" s="61">
        <f t="shared" si="3"/>
        <v>11.336696090794453</v>
      </c>
      <c r="L29" s="61">
        <f t="shared" si="4"/>
        <v>9.6784363177805801</v>
      </c>
      <c r="M29" s="222">
        <f>AVERAGE(M2:M27)</f>
        <v>3.1923076923076925</v>
      </c>
      <c r="N29" s="222">
        <f>AVERAGE(N2:N27)</f>
        <v>199.45636170047689</v>
      </c>
      <c r="O29" s="61">
        <f t="shared" si="6"/>
        <v>32.697764213192933</v>
      </c>
      <c r="P29" s="79">
        <f>COUNTIF(P2:P28,"P")</f>
        <v>26</v>
      </c>
      <c r="Q29" s="114">
        <v>630</v>
      </c>
      <c r="R29" s="114">
        <v>360</v>
      </c>
      <c r="S29" s="114">
        <f t="shared" si="7"/>
        <v>226800</v>
      </c>
    </row>
    <row r="30" spans="1:19" ht="14">
      <c r="A30" s="174" t="s">
        <v>63</v>
      </c>
      <c r="B30" s="224">
        <v>16.083333333300001</v>
      </c>
      <c r="C30" s="224">
        <f t="shared" si="0"/>
        <v>964.99999999800002</v>
      </c>
      <c r="D30" s="224">
        <v>6.26953125</v>
      </c>
      <c r="E30" s="224">
        <v>0.19854612943899999</v>
      </c>
      <c r="F30" s="224">
        <f>AVERAGE(F28)</f>
        <v>8.4920634920634921</v>
      </c>
      <c r="G30" s="224">
        <f>SUM(G28)</f>
        <v>0.26893020706958148</v>
      </c>
      <c r="H30" s="225">
        <f>AVERAGE(H28)</f>
        <v>180</v>
      </c>
      <c r="I30" s="225">
        <f>AVERAGE(I28)</f>
        <v>107</v>
      </c>
      <c r="J30" s="225">
        <f>AVERAGE(J28)</f>
        <v>19260</v>
      </c>
      <c r="K30" s="44">
        <f t="shared" si="3"/>
        <v>29.508196721311478</v>
      </c>
      <c r="L30" s="44">
        <f t="shared" si="4"/>
        <v>17.540983606557379</v>
      </c>
      <c r="M30" s="225">
        <f>AVERAGE(M28)</f>
        <v>4</v>
      </c>
      <c r="N30" s="243">
        <f>AVERAGE(N28)</f>
        <v>179.14029621500001</v>
      </c>
      <c r="O30" s="44">
        <f t="shared" si="6"/>
        <v>29.367261674590168</v>
      </c>
      <c r="P30" s="80">
        <f>COUNTIF(P2:P28,"H")</f>
        <v>1</v>
      </c>
      <c r="Q30" s="114">
        <v>630</v>
      </c>
      <c r="R30" s="114">
        <v>360</v>
      </c>
      <c r="S30" s="114">
        <f t="shared" si="7"/>
        <v>226800</v>
      </c>
    </row>
    <row r="31" spans="1:19" ht="15" thickBot="1">
      <c r="A31" s="175" t="s">
        <v>161</v>
      </c>
      <c r="B31" s="226">
        <f>AVERAGE(B2:B28)</f>
        <v>154.84082037040369</v>
      </c>
      <c r="C31" s="226">
        <f t="shared" si="0"/>
        <v>9290.4492222242206</v>
      </c>
      <c r="D31" s="226">
        <f>AVERAGE(D2:D28)</f>
        <v>1.5534336419755559</v>
      </c>
      <c r="E31" s="226">
        <f>SUM(E2:E28)</f>
        <v>14.408092379320214</v>
      </c>
      <c r="F31" s="226">
        <f>AVERAGE(F2:F28)</f>
        <v>2.1041217584427456</v>
      </c>
      <c r="G31" s="226">
        <f>SUM(G2:G28)</f>
        <v>19.515723011163455</v>
      </c>
      <c r="H31" s="227">
        <f>AVERAGE(H2:H28)</f>
        <v>73.259259259259252</v>
      </c>
      <c r="I31" s="227">
        <f>AVERAGE(I2:I28)</f>
        <v>60.814814814814817</v>
      </c>
      <c r="J31" s="227">
        <f>AVERAGE(J2:J28)</f>
        <v>4772.1481481481478</v>
      </c>
      <c r="K31" s="226">
        <f t="shared" si="3"/>
        <v>12.009714632665451</v>
      </c>
      <c r="L31" s="226">
        <f t="shared" si="4"/>
        <v>9.9696417729204629</v>
      </c>
      <c r="M31" s="226">
        <f>AVERAGE(M2:M28)</f>
        <v>3.2222222222222223</v>
      </c>
      <c r="N31" s="226">
        <f t="shared" ref="N31" si="8">AVERAGE(N2:N28)</f>
        <v>198.70391483064438</v>
      </c>
      <c r="O31" s="226">
        <f t="shared" si="6"/>
        <v>32.574412267318749</v>
      </c>
      <c r="P31" s="228">
        <f>P29+P30</f>
        <v>27</v>
      </c>
      <c r="Q31" s="176"/>
      <c r="R31" s="14"/>
      <c r="S31" s="14"/>
    </row>
    <row r="32" spans="1:19" ht="14">
      <c r="A32" s="177" t="s">
        <v>107</v>
      </c>
      <c r="B32" s="172"/>
      <c r="C32" s="172"/>
      <c r="D32" s="178"/>
      <c r="E32" s="178"/>
      <c r="F32" s="178"/>
      <c r="G32" s="178"/>
      <c r="H32" s="176"/>
      <c r="I32" s="176"/>
      <c r="J32" s="176"/>
      <c r="K32" s="178"/>
      <c r="L32" s="178"/>
      <c r="M32" s="176"/>
      <c r="N32" s="178"/>
      <c r="O32" s="178"/>
      <c r="P32" s="176"/>
      <c r="Q32" s="176"/>
      <c r="R32" s="14"/>
      <c r="S32" s="14"/>
    </row>
    <row r="33" spans="1:19" ht="14">
      <c r="A33" s="179">
        <v>30472</v>
      </c>
      <c r="B33" s="48"/>
      <c r="C33" s="48"/>
      <c r="D33" s="9"/>
      <c r="E33" s="9"/>
      <c r="F33" s="9"/>
      <c r="G33" s="9"/>
      <c r="H33" s="14"/>
      <c r="I33" s="14"/>
      <c r="J33" s="14"/>
      <c r="K33" s="9"/>
      <c r="L33" s="9"/>
      <c r="M33" s="14"/>
      <c r="N33" s="9"/>
      <c r="O33" s="9"/>
      <c r="P33" s="14"/>
      <c r="Q33" s="14"/>
      <c r="R33" s="14"/>
      <c r="S33" s="14"/>
    </row>
    <row r="34" spans="1:19" ht="14">
      <c r="A34" s="179">
        <v>30472</v>
      </c>
      <c r="B34" s="9"/>
      <c r="C34" s="9"/>
      <c r="D34" s="9"/>
      <c r="E34" s="9"/>
      <c r="F34" s="9"/>
      <c r="G34" s="9"/>
      <c r="H34" s="14"/>
      <c r="I34" s="14"/>
      <c r="J34" s="14"/>
      <c r="K34" s="9"/>
      <c r="L34" s="9"/>
      <c r="M34" s="14"/>
      <c r="N34" s="9"/>
      <c r="O34" s="9"/>
      <c r="P34" s="14"/>
      <c r="Q34" s="14"/>
      <c r="R34" s="14"/>
      <c r="S34" s="14"/>
    </row>
    <row r="35" spans="1:19" ht="14">
      <c r="A35" s="179">
        <v>30472</v>
      </c>
      <c r="B35" s="9"/>
      <c r="C35" s="9"/>
      <c r="D35" s="9"/>
      <c r="E35" s="9"/>
      <c r="F35" s="9"/>
      <c r="G35" s="9"/>
      <c r="H35" s="14"/>
      <c r="I35" s="14"/>
      <c r="J35" s="14"/>
      <c r="K35" s="9"/>
      <c r="L35" s="9"/>
      <c r="M35" s="14"/>
      <c r="N35" s="9"/>
      <c r="O35" s="9"/>
      <c r="P35" s="14"/>
      <c r="Q35" s="14"/>
      <c r="R35" s="14"/>
      <c r="S35" s="14"/>
    </row>
    <row r="36" spans="1:19" ht="14">
      <c r="A36" s="179">
        <v>30472</v>
      </c>
      <c r="B36" s="9"/>
      <c r="C36" s="9"/>
      <c r="D36" s="9"/>
      <c r="E36" s="9"/>
      <c r="F36" s="9"/>
      <c r="G36" s="9"/>
      <c r="H36" s="14"/>
      <c r="I36" s="14"/>
      <c r="J36" s="14"/>
      <c r="K36" s="9"/>
      <c r="L36" s="9"/>
      <c r="M36" s="14"/>
      <c r="N36" s="9"/>
      <c r="O36" s="9"/>
      <c r="P36" s="14"/>
      <c r="Q36" s="14"/>
      <c r="R36" s="14"/>
      <c r="S36" s="14"/>
    </row>
    <row r="37" spans="1:19" ht="14">
      <c r="A37" s="179">
        <v>30472</v>
      </c>
      <c r="B37" s="9"/>
      <c r="C37" s="9"/>
      <c r="D37" s="9"/>
      <c r="E37" s="9"/>
      <c r="F37" s="9"/>
      <c r="G37" s="9"/>
      <c r="H37" s="14"/>
      <c r="I37" s="14"/>
      <c r="J37" s="14"/>
      <c r="K37" s="9"/>
      <c r="L37" s="9"/>
      <c r="M37" s="14"/>
      <c r="N37" s="9"/>
      <c r="O37" s="9"/>
      <c r="P37" s="14"/>
      <c r="Q37" s="14"/>
      <c r="R37" s="14"/>
      <c r="S37" s="14"/>
    </row>
    <row r="38" spans="1:19" ht="14">
      <c r="A38" s="179">
        <v>30472</v>
      </c>
      <c r="B38" s="9"/>
      <c r="C38" s="9"/>
      <c r="D38" s="9"/>
      <c r="E38" s="9"/>
      <c r="F38" s="9"/>
      <c r="G38" s="9"/>
      <c r="H38" s="14"/>
      <c r="I38" s="14"/>
      <c r="J38" s="14"/>
      <c r="K38" s="9"/>
      <c r="L38" s="9"/>
      <c r="M38" s="14"/>
      <c r="N38" s="9"/>
      <c r="O38" s="9"/>
      <c r="P38" s="14"/>
      <c r="Q38" s="14"/>
      <c r="R38" s="14"/>
      <c r="S38" s="14"/>
    </row>
    <row r="39" spans="1:19" ht="14">
      <c r="A39" s="179">
        <v>30472</v>
      </c>
      <c r="B39" s="9"/>
      <c r="C39" s="9"/>
      <c r="D39" s="9"/>
      <c r="E39" s="9"/>
      <c r="F39" s="9"/>
      <c r="G39" s="9"/>
      <c r="H39" s="14"/>
      <c r="I39" s="14"/>
      <c r="J39" s="14"/>
      <c r="K39" s="9"/>
      <c r="L39" s="9"/>
      <c r="M39" s="14"/>
      <c r="N39" s="9"/>
      <c r="O39" s="9"/>
      <c r="P39" s="14"/>
      <c r="Q39" s="14"/>
      <c r="R39" s="14"/>
      <c r="S39" s="14"/>
    </row>
    <row r="40" spans="1:19" ht="14">
      <c r="A40" s="179">
        <v>30472</v>
      </c>
      <c r="B40" s="9"/>
      <c r="C40" s="9"/>
      <c r="D40" s="9"/>
      <c r="E40" s="9"/>
      <c r="F40" s="9"/>
      <c r="G40" s="9"/>
      <c r="H40" s="14"/>
      <c r="I40" s="14"/>
      <c r="J40" s="14"/>
      <c r="K40" s="9"/>
      <c r="L40" s="9"/>
      <c r="M40" s="14"/>
      <c r="N40" s="9"/>
      <c r="O40" s="9"/>
      <c r="P40" s="14"/>
      <c r="Q40" s="14"/>
      <c r="R40" s="14"/>
      <c r="S40" s="14"/>
    </row>
    <row r="41" spans="1:19" ht="14">
      <c r="A41" s="179">
        <v>30472</v>
      </c>
      <c r="B41" s="9"/>
      <c r="C41" s="9"/>
      <c r="D41" s="9"/>
      <c r="E41" s="9"/>
      <c r="F41" s="9"/>
      <c r="G41" s="9"/>
      <c r="H41" s="14"/>
      <c r="I41" s="14"/>
      <c r="J41" s="14"/>
      <c r="K41" s="9"/>
      <c r="L41" s="9"/>
      <c r="M41" s="14"/>
      <c r="N41" s="9"/>
      <c r="O41" s="9"/>
      <c r="P41" s="14"/>
      <c r="Q41" s="14"/>
      <c r="R41" s="14"/>
      <c r="S41" s="14"/>
    </row>
    <row r="42" spans="1:19" ht="14">
      <c r="A42" s="179">
        <v>30472</v>
      </c>
      <c r="B42" s="9"/>
      <c r="C42" s="9"/>
      <c r="D42" s="9"/>
      <c r="E42" s="9"/>
      <c r="F42" s="9"/>
      <c r="G42" s="9"/>
      <c r="H42" s="14"/>
      <c r="I42" s="14"/>
      <c r="J42" s="14"/>
      <c r="K42" s="9"/>
      <c r="L42" s="9"/>
      <c r="M42" s="14"/>
      <c r="N42" s="9"/>
      <c r="O42" s="9"/>
      <c r="P42" s="14"/>
      <c r="Q42" s="14"/>
      <c r="R42" s="14"/>
      <c r="S42" s="14"/>
    </row>
    <row r="43" spans="1:19" ht="14">
      <c r="A43" s="179">
        <v>30472</v>
      </c>
      <c r="B43" s="9"/>
      <c r="C43" s="9"/>
      <c r="D43" s="9"/>
      <c r="E43" s="9"/>
      <c r="F43" s="9"/>
      <c r="G43" s="9"/>
      <c r="H43" s="14"/>
      <c r="I43" s="14"/>
      <c r="J43" s="14"/>
      <c r="K43" s="9"/>
      <c r="L43" s="9"/>
      <c r="M43" s="14"/>
      <c r="N43" s="9"/>
      <c r="O43" s="9"/>
      <c r="P43" s="14"/>
      <c r="Q43" s="14"/>
      <c r="R43" s="14"/>
      <c r="S43" s="14"/>
    </row>
    <row r="44" spans="1:19" ht="14">
      <c r="A44" s="179">
        <v>30472</v>
      </c>
      <c r="B44" s="9"/>
      <c r="C44" s="9"/>
      <c r="D44" s="9"/>
      <c r="E44" s="9"/>
      <c r="F44" s="9"/>
      <c r="G44" s="9"/>
      <c r="H44" s="14"/>
      <c r="I44" s="14"/>
      <c r="J44" s="14"/>
      <c r="K44" s="9"/>
      <c r="L44" s="9"/>
      <c r="M44" s="14"/>
      <c r="N44" s="9"/>
      <c r="O44" s="9"/>
      <c r="P44" s="14"/>
      <c r="Q44" s="14"/>
      <c r="R44" s="14"/>
      <c r="S44" s="14"/>
    </row>
    <row r="45" spans="1:19" ht="14">
      <c r="A45" s="179">
        <v>30472</v>
      </c>
      <c r="B45" s="9"/>
      <c r="C45" s="9"/>
      <c r="D45" s="9"/>
      <c r="E45" s="9"/>
      <c r="F45" s="9"/>
      <c r="G45" s="9"/>
      <c r="H45" s="14"/>
      <c r="I45" s="14"/>
      <c r="J45" s="14"/>
      <c r="K45" s="9"/>
      <c r="L45" s="9"/>
      <c r="M45" s="14"/>
      <c r="N45" s="9"/>
      <c r="O45" s="9"/>
      <c r="P45" s="14"/>
      <c r="Q45" s="14"/>
      <c r="R45" s="14"/>
      <c r="S45" s="14"/>
    </row>
    <row r="46" spans="1:19" ht="14">
      <c r="A46" s="179">
        <v>30472</v>
      </c>
      <c r="B46" s="9"/>
      <c r="C46" s="9"/>
      <c r="D46" s="9"/>
      <c r="E46" s="9"/>
      <c r="F46" s="9"/>
      <c r="G46" s="9"/>
      <c r="H46" s="14"/>
      <c r="I46" s="14"/>
      <c r="J46" s="14"/>
      <c r="K46" s="9"/>
      <c r="L46" s="9"/>
      <c r="M46" s="14"/>
      <c r="N46" s="9"/>
      <c r="O46" s="9"/>
      <c r="P46" s="14"/>
      <c r="Q46" s="14"/>
      <c r="R46" s="14"/>
      <c r="S46" s="14"/>
    </row>
    <row r="47" spans="1:19" ht="14">
      <c r="A47" s="179">
        <v>30472</v>
      </c>
      <c r="B47" s="9"/>
      <c r="C47" s="9"/>
      <c r="D47" s="9"/>
      <c r="E47" s="9"/>
      <c r="F47" s="9"/>
      <c r="G47" s="9"/>
      <c r="H47" s="14"/>
      <c r="I47" s="14"/>
      <c r="J47" s="14"/>
      <c r="K47" s="9"/>
      <c r="L47" s="9"/>
      <c r="M47" s="14"/>
      <c r="N47" s="9"/>
      <c r="O47" s="9"/>
      <c r="P47" s="14"/>
      <c r="Q47" s="14"/>
      <c r="R47" s="14"/>
      <c r="S47" s="14"/>
    </row>
    <row r="48" spans="1:19" ht="14">
      <c r="A48" s="179">
        <v>30472</v>
      </c>
      <c r="B48" s="9"/>
      <c r="C48" s="9"/>
      <c r="D48" s="9"/>
      <c r="E48" s="9"/>
      <c r="F48" s="9"/>
      <c r="G48" s="9"/>
      <c r="H48" s="14"/>
      <c r="I48" s="14"/>
      <c r="J48" s="14"/>
      <c r="K48" s="9"/>
      <c r="L48" s="9"/>
      <c r="M48" s="14"/>
      <c r="N48" s="9"/>
      <c r="O48" s="9"/>
      <c r="P48" s="14"/>
      <c r="Q48" s="14"/>
      <c r="R48" s="14"/>
      <c r="S48" s="14"/>
    </row>
    <row r="49" spans="1:19" ht="14">
      <c r="A49" s="179">
        <v>30472</v>
      </c>
      <c r="B49" s="9"/>
      <c r="C49" s="9"/>
      <c r="D49" s="9"/>
      <c r="E49" s="9"/>
      <c r="F49" s="9"/>
      <c r="G49" s="9"/>
      <c r="H49" s="14"/>
      <c r="I49" s="14"/>
      <c r="J49" s="14"/>
      <c r="K49" s="9"/>
      <c r="L49" s="9"/>
      <c r="M49" s="14"/>
      <c r="N49" s="9"/>
      <c r="O49" s="9"/>
      <c r="P49" s="14"/>
      <c r="Q49" s="14"/>
      <c r="R49" s="14"/>
      <c r="S49" s="14"/>
    </row>
    <row r="50" spans="1:19" ht="14">
      <c r="A50" s="179">
        <v>30472</v>
      </c>
      <c r="B50" s="9"/>
      <c r="C50" s="9"/>
      <c r="D50" s="9"/>
      <c r="E50" s="9"/>
      <c r="F50" s="9"/>
      <c r="G50" s="9"/>
      <c r="H50" s="14"/>
      <c r="I50" s="14"/>
      <c r="J50" s="14"/>
      <c r="K50" s="9"/>
      <c r="L50" s="9"/>
      <c r="M50" s="14"/>
      <c r="N50" s="9"/>
      <c r="O50" s="9"/>
      <c r="P50" s="14"/>
      <c r="Q50" s="14"/>
      <c r="R50" s="14"/>
      <c r="S50" s="14"/>
    </row>
    <row r="51" spans="1:19" ht="14">
      <c r="A51" s="179">
        <v>30472</v>
      </c>
      <c r="B51" s="9"/>
      <c r="C51" s="9"/>
      <c r="D51" s="9"/>
      <c r="E51" s="9"/>
      <c r="F51" s="9"/>
      <c r="G51" s="9"/>
      <c r="H51" s="14"/>
      <c r="I51" s="14"/>
      <c r="J51" s="14"/>
      <c r="K51" s="9"/>
      <c r="L51" s="9"/>
      <c r="M51" s="14"/>
      <c r="N51" s="9"/>
      <c r="O51" s="9"/>
      <c r="P51" s="14"/>
      <c r="Q51" s="14"/>
      <c r="R51" s="14"/>
      <c r="S51" s="14"/>
    </row>
    <row r="52" spans="1:19" ht="14">
      <c r="A52" s="179">
        <v>30472</v>
      </c>
      <c r="B52" s="9"/>
      <c r="C52" s="9"/>
      <c r="D52" s="9"/>
      <c r="E52" s="9"/>
      <c r="F52" s="9"/>
      <c r="G52" s="9"/>
      <c r="H52" s="14"/>
      <c r="I52" s="14"/>
      <c r="J52" s="14"/>
      <c r="K52" s="9"/>
      <c r="L52" s="9"/>
      <c r="M52" s="14"/>
      <c r="N52" s="9"/>
      <c r="O52" s="9"/>
      <c r="P52" s="14"/>
      <c r="Q52" s="14"/>
      <c r="R52" s="14"/>
      <c r="S52" s="14"/>
    </row>
    <row r="53" spans="1:19" ht="14">
      <c r="A53" s="179">
        <v>30472</v>
      </c>
      <c r="B53" s="9"/>
      <c r="C53" s="9"/>
      <c r="D53" s="9"/>
      <c r="E53" s="9"/>
      <c r="F53" s="9"/>
      <c r="G53" s="9"/>
      <c r="H53" s="14"/>
      <c r="I53" s="14"/>
      <c r="J53" s="14"/>
      <c r="K53" s="9"/>
      <c r="L53" s="9"/>
      <c r="M53" s="14"/>
      <c r="N53" s="9"/>
      <c r="O53" s="9"/>
      <c r="P53" s="14"/>
      <c r="Q53" s="14"/>
      <c r="R53" s="14"/>
      <c r="S53" s="14"/>
    </row>
    <row r="54" spans="1:19" ht="14">
      <c r="A54" s="179">
        <v>30472</v>
      </c>
      <c r="B54" s="9"/>
      <c r="C54" s="9"/>
      <c r="D54" s="9"/>
      <c r="E54" s="9"/>
      <c r="F54" s="9"/>
      <c r="G54" s="9"/>
      <c r="H54" s="14"/>
      <c r="I54" s="14"/>
      <c r="J54" s="14"/>
      <c r="K54" s="9"/>
      <c r="L54" s="9"/>
      <c r="M54" s="14"/>
      <c r="N54" s="9"/>
      <c r="O54" s="9"/>
      <c r="P54" s="14"/>
      <c r="Q54" s="14"/>
      <c r="R54" s="14"/>
      <c r="S54" s="14"/>
    </row>
    <row r="55" spans="1:19" ht="14">
      <c r="A55" s="179">
        <v>30472</v>
      </c>
      <c r="B55" s="9"/>
      <c r="C55" s="9"/>
      <c r="D55" s="9"/>
      <c r="E55" s="9"/>
      <c r="F55" s="9"/>
      <c r="G55" s="9"/>
      <c r="H55" s="14"/>
      <c r="I55" s="14"/>
      <c r="J55" s="14"/>
      <c r="K55" s="9"/>
      <c r="L55" s="9"/>
      <c r="M55" s="14"/>
      <c r="N55" s="9"/>
      <c r="O55" s="9"/>
      <c r="P55" s="14"/>
      <c r="Q55" s="14"/>
      <c r="R55" s="14"/>
      <c r="S55" s="14"/>
    </row>
    <row r="56" spans="1:19" ht="14">
      <c r="A56" s="179">
        <v>30472</v>
      </c>
      <c r="B56" s="9"/>
      <c r="C56" s="9"/>
      <c r="D56" s="9"/>
      <c r="E56" s="9"/>
      <c r="F56" s="9"/>
      <c r="G56" s="9"/>
      <c r="H56" s="14"/>
      <c r="I56" s="14"/>
      <c r="J56" s="14"/>
      <c r="K56" s="9"/>
      <c r="L56" s="9"/>
      <c r="M56" s="14"/>
      <c r="N56" s="9"/>
      <c r="O56" s="9"/>
      <c r="P56" s="14"/>
      <c r="Q56" s="14"/>
      <c r="R56" s="14"/>
      <c r="S56" s="14"/>
    </row>
    <row r="57" spans="1:19" ht="14">
      <c r="A57" s="179">
        <v>30472</v>
      </c>
      <c r="B57" s="9"/>
      <c r="C57" s="9"/>
      <c r="D57" s="9"/>
      <c r="E57" s="9"/>
      <c r="F57" s="9"/>
      <c r="G57" s="9"/>
      <c r="H57" s="14"/>
      <c r="I57" s="14"/>
      <c r="J57" s="14"/>
      <c r="K57" s="9"/>
      <c r="L57" s="9"/>
      <c r="M57" s="14"/>
      <c r="N57" s="9"/>
      <c r="O57" s="9"/>
      <c r="P57" s="14"/>
      <c r="Q57" s="14"/>
      <c r="R57" s="14"/>
      <c r="S57" s="14"/>
    </row>
    <row r="58" spans="1:19" ht="14">
      <c r="A58" s="179">
        <v>30472</v>
      </c>
      <c r="B58" s="9"/>
      <c r="C58" s="9"/>
      <c r="D58" s="9"/>
      <c r="E58" s="9"/>
      <c r="F58" s="9"/>
      <c r="G58" s="9"/>
      <c r="H58" s="14"/>
      <c r="I58" s="14"/>
      <c r="J58" s="14"/>
      <c r="K58" s="9"/>
      <c r="L58" s="9"/>
      <c r="M58" s="14"/>
      <c r="N58" s="9"/>
      <c r="O58" s="9"/>
      <c r="P58" s="14"/>
      <c r="Q58" s="14"/>
      <c r="R58" s="14"/>
      <c r="S58" s="14"/>
    </row>
    <row r="59" spans="1:19" ht="14">
      <c r="A59" s="179">
        <v>30472</v>
      </c>
      <c r="B59" s="9"/>
      <c r="C59" s="9"/>
      <c r="D59" s="9"/>
      <c r="E59" s="9"/>
      <c r="F59" s="9"/>
      <c r="G59" s="9"/>
      <c r="H59" s="14"/>
      <c r="I59" s="14"/>
      <c r="J59" s="14"/>
      <c r="K59" s="9"/>
      <c r="L59" s="9"/>
      <c r="M59" s="14"/>
      <c r="N59" s="9"/>
      <c r="O59" s="9"/>
      <c r="P59" s="14"/>
      <c r="Q59" s="14"/>
      <c r="R59" s="14"/>
      <c r="S59" s="14"/>
    </row>
    <row r="60" spans="1:19" ht="14">
      <c r="A60" s="179">
        <v>30472</v>
      </c>
      <c r="B60" s="9"/>
      <c r="C60" s="9"/>
      <c r="D60" s="9"/>
      <c r="E60" s="9"/>
      <c r="F60" s="9"/>
      <c r="G60" s="9"/>
      <c r="H60" s="14"/>
      <c r="I60" s="14"/>
      <c r="J60" s="14"/>
      <c r="K60" s="9"/>
      <c r="L60" s="9"/>
      <c r="M60" s="14"/>
      <c r="N60" s="9"/>
      <c r="O60" s="9"/>
      <c r="P60" s="14"/>
      <c r="Q60" s="14"/>
      <c r="R60" s="14"/>
      <c r="S60" s="14"/>
    </row>
    <row r="61" spans="1:19" ht="14">
      <c r="A61" s="179">
        <v>30472</v>
      </c>
      <c r="B61" s="9"/>
      <c r="C61" s="9"/>
      <c r="D61" s="9"/>
      <c r="E61" s="9"/>
      <c r="F61" s="9"/>
      <c r="G61" s="9"/>
      <c r="H61" s="14"/>
      <c r="I61" s="14"/>
      <c r="J61" s="14"/>
      <c r="K61" s="9"/>
      <c r="L61" s="9"/>
      <c r="M61" s="14"/>
      <c r="N61" s="9"/>
      <c r="O61" s="9"/>
      <c r="P61" s="14"/>
      <c r="Q61" s="14"/>
      <c r="R61" s="14"/>
      <c r="S61" s="14"/>
    </row>
  </sheetData>
  <conditionalFormatting sqref="B2:B2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{480C68BE-0F20-AC45-BD33-0B99E17820CD}</x14:id>
        </ext>
      </extLst>
    </cfRule>
  </conditionalFormatting>
  <conditionalFormatting sqref="B2:B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{529903EC-0B6A-4E47-872D-6AEEB4F309B1}</x14:id>
        </ext>
      </extLst>
    </cfRule>
  </conditionalFormatting>
  <pageMargins left="0.7" right="0.7" top="0.78740157499999996" bottom="0.78740157499999996" header="0.3" footer="0.3"/>
  <pageSetup paperSize="9" orientation="portrait" horizontalDpi="4294967292" verticalDpi="4294967292"/>
  <ignoredErrors>
    <ignoredError sqref="C31" formula="1"/>
    <ignoredError sqref="M31:N31" formulaRange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0C68BE-0F20-AC45-BD33-0B99E17820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B2:B28</xm:sqref>
        </x14:conditionalFormatting>
        <x14:conditionalFormatting xmlns:xm="http://schemas.microsoft.com/office/excel/2006/main">
          <x14:cfRule type="dataBar" id="{529903EC-0B6A-4E47-872D-6AEEB4F309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B2:B31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H18" sqref="H18"/>
    </sheetView>
  </sheetViews>
  <sheetFormatPr baseColWidth="10" defaultRowHeight="14" x14ac:dyDescent="0"/>
  <cols>
    <col min="1" max="1" width="16.5" style="14" bestFit="1" customWidth="1"/>
    <col min="2" max="2" width="19.83203125" style="9" bestFit="1" customWidth="1"/>
    <col min="3" max="3" width="10" style="9" bestFit="1" customWidth="1"/>
    <col min="4" max="4" width="11.33203125" style="9" bestFit="1" customWidth="1"/>
    <col min="5" max="5" width="18.33203125" style="9" bestFit="1" customWidth="1"/>
    <col min="6" max="6" width="7.1640625" style="9" bestFit="1" customWidth="1"/>
    <col min="7" max="7" width="12.83203125" style="9" bestFit="1" customWidth="1"/>
    <col min="8" max="8" width="7.5" style="14" bestFit="1" customWidth="1"/>
    <col min="9" max="9" width="8.1640625" style="14" bestFit="1" customWidth="1"/>
    <col min="10" max="10" width="9.1640625" style="14" bestFit="1" customWidth="1"/>
    <col min="11" max="12" width="9.33203125" style="9" bestFit="1" customWidth="1"/>
    <col min="13" max="13" width="10.6640625" style="14" bestFit="1" customWidth="1"/>
    <col min="14" max="14" width="9.6640625" style="9" bestFit="1" customWidth="1"/>
    <col min="15" max="15" width="15" style="9" bestFit="1" customWidth="1"/>
    <col min="16" max="16" width="4.83203125" style="14" bestFit="1" customWidth="1"/>
    <col min="17" max="18" width="8.6640625" style="14" bestFit="1" customWidth="1"/>
    <col min="19" max="19" width="10.5" style="14" bestFit="1" customWidth="1"/>
    <col min="20" max="16384" width="10.83203125" style="14"/>
  </cols>
  <sheetData>
    <row r="1" spans="1:19" s="5" customFormat="1" ht="15" thickBot="1">
      <c r="A1" s="5" t="s">
        <v>49</v>
      </c>
      <c r="B1" s="6" t="s">
        <v>152</v>
      </c>
      <c r="C1" s="6" t="s">
        <v>153</v>
      </c>
      <c r="D1" s="134" t="s">
        <v>158</v>
      </c>
      <c r="E1" s="134" t="s">
        <v>162</v>
      </c>
      <c r="F1" s="134" t="s">
        <v>157</v>
      </c>
      <c r="G1" s="135" t="s">
        <v>156</v>
      </c>
      <c r="H1" s="5" t="s">
        <v>1</v>
      </c>
      <c r="I1" s="5" t="s">
        <v>2</v>
      </c>
      <c r="J1" s="5" t="s">
        <v>109</v>
      </c>
      <c r="K1" s="6" t="s">
        <v>95</v>
      </c>
      <c r="L1" s="6" t="s">
        <v>96</v>
      </c>
      <c r="M1" s="5" t="s">
        <v>140</v>
      </c>
      <c r="N1" s="6" t="s">
        <v>141</v>
      </c>
      <c r="O1" s="6" t="s">
        <v>142</v>
      </c>
      <c r="P1" s="5" t="s">
        <v>150</v>
      </c>
      <c r="Q1" s="5" t="s">
        <v>17</v>
      </c>
      <c r="R1" s="5" t="s">
        <v>18</v>
      </c>
      <c r="S1" s="5" t="s">
        <v>19</v>
      </c>
    </row>
    <row r="2" spans="1:19">
      <c r="A2" s="7" t="s">
        <v>23</v>
      </c>
      <c r="B2" s="8">
        <v>100.866666667</v>
      </c>
      <c r="C2" s="9">
        <f t="shared" ref="C2:C20" si="0">B2*60</f>
        <v>6052.0000000199998</v>
      </c>
      <c r="D2" s="10">
        <v>2.8151041666699999</v>
      </c>
      <c r="E2" s="10">
        <v>2.8151041666699999</v>
      </c>
      <c r="F2" s="9">
        <f t="shared" ref="F2:F17" si="1">(J2/S2)*100</f>
        <v>3.8130511463844794</v>
      </c>
      <c r="G2" s="9">
        <f t="shared" ref="G2:G17" si="2">F2*C2/6052</f>
        <v>3.81305114639708</v>
      </c>
      <c r="H2" s="11">
        <v>94</v>
      </c>
      <c r="I2" s="11">
        <v>92</v>
      </c>
      <c r="J2" s="11">
        <f>H2*I2</f>
        <v>8648</v>
      </c>
      <c r="K2" s="10">
        <f t="shared" ref="K2:K18" si="3">H2/6.1</f>
        <v>15.409836065573771</v>
      </c>
      <c r="L2" s="10">
        <f t="shared" ref="L2:L18" si="4">I2/6.1</f>
        <v>15.081967213114755</v>
      </c>
      <c r="M2" s="11">
        <v>2</v>
      </c>
      <c r="N2" s="10">
        <v>44.181444068700003</v>
      </c>
      <c r="O2" s="10">
        <f t="shared" ref="O2:O18" si="5">(N2/6.1)</f>
        <v>7.2428596833934433</v>
      </c>
      <c r="P2" s="12" t="s">
        <v>151</v>
      </c>
      <c r="Q2" s="13">
        <v>630</v>
      </c>
      <c r="R2" s="11">
        <v>360</v>
      </c>
      <c r="S2" s="12">
        <f>Q2*R2</f>
        <v>226800</v>
      </c>
    </row>
    <row r="3" spans="1:19">
      <c r="A3" s="15" t="s">
        <v>24</v>
      </c>
      <c r="B3" s="16">
        <v>46.183333333299998</v>
      </c>
      <c r="C3" s="9">
        <f t="shared" si="0"/>
        <v>2770.999999998</v>
      </c>
      <c r="D3" s="17">
        <v>0.724609375</v>
      </c>
      <c r="E3" s="17">
        <v>0.33177339361000002</v>
      </c>
      <c r="F3" s="9">
        <f t="shared" si="1"/>
        <v>0.9814814814814814</v>
      </c>
      <c r="G3" s="9">
        <f t="shared" si="2"/>
        <v>0.44938618393642138</v>
      </c>
      <c r="H3" s="18">
        <v>42</v>
      </c>
      <c r="I3" s="18">
        <v>53</v>
      </c>
      <c r="J3" s="18">
        <f t="shared" ref="J3:J17" si="6">H3*I3</f>
        <v>2226</v>
      </c>
      <c r="K3" s="17">
        <f t="shared" si="3"/>
        <v>6.8852459016393448</v>
      </c>
      <c r="L3" s="17">
        <f t="shared" si="4"/>
        <v>8.6885245901639347</v>
      </c>
      <c r="M3" s="18">
        <v>2</v>
      </c>
      <c r="N3" s="17">
        <v>149.45902448499999</v>
      </c>
      <c r="O3" s="17">
        <f t="shared" si="5"/>
        <v>24.50147942377049</v>
      </c>
      <c r="P3" s="19" t="s">
        <v>151</v>
      </c>
      <c r="Q3" s="20">
        <v>630</v>
      </c>
      <c r="R3" s="18">
        <v>360</v>
      </c>
      <c r="S3" s="19">
        <f t="shared" ref="S3:S7" si="7">Q3*R3</f>
        <v>226800</v>
      </c>
    </row>
    <row r="4" spans="1:19">
      <c r="A4" s="15" t="s">
        <v>61</v>
      </c>
      <c r="B4" s="16">
        <v>45.066666666700002</v>
      </c>
      <c r="C4" s="9">
        <f t="shared" si="0"/>
        <v>2704.000000002</v>
      </c>
      <c r="D4" s="17">
        <v>2.4088541666699999</v>
      </c>
      <c r="E4" s="17">
        <v>1.07626266799</v>
      </c>
      <c r="F4" s="9">
        <f t="shared" si="1"/>
        <v>3.2627865961199292</v>
      </c>
      <c r="G4" s="9">
        <f t="shared" si="2"/>
        <v>1.4577949365358251</v>
      </c>
      <c r="H4" s="18">
        <v>148</v>
      </c>
      <c r="I4" s="18">
        <v>50</v>
      </c>
      <c r="J4" s="18">
        <f t="shared" si="6"/>
        <v>7400</v>
      </c>
      <c r="K4" s="17">
        <f t="shared" si="3"/>
        <v>24.262295081967213</v>
      </c>
      <c r="L4" s="17">
        <f t="shared" si="4"/>
        <v>8.1967213114754109</v>
      </c>
      <c r="M4" s="18">
        <v>3</v>
      </c>
      <c r="N4" s="17">
        <v>69.352230906900004</v>
      </c>
      <c r="O4" s="17">
        <f t="shared" si="5"/>
        <v>11.369218181459019</v>
      </c>
      <c r="P4" s="19" t="s">
        <v>151</v>
      </c>
      <c r="Q4" s="20">
        <v>630</v>
      </c>
      <c r="R4" s="18">
        <v>360</v>
      </c>
      <c r="S4" s="19">
        <f t="shared" si="7"/>
        <v>226800</v>
      </c>
    </row>
    <row r="5" spans="1:19">
      <c r="A5" s="15" t="s">
        <v>60</v>
      </c>
      <c r="B5" s="16">
        <v>100.498683333</v>
      </c>
      <c r="C5" s="9">
        <f t="shared" si="0"/>
        <v>6029.9209999800005</v>
      </c>
      <c r="D5" s="17">
        <v>0.515625</v>
      </c>
      <c r="E5" s="17">
        <v>0.5137438889</v>
      </c>
      <c r="F5" s="9">
        <f t="shared" si="1"/>
        <v>0.69841269841269837</v>
      </c>
      <c r="G5" s="9">
        <f t="shared" si="2"/>
        <v>0.69586473840241714</v>
      </c>
      <c r="H5" s="18">
        <v>16</v>
      </c>
      <c r="I5" s="18">
        <v>99</v>
      </c>
      <c r="J5" s="18">
        <f t="shared" si="6"/>
        <v>1584</v>
      </c>
      <c r="K5" s="17">
        <f t="shared" si="3"/>
        <v>2.6229508196721314</v>
      </c>
      <c r="L5" s="17">
        <f t="shared" si="4"/>
        <v>16.229508196721312</v>
      </c>
      <c r="M5" s="18">
        <v>3</v>
      </c>
      <c r="N5" s="17">
        <v>155.80268996000001</v>
      </c>
      <c r="O5" s="17">
        <f t="shared" si="5"/>
        <v>25.54142458360656</v>
      </c>
      <c r="P5" s="19" t="s">
        <v>151</v>
      </c>
      <c r="Q5" s="20">
        <v>630</v>
      </c>
      <c r="R5" s="18">
        <v>360</v>
      </c>
      <c r="S5" s="19">
        <f t="shared" si="7"/>
        <v>226800</v>
      </c>
    </row>
    <row r="6" spans="1:19">
      <c r="A6" s="15" t="s">
        <v>34</v>
      </c>
      <c r="B6" s="16">
        <v>100.666666667</v>
      </c>
      <c r="C6" s="9">
        <f t="shared" si="0"/>
        <v>6040.0000000199998</v>
      </c>
      <c r="D6" s="17">
        <v>1.9296875</v>
      </c>
      <c r="E6" s="17">
        <v>1.9258612855299999</v>
      </c>
      <c r="F6" s="9">
        <f t="shared" si="1"/>
        <v>2.6137566137566135</v>
      </c>
      <c r="G6" s="9">
        <f t="shared" si="2"/>
        <v>2.6085740163817284</v>
      </c>
      <c r="H6" s="18">
        <v>76</v>
      </c>
      <c r="I6" s="18">
        <v>78</v>
      </c>
      <c r="J6" s="18">
        <f t="shared" si="6"/>
        <v>5928</v>
      </c>
      <c r="K6" s="17">
        <f t="shared" si="3"/>
        <v>12.459016393442624</v>
      </c>
      <c r="L6" s="17">
        <f t="shared" si="4"/>
        <v>12.78688524590164</v>
      </c>
      <c r="M6" s="18">
        <v>2</v>
      </c>
      <c r="N6" s="17">
        <v>73.824115301199996</v>
      </c>
      <c r="O6" s="17">
        <f t="shared" si="5"/>
        <v>12.102313983803279</v>
      </c>
      <c r="P6" s="19" t="s">
        <v>151</v>
      </c>
      <c r="Q6" s="20">
        <v>630</v>
      </c>
      <c r="R6" s="18">
        <v>360</v>
      </c>
      <c r="S6" s="19">
        <f t="shared" si="7"/>
        <v>226800</v>
      </c>
    </row>
    <row r="7" spans="1:19">
      <c r="A7" s="15" t="s">
        <v>29</v>
      </c>
      <c r="B7" s="16">
        <v>35.566666666700002</v>
      </c>
      <c r="C7" s="9">
        <f t="shared" si="0"/>
        <v>2134.000000002</v>
      </c>
      <c r="D7" s="17">
        <v>0.84375</v>
      </c>
      <c r="E7" s="17">
        <v>0.29751528420399997</v>
      </c>
      <c r="F7" s="9">
        <f t="shared" si="1"/>
        <v>1.1428571428571428</v>
      </c>
      <c r="G7" s="9">
        <f t="shared" si="2"/>
        <v>0.40298366537664049</v>
      </c>
      <c r="H7" s="18">
        <v>54</v>
      </c>
      <c r="I7" s="18">
        <v>48</v>
      </c>
      <c r="J7" s="18">
        <f t="shared" si="6"/>
        <v>2592</v>
      </c>
      <c r="K7" s="17">
        <f t="shared" si="3"/>
        <v>8.8524590163934427</v>
      </c>
      <c r="L7" s="17">
        <f t="shared" si="4"/>
        <v>7.8688524590163942</v>
      </c>
      <c r="M7" s="18">
        <v>1</v>
      </c>
      <c r="N7" s="17">
        <v>0</v>
      </c>
      <c r="O7" s="17">
        <f t="shared" si="5"/>
        <v>0</v>
      </c>
      <c r="P7" s="19" t="s">
        <v>151</v>
      </c>
      <c r="Q7" s="20">
        <v>630</v>
      </c>
      <c r="R7" s="18">
        <v>360</v>
      </c>
      <c r="S7" s="19">
        <f t="shared" si="7"/>
        <v>226800</v>
      </c>
    </row>
    <row r="8" spans="1:19">
      <c r="A8" s="15" t="s">
        <v>59</v>
      </c>
      <c r="B8" s="16">
        <v>4.5666666666699998</v>
      </c>
      <c r="C8" s="9">
        <f t="shared" si="0"/>
        <v>274.00000000019998</v>
      </c>
      <c r="D8" s="17">
        <v>1.3359375</v>
      </c>
      <c r="E8" s="17">
        <v>6.0483621117000001E-2</v>
      </c>
      <c r="F8" s="9">
        <f t="shared" si="1"/>
        <v>1.8095238095238095</v>
      </c>
      <c r="G8" s="9">
        <f t="shared" si="2"/>
        <v>8.1924904793437822E-2</v>
      </c>
      <c r="H8" s="18">
        <v>76</v>
      </c>
      <c r="I8" s="18">
        <v>54</v>
      </c>
      <c r="J8" s="18">
        <f t="shared" si="6"/>
        <v>4104</v>
      </c>
      <c r="K8" s="17">
        <f t="shared" si="3"/>
        <v>12.459016393442624</v>
      </c>
      <c r="L8" s="17">
        <f t="shared" si="4"/>
        <v>8.8524590163934427</v>
      </c>
      <c r="M8" s="18">
        <v>1</v>
      </c>
      <c r="N8" s="17">
        <v>0</v>
      </c>
      <c r="O8" s="17">
        <f t="shared" si="5"/>
        <v>0</v>
      </c>
      <c r="P8" s="19" t="s">
        <v>151</v>
      </c>
      <c r="Q8" s="20">
        <v>630</v>
      </c>
      <c r="R8" s="18">
        <v>360</v>
      </c>
      <c r="S8" s="19">
        <f t="shared" ref="S8:S18" si="8">Q8*R8</f>
        <v>226800</v>
      </c>
    </row>
    <row r="9" spans="1:19">
      <c r="A9" s="15" t="s">
        <v>58</v>
      </c>
      <c r="B9" s="16">
        <v>64.981216666700007</v>
      </c>
      <c r="C9" s="9">
        <f t="shared" si="0"/>
        <v>3898.8730000020005</v>
      </c>
      <c r="D9" s="17">
        <v>0.5859375</v>
      </c>
      <c r="E9" s="17">
        <v>0.37747784177799998</v>
      </c>
      <c r="F9" s="9">
        <f t="shared" si="1"/>
        <v>0.79365079365079361</v>
      </c>
      <c r="G9" s="9">
        <f t="shared" si="2"/>
        <v>0.51129273806927267</v>
      </c>
      <c r="H9" s="18">
        <v>40</v>
      </c>
      <c r="I9" s="18">
        <v>45</v>
      </c>
      <c r="J9" s="18">
        <f t="shared" si="6"/>
        <v>1800</v>
      </c>
      <c r="K9" s="17">
        <f t="shared" si="3"/>
        <v>6.557377049180328</v>
      </c>
      <c r="L9" s="17">
        <f t="shared" si="4"/>
        <v>7.3770491803278695</v>
      </c>
      <c r="M9" s="18">
        <v>4</v>
      </c>
      <c r="N9" s="17">
        <v>96.937347309299994</v>
      </c>
      <c r="O9" s="17">
        <f t="shared" si="5"/>
        <v>15.891368411360656</v>
      </c>
      <c r="P9" s="19" t="s">
        <v>151</v>
      </c>
      <c r="Q9" s="20">
        <v>630</v>
      </c>
      <c r="R9" s="18">
        <v>360</v>
      </c>
      <c r="S9" s="19">
        <f t="shared" si="8"/>
        <v>226800</v>
      </c>
    </row>
    <row r="10" spans="1:19">
      <c r="A10" s="15" t="s">
        <v>57</v>
      </c>
      <c r="B10" s="16">
        <v>61.366666666699999</v>
      </c>
      <c r="C10" s="9">
        <f t="shared" si="0"/>
        <v>3682.000000002</v>
      </c>
      <c r="D10" s="17">
        <v>1.8251953125</v>
      </c>
      <c r="E10" s="17">
        <v>1.1104377297800001</v>
      </c>
      <c r="F10" s="9">
        <f t="shared" si="1"/>
        <v>2.4722222222222223</v>
      </c>
      <c r="G10" s="9">
        <f t="shared" si="2"/>
        <v>1.5040849673210783</v>
      </c>
      <c r="H10" s="18">
        <v>63</v>
      </c>
      <c r="I10" s="18">
        <v>89</v>
      </c>
      <c r="J10" s="18">
        <f t="shared" si="6"/>
        <v>5607</v>
      </c>
      <c r="K10" s="17">
        <f t="shared" si="3"/>
        <v>10.327868852459018</v>
      </c>
      <c r="L10" s="17">
        <f t="shared" si="4"/>
        <v>14.590163934426231</v>
      </c>
      <c r="M10" s="18">
        <v>5</v>
      </c>
      <c r="N10" s="17">
        <v>710.11579476500003</v>
      </c>
      <c r="O10" s="17">
        <f t="shared" si="5"/>
        <v>116.41242537131149</v>
      </c>
      <c r="P10" s="19" t="s">
        <v>151</v>
      </c>
      <c r="Q10" s="20">
        <v>630</v>
      </c>
      <c r="R10" s="18">
        <v>360</v>
      </c>
      <c r="S10" s="19">
        <f t="shared" si="8"/>
        <v>226800</v>
      </c>
    </row>
    <row r="11" spans="1:19">
      <c r="A11" s="15" t="s">
        <v>56</v>
      </c>
      <c r="B11" s="16">
        <v>26.7166666667</v>
      </c>
      <c r="C11" s="9">
        <f t="shared" si="0"/>
        <v>1603.000000002</v>
      </c>
      <c r="D11" s="17">
        <v>0.1953125</v>
      </c>
      <c r="E11" s="17">
        <v>5.1732640036399997E-2</v>
      </c>
      <c r="F11" s="9">
        <f t="shared" si="1"/>
        <v>0.26455026455026454</v>
      </c>
      <c r="G11" s="9">
        <f t="shared" si="2"/>
        <v>7.0071724070489616E-2</v>
      </c>
      <c r="H11" s="18">
        <v>24</v>
      </c>
      <c r="I11" s="18">
        <v>25</v>
      </c>
      <c r="J11" s="18">
        <f t="shared" si="6"/>
        <v>600</v>
      </c>
      <c r="K11" s="17">
        <f t="shared" si="3"/>
        <v>3.9344262295081971</v>
      </c>
      <c r="L11" s="17">
        <f t="shared" si="4"/>
        <v>4.0983606557377055</v>
      </c>
      <c r="M11" s="18">
        <v>3</v>
      </c>
      <c r="N11" s="17">
        <v>141.68761358500001</v>
      </c>
      <c r="O11" s="17">
        <f t="shared" si="5"/>
        <v>23.227477636885247</v>
      </c>
      <c r="P11" s="19" t="s">
        <v>151</v>
      </c>
      <c r="Q11" s="20">
        <v>630</v>
      </c>
      <c r="R11" s="18">
        <v>360</v>
      </c>
      <c r="S11" s="19">
        <f t="shared" si="8"/>
        <v>226800</v>
      </c>
    </row>
    <row r="12" spans="1:19">
      <c r="A12" s="15" t="s">
        <v>55</v>
      </c>
      <c r="B12" s="16">
        <v>57.916666666700003</v>
      </c>
      <c r="C12" s="9">
        <f t="shared" si="0"/>
        <v>3475.000000002</v>
      </c>
      <c r="D12" s="17">
        <v>1.4977213541700001</v>
      </c>
      <c r="E12" s="17">
        <v>0.85997714899699995</v>
      </c>
      <c r="F12" s="9">
        <f t="shared" si="1"/>
        <v>2.0286596119929454</v>
      </c>
      <c r="G12" s="9">
        <f t="shared" si="2"/>
        <v>1.1648367732451326</v>
      </c>
      <c r="H12" s="18">
        <v>43</v>
      </c>
      <c r="I12" s="18">
        <v>107</v>
      </c>
      <c r="J12" s="18">
        <f t="shared" si="6"/>
        <v>4601</v>
      </c>
      <c r="K12" s="17">
        <f t="shared" si="3"/>
        <v>7.0491803278688527</v>
      </c>
      <c r="L12" s="17">
        <f t="shared" si="4"/>
        <v>17.540983606557379</v>
      </c>
      <c r="M12" s="18">
        <v>3</v>
      </c>
      <c r="N12" s="17">
        <v>87.007142492699998</v>
      </c>
      <c r="O12" s="17">
        <f t="shared" si="5"/>
        <v>14.263465982409837</v>
      </c>
      <c r="P12" s="19" t="s">
        <v>151</v>
      </c>
      <c r="Q12" s="20">
        <v>630</v>
      </c>
      <c r="R12" s="18">
        <v>360</v>
      </c>
      <c r="S12" s="19">
        <f t="shared" si="8"/>
        <v>226800</v>
      </c>
    </row>
    <row r="13" spans="1:19">
      <c r="A13" s="15" t="s">
        <v>54</v>
      </c>
      <c r="B13" s="16">
        <v>39.2166666667</v>
      </c>
      <c r="C13" s="9">
        <f t="shared" si="0"/>
        <v>2353.000000002</v>
      </c>
      <c r="D13" s="17">
        <v>0.24609375</v>
      </c>
      <c r="E13" s="17">
        <v>9.5680534327499997E-2</v>
      </c>
      <c r="F13" s="9">
        <f t="shared" si="1"/>
        <v>0.33333333333333337</v>
      </c>
      <c r="G13" s="9">
        <f t="shared" si="2"/>
        <v>0.12959903062359551</v>
      </c>
      <c r="H13" s="18">
        <v>21</v>
      </c>
      <c r="I13" s="18">
        <v>36</v>
      </c>
      <c r="J13" s="18">
        <f t="shared" si="6"/>
        <v>756</v>
      </c>
      <c r="K13" s="17">
        <f t="shared" si="3"/>
        <v>3.4426229508196724</v>
      </c>
      <c r="L13" s="17">
        <f t="shared" si="4"/>
        <v>5.9016393442622954</v>
      </c>
      <c r="M13" s="18">
        <v>1</v>
      </c>
      <c r="N13" s="17">
        <v>0</v>
      </c>
      <c r="O13" s="17">
        <f t="shared" si="5"/>
        <v>0</v>
      </c>
      <c r="P13" s="19" t="s">
        <v>151</v>
      </c>
      <c r="Q13" s="20">
        <v>630</v>
      </c>
      <c r="R13" s="18">
        <v>360</v>
      </c>
      <c r="S13" s="19">
        <f t="shared" si="8"/>
        <v>226800</v>
      </c>
    </row>
    <row r="14" spans="1:19">
      <c r="A14" s="15" t="s">
        <v>53</v>
      </c>
      <c r="B14" s="16">
        <v>55.564616666699997</v>
      </c>
      <c r="C14" s="9">
        <f t="shared" si="0"/>
        <v>3333.8770000019999</v>
      </c>
      <c r="D14" s="17">
        <v>0.35546875</v>
      </c>
      <c r="E14" s="17">
        <v>0.19581776104500001</v>
      </c>
      <c r="F14" s="9">
        <f t="shared" si="1"/>
        <v>0.48148148148148151</v>
      </c>
      <c r="G14" s="9">
        <f t="shared" si="2"/>
        <v>0.2652346392990747</v>
      </c>
      <c r="H14" s="18">
        <v>12</v>
      </c>
      <c r="I14" s="18">
        <v>91</v>
      </c>
      <c r="J14" s="18">
        <f t="shared" si="6"/>
        <v>1092</v>
      </c>
      <c r="K14" s="17">
        <f t="shared" si="3"/>
        <v>1.9672131147540985</v>
      </c>
      <c r="L14" s="17">
        <f t="shared" si="4"/>
        <v>14.918032786885247</v>
      </c>
      <c r="M14" s="18">
        <v>1</v>
      </c>
      <c r="N14" s="17">
        <v>0</v>
      </c>
      <c r="O14" s="17">
        <f t="shared" si="5"/>
        <v>0</v>
      </c>
      <c r="P14" s="19" t="s">
        <v>151</v>
      </c>
      <c r="Q14" s="20">
        <v>630</v>
      </c>
      <c r="R14" s="18">
        <v>360</v>
      </c>
      <c r="S14" s="19">
        <f t="shared" si="8"/>
        <v>226800</v>
      </c>
    </row>
    <row r="15" spans="1:19">
      <c r="A15" s="15" t="s">
        <v>52</v>
      </c>
      <c r="B15" s="16">
        <v>17.7166666667</v>
      </c>
      <c r="C15" s="9">
        <f t="shared" si="0"/>
        <v>1063.000000002</v>
      </c>
      <c r="D15" s="17">
        <v>1.1015625</v>
      </c>
      <c r="E15" s="17">
        <v>0.19348330097499999</v>
      </c>
      <c r="F15" s="9">
        <f t="shared" si="1"/>
        <v>1.4920634920634921</v>
      </c>
      <c r="G15" s="9">
        <f t="shared" si="2"/>
        <v>0.26207261931038933</v>
      </c>
      <c r="H15" s="18">
        <v>72</v>
      </c>
      <c r="I15" s="18">
        <v>47</v>
      </c>
      <c r="J15" s="18">
        <f t="shared" si="6"/>
        <v>3384</v>
      </c>
      <c r="K15" s="17">
        <f t="shared" si="3"/>
        <v>11.803278688524591</v>
      </c>
      <c r="L15" s="17">
        <f t="shared" si="4"/>
        <v>7.7049180327868854</v>
      </c>
      <c r="M15" s="18">
        <v>5</v>
      </c>
      <c r="N15" s="17">
        <v>348.05974571799999</v>
      </c>
      <c r="O15" s="17">
        <f t="shared" si="5"/>
        <v>57.058974707868856</v>
      </c>
      <c r="P15" s="19" t="s">
        <v>151</v>
      </c>
      <c r="Q15" s="20">
        <v>630</v>
      </c>
      <c r="R15" s="18">
        <v>360</v>
      </c>
      <c r="S15" s="19">
        <f t="shared" si="8"/>
        <v>226800</v>
      </c>
    </row>
    <row r="16" spans="1:19">
      <c r="A16" s="15" t="s">
        <v>51</v>
      </c>
      <c r="B16" s="16">
        <v>3.8333333333300001</v>
      </c>
      <c r="C16" s="9">
        <f t="shared" si="0"/>
        <v>229.9999999998</v>
      </c>
      <c r="D16" s="17">
        <v>0.94856770833299997</v>
      </c>
      <c r="E16" s="17">
        <v>3.60493345864E-2</v>
      </c>
      <c r="F16" s="9">
        <f t="shared" si="1"/>
        <v>1.2848324514991181</v>
      </c>
      <c r="G16" s="9">
        <f t="shared" si="2"/>
        <v>4.8828728328575703E-2</v>
      </c>
      <c r="H16" s="18">
        <v>94</v>
      </c>
      <c r="I16" s="18">
        <v>31</v>
      </c>
      <c r="J16" s="18">
        <f t="shared" si="6"/>
        <v>2914</v>
      </c>
      <c r="K16" s="17">
        <f t="shared" si="3"/>
        <v>15.409836065573771</v>
      </c>
      <c r="L16" s="17">
        <f t="shared" si="4"/>
        <v>5.081967213114754</v>
      </c>
      <c r="M16" s="18">
        <v>2</v>
      </c>
      <c r="N16" s="17">
        <v>38.327535793499997</v>
      </c>
      <c r="O16" s="17">
        <f t="shared" si="5"/>
        <v>6.2832025890983605</v>
      </c>
      <c r="P16" s="19" t="s">
        <v>151</v>
      </c>
      <c r="Q16" s="20">
        <v>630</v>
      </c>
      <c r="R16" s="18">
        <v>360</v>
      </c>
      <c r="S16" s="19">
        <f t="shared" si="8"/>
        <v>226800</v>
      </c>
    </row>
    <row r="17" spans="1:19" ht="15" thickBot="1">
      <c r="A17" s="15" t="s">
        <v>50</v>
      </c>
      <c r="B17" s="16">
        <v>6.5666666666699998</v>
      </c>
      <c r="C17" s="9">
        <f t="shared" si="0"/>
        <v>394.00000000019998</v>
      </c>
      <c r="D17" s="17">
        <v>0.29296875</v>
      </c>
      <c r="E17" s="17">
        <v>1.9072982071999998E-2</v>
      </c>
      <c r="F17" s="9">
        <f t="shared" si="1"/>
        <v>0.3968253968253968</v>
      </c>
      <c r="G17" s="9">
        <f t="shared" si="2"/>
        <v>2.5834303758969879E-2</v>
      </c>
      <c r="H17" s="18">
        <v>75</v>
      </c>
      <c r="I17" s="18">
        <v>12</v>
      </c>
      <c r="J17" s="18">
        <f t="shared" si="6"/>
        <v>900</v>
      </c>
      <c r="K17" s="17">
        <f t="shared" si="3"/>
        <v>12.295081967213115</v>
      </c>
      <c r="L17" s="17">
        <f t="shared" si="4"/>
        <v>1.9672131147540985</v>
      </c>
      <c r="M17" s="18">
        <v>2</v>
      </c>
      <c r="N17" s="17">
        <v>72.945184899300003</v>
      </c>
      <c r="O17" s="17">
        <f t="shared" si="5"/>
        <v>11.958227032672132</v>
      </c>
      <c r="P17" s="19" t="s">
        <v>151</v>
      </c>
      <c r="Q17" s="21">
        <v>630</v>
      </c>
      <c r="R17" s="22">
        <v>360</v>
      </c>
      <c r="S17" s="23">
        <f t="shared" si="8"/>
        <v>226800</v>
      </c>
    </row>
    <row r="18" spans="1:19">
      <c r="A18" s="24" t="s">
        <v>90</v>
      </c>
      <c r="B18" s="229">
        <f>AVERAGE(B2:B17)</f>
        <v>47.955907291704378</v>
      </c>
      <c r="C18" s="61">
        <f t="shared" si="0"/>
        <v>2877.3544375022625</v>
      </c>
      <c r="D18" s="61">
        <f>AVERAGE(D2:D17)</f>
        <v>1.1013997395839374</v>
      </c>
      <c r="E18" s="61">
        <f>SUM(E2:E17)</f>
        <v>9.9604735816182988</v>
      </c>
      <c r="F18" s="61">
        <f>AVERAGE(F2:F17)</f>
        <v>1.4918430335097002</v>
      </c>
      <c r="G18" s="61">
        <f>SUM(G2:G17)</f>
        <v>13.491435115850129</v>
      </c>
      <c r="H18" s="230">
        <f>AVERAGE(H2:H17)</f>
        <v>59.375</v>
      </c>
      <c r="I18" s="230">
        <f>AVERAGE(I2:I17)</f>
        <v>59.8125</v>
      </c>
      <c r="J18" s="230">
        <f>AVERAGE(J2:J17)</f>
        <v>3383.5</v>
      </c>
      <c r="K18" s="61">
        <f t="shared" si="3"/>
        <v>9.7336065573770494</v>
      </c>
      <c r="L18" s="61">
        <f t="shared" si="4"/>
        <v>9.8053278688524603</v>
      </c>
      <c r="M18" s="64">
        <v>2</v>
      </c>
      <c r="N18" s="61">
        <f>AVERAGE(N2:N17)</f>
        <v>124.2312418302875</v>
      </c>
      <c r="O18" s="61">
        <f t="shared" si="5"/>
        <v>20.365777349227461</v>
      </c>
      <c r="P18" s="79">
        <f>COUNTIF(P2:P17,"P")</f>
        <v>16</v>
      </c>
      <c r="Q18" s="25">
        <v>630</v>
      </c>
      <c r="R18" s="25">
        <v>360</v>
      </c>
      <c r="S18" s="26">
        <f t="shared" si="8"/>
        <v>226800</v>
      </c>
    </row>
    <row r="19" spans="1:19">
      <c r="A19" s="27" t="s">
        <v>98</v>
      </c>
      <c r="B19" s="231">
        <v>0</v>
      </c>
      <c r="C19" s="44">
        <f t="shared" si="0"/>
        <v>0</v>
      </c>
      <c r="D19" s="232">
        <v>0</v>
      </c>
      <c r="E19" s="232">
        <v>0</v>
      </c>
      <c r="F19" s="232">
        <v>0</v>
      </c>
      <c r="G19" s="232">
        <v>0</v>
      </c>
      <c r="H19" s="41">
        <v>0</v>
      </c>
      <c r="I19" s="41">
        <v>0</v>
      </c>
      <c r="J19" s="41">
        <v>0</v>
      </c>
      <c r="K19" s="232">
        <v>0</v>
      </c>
      <c r="L19" s="232">
        <v>0</v>
      </c>
      <c r="M19" s="41">
        <v>0</v>
      </c>
      <c r="N19" s="232">
        <v>0</v>
      </c>
      <c r="O19" s="232">
        <v>0</v>
      </c>
      <c r="P19" s="233">
        <f>COUNTIF(P2:P17,"H")</f>
        <v>0</v>
      </c>
      <c r="Q19" s="18">
        <v>630</v>
      </c>
      <c r="R19" s="18">
        <v>360</v>
      </c>
      <c r="S19" s="31">
        <f t="shared" ref="S19:S20" si="9">Q19*R19</f>
        <v>226800</v>
      </c>
    </row>
    <row r="20" spans="1:19" ht="15" thickBot="1">
      <c r="A20" s="32" t="s">
        <v>91</v>
      </c>
      <c r="B20" s="234">
        <f>AVERAGE(B2:B17)</f>
        <v>47.955907291704378</v>
      </c>
      <c r="C20" s="65">
        <f t="shared" si="0"/>
        <v>2877.3544375022625</v>
      </c>
      <c r="D20" s="65">
        <f>AVERAGE(D2:D17)</f>
        <v>1.1013997395839374</v>
      </c>
      <c r="E20" s="65">
        <f>SUM(E2:E17)</f>
        <v>9.9604735816182988</v>
      </c>
      <c r="F20" s="65">
        <f>AVERAGE(F2:F17)</f>
        <v>1.4918430335097002</v>
      </c>
      <c r="G20" s="65">
        <f>SUM(G2:G17)</f>
        <v>13.491435115850129</v>
      </c>
      <c r="H20" s="235">
        <f>AVERAGE(H2:H17)</f>
        <v>59.375</v>
      </c>
      <c r="I20" s="235">
        <f>AVERAGE(I2:I17)</f>
        <v>59.8125</v>
      </c>
      <c r="J20" s="81">
        <f>AVERAGE(J2:J17)</f>
        <v>3383.5</v>
      </c>
      <c r="K20" s="65">
        <f t="shared" ref="K20:L20" si="10">H20/6.1</f>
        <v>9.7336065573770494</v>
      </c>
      <c r="L20" s="65">
        <f t="shared" si="10"/>
        <v>9.8053278688524603</v>
      </c>
      <c r="M20" s="81">
        <f>AVERAGE(M2:M17)</f>
        <v>2.5</v>
      </c>
      <c r="N20" s="65">
        <f t="shared" ref="N20:O20" si="11">AVERAGE(N2:N17)</f>
        <v>124.2312418302875</v>
      </c>
      <c r="O20" s="65">
        <f t="shared" si="11"/>
        <v>20.365777349227464</v>
      </c>
      <c r="P20" s="236">
        <f>P18+P19</f>
        <v>16</v>
      </c>
      <c r="Q20" s="33">
        <v>630</v>
      </c>
      <c r="R20" s="33">
        <v>360</v>
      </c>
      <c r="S20" s="34">
        <f t="shared" si="9"/>
        <v>226800</v>
      </c>
    </row>
    <row r="21" spans="1:19">
      <c r="A21" s="242" t="s">
        <v>107</v>
      </c>
      <c r="G21" s="9">
        <f>F20*C20/6052</f>
        <v>0.70927977074123794</v>
      </c>
    </row>
    <row r="22" spans="1:19">
      <c r="A22" s="129">
        <v>6052</v>
      </c>
    </row>
  </sheetData>
  <conditionalFormatting sqref="B1:B28 B47:B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{DABB7512-B693-4942-B6BB-23BE0C80934D}</x14:id>
        </ext>
      </extLst>
    </cfRule>
  </conditionalFormatting>
  <pageMargins left="0.7" right="0.7" top="0.78740157499999996" bottom="0.78740157499999996" header="0.3" footer="0.3"/>
  <pageSetup paperSize="9" orientation="portrait" horizontalDpi="4294967292" verticalDpi="4294967292"/>
  <ignoredErrors>
    <ignoredError sqref="M20:N20" formulaRange="1"/>
    <ignoredError sqref="G20 C20 E20" formula="1"/>
  </ignoredErrors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BB7512-B693-4942-B6BB-23BE0C8093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B1:B28 B47:B1048576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H25" sqref="H25"/>
    </sheetView>
  </sheetViews>
  <sheetFormatPr baseColWidth="10" defaultRowHeight="13" x14ac:dyDescent="0"/>
  <cols>
    <col min="1" max="1" width="15.33203125" style="1" customWidth="1"/>
    <col min="2" max="2" width="19.83203125" style="4" customWidth="1"/>
    <col min="3" max="3" width="10" style="4" customWidth="1"/>
    <col min="4" max="4" width="30.33203125" style="4" customWidth="1"/>
    <col min="5" max="5" width="34.5" style="4" customWidth="1"/>
    <col min="6" max="6" width="21.5" style="4" customWidth="1"/>
    <col min="7" max="7" width="28" style="4" customWidth="1"/>
    <col min="8" max="9" width="6.6640625" style="1" customWidth="1"/>
    <col min="10" max="10" width="6.6640625" style="4" customWidth="1"/>
    <col min="11" max="11" width="9.33203125" style="4" customWidth="1"/>
    <col min="12" max="12" width="12.1640625" style="1" bestFit="1" customWidth="1"/>
    <col min="13" max="13" width="10.6640625" style="1" customWidth="1"/>
    <col min="14" max="14" width="9.6640625" style="4" customWidth="1"/>
    <col min="15" max="15" width="15" style="4" bestFit="1" customWidth="1"/>
    <col min="16" max="16" width="4.83203125" style="1" customWidth="1"/>
    <col min="17" max="17" width="12.6640625" style="1" customWidth="1"/>
    <col min="18" max="18" width="8.6640625" style="1" customWidth="1"/>
    <col min="19" max="19" width="10.5" style="1" customWidth="1"/>
    <col min="20" max="16384" width="10.83203125" style="1"/>
  </cols>
  <sheetData>
    <row r="1" spans="1:19" s="5" customFormat="1" ht="15" thickBot="1">
      <c r="A1" s="5" t="s">
        <v>49</v>
      </c>
      <c r="B1" s="6" t="s">
        <v>152</v>
      </c>
      <c r="C1" s="6" t="s">
        <v>153</v>
      </c>
      <c r="D1" s="136" t="s">
        <v>158</v>
      </c>
      <c r="E1" s="136" t="s">
        <v>162</v>
      </c>
      <c r="F1" s="136" t="s">
        <v>157</v>
      </c>
      <c r="G1" s="2" t="s">
        <v>156</v>
      </c>
      <c r="H1" s="5" t="s">
        <v>1</v>
      </c>
      <c r="I1" s="5" t="s">
        <v>2</v>
      </c>
      <c r="J1" s="6" t="s">
        <v>109</v>
      </c>
      <c r="K1" s="6" t="s">
        <v>95</v>
      </c>
      <c r="L1" s="2" t="s">
        <v>96</v>
      </c>
      <c r="M1" s="5" t="s">
        <v>140</v>
      </c>
      <c r="N1" s="6" t="s">
        <v>141</v>
      </c>
      <c r="O1" s="6" t="s">
        <v>142</v>
      </c>
      <c r="P1" s="5" t="s">
        <v>150</v>
      </c>
      <c r="Q1" s="5" t="s">
        <v>17</v>
      </c>
      <c r="R1" s="5" t="s">
        <v>18</v>
      </c>
      <c r="S1" s="5" t="s">
        <v>19</v>
      </c>
    </row>
    <row r="2" spans="1:19" ht="14">
      <c r="A2" s="35" t="s">
        <v>65</v>
      </c>
      <c r="B2" s="141">
        <v>17.833333333300001</v>
      </c>
      <c r="C2" s="144">
        <v>1070</v>
      </c>
      <c r="D2" s="146">
        <v>2.53515625</v>
      </c>
      <c r="E2" s="146">
        <v>0.52448128141899997</v>
      </c>
      <c r="F2" s="148">
        <v>3.4338624339999999</v>
      </c>
      <c r="G2" s="189">
        <f>F2*C2/5172</f>
        <v>0.71040850819412216</v>
      </c>
      <c r="H2" s="87">
        <v>118</v>
      </c>
      <c r="I2" s="87">
        <v>66</v>
      </c>
      <c r="J2">
        <f t="shared" ref="J2:J24" si="0">H2*I2</f>
        <v>7788</v>
      </c>
      <c r="K2" s="10">
        <f t="shared" ref="K2:K27" si="1">I2/6.1</f>
        <v>10.819672131147541</v>
      </c>
      <c r="L2" s="10">
        <f t="shared" ref="L2:L26" si="2">H2/6.1</f>
        <v>19.344262295081968</v>
      </c>
      <c r="M2" s="11">
        <v>9</v>
      </c>
      <c r="N2" s="10">
        <v>1631.692976</v>
      </c>
      <c r="O2" s="10">
        <f t="shared" ref="O2:O27" si="3">(N2/6.1)</f>
        <v>267.49065180327869</v>
      </c>
      <c r="P2" s="12" t="s">
        <v>155</v>
      </c>
      <c r="Q2" s="13">
        <v>630</v>
      </c>
      <c r="R2" s="11">
        <v>360</v>
      </c>
      <c r="S2" s="18">
        <v>226799.99999091402</v>
      </c>
    </row>
    <row r="3" spans="1:19" ht="14">
      <c r="A3" s="35" t="s">
        <v>23</v>
      </c>
      <c r="B3" s="142">
        <v>7.7766666666699997</v>
      </c>
      <c r="C3" s="145">
        <v>466.6</v>
      </c>
      <c r="D3" s="147">
        <v>2.845703125</v>
      </c>
      <c r="E3" s="147">
        <v>0.25672952013200001</v>
      </c>
      <c r="F3" s="149">
        <v>3.8544973539999998</v>
      </c>
      <c r="G3" s="189">
        <f t="shared" ref="G3:G24" si="4">F3*C3/5172</f>
        <v>0.34773945579590099</v>
      </c>
      <c r="H3" s="38">
        <v>94</v>
      </c>
      <c r="I3" s="38">
        <v>93</v>
      </c>
      <c r="J3">
        <f t="shared" si="0"/>
        <v>8742</v>
      </c>
      <c r="K3" s="17">
        <f t="shared" si="1"/>
        <v>15.245901639344263</v>
      </c>
      <c r="L3" s="17">
        <f t="shared" si="2"/>
        <v>15.409836065573771</v>
      </c>
      <c r="M3" s="18">
        <v>3</v>
      </c>
      <c r="N3" s="17">
        <v>247.95247610000001</v>
      </c>
      <c r="O3" s="17">
        <f t="shared" si="3"/>
        <v>40.647946901639351</v>
      </c>
      <c r="P3" s="19" t="s">
        <v>151</v>
      </c>
      <c r="Q3" s="20">
        <v>630</v>
      </c>
      <c r="R3" s="18">
        <v>360</v>
      </c>
      <c r="S3" s="18">
        <v>226799.99999091402</v>
      </c>
    </row>
    <row r="4" spans="1:19" ht="14">
      <c r="A4" s="35" t="s">
        <v>24</v>
      </c>
      <c r="B4" s="142">
        <v>15.3833333333</v>
      </c>
      <c r="C4" s="145">
        <v>923</v>
      </c>
      <c r="D4" s="147">
        <v>0.57389322916700003</v>
      </c>
      <c r="E4" s="147">
        <v>0.10241752716999999</v>
      </c>
      <c r="F4" s="149">
        <v>0.77733686099999999</v>
      </c>
      <c r="G4" s="189">
        <f t="shared" si="4"/>
        <v>0.13872426966415313</v>
      </c>
      <c r="H4" s="38">
        <v>43</v>
      </c>
      <c r="I4" s="38">
        <v>41</v>
      </c>
      <c r="J4">
        <f t="shared" si="0"/>
        <v>1763</v>
      </c>
      <c r="K4" s="17">
        <f t="shared" si="1"/>
        <v>6.7213114754098369</v>
      </c>
      <c r="L4" s="17">
        <f t="shared" si="2"/>
        <v>7.0491803278688527</v>
      </c>
      <c r="M4" s="18">
        <v>3</v>
      </c>
      <c r="N4" s="17">
        <v>51.088159099999999</v>
      </c>
      <c r="O4" s="17">
        <f t="shared" si="3"/>
        <v>8.3751080491803283</v>
      </c>
      <c r="P4" s="19" t="s">
        <v>151</v>
      </c>
      <c r="Q4" s="20">
        <v>630</v>
      </c>
      <c r="R4" s="18">
        <v>360</v>
      </c>
      <c r="S4" s="18">
        <v>226799.99999091402</v>
      </c>
    </row>
    <row r="5" spans="1:19" ht="14">
      <c r="A5" s="35" t="s">
        <v>53</v>
      </c>
      <c r="B5" s="142">
        <v>4.5333333333299999</v>
      </c>
      <c r="C5" s="145">
        <v>272</v>
      </c>
      <c r="D5" s="147">
        <v>0.38736979166699997</v>
      </c>
      <c r="E5" s="147">
        <v>2.0372115880399999E-2</v>
      </c>
      <c r="F5" s="149">
        <v>0.524691358</v>
      </c>
      <c r="G5" s="189">
        <f t="shared" si="4"/>
        <v>2.7593977064191803E-2</v>
      </c>
      <c r="H5" s="38">
        <v>85</v>
      </c>
      <c r="I5" s="38">
        <v>14</v>
      </c>
      <c r="J5">
        <f t="shared" si="0"/>
        <v>1190</v>
      </c>
      <c r="K5" s="17">
        <f t="shared" si="1"/>
        <v>2.2950819672131151</v>
      </c>
      <c r="L5" s="17">
        <f t="shared" si="2"/>
        <v>13.934426229508198</v>
      </c>
      <c r="M5" s="18">
        <v>4</v>
      </c>
      <c r="N5" s="17">
        <v>530.13335570000004</v>
      </c>
      <c r="O5" s="17">
        <f t="shared" si="3"/>
        <v>86.907107491803288</v>
      </c>
      <c r="P5" s="19" t="s">
        <v>151</v>
      </c>
      <c r="Q5" s="20">
        <v>630</v>
      </c>
      <c r="R5" s="18">
        <v>360</v>
      </c>
      <c r="S5" s="18">
        <v>226799.99999091402</v>
      </c>
    </row>
    <row r="6" spans="1:19" ht="14">
      <c r="A6" s="35" t="s">
        <v>66</v>
      </c>
      <c r="B6" s="142">
        <v>21.366666666699999</v>
      </c>
      <c r="C6" s="145">
        <v>1282</v>
      </c>
      <c r="D6" s="147">
        <v>3.2760416666699999</v>
      </c>
      <c r="E6" s="147">
        <v>0.81204281064700001</v>
      </c>
      <c r="F6" s="149">
        <v>4.4373897710000003</v>
      </c>
      <c r="G6" s="189">
        <f t="shared" si="4"/>
        <v>1.099909838828693</v>
      </c>
      <c r="H6" s="38">
        <v>136</v>
      </c>
      <c r="I6" s="38">
        <v>74</v>
      </c>
      <c r="J6">
        <f t="shared" si="0"/>
        <v>10064</v>
      </c>
      <c r="K6" s="17">
        <f t="shared" si="1"/>
        <v>12.131147540983607</v>
      </c>
      <c r="L6" s="17">
        <f t="shared" si="2"/>
        <v>22.295081967213115</v>
      </c>
      <c r="M6" s="18">
        <v>12</v>
      </c>
      <c r="N6" s="17">
        <v>1364.663438</v>
      </c>
      <c r="O6" s="17">
        <f t="shared" si="3"/>
        <v>223.71531770491805</v>
      </c>
      <c r="P6" s="19" t="s">
        <v>155</v>
      </c>
      <c r="Q6" s="20">
        <v>630</v>
      </c>
      <c r="R6" s="18">
        <v>360</v>
      </c>
      <c r="S6" s="18">
        <v>226799.99999091402</v>
      </c>
    </row>
    <row r="7" spans="1:19" ht="14">
      <c r="A7" s="35" t="s">
        <v>67</v>
      </c>
      <c r="B7" s="142">
        <v>9.4499999999999993</v>
      </c>
      <c r="C7" s="145">
        <v>567</v>
      </c>
      <c r="D7" s="147">
        <v>1.3723958333299999</v>
      </c>
      <c r="E7" s="147">
        <v>0.15045406757499999</v>
      </c>
      <c r="F7" s="149">
        <v>1.8589065259999999</v>
      </c>
      <c r="G7" s="189">
        <f t="shared" si="4"/>
        <v>0.20378963655104407</v>
      </c>
      <c r="H7" s="38">
        <v>124</v>
      </c>
      <c r="I7" s="38">
        <v>34</v>
      </c>
      <c r="J7">
        <f t="shared" si="0"/>
        <v>4216</v>
      </c>
      <c r="K7" s="17">
        <f t="shared" si="1"/>
        <v>5.5737704918032787</v>
      </c>
      <c r="L7" s="17">
        <f t="shared" si="2"/>
        <v>20.327868852459016</v>
      </c>
      <c r="M7" s="18">
        <v>5</v>
      </c>
      <c r="N7" s="17">
        <v>654.13115570000002</v>
      </c>
      <c r="O7" s="17">
        <f t="shared" si="3"/>
        <v>107.2346156885246</v>
      </c>
      <c r="P7" s="19" t="s">
        <v>155</v>
      </c>
      <c r="Q7" s="20">
        <v>630</v>
      </c>
      <c r="R7" s="18">
        <v>360</v>
      </c>
      <c r="S7" s="18">
        <v>226799.99999091402</v>
      </c>
    </row>
    <row r="8" spans="1:19" ht="14">
      <c r="A8" s="35" t="s">
        <v>68</v>
      </c>
      <c r="B8" s="142">
        <v>33.066666666700002</v>
      </c>
      <c r="C8" s="145">
        <v>1984</v>
      </c>
      <c r="D8" s="147">
        <v>0.54720052083299997</v>
      </c>
      <c r="E8" s="147">
        <v>0.20990832044300001</v>
      </c>
      <c r="F8" s="149">
        <v>0.74118165800000002</v>
      </c>
      <c r="G8" s="189">
        <f t="shared" si="4"/>
        <v>0.28432026478576955</v>
      </c>
      <c r="H8" s="38">
        <v>41</v>
      </c>
      <c r="I8" s="38">
        <v>41</v>
      </c>
      <c r="J8">
        <f t="shared" si="0"/>
        <v>1681</v>
      </c>
      <c r="K8" s="17">
        <f t="shared" si="1"/>
        <v>6.7213114754098369</v>
      </c>
      <c r="L8" s="17">
        <f t="shared" si="2"/>
        <v>6.7213114754098369</v>
      </c>
      <c r="M8" s="18">
        <v>7</v>
      </c>
      <c r="N8" s="17">
        <v>567.11960810000005</v>
      </c>
      <c r="O8" s="17">
        <f t="shared" si="3"/>
        <v>92.970427557377064</v>
      </c>
      <c r="P8" s="19" t="s">
        <v>151</v>
      </c>
      <c r="Q8" s="20">
        <v>630</v>
      </c>
      <c r="R8" s="18">
        <v>360</v>
      </c>
      <c r="S8" s="18">
        <v>226799.99999091402</v>
      </c>
    </row>
    <row r="9" spans="1:19" ht="14">
      <c r="A9" s="35" t="s">
        <v>69</v>
      </c>
      <c r="B9" s="142">
        <v>51.766666666699997</v>
      </c>
      <c r="C9" s="145">
        <v>3106</v>
      </c>
      <c r="D9" s="147">
        <v>0.45670572916699997</v>
      </c>
      <c r="E9" s="147">
        <v>0.27427068731499998</v>
      </c>
      <c r="F9" s="149">
        <v>0.61860670200000001</v>
      </c>
      <c r="G9" s="189">
        <f t="shared" si="4"/>
        <v>0.37149892041995364</v>
      </c>
      <c r="H9" s="38">
        <v>23</v>
      </c>
      <c r="I9" s="38">
        <v>61</v>
      </c>
      <c r="J9">
        <f t="shared" si="0"/>
        <v>1403</v>
      </c>
      <c r="K9" s="17">
        <f t="shared" si="1"/>
        <v>10</v>
      </c>
      <c r="L9" s="17">
        <f t="shared" si="2"/>
        <v>3.7704918032786887</v>
      </c>
      <c r="M9" s="18">
        <v>7</v>
      </c>
      <c r="N9" s="17">
        <v>1372.0111959999999</v>
      </c>
      <c r="O9" s="17">
        <f t="shared" si="3"/>
        <v>224.91986819672132</v>
      </c>
      <c r="P9" s="19" t="s">
        <v>151</v>
      </c>
      <c r="Q9" s="20">
        <v>630</v>
      </c>
      <c r="R9" s="18">
        <v>360</v>
      </c>
      <c r="S9" s="18">
        <v>226799.99999091402</v>
      </c>
    </row>
    <row r="10" spans="1:19" ht="14">
      <c r="A10" s="35" t="s">
        <v>37</v>
      </c>
      <c r="B10" s="142">
        <v>33.75</v>
      </c>
      <c r="C10" s="145">
        <v>2025</v>
      </c>
      <c r="D10" s="147">
        <v>0.587890625</v>
      </c>
      <c r="E10" s="147">
        <v>0.230177593895</v>
      </c>
      <c r="F10" s="149">
        <v>0.79629629599999996</v>
      </c>
      <c r="G10" s="189">
        <f t="shared" si="4"/>
        <v>0.31177494187935034</v>
      </c>
      <c r="H10" s="38">
        <v>42</v>
      </c>
      <c r="I10" s="38">
        <v>43</v>
      </c>
      <c r="J10">
        <f t="shared" si="0"/>
        <v>1806</v>
      </c>
      <c r="K10" s="17">
        <f t="shared" si="1"/>
        <v>7.0491803278688527</v>
      </c>
      <c r="L10" s="17">
        <f t="shared" si="2"/>
        <v>6.8852459016393448</v>
      </c>
      <c r="M10" s="18">
        <v>10</v>
      </c>
      <c r="N10" s="17">
        <v>1142.027568</v>
      </c>
      <c r="O10" s="17">
        <f t="shared" si="3"/>
        <v>187.21763409836066</v>
      </c>
      <c r="P10" s="19" t="s">
        <v>151</v>
      </c>
      <c r="Q10" s="20">
        <v>630</v>
      </c>
      <c r="R10" s="18">
        <v>360</v>
      </c>
      <c r="S10" s="18">
        <v>226799.99999091402</v>
      </c>
    </row>
    <row r="11" spans="1:19" ht="14">
      <c r="A11" s="35" t="s">
        <v>70</v>
      </c>
      <c r="B11" s="142">
        <v>3.2833333333299999</v>
      </c>
      <c r="C11" s="145">
        <v>197</v>
      </c>
      <c r="D11" s="147">
        <v>1.7076822916700001</v>
      </c>
      <c r="E11" s="147">
        <v>6.5045129825700002E-2</v>
      </c>
      <c r="F11" s="149">
        <v>2.3130511459999998</v>
      </c>
      <c r="G11" s="189">
        <f t="shared" si="4"/>
        <v>8.8103456257153906E-2</v>
      </c>
      <c r="H11" s="38">
        <v>43</v>
      </c>
      <c r="I11" s="38">
        <v>122</v>
      </c>
      <c r="J11">
        <f t="shared" si="0"/>
        <v>5246</v>
      </c>
      <c r="K11" s="17">
        <f t="shared" si="1"/>
        <v>20</v>
      </c>
      <c r="L11" s="17">
        <f t="shared" si="2"/>
        <v>7.0491803278688527</v>
      </c>
      <c r="M11" s="18">
        <v>1</v>
      </c>
      <c r="N11" s="17">
        <v>0</v>
      </c>
      <c r="O11" s="17">
        <f t="shared" si="3"/>
        <v>0</v>
      </c>
      <c r="P11" s="19" t="s">
        <v>151</v>
      </c>
      <c r="Q11" s="20">
        <v>630</v>
      </c>
      <c r="R11" s="18">
        <v>360</v>
      </c>
      <c r="S11" s="18">
        <v>226799.99999091402</v>
      </c>
    </row>
    <row r="12" spans="1:19" ht="14">
      <c r="A12" s="35" t="s">
        <v>71</v>
      </c>
      <c r="B12" s="142">
        <v>12.9333333333</v>
      </c>
      <c r="C12" s="145">
        <v>776</v>
      </c>
      <c r="D12" s="147">
        <v>0.46875</v>
      </c>
      <c r="E12" s="147">
        <v>7.0330626450100006E-2</v>
      </c>
      <c r="F12" s="149">
        <v>0.63492063499999996</v>
      </c>
      <c r="G12" s="189">
        <f t="shared" si="4"/>
        <v>9.5262647478731616E-2</v>
      </c>
      <c r="H12" s="38">
        <v>20</v>
      </c>
      <c r="I12" s="38">
        <v>72</v>
      </c>
      <c r="J12">
        <f t="shared" si="0"/>
        <v>1440</v>
      </c>
      <c r="K12" s="17">
        <f t="shared" si="1"/>
        <v>11.803278688524591</v>
      </c>
      <c r="L12" s="17">
        <f t="shared" si="2"/>
        <v>3.278688524590164</v>
      </c>
      <c r="M12" s="18">
        <v>5</v>
      </c>
      <c r="N12" s="17">
        <v>800.02286949999996</v>
      </c>
      <c r="O12" s="17">
        <f t="shared" si="3"/>
        <v>131.1512900819672</v>
      </c>
      <c r="P12" s="19" t="s">
        <v>151</v>
      </c>
      <c r="Q12" s="20">
        <v>630</v>
      </c>
      <c r="R12" s="18">
        <v>360</v>
      </c>
      <c r="S12" s="18">
        <v>226799.99999091402</v>
      </c>
    </row>
    <row r="13" spans="1:19" ht="14">
      <c r="A13" s="35" t="s">
        <v>72</v>
      </c>
      <c r="B13" s="142">
        <v>0.53333333333300004</v>
      </c>
      <c r="C13" s="145">
        <v>32</v>
      </c>
      <c r="D13" s="147">
        <v>0.736328125</v>
      </c>
      <c r="E13" s="147">
        <v>4.5557811291599996E-3</v>
      </c>
      <c r="F13" s="149">
        <v>0.99735449700000001</v>
      </c>
      <c r="G13" s="189">
        <f t="shared" si="4"/>
        <v>6.1707934849187934E-3</v>
      </c>
      <c r="H13" s="38">
        <v>87</v>
      </c>
      <c r="I13" s="38">
        <v>26</v>
      </c>
      <c r="J13">
        <f t="shared" si="0"/>
        <v>2262</v>
      </c>
      <c r="K13" s="17">
        <f t="shared" si="1"/>
        <v>4.2622950819672134</v>
      </c>
      <c r="L13" s="17">
        <f t="shared" si="2"/>
        <v>14.262295081967213</v>
      </c>
      <c r="M13" s="18">
        <v>1</v>
      </c>
      <c r="N13" s="17">
        <v>0</v>
      </c>
      <c r="O13" s="17">
        <f t="shared" si="3"/>
        <v>0</v>
      </c>
      <c r="P13" s="19" t="s">
        <v>151</v>
      </c>
      <c r="Q13" s="20">
        <v>630</v>
      </c>
      <c r="R13" s="18">
        <v>360</v>
      </c>
      <c r="S13" s="18">
        <v>226799.99999091402</v>
      </c>
    </row>
    <row r="14" spans="1:19" ht="14">
      <c r="A14" s="35" t="s">
        <v>73</v>
      </c>
      <c r="B14" s="142">
        <v>12.625783333299999</v>
      </c>
      <c r="C14" s="145">
        <v>757.54700000000003</v>
      </c>
      <c r="D14" s="147">
        <v>3.3160807291699999</v>
      </c>
      <c r="E14" s="147">
        <v>0.48570901162800001</v>
      </c>
      <c r="F14" s="149">
        <v>4.4916225750000001</v>
      </c>
      <c r="G14" s="189">
        <f t="shared" si="4"/>
        <v>0.65789157131158649</v>
      </c>
      <c r="H14" s="38">
        <v>167</v>
      </c>
      <c r="I14" s="38">
        <v>61</v>
      </c>
      <c r="J14">
        <f t="shared" si="0"/>
        <v>10187</v>
      </c>
      <c r="K14" s="17">
        <f t="shared" si="1"/>
        <v>10</v>
      </c>
      <c r="L14" s="17">
        <f t="shared" si="2"/>
        <v>27.377049180327869</v>
      </c>
      <c r="M14" s="18">
        <v>3</v>
      </c>
      <c r="N14" s="17">
        <v>379.93395559999999</v>
      </c>
      <c r="O14" s="17">
        <f t="shared" si="3"/>
        <v>62.284255016393445</v>
      </c>
      <c r="P14" s="19" t="s">
        <v>151</v>
      </c>
      <c r="Q14" s="20">
        <v>630</v>
      </c>
      <c r="R14" s="18">
        <v>360</v>
      </c>
      <c r="S14" s="18">
        <v>226799.99999091402</v>
      </c>
    </row>
    <row r="15" spans="1:19" ht="14">
      <c r="A15" s="35" t="s">
        <v>50</v>
      </c>
      <c r="B15" s="142">
        <v>4.3666666666699996</v>
      </c>
      <c r="C15" s="145">
        <v>262</v>
      </c>
      <c r="D15" s="147">
        <v>0.34635416666699997</v>
      </c>
      <c r="E15" s="147">
        <v>1.7545396687299999E-2</v>
      </c>
      <c r="F15" s="149">
        <v>0.46913580199999999</v>
      </c>
      <c r="G15" s="189">
        <f t="shared" si="4"/>
        <v>2.3765193372776487E-2</v>
      </c>
      <c r="H15" s="38">
        <v>14</v>
      </c>
      <c r="I15" s="38">
        <v>76</v>
      </c>
      <c r="J15">
        <f t="shared" si="0"/>
        <v>1064</v>
      </c>
      <c r="K15" s="17">
        <f t="shared" si="1"/>
        <v>12.459016393442624</v>
      </c>
      <c r="L15" s="17">
        <f t="shared" si="2"/>
        <v>2.2950819672131151</v>
      </c>
      <c r="M15" s="18">
        <v>2</v>
      </c>
      <c r="N15" s="17">
        <v>187.21645229999999</v>
      </c>
      <c r="O15" s="17">
        <f t="shared" si="3"/>
        <v>30.691221688524589</v>
      </c>
      <c r="P15" s="19" t="s">
        <v>151</v>
      </c>
      <c r="Q15" s="20">
        <v>630</v>
      </c>
      <c r="R15" s="18">
        <v>360</v>
      </c>
      <c r="S15" s="18">
        <v>226799.99999091402</v>
      </c>
    </row>
    <row r="16" spans="1:19" ht="14">
      <c r="A16" s="35" t="s">
        <v>74</v>
      </c>
      <c r="B16" s="142">
        <v>18.766666666700001</v>
      </c>
      <c r="C16" s="145">
        <v>1126</v>
      </c>
      <c r="D16" s="147">
        <v>1.521484375</v>
      </c>
      <c r="E16" s="147">
        <v>0.33124350468899999</v>
      </c>
      <c r="F16" s="149">
        <v>2.060846561</v>
      </c>
      <c r="G16" s="189">
        <f t="shared" si="4"/>
        <v>0.44866845082869294</v>
      </c>
      <c r="H16" s="38">
        <v>82</v>
      </c>
      <c r="I16" s="38">
        <v>57</v>
      </c>
      <c r="J16">
        <f t="shared" si="0"/>
        <v>4674</v>
      </c>
      <c r="K16" s="17">
        <f t="shared" si="1"/>
        <v>9.3442622950819683</v>
      </c>
      <c r="L16" s="17">
        <f t="shared" si="2"/>
        <v>13.442622950819674</v>
      </c>
      <c r="M16" s="18">
        <v>7</v>
      </c>
      <c r="N16" s="17">
        <v>550.35838939999996</v>
      </c>
      <c r="O16" s="17">
        <f t="shared" si="3"/>
        <v>90.222686786885248</v>
      </c>
      <c r="P16" s="19" t="s">
        <v>151</v>
      </c>
      <c r="Q16" s="20">
        <v>630</v>
      </c>
      <c r="R16" s="18">
        <v>360</v>
      </c>
      <c r="S16" s="18">
        <v>226799.99999091402</v>
      </c>
    </row>
    <row r="17" spans="1:19" ht="14">
      <c r="A17" s="35" t="s">
        <v>48</v>
      </c>
      <c r="B17" s="142">
        <v>18.4371166667</v>
      </c>
      <c r="C17" s="145">
        <v>1106.2270000000001</v>
      </c>
      <c r="D17" s="147">
        <v>4.7005208333299997</v>
      </c>
      <c r="E17" s="147">
        <v>1.00538342225</v>
      </c>
      <c r="F17" s="149">
        <v>6.3668430340000004</v>
      </c>
      <c r="G17" s="189">
        <f t="shared" si="4"/>
        <v>1.3617891858029232</v>
      </c>
      <c r="H17" s="38">
        <v>152</v>
      </c>
      <c r="I17" s="38">
        <v>95</v>
      </c>
      <c r="J17">
        <f t="shared" si="0"/>
        <v>14440</v>
      </c>
      <c r="K17" s="17">
        <f t="shared" si="1"/>
        <v>15.57377049180328</v>
      </c>
      <c r="L17" s="17">
        <f t="shared" si="2"/>
        <v>24.918032786885249</v>
      </c>
      <c r="M17" s="18">
        <v>6</v>
      </c>
      <c r="N17" s="17">
        <v>455.35082519999997</v>
      </c>
      <c r="O17" s="17">
        <f t="shared" si="3"/>
        <v>74.647676262295079</v>
      </c>
      <c r="P17" s="19" t="s">
        <v>155</v>
      </c>
      <c r="Q17" s="20">
        <v>630</v>
      </c>
      <c r="R17" s="18">
        <v>360</v>
      </c>
      <c r="S17" s="18">
        <v>226799.99999091402</v>
      </c>
    </row>
    <row r="18" spans="1:19" ht="14">
      <c r="A18" s="35" t="s">
        <v>75</v>
      </c>
      <c r="B18" s="142">
        <v>14.4150833333</v>
      </c>
      <c r="C18" s="145">
        <v>864.90499999999997</v>
      </c>
      <c r="D18" s="147">
        <v>2.7890625</v>
      </c>
      <c r="E18" s="147">
        <v>0.46641030579300002</v>
      </c>
      <c r="F18" s="149">
        <v>3.7777777779999999</v>
      </c>
      <c r="G18" s="189">
        <f t="shared" si="4"/>
        <v>0.63175152534437151</v>
      </c>
      <c r="H18" s="38">
        <v>126</v>
      </c>
      <c r="I18" s="38">
        <v>68</v>
      </c>
      <c r="J18">
        <f t="shared" si="0"/>
        <v>8568</v>
      </c>
      <c r="K18" s="17">
        <f t="shared" si="1"/>
        <v>11.147540983606557</v>
      </c>
      <c r="L18" s="17">
        <f t="shared" si="2"/>
        <v>20.655737704918035</v>
      </c>
      <c r="M18" s="18">
        <v>6</v>
      </c>
      <c r="N18" s="17">
        <v>677.22413500000005</v>
      </c>
      <c r="O18" s="17">
        <f t="shared" si="3"/>
        <v>111.02035000000001</v>
      </c>
      <c r="P18" s="19" t="s">
        <v>155</v>
      </c>
      <c r="Q18" s="20">
        <v>630</v>
      </c>
      <c r="R18" s="18">
        <v>360</v>
      </c>
      <c r="S18" s="18">
        <v>226799.99999091402</v>
      </c>
    </row>
    <row r="19" spans="1:19" ht="14">
      <c r="A19" s="35" t="s">
        <v>76</v>
      </c>
      <c r="B19" s="142">
        <v>10.8084833333</v>
      </c>
      <c r="C19" s="145">
        <v>648.50900000000001</v>
      </c>
      <c r="D19" s="147">
        <v>1.6901041666700001</v>
      </c>
      <c r="E19" s="147">
        <v>0.211919521079</v>
      </c>
      <c r="F19" s="149">
        <v>2.2892416230000001</v>
      </c>
      <c r="G19" s="189">
        <f t="shared" si="4"/>
        <v>0.28704443072121172</v>
      </c>
      <c r="H19" s="38">
        <v>88</v>
      </c>
      <c r="I19" s="38">
        <v>59</v>
      </c>
      <c r="J19">
        <f t="shared" si="0"/>
        <v>5192</v>
      </c>
      <c r="K19" s="17">
        <f t="shared" si="1"/>
        <v>9.6721311475409841</v>
      </c>
      <c r="L19" s="17">
        <f t="shared" si="2"/>
        <v>14.426229508196721</v>
      </c>
      <c r="M19" s="18">
        <v>2</v>
      </c>
      <c r="N19" s="17">
        <v>209.84756369999999</v>
      </c>
      <c r="O19" s="17">
        <f t="shared" si="3"/>
        <v>34.401239950819672</v>
      </c>
      <c r="P19" s="19" t="s">
        <v>151</v>
      </c>
      <c r="Q19" s="20">
        <v>630</v>
      </c>
      <c r="R19" s="18">
        <v>360</v>
      </c>
      <c r="S19" s="18">
        <v>226799.99999091402</v>
      </c>
    </row>
    <row r="20" spans="1:19" ht="14">
      <c r="A20" s="35" t="s">
        <v>77</v>
      </c>
      <c r="B20" s="142">
        <v>3.1</v>
      </c>
      <c r="C20" s="145">
        <v>186</v>
      </c>
      <c r="D20" s="147">
        <v>0.1796875</v>
      </c>
      <c r="E20" s="147">
        <v>6.46207946636E-3</v>
      </c>
      <c r="F20" s="149">
        <v>0.243386243</v>
      </c>
      <c r="G20" s="189">
        <f t="shared" si="4"/>
        <v>8.7528695278422282E-3</v>
      </c>
      <c r="H20" s="38">
        <v>23</v>
      </c>
      <c r="I20" s="38">
        <v>24</v>
      </c>
      <c r="J20">
        <f t="shared" si="0"/>
        <v>552</v>
      </c>
      <c r="K20" s="17">
        <f t="shared" si="1"/>
        <v>3.9344262295081971</v>
      </c>
      <c r="L20" s="17">
        <f t="shared" si="2"/>
        <v>3.7704918032786887</v>
      </c>
      <c r="M20" s="18">
        <v>1</v>
      </c>
      <c r="N20" s="17">
        <v>0</v>
      </c>
      <c r="O20" s="17">
        <f t="shared" si="3"/>
        <v>0</v>
      </c>
      <c r="P20" s="19" t="s">
        <v>151</v>
      </c>
      <c r="Q20" s="20">
        <v>630</v>
      </c>
      <c r="R20" s="18">
        <v>360</v>
      </c>
      <c r="S20" s="18">
        <v>226799.99999091402</v>
      </c>
    </row>
    <row r="21" spans="1:19" ht="14">
      <c r="A21" s="35" t="s">
        <v>78</v>
      </c>
      <c r="B21" s="142">
        <v>2.15</v>
      </c>
      <c r="C21" s="145">
        <v>129</v>
      </c>
      <c r="D21" s="147">
        <v>1.3102213541700001</v>
      </c>
      <c r="E21" s="147">
        <v>3.26795349357E-2</v>
      </c>
      <c r="F21" s="149">
        <v>1.7746913580000001</v>
      </c>
      <c r="G21" s="189">
        <f t="shared" si="4"/>
        <v>4.4264343616009283E-2</v>
      </c>
      <c r="H21" s="38">
        <v>161</v>
      </c>
      <c r="I21" s="38">
        <v>25</v>
      </c>
      <c r="J21">
        <f t="shared" si="0"/>
        <v>4025</v>
      </c>
      <c r="K21" s="17">
        <f t="shared" si="1"/>
        <v>4.0983606557377055</v>
      </c>
      <c r="L21" s="17">
        <f t="shared" si="2"/>
        <v>26.393442622950822</v>
      </c>
      <c r="M21" s="18">
        <v>3</v>
      </c>
      <c r="N21" s="17">
        <v>454.40846970000001</v>
      </c>
      <c r="O21" s="17">
        <f t="shared" si="3"/>
        <v>74.493191754098362</v>
      </c>
      <c r="P21" s="19" t="s">
        <v>151</v>
      </c>
      <c r="Q21" s="20">
        <v>630</v>
      </c>
      <c r="R21" s="18">
        <v>360</v>
      </c>
      <c r="S21" s="18">
        <v>226799.99999091402</v>
      </c>
    </row>
    <row r="22" spans="1:19" ht="14">
      <c r="A22" s="35" t="s">
        <v>79</v>
      </c>
      <c r="B22" s="142">
        <v>5.68166666667</v>
      </c>
      <c r="C22" s="145">
        <v>340.9</v>
      </c>
      <c r="D22" s="147">
        <v>1.3304036458299999</v>
      </c>
      <c r="E22" s="147">
        <v>8.7690371783599994E-2</v>
      </c>
      <c r="F22" s="149">
        <v>1.8020282190000001</v>
      </c>
      <c r="G22" s="189">
        <f t="shared" si="4"/>
        <v>0.11877637661583526</v>
      </c>
      <c r="H22" s="38">
        <v>61</v>
      </c>
      <c r="I22" s="38">
        <v>67</v>
      </c>
      <c r="J22">
        <f t="shared" si="0"/>
        <v>4087</v>
      </c>
      <c r="K22" s="17">
        <f t="shared" si="1"/>
        <v>10.983606557377049</v>
      </c>
      <c r="L22" s="17">
        <f t="shared" si="2"/>
        <v>10</v>
      </c>
      <c r="M22" s="18">
        <v>2</v>
      </c>
      <c r="N22" s="17">
        <v>54.230987450000001</v>
      </c>
      <c r="O22" s="17">
        <f t="shared" si="3"/>
        <v>8.8903258114754102</v>
      </c>
      <c r="P22" s="19" t="s">
        <v>155</v>
      </c>
      <c r="Q22" s="20">
        <v>630</v>
      </c>
      <c r="R22" s="18">
        <v>360</v>
      </c>
      <c r="S22" s="18">
        <v>226799.99999091402</v>
      </c>
    </row>
    <row r="23" spans="1:19" ht="14">
      <c r="A23" s="35" t="s">
        <v>80</v>
      </c>
      <c r="B23" s="142">
        <v>0.166666666667</v>
      </c>
      <c r="C23" s="145">
        <v>10</v>
      </c>
      <c r="D23" s="147">
        <v>0.875</v>
      </c>
      <c r="E23" s="147">
        <v>1.6918020108299999E-3</v>
      </c>
      <c r="F23" s="149">
        <v>1.1851851849999999</v>
      </c>
      <c r="G23" s="189">
        <f t="shared" si="4"/>
        <v>2.2915413476411444E-3</v>
      </c>
      <c r="H23" s="38">
        <v>24</v>
      </c>
      <c r="I23" s="38">
        <v>112</v>
      </c>
      <c r="J23">
        <f t="shared" si="0"/>
        <v>2688</v>
      </c>
      <c r="K23" s="17">
        <f t="shared" si="1"/>
        <v>18.360655737704921</v>
      </c>
      <c r="L23" s="17">
        <f t="shared" si="2"/>
        <v>3.9344262295081971</v>
      </c>
      <c r="M23" s="18">
        <v>1</v>
      </c>
      <c r="N23" s="17">
        <v>0</v>
      </c>
      <c r="O23" s="17">
        <f t="shared" si="3"/>
        <v>0</v>
      </c>
      <c r="P23" s="19" t="s">
        <v>151</v>
      </c>
      <c r="Q23" s="20">
        <v>630</v>
      </c>
      <c r="R23" s="18">
        <v>360</v>
      </c>
      <c r="S23" s="18">
        <v>226799.99999091402</v>
      </c>
    </row>
    <row r="24" spans="1:19" ht="15" thickBot="1">
      <c r="A24" s="35" t="s">
        <v>81</v>
      </c>
      <c r="B24" s="142">
        <v>4.2133833333300004</v>
      </c>
      <c r="C24" s="145">
        <v>252.803</v>
      </c>
      <c r="D24" s="147">
        <v>1.3046875</v>
      </c>
      <c r="E24" s="147">
        <v>6.3772025147400005E-2</v>
      </c>
      <c r="F24" s="149">
        <v>1.767195767</v>
      </c>
      <c r="G24" s="189">
        <f t="shared" si="4"/>
        <v>8.6379039343561684E-2</v>
      </c>
      <c r="H24" s="38">
        <v>24</v>
      </c>
      <c r="I24" s="38">
        <v>167</v>
      </c>
      <c r="J24" s="1">
        <f t="shared" si="0"/>
        <v>4008</v>
      </c>
      <c r="K24" s="17">
        <f t="shared" si="1"/>
        <v>27.377049180327869</v>
      </c>
      <c r="L24" s="17">
        <f t="shared" si="2"/>
        <v>3.9344262295081971</v>
      </c>
      <c r="M24" s="18">
        <v>2</v>
      </c>
      <c r="N24" s="17">
        <v>42.801869119999999</v>
      </c>
      <c r="O24" s="17">
        <f t="shared" si="3"/>
        <v>7.0166998557377056</v>
      </c>
      <c r="P24" s="19" t="s">
        <v>151</v>
      </c>
      <c r="Q24" s="20">
        <v>630</v>
      </c>
      <c r="R24" s="18">
        <v>360</v>
      </c>
      <c r="S24" s="18">
        <v>226799.99999091402</v>
      </c>
    </row>
    <row r="25" spans="1:19" ht="14">
      <c r="A25" s="138" t="s">
        <v>90</v>
      </c>
      <c r="B25" s="143">
        <f>AVERAGE(B3:B5,B8:B16,B19:B21,B23:B24)</f>
        <v>12.895548039213528</v>
      </c>
      <c r="C25" s="143">
        <f>AVERAGE(C3:C5,C8:C16,C19:C21,C23:C24)</f>
        <v>773.73288235294126</v>
      </c>
      <c r="D25" s="143">
        <f>AVERAGE(D3:D5,D8:D16,D19:D21,D23:D24)</f>
        <v>1.1091260723047647</v>
      </c>
      <c r="E25" s="143">
        <f>SUM(E3:E5,E8:E16,E19:E21,E23:E24)</f>
        <v>2.3848301778839498</v>
      </c>
      <c r="F25" s="143">
        <f>AVERAGE(F3:F5,F8:F16,F19:F21,F23:F24)</f>
        <v>1.5023083306470588</v>
      </c>
      <c r="G25" s="143">
        <f>SUM(G3:G5,G8:G16,G19:G21,G23:G24)</f>
        <v>3.230246166899446</v>
      </c>
      <c r="H25" s="143">
        <f>AVERAGE(H3:H5,H8:H16,H19:H21,H23:H24)</f>
        <v>62.411764705882355</v>
      </c>
      <c r="I25" s="143">
        <f>AVERAGE(I3:I5,I8:I16,I19:I21,I23:I24)</f>
        <v>64.352941176470594</v>
      </c>
      <c r="J25" s="237">
        <f>AVERAGE(J3:J5,J8:J16,J19:J21,J23:J24)</f>
        <v>3407.2352941176468</v>
      </c>
      <c r="K25" s="61">
        <f t="shared" si="1"/>
        <v>10.549662487946</v>
      </c>
      <c r="L25" s="61">
        <f t="shared" si="2"/>
        <v>10.231436837029895</v>
      </c>
      <c r="M25" s="143">
        <f>AVERAGE(M3:M5,M8:M16,M19:M21,M23:M24)</f>
        <v>3.6470588235294117</v>
      </c>
      <c r="N25" s="143">
        <f>AVERAGE(N3:N5,N8:N16,N19:N21,N23:N24)</f>
        <v>384.40717248941178</v>
      </c>
      <c r="O25" s="61">
        <f t="shared" si="3"/>
        <v>63.017569260559313</v>
      </c>
      <c r="P25" s="79">
        <f>COUNTIF(P2:P24,"P")</f>
        <v>17</v>
      </c>
      <c r="Q25" s="18"/>
      <c r="R25" s="18"/>
      <c r="S25" s="18"/>
    </row>
    <row r="26" spans="1:19" ht="14">
      <c r="A26" s="139" t="s">
        <v>63</v>
      </c>
      <c r="B26" s="45">
        <f>AVERAGE(B22,B17:B18,B6:B7,B2)</f>
        <v>14.530644444445</v>
      </c>
      <c r="C26" s="45">
        <f>AVERAGE(C22,C17:C18,C6:C7,C2)</f>
        <v>871.83866666666665</v>
      </c>
      <c r="D26" s="45">
        <f>AVERAGE(D22,D17:D18,D6:D7,D2)</f>
        <v>2.66726345486</v>
      </c>
      <c r="E26" s="45">
        <f>SUM(E22,E17:E18,E6:E7,E2)</f>
        <v>3.0464622594675999</v>
      </c>
      <c r="F26" s="45">
        <f>AVERAGE(F22,F17:F18,F6:F7,F2)</f>
        <v>3.6128012936666658</v>
      </c>
      <c r="G26" s="45">
        <f>SUM(G22,G17:G18,G6:G7,G2)</f>
        <v>4.126425071336989</v>
      </c>
      <c r="H26" s="36">
        <f>AVERAGE(H22,H17:H18,H6:H7,H2)</f>
        <v>119.5</v>
      </c>
      <c r="I26" s="45">
        <f>AVERAGE(I22,I17:I18,I6:I7,I2)</f>
        <v>67.333333333333329</v>
      </c>
      <c r="J26" s="238">
        <f>AVERAGE(J22,J17:J18,J6:J7,J2)</f>
        <v>8193.8333333333339</v>
      </c>
      <c r="K26" s="44">
        <f t="shared" si="1"/>
        <v>11.038251366120219</v>
      </c>
      <c r="L26" s="44">
        <f t="shared" si="2"/>
        <v>19.590163934426229</v>
      </c>
      <c r="M26" s="45">
        <f>AVERAGE(M22,M17:M18,M6:M7,M2)</f>
        <v>6.666666666666667</v>
      </c>
      <c r="N26" s="45">
        <f>AVERAGE(N22,N17:N18,N6:N7,N2)</f>
        <v>806.21558622500004</v>
      </c>
      <c r="O26" s="44">
        <f t="shared" si="3"/>
        <v>132.16648954508199</v>
      </c>
      <c r="P26" s="80">
        <f>COUNTIF(P2:P24,"H")</f>
        <v>6</v>
      </c>
      <c r="Q26" s="18"/>
      <c r="R26" s="18"/>
      <c r="S26" s="18"/>
    </row>
    <row r="27" spans="1:19" ht="15" thickBot="1">
      <c r="A27" s="140" t="s">
        <v>161</v>
      </c>
      <c r="B27" s="65">
        <f>AVERAGE(B2:B24)</f>
        <v>13.322094927534783</v>
      </c>
      <c r="C27" s="65">
        <f>B27*60</f>
        <v>799.32569565208701</v>
      </c>
      <c r="D27" s="65">
        <f>AVERAGE(D2:D24)</f>
        <v>1.5155966938409131</v>
      </c>
      <c r="E27" s="239">
        <f>SUM(E2:E24)</f>
        <v>5.4312924373515497</v>
      </c>
      <c r="F27" s="65">
        <f>AVERAGE(F2:F24)</f>
        <v>2.0528717123043481</v>
      </c>
      <c r="G27" s="190">
        <f>SUM(G2:G24)</f>
        <v>7.3566712382364328</v>
      </c>
      <c r="H27" s="65">
        <f t="shared" ref="H27:I27" si="5">AVERAGE(H2:H24)</f>
        <v>77.304347826086953</v>
      </c>
      <c r="I27" s="65">
        <f t="shared" si="5"/>
        <v>65.130434782608702</v>
      </c>
      <c r="J27" s="240">
        <f>AVERAGE(J2:J24)</f>
        <v>4655.913043478261</v>
      </c>
      <c r="K27" s="65">
        <f t="shared" si="1"/>
        <v>10.677120456165362</v>
      </c>
      <c r="L27" s="65">
        <f>AVERAGE(L2:L24)</f>
        <v>12.672843905915895</v>
      </c>
      <c r="M27" s="65">
        <f>AVERAGE(M2:M24)</f>
        <v>4.4347826086956523</v>
      </c>
      <c r="N27" s="65">
        <f>AVERAGE(N2:N24)</f>
        <v>494.44414998565213</v>
      </c>
      <c r="O27" s="65">
        <f t="shared" si="3"/>
        <v>81.056418030434784</v>
      </c>
      <c r="P27" s="82">
        <f>P25+P26</f>
        <v>23</v>
      </c>
      <c r="Q27" s="18"/>
      <c r="R27" s="18"/>
      <c r="S27" s="18"/>
    </row>
    <row r="28" spans="1:19" ht="14">
      <c r="A28" s="241" t="s">
        <v>107</v>
      </c>
      <c r="B28" s="17"/>
      <c r="C28" s="17"/>
      <c r="D28" s="17"/>
      <c r="E28" s="17"/>
      <c r="F28" s="17"/>
      <c r="G28" s="17"/>
      <c r="H28" s="18"/>
      <c r="I28" s="18"/>
      <c r="J28" s="17"/>
      <c r="K28" s="17"/>
      <c r="L28"/>
      <c r="M28" s="18"/>
      <c r="N28" s="17"/>
      <c r="O28" s="17"/>
      <c r="P28" s="18"/>
      <c r="Q28" s="18"/>
      <c r="R28" s="18"/>
      <c r="S28" s="18"/>
    </row>
    <row r="29" spans="1:19" ht="14">
      <c r="A29" s="129">
        <v>5172</v>
      </c>
      <c r="B29" s="17"/>
      <c r="C29" s="17"/>
      <c r="D29" s="17"/>
      <c r="E29" s="17"/>
      <c r="F29" s="17"/>
      <c r="G29" s="17"/>
      <c r="H29" s="18"/>
      <c r="I29" s="18"/>
      <c r="J29" s="17"/>
      <c r="K29" s="17"/>
      <c r="L29"/>
      <c r="M29" s="18"/>
      <c r="N29" s="17"/>
      <c r="O29" s="17"/>
      <c r="P29" s="18"/>
      <c r="Q29" s="18"/>
      <c r="R29" s="18"/>
      <c r="S29" s="18"/>
    </row>
    <row r="30" spans="1:19">
      <c r="L30"/>
    </row>
    <row r="31" spans="1:19">
      <c r="L31"/>
    </row>
    <row r="32" spans="1:19">
      <c r="G32" s="180"/>
      <c r="L32"/>
    </row>
  </sheetData>
  <conditionalFormatting sqref="B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{69556C58-4324-774C-9284-92C38C5CF47C}</x14:id>
        </ext>
      </extLst>
    </cfRule>
  </conditionalFormatting>
  <conditionalFormatting sqref="B2:B24 B2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{B718EBF2-0DE9-4C4C-8EBC-4852150E2A52}</x14:id>
        </ext>
      </extLst>
    </cfRule>
  </conditionalFormatting>
  <pageMargins left="0.7" right="0.7" top="0.78740157499999996" bottom="0.78740157499999996" header="0.3" footer="0.3"/>
  <pageSetup paperSize="9" orientation="portrait" horizontalDpi="4294967292" verticalDpi="429496729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556C58-4324-774C-9284-92C38C5CF4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B718EBF2-0DE9-4C4C-8EBC-4852150E2A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B2:B24 B27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H15" sqref="H15"/>
    </sheetView>
  </sheetViews>
  <sheetFormatPr baseColWidth="10" defaultRowHeight="14" x14ac:dyDescent="0"/>
  <cols>
    <col min="1" max="1" width="15.33203125" style="14" bestFit="1" customWidth="1"/>
    <col min="2" max="2" width="19.83203125" style="9" bestFit="1" customWidth="1"/>
    <col min="3" max="3" width="10" style="9" bestFit="1" customWidth="1"/>
    <col min="4" max="4" width="30.33203125" style="9" bestFit="1" customWidth="1"/>
    <col min="5" max="5" width="34.5" style="9" bestFit="1" customWidth="1"/>
    <col min="6" max="6" width="21.5" style="14" bestFit="1" customWidth="1"/>
    <col min="7" max="7" width="33" style="14" bestFit="1" customWidth="1"/>
    <col min="8" max="9" width="12.1640625" style="14" bestFit="1" customWidth="1"/>
    <col min="10" max="10" width="12.1640625" style="9" bestFit="1" customWidth="1"/>
    <col min="11" max="12" width="9.33203125" style="9" bestFit="1" customWidth="1"/>
    <col min="13" max="13" width="10.6640625" style="9" bestFit="1" customWidth="1"/>
    <col min="14" max="14" width="14.1640625" style="9" bestFit="1" customWidth="1"/>
    <col min="15" max="15" width="14.6640625" style="9" bestFit="1" customWidth="1"/>
    <col min="16" max="16" width="5.5" bestFit="1" customWidth="1"/>
    <col min="17" max="18" width="8.6640625" style="14" bestFit="1" customWidth="1"/>
    <col min="19" max="19" width="10.5" style="14" bestFit="1" customWidth="1"/>
    <col min="20" max="16384" width="10.83203125" style="14"/>
  </cols>
  <sheetData>
    <row r="1" spans="1:19" customFormat="1" ht="15" thickBot="1">
      <c r="A1" s="5" t="s">
        <v>49</v>
      </c>
      <c r="B1" s="150" t="s">
        <v>152</v>
      </c>
      <c r="C1" s="151" t="s">
        <v>153</v>
      </c>
      <c r="D1" s="156" t="s">
        <v>158</v>
      </c>
      <c r="E1" s="156" t="s">
        <v>162</v>
      </c>
      <c r="F1" s="156" t="s">
        <v>157</v>
      </c>
      <c r="G1" s="157" t="s">
        <v>156</v>
      </c>
      <c r="H1" s="152" t="s">
        <v>1</v>
      </c>
      <c r="I1" s="152" t="s">
        <v>2</v>
      </c>
      <c r="J1" s="152" t="s">
        <v>109</v>
      </c>
      <c r="K1" s="151" t="s">
        <v>95</v>
      </c>
      <c r="L1" s="151" t="s">
        <v>96</v>
      </c>
      <c r="M1" s="152" t="s">
        <v>140</v>
      </c>
      <c r="N1" s="151" t="s">
        <v>165</v>
      </c>
      <c r="O1" s="151" t="s">
        <v>164</v>
      </c>
      <c r="P1" s="153" t="s">
        <v>154</v>
      </c>
      <c r="Q1" s="5" t="s">
        <v>17</v>
      </c>
      <c r="R1" s="5" t="s">
        <v>18</v>
      </c>
      <c r="S1" s="5" t="s">
        <v>19</v>
      </c>
    </row>
    <row r="2" spans="1:19">
      <c r="A2" s="158" t="s">
        <v>73</v>
      </c>
      <c r="B2" s="141">
        <v>22.9</v>
      </c>
      <c r="C2" s="10">
        <f t="shared" ref="C2:C16" si="0">B2*60</f>
        <v>1374</v>
      </c>
      <c r="D2" s="146">
        <v>3.40234375</v>
      </c>
      <c r="E2" s="146">
        <v>2.4398853405500001</v>
      </c>
      <c r="F2" s="10">
        <f t="shared" ref="F2:F14" si="1">J2/226800 *100</f>
        <v>4.6084656084656084</v>
      </c>
      <c r="G2" s="17">
        <f t="shared" ref="G2:G14" si="2">F2*C2 /1916</f>
        <v>3.3048182390562348</v>
      </c>
      <c r="H2" s="87">
        <v>156</v>
      </c>
      <c r="I2" s="87">
        <v>67</v>
      </c>
      <c r="J2" s="11">
        <f>H2*I2</f>
        <v>10452</v>
      </c>
      <c r="K2" s="10">
        <f t="shared" ref="K2:K16" si="3">H2/6.1</f>
        <v>25.57377049180328</v>
      </c>
      <c r="L2" s="10">
        <f t="shared" ref="L2:L16" si="4">I2/6.1</f>
        <v>10.983606557377049</v>
      </c>
      <c r="M2" s="11">
        <v>2</v>
      </c>
      <c r="N2" s="10">
        <v>27.513632984400001</v>
      </c>
      <c r="O2" s="10">
        <f t="shared" ref="O2:O16" si="5">(N2/6.1)</f>
        <v>4.510431636786886</v>
      </c>
      <c r="P2" s="19" t="s">
        <v>151</v>
      </c>
    </row>
    <row r="3" spans="1:19">
      <c r="A3" s="159" t="s">
        <v>24</v>
      </c>
      <c r="B3" s="142">
        <v>31.9</v>
      </c>
      <c r="C3" s="17">
        <f t="shared" si="0"/>
        <v>1914</v>
      </c>
      <c r="D3" s="147">
        <v>0.56966145833299997</v>
      </c>
      <c r="E3" s="147">
        <v>0.56906682215600002</v>
      </c>
      <c r="F3" s="17">
        <f t="shared" si="1"/>
        <v>0.77160493827160492</v>
      </c>
      <c r="G3" s="17">
        <f t="shared" si="2"/>
        <v>0.770799505141885</v>
      </c>
      <c r="H3" s="38">
        <v>35</v>
      </c>
      <c r="I3" s="38">
        <v>50</v>
      </c>
      <c r="J3" s="18">
        <f t="shared" ref="J3:J14" si="6">H3*I3</f>
        <v>1750</v>
      </c>
      <c r="K3" s="17">
        <f t="shared" si="3"/>
        <v>5.7377049180327875</v>
      </c>
      <c r="L3" s="17">
        <f t="shared" si="4"/>
        <v>8.1967213114754109</v>
      </c>
      <c r="M3" s="18">
        <v>3</v>
      </c>
      <c r="N3" s="17">
        <v>192.73324396199999</v>
      </c>
      <c r="O3" s="17">
        <f t="shared" si="5"/>
        <v>31.595613764262296</v>
      </c>
      <c r="P3" s="19" t="s">
        <v>151</v>
      </c>
    </row>
    <row r="4" spans="1:19">
      <c r="A4" s="159" t="s">
        <v>23</v>
      </c>
      <c r="B4" s="142">
        <v>22.566666666700002</v>
      </c>
      <c r="C4" s="17">
        <f t="shared" si="0"/>
        <v>1354.000000002</v>
      </c>
      <c r="D4" s="147">
        <v>1.3330078125</v>
      </c>
      <c r="E4" s="147">
        <v>0.94201074014899999</v>
      </c>
      <c r="F4" s="17">
        <f t="shared" si="1"/>
        <v>1.8055555555555554</v>
      </c>
      <c r="G4" s="17">
        <f t="shared" si="2"/>
        <v>1.2759510554414577</v>
      </c>
      <c r="H4" s="38">
        <v>65</v>
      </c>
      <c r="I4" s="38">
        <v>63</v>
      </c>
      <c r="J4" s="18">
        <f t="shared" si="6"/>
        <v>4095</v>
      </c>
      <c r="K4" s="17">
        <f t="shared" si="3"/>
        <v>10.655737704918034</v>
      </c>
      <c r="L4" s="17">
        <f t="shared" si="4"/>
        <v>10.327868852459018</v>
      </c>
      <c r="M4" s="18">
        <v>1</v>
      </c>
      <c r="N4" s="17">
        <v>0</v>
      </c>
      <c r="O4" s="17">
        <f t="shared" si="5"/>
        <v>0</v>
      </c>
      <c r="P4" s="19" t="s">
        <v>151</v>
      </c>
    </row>
    <row r="5" spans="1:19">
      <c r="A5" s="159" t="s">
        <v>89</v>
      </c>
      <c r="B5" s="142">
        <v>5.5</v>
      </c>
      <c r="C5" s="17">
        <f t="shared" si="0"/>
        <v>330</v>
      </c>
      <c r="D5" s="147">
        <v>0.83170572916700003</v>
      </c>
      <c r="E5" s="147">
        <v>0.14324785523200001</v>
      </c>
      <c r="F5" s="17">
        <f t="shared" si="1"/>
        <v>1.1265432098765431</v>
      </c>
      <c r="G5" s="17">
        <f t="shared" si="2"/>
        <v>0.19402884094950901</v>
      </c>
      <c r="H5" s="38">
        <v>35</v>
      </c>
      <c r="I5" s="38">
        <v>73</v>
      </c>
      <c r="J5" s="18">
        <f t="shared" si="6"/>
        <v>2555</v>
      </c>
      <c r="K5" s="17">
        <f t="shared" si="3"/>
        <v>5.7377049180327875</v>
      </c>
      <c r="L5" s="17">
        <f t="shared" si="4"/>
        <v>11.967213114754099</v>
      </c>
      <c r="M5" s="18">
        <v>1</v>
      </c>
      <c r="N5" s="17">
        <v>0</v>
      </c>
      <c r="O5" s="17">
        <f t="shared" si="5"/>
        <v>0</v>
      </c>
      <c r="P5" s="19" t="s">
        <v>151</v>
      </c>
    </row>
    <row r="6" spans="1:19">
      <c r="A6" s="159" t="s">
        <v>48</v>
      </c>
      <c r="B6" s="142">
        <v>28.537199999999999</v>
      </c>
      <c r="C6" s="17">
        <f t="shared" si="0"/>
        <v>1712.232</v>
      </c>
      <c r="D6" s="147">
        <v>3.40234375</v>
      </c>
      <c r="E6" s="147">
        <v>3.0405020061300001</v>
      </c>
      <c r="F6" s="17">
        <f t="shared" si="1"/>
        <v>4.6084656084656084</v>
      </c>
      <c r="G6" s="17">
        <f t="shared" si="2"/>
        <v>4.1183519236504615</v>
      </c>
      <c r="H6" s="38">
        <v>134</v>
      </c>
      <c r="I6" s="38">
        <v>78</v>
      </c>
      <c r="J6" s="18">
        <f t="shared" si="6"/>
        <v>10452</v>
      </c>
      <c r="K6" s="17">
        <f t="shared" si="3"/>
        <v>21.967213114754099</v>
      </c>
      <c r="L6" s="17">
        <f t="shared" si="4"/>
        <v>12.78688524590164</v>
      </c>
      <c r="M6" s="18">
        <v>5</v>
      </c>
      <c r="N6" s="17">
        <v>385.46379555099998</v>
      </c>
      <c r="O6" s="17">
        <f t="shared" si="5"/>
        <v>63.190786155901641</v>
      </c>
      <c r="P6" s="19" t="s">
        <v>155</v>
      </c>
    </row>
    <row r="7" spans="1:19">
      <c r="A7" s="159" t="s">
        <v>65</v>
      </c>
      <c r="B7" s="142">
        <v>17.916666666699999</v>
      </c>
      <c r="C7" s="17">
        <f t="shared" si="0"/>
        <v>1075.000000002</v>
      </c>
      <c r="D7" s="147">
        <v>2.513671875</v>
      </c>
      <c r="E7" s="147">
        <v>1.4103326021</v>
      </c>
      <c r="F7" s="17">
        <f t="shared" si="1"/>
        <v>3.4047619047619051</v>
      </c>
      <c r="G7" s="17">
        <f t="shared" si="2"/>
        <v>1.9102917785103641</v>
      </c>
      <c r="H7" s="38">
        <v>117</v>
      </c>
      <c r="I7" s="38">
        <v>66</v>
      </c>
      <c r="J7" s="18">
        <f t="shared" si="6"/>
        <v>7722</v>
      </c>
      <c r="K7" s="17">
        <f t="shared" si="3"/>
        <v>19.180327868852459</v>
      </c>
      <c r="L7" s="17">
        <f t="shared" si="4"/>
        <v>10.819672131147541</v>
      </c>
      <c r="M7" s="18">
        <v>3</v>
      </c>
      <c r="N7" s="17">
        <v>114.473431902</v>
      </c>
      <c r="O7" s="17">
        <f t="shared" si="5"/>
        <v>18.766136377377052</v>
      </c>
      <c r="P7" s="244" t="s">
        <v>155</v>
      </c>
    </row>
    <row r="8" spans="1:19">
      <c r="A8" s="159" t="s">
        <v>88</v>
      </c>
      <c r="B8" s="142">
        <v>0.33333333333300003</v>
      </c>
      <c r="C8" s="17">
        <f t="shared" si="0"/>
        <v>19.999999999980002</v>
      </c>
      <c r="D8" s="147">
        <v>1.841796875</v>
      </c>
      <c r="E8" s="147">
        <v>1.9225437108599999E-2</v>
      </c>
      <c r="F8" s="17">
        <f t="shared" si="1"/>
        <v>2.4947089947089949</v>
      </c>
      <c r="G8" s="17">
        <f t="shared" si="2"/>
        <v>2.604080370257307E-2</v>
      </c>
      <c r="H8" s="38">
        <v>69</v>
      </c>
      <c r="I8" s="38">
        <v>82</v>
      </c>
      <c r="J8" s="18">
        <f t="shared" si="6"/>
        <v>5658</v>
      </c>
      <c r="K8" s="17">
        <f t="shared" si="3"/>
        <v>11.311475409836067</v>
      </c>
      <c r="L8" s="17">
        <f t="shared" si="4"/>
        <v>13.442622950819674</v>
      </c>
      <c r="M8" s="18">
        <v>2</v>
      </c>
      <c r="N8" s="17">
        <v>134.79243302200001</v>
      </c>
      <c r="O8" s="17">
        <f t="shared" si="5"/>
        <v>22.097120167540986</v>
      </c>
      <c r="P8" s="19" t="s">
        <v>155</v>
      </c>
    </row>
    <row r="9" spans="1:19">
      <c r="A9" s="159" t="s">
        <v>87</v>
      </c>
      <c r="B9" s="142">
        <v>15.016666666700001</v>
      </c>
      <c r="C9" s="17">
        <f t="shared" si="0"/>
        <v>901.00000000200009</v>
      </c>
      <c r="D9" s="147">
        <v>0.55208333333299997</v>
      </c>
      <c r="E9" s="147">
        <v>0.25961747564400001</v>
      </c>
      <c r="F9" s="17">
        <f t="shared" si="1"/>
        <v>0.74779541446208109</v>
      </c>
      <c r="G9" s="17">
        <f t="shared" si="2"/>
        <v>0.35165118394145656</v>
      </c>
      <c r="H9" s="38">
        <v>16</v>
      </c>
      <c r="I9" s="38">
        <v>106</v>
      </c>
      <c r="J9" s="18">
        <f t="shared" si="6"/>
        <v>1696</v>
      </c>
      <c r="K9" s="17">
        <f t="shared" si="3"/>
        <v>2.6229508196721314</v>
      </c>
      <c r="L9" s="17">
        <f t="shared" si="4"/>
        <v>17.377049180327869</v>
      </c>
      <c r="M9" s="18">
        <v>1</v>
      </c>
      <c r="N9" s="17">
        <v>0</v>
      </c>
      <c r="O9" s="17">
        <f t="shared" si="5"/>
        <v>0</v>
      </c>
      <c r="P9" s="19" t="s">
        <v>151</v>
      </c>
    </row>
    <row r="10" spans="1:19">
      <c r="A10" s="159" t="s">
        <v>86</v>
      </c>
      <c r="B10" s="142">
        <v>7.4733999999999998</v>
      </c>
      <c r="C10" s="17">
        <f t="shared" si="0"/>
        <v>448.404</v>
      </c>
      <c r="D10" s="147">
        <v>18.748697916699999</v>
      </c>
      <c r="E10" s="147">
        <v>4.3877824324799999</v>
      </c>
      <c r="F10" s="17">
        <f t="shared" si="1"/>
        <v>25.395061728395063</v>
      </c>
      <c r="G10" s="17">
        <f t="shared" si="2"/>
        <v>5.943239696899405</v>
      </c>
      <c r="H10" s="38">
        <v>238</v>
      </c>
      <c r="I10" s="38">
        <v>242</v>
      </c>
      <c r="J10" s="18">
        <f t="shared" si="6"/>
        <v>57596</v>
      </c>
      <c r="K10" s="17">
        <f t="shared" si="3"/>
        <v>39.016393442622956</v>
      </c>
      <c r="L10" s="17">
        <f t="shared" si="4"/>
        <v>39.672131147540988</v>
      </c>
      <c r="M10" s="18">
        <v>2</v>
      </c>
      <c r="N10" s="17">
        <v>4.4721359549999997</v>
      </c>
      <c r="O10" s="17">
        <f t="shared" si="5"/>
        <v>0.73313704180327866</v>
      </c>
      <c r="P10" s="19" t="s">
        <v>151</v>
      </c>
    </row>
    <row r="11" spans="1:19">
      <c r="A11" s="159" t="s">
        <v>85</v>
      </c>
      <c r="B11" s="142">
        <v>0.7</v>
      </c>
      <c r="C11" s="17">
        <f t="shared" si="0"/>
        <v>42</v>
      </c>
      <c r="D11" s="147">
        <v>10.598958333300001</v>
      </c>
      <c r="E11" s="147">
        <v>0.23233624739</v>
      </c>
      <c r="F11" s="17">
        <f t="shared" si="1"/>
        <v>14.356261022927688</v>
      </c>
      <c r="G11" s="17">
        <f t="shared" si="2"/>
        <v>0.31469883244413516</v>
      </c>
      <c r="H11" s="38">
        <v>220</v>
      </c>
      <c r="I11" s="38">
        <v>148</v>
      </c>
      <c r="J11" s="18">
        <f t="shared" si="6"/>
        <v>32560</v>
      </c>
      <c r="K11" s="17">
        <f t="shared" si="3"/>
        <v>36.065573770491802</v>
      </c>
      <c r="L11" s="17">
        <f t="shared" si="4"/>
        <v>24.262295081967213</v>
      </c>
      <c r="M11" s="18">
        <v>2</v>
      </c>
      <c r="N11" s="17">
        <v>20.880613017799998</v>
      </c>
      <c r="O11" s="17">
        <f t="shared" si="5"/>
        <v>3.4230513143934425</v>
      </c>
      <c r="P11" s="19" t="s">
        <v>151</v>
      </c>
    </row>
    <row r="12" spans="1:19">
      <c r="A12" s="159" t="s">
        <v>84</v>
      </c>
      <c r="B12" s="142">
        <v>6.9</v>
      </c>
      <c r="C12" s="17">
        <f t="shared" si="0"/>
        <v>414</v>
      </c>
      <c r="D12" s="147">
        <v>3.8831380208300001</v>
      </c>
      <c r="E12" s="147">
        <v>0.83904965585900004</v>
      </c>
      <c r="F12" s="17">
        <f t="shared" si="1"/>
        <v>5.2597001763668434</v>
      </c>
      <c r="G12" s="17">
        <f t="shared" si="2"/>
        <v>1.1364905391523348</v>
      </c>
      <c r="H12" s="38">
        <v>79</v>
      </c>
      <c r="I12" s="38">
        <v>151</v>
      </c>
      <c r="J12" s="18">
        <f t="shared" si="6"/>
        <v>11929</v>
      </c>
      <c r="K12" s="17">
        <f t="shared" si="3"/>
        <v>12.950819672131148</v>
      </c>
      <c r="L12" s="17">
        <f t="shared" si="4"/>
        <v>24.754098360655739</v>
      </c>
      <c r="M12" s="18">
        <v>4</v>
      </c>
      <c r="N12" s="17">
        <v>414.97403778699999</v>
      </c>
      <c r="O12" s="17">
        <f t="shared" si="5"/>
        <v>68.028530784754096</v>
      </c>
      <c r="P12" s="19" t="s">
        <v>151</v>
      </c>
    </row>
    <row r="13" spans="1:19">
      <c r="A13" s="159" t="s">
        <v>83</v>
      </c>
      <c r="B13" s="142">
        <v>4.7333333333300001</v>
      </c>
      <c r="C13" s="17">
        <f t="shared" si="0"/>
        <v>283.99999999980002</v>
      </c>
      <c r="D13" s="147">
        <v>3.7356770833300001</v>
      </c>
      <c r="E13" s="147">
        <v>0.55372249043099997</v>
      </c>
      <c r="F13" s="17">
        <f t="shared" si="1"/>
        <v>5.0599647266313932</v>
      </c>
      <c r="G13" s="17">
        <f t="shared" si="2"/>
        <v>0.75001564841456358</v>
      </c>
      <c r="H13" s="38">
        <v>151</v>
      </c>
      <c r="I13" s="38">
        <v>76</v>
      </c>
      <c r="J13" s="18">
        <f t="shared" si="6"/>
        <v>11476</v>
      </c>
      <c r="K13" s="17">
        <f t="shared" si="3"/>
        <v>24.754098360655739</v>
      </c>
      <c r="L13" s="17">
        <f t="shared" si="4"/>
        <v>12.459016393442624</v>
      </c>
      <c r="M13" s="18">
        <v>2</v>
      </c>
      <c r="N13" s="17">
        <v>7.0710678118699999</v>
      </c>
      <c r="O13" s="17">
        <f t="shared" si="5"/>
        <v>1.1591914445688525</v>
      </c>
      <c r="P13" s="19" t="s">
        <v>151</v>
      </c>
    </row>
    <row r="14" spans="1:19" ht="15" thickBot="1">
      <c r="A14" s="159" t="s">
        <v>82</v>
      </c>
      <c r="B14" s="154">
        <v>1.95</v>
      </c>
      <c r="C14" s="60">
        <f t="shared" si="0"/>
        <v>117</v>
      </c>
      <c r="D14" s="155">
        <v>12.4453125</v>
      </c>
      <c r="E14" s="155">
        <v>0.75996950026099996</v>
      </c>
      <c r="F14" s="60">
        <f t="shared" si="1"/>
        <v>16.857142857142858</v>
      </c>
      <c r="G14" s="60">
        <f t="shared" si="2"/>
        <v>1.0293766776021473</v>
      </c>
      <c r="H14" s="96">
        <v>162</v>
      </c>
      <c r="I14" s="96">
        <v>236</v>
      </c>
      <c r="J14" s="22">
        <f t="shared" si="6"/>
        <v>38232</v>
      </c>
      <c r="K14" s="60">
        <f t="shared" si="3"/>
        <v>26.557377049180328</v>
      </c>
      <c r="L14" s="60">
        <f t="shared" si="4"/>
        <v>38.688524590163937</v>
      </c>
      <c r="M14" s="22">
        <v>4</v>
      </c>
      <c r="N14" s="60">
        <v>57.189196367599997</v>
      </c>
      <c r="O14" s="60">
        <f t="shared" si="5"/>
        <v>9.3752780930491806</v>
      </c>
      <c r="P14" s="19" t="s">
        <v>151</v>
      </c>
    </row>
    <row r="15" spans="1:19">
      <c r="A15" s="161" t="s">
        <v>90</v>
      </c>
      <c r="B15" s="61">
        <f>AVERAGE(B2:B5,B9:B14)</f>
        <v>11.964006666673001</v>
      </c>
      <c r="C15" s="61">
        <f t="shared" si="0"/>
        <v>717.84040000037999</v>
      </c>
      <c r="D15" s="61">
        <f>AVERAGE(D2:D5,D9:D14)</f>
        <v>5.6100585937493008</v>
      </c>
      <c r="E15" s="143">
        <v>11.1266885602</v>
      </c>
      <c r="F15" s="61">
        <f>AVERAGE(F2:F5,F9:F14)</f>
        <v>7.5988095238095239</v>
      </c>
      <c r="G15" s="61">
        <f>SUM(G2:G5,G9:G14)</f>
        <v>15.071070219043129</v>
      </c>
      <c r="H15" s="61">
        <f>AVERAGE(H2:H5,H9:H14)</f>
        <v>115.7</v>
      </c>
      <c r="I15" s="61">
        <f>AVERAGE(I2:I5,I9:I14)</f>
        <v>121.2</v>
      </c>
      <c r="J15" s="61">
        <f>AVERAGE(J2:J5,J9:J14)</f>
        <v>17234.099999999999</v>
      </c>
      <c r="K15" s="61">
        <f t="shared" si="3"/>
        <v>18.967213114754099</v>
      </c>
      <c r="L15" s="61">
        <f t="shared" si="4"/>
        <v>19.868852459016395</v>
      </c>
      <c r="M15" s="61">
        <f>AVERAGE(M2:M5,M9:M14)</f>
        <v>2.2000000000000002</v>
      </c>
      <c r="N15" s="61">
        <f>AVERAGE(N2:N5,N9:N14)</f>
        <v>72.483392788566988</v>
      </c>
      <c r="O15" s="61">
        <f t="shared" si="5"/>
        <v>11.882523407961802</v>
      </c>
      <c r="P15" s="79">
        <f>COUNTIF(P2:P14,"P")</f>
        <v>10</v>
      </c>
    </row>
    <row r="16" spans="1:19">
      <c r="A16" s="162" t="s">
        <v>63</v>
      </c>
      <c r="B16" s="44">
        <f>AVERAGE(B6:B8)</f>
        <v>15.595733333344333</v>
      </c>
      <c r="C16" s="44">
        <f t="shared" si="0"/>
        <v>935.74400000065998</v>
      </c>
      <c r="D16" s="44">
        <f>AVERAGE(D6:D8)</f>
        <v>2.5859375</v>
      </c>
      <c r="E16" s="44">
        <f>SUM(E6:E8)</f>
        <v>4.4700600453385997</v>
      </c>
      <c r="F16" s="44">
        <f>AVERAGE(F6:F8)</f>
        <v>3.5026455026455028</v>
      </c>
      <c r="G16" s="44">
        <f>SUM(G6:G8)</f>
        <v>6.0546845058633991</v>
      </c>
      <c r="H16" s="44">
        <f>AVERAGE(H6:H8)</f>
        <v>106.66666666666667</v>
      </c>
      <c r="I16" s="44">
        <f>AVERAGE(I6:I8)</f>
        <v>75.333333333333329</v>
      </c>
      <c r="J16" s="44">
        <f>AVERAGE(J6:J8)</f>
        <v>7944</v>
      </c>
      <c r="K16" s="44">
        <f t="shared" si="3"/>
        <v>17.486338797814209</v>
      </c>
      <c r="L16" s="44">
        <f t="shared" si="4"/>
        <v>12.349726775956285</v>
      </c>
      <c r="M16" s="44">
        <f>AVERAGE(M6:M8)</f>
        <v>3.3333333333333335</v>
      </c>
      <c r="N16" s="44">
        <f>AVERAGE(N6:N8)</f>
        <v>211.57655349166666</v>
      </c>
      <c r="O16" s="44">
        <f t="shared" si="5"/>
        <v>34.684680900273221</v>
      </c>
      <c r="P16" s="31">
        <f>COUNTIF(P2:P14,"H")</f>
        <v>3</v>
      </c>
    </row>
    <row r="17" spans="1:16" ht="15" thickBot="1">
      <c r="A17" s="163" t="s">
        <v>161</v>
      </c>
      <c r="B17" s="65">
        <f>AVERAGE(B2:B14)</f>
        <v>12.802097435904843</v>
      </c>
      <c r="C17" s="65">
        <f>AVERAGE(C2:C14)</f>
        <v>768.12584615429091</v>
      </c>
      <c r="D17" s="65">
        <f>AVERAGE(D2:D14)</f>
        <v>4.9121844951917701</v>
      </c>
      <c r="E17" s="65">
        <f>SUM(E2:E14)</f>
        <v>15.5967486054906</v>
      </c>
      <c r="F17" s="65">
        <f>AVERAGE(F2:F14)</f>
        <v>6.6535409035409039</v>
      </c>
      <c r="G17" s="65">
        <f>SUM(G2:G14)</f>
        <v>21.125754724906528</v>
      </c>
      <c r="H17" s="81">
        <f t="shared" ref="H17:O17" si="7">AVERAGE(H2:H14)</f>
        <v>113.61538461538461</v>
      </c>
      <c r="I17" s="81">
        <f t="shared" si="7"/>
        <v>110.61538461538461</v>
      </c>
      <c r="J17" s="81">
        <f t="shared" si="7"/>
        <v>15090.23076923077</v>
      </c>
      <c r="K17" s="65">
        <f t="shared" si="7"/>
        <v>18.62547288776797</v>
      </c>
      <c r="L17" s="65">
        <f t="shared" si="7"/>
        <v>18.133669609079448</v>
      </c>
      <c r="M17" s="65">
        <f t="shared" si="7"/>
        <v>2.4615384615384617</v>
      </c>
      <c r="N17" s="65">
        <f t="shared" si="7"/>
        <v>104.58181448928232</v>
      </c>
      <c r="O17" s="65">
        <f t="shared" si="7"/>
        <v>17.144559752341362</v>
      </c>
      <c r="P17" s="34">
        <f>P15+P16</f>
        <v>13</v>
      </c>
    </row>
    <row r="18" spans="1:16">
      <c r="A18" s="160" t="s">
        <v>163</v>
      </c>
      <c r="B18" s="17"/>
      <c r="C18" s="17"/>
      <c r="D18" s="17"/>
      <c r="E18" s="17"/>
      <c r="F18" s="18"/>
      <c r="G18" s="18"/>
      <c r="H18" s="18"/>
      <c r="I18" s="18"/>
      <c r="J18" s="17"/>
      <c r="K18" s="17"/>
      <c r="L18" s="17"/>
      <c r="M18" s="17"/>
      <c r="N18" s="17"/>
      <c r="O18" s="17"/>
      <c r="P18" s="14"/>
    </row>
    <row r="19" spans="1:16">
      <c r="A19" s="18">
        <v>1916</v>
      </c>
      <c r="B19" s="17"/>
      <c r="C19" s="17"/>
      <c r="D19" s="17"/>
      <c r="E19" s="17"/>
      <c r="F19" s="18"/>
      <c r="G19" s="18"/>
      <c r="H19" s="18"/>
      <c r="I19" s="18"/>
      <c r="J19" s="17"/>
      <c r="K19" s="17"/>
      <c r="L19" s="17"/>
      <c r="M19" s="17"/>
      <c r="N19" s="17"/>
      <c r="O19" s="17"/>
      <c r="P19" s="14"/>
    </row>
  </sheetData>
  <conditionalFormatting sqref="B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{D99507B2-54C8-1444-9C88-0E11ABF179BB}</x14:id>
        </ext>
      </extLst>
    </cfRule>
  </conditionalFormatting>
  <conditionalFormatting sqref="B1:B14 B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{19C763E7-2655-9A4B-85E0-45C3380A22EB}</x14:id>
        </ext>
      </extLst>
    </cfRule>
  </conditionalFormatting>
  <pageMargins left="0.7" right="0.7" top="0.78740157499999996" bottom="0.78740157499999996" header="0.3" footer="0.3"/>
  <pageSetup paperSize="9" orientation="portrait" horizontalDpi="4294967292" verticalDpi="429496729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9507B2-54C8-1444-9C88-0E11ABF179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19C763E7-2655-9A4B-85E0-45C3380A22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B1:B14 B17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topLeftCell="G1" workbookViewId="0">
      <selection activeCell="O36" sqref="O36"/>
    </sheetView>
  </sheetViews>
  <sheetFormatPr baseColWidth="10" defaultRowHeight="14" x14ac:dyDescent="0"/>
  <cols>
    <col min="1" max="1" width="25.1640625" style="109" customWidth="1"/>
    <col min="2" max="2" width="16.5" style="99" customWidth="1"/>
    <col min="3" max="3" width="16.6640625" style="86" customWidth="1"/>
    <col min="4" max="4" width="15" style="86" customWidth="1"/>
    <col min="5" max="5" width="15.33203125" style="86" customWidth="1"/>
    <col min="6" max="6" width="14.83203125" style="86" customWidth="1"/>
    <col min="7" max="7" width="17.5" style="86" customWidth="1"/>
    <col min="8" max="8" width="3" style="86" customWidth="1"/>
    <col min="9" max="9" width="19.5" style="86" customWidth="1"/>
    <col min="10" max="10" width="16.83203125" style="86" customWidth="1"/>
    <col min="11" max="13" width="15.5" style="86" customWidth="1"/>
    <col min="14" max="14" width="24.33203125" style="86" customWidth="1"/>
    <col min="15" max="15" width="17.1640625" style="14" customWidth="1"/>
    <col min="16" max="16" width="15.5" style="14" customWidth="1"/>
    <col min="17" max="17" width="15.83203125" style="14" customWidth="1"/>
    <col min="18" max="16384" width="10.83203125" style="14"/>
  </cols>
  <sheetData>
    <row r="1" spans="1:22">
      <c r="A1" s="83" t="s">
        <v>92</v>
      </c>
      <c r="B1" s="84" t="s">
        <v>90</v>
      </c>
      <c r="C1" s="84" t="s">
        <v>63</v>
      </c>
      <c r="D1" s="85" t="s">
        <v>92</v>
      </c>
      <c r="E1" s="84" t="s">
        <v>90</v>
      </c>
      <c r="F1" s="84" t="s">
        <v>63</v>
      </c>
      <c r="I1" s="38"/>
      <c r="J1" s="263" t="s">
        <v>128</v>
      </c>
      <c r="K1" s="264"/>
      <c r="L1" s="263" t="s">
        <v>130</v>
      </c>
      <c r="M1" s="265"/>
      <c r="N1" s="87" t="s">
        <v>127</v>
      </c>
      <c r="O1" s="12"/>
      <c r="R1" s="18"/>
      <c r="S1" s="18"/>
      <c r="T1" s="18"/>
      <c r="U1" s="18"/>
      <c r="V1" s="18"/>
    </row>
    <row r="2" spans="1:22">
      <c r="A2" s="88" t="s">
        <v>122</v>
      </c>
      <c r="B2" s="245">
        <f>'Video 1'!P12</f>
        <v>8</v>
      </c>
      <c r="C2" s="257">
        <f>'Video 1'!P13</f>
        <v>2</v>
      </c>
      <c r="D2" s="89">
        <f>(B2+C2)</f>
        <v>10</v>
      </c>
      <c r="E2" s="246">
        <f>(B2/D2)*100 %</f>
        <v>0.8</v>
      </c>
      <c r="F2" s="246">
        <f>(C2/D2)*100 %</f>
        <v>0.2</v>
      </c>
      <c r="I2" s="38"/>
      <c r="J2" s="256" t="s">
        <v>129</v>
      </c>
      <c r="K2" s="84" t="s">
        <v>131</v>
      </c>
      <c r="L2" s="102" t="s">
        <v>129</v>
      </c>
      <c r="M2" s="102" t="s">
        <v>131</v>
      </c>
      <c r="N2" s="84" t="s">
        <v>129</v>
      </c>
      <c r="O2" s="85" t="s">
        <v>131</v>
      </c>
      <c r="R2" s="18"/>
      <c r="S2" s="262"/>
      <c r="T2" s="18"/>
      <c r="U2" s="38"/>
      <c r="V2" s="18"/>
    </row>
    <row r="3" spans="1:22">
      <c r="A3" s="92" t="s">
        <v>123</v>
      </c>
      <c r="B3" s="90">
        <f>'Video 2'!P29</f>
        <v>26</v>
      </c>
      <c r="C3" s="38">
        <f>'Video 2'!P30</f>
        <v>1</v>
      </c>
      <c r="D3" s="91">
        <f t="shared" ref="D3:D6" si="0">(B3+C3)</f>
        <v>27</v>
      </c>
      <c r="E3" s="247">
        <f t="shared" ref="E3:E7" si="1">(B3/D3)*100 %</f>
        <v>0.96296296296296291</v>
      </c>
      <c r="F3" s="247">
        <f t="shared" ref="F3:F7" si="2">(C3/D3)*100 %</f>
        <v>3.7037037037037035E-2</v>
      </c>
      <c r="I3" s="101" t="s">
        <v>122</v>
      </c>
      <c r="J3" s="208">
        <f t="shared" ref="J3:K8" si="3">E2</f>
        <v>0.8</v>
      </c>
      <c r="K3" s="117">
        <f t="shared" si="3"/>
        <v>0.2</v>
      </c>
      <c r="L3" s="117">
        <f t="shared" ref="L3:M8" si="4">E11</f>
        <v>0.70125786163576409</v>
      </c>
      <c r="M3" s="118">
        <f t="shared" si="4"/>
        <v>0.29874213836423585</v>
      </c>
      <c r="N3" s="258">
        <f>VAR(J3,L3)</f>
        <v>4.8750049443709587E-3</v>
      </c>
      <c r="O3" s="259">
        <f>VAR(K3,M3)</f>
        <v>4.8750049443709448E-3</v>
      </c>
      <c r="R3" s="18"/>
      <c r="S3" s="262"/>
      <c r="T3" s="18"/>
      <c r="U3" s="38"/>
      <c r="V3" s="18"/>
    </row>
    <row r="4" spans="1:22">
      <c r="A4" s="92" t="s">
        <v>124</v>
      </c>
      <c r="B4" s="90">
        <f>'Video 3'!P18</f>
        <v>16</v>
      </c>
      <c r="C4" s="38">
        <f>'Video 3'!P19</f>
        <v>0</v>
      </c>
      <c r="D4" s="91">
        <f t="shared" si="0"/>
        <v>16</v>
      </c>
      <c r="E4" s="247">
        <f t="shared" si="1"/>
        <v>1</v>
      </c>
      <c r="F4" s="247">
        <f t="shared" si="2"/>
        <v>0</v>
      </c>
      <c r="I4" s="191" t="s">
        <v>123</v>
      </c>
      <c r="J4" s="93">
        <f t="shared" si="3"/>
        <v>0.96296296296296291</v>
      </c>
      <c r="K4" s="122">
        <f t="shared" si="3"/>
        <v>3.7037037037037035E-2</v>
      </c>
      <c r="L4" s="122">
        <f t="shared" si="4"/>
        <v>0.99772554965902327</v>
      </c>
      <c r="M4" s="105">
        <f t="shared" si="4"/>
        <v>2.2744503411712765E-3</v>
      </c>
      <c r="N4" s="258">
        <f t="shared" ref="N4:N8" si="5">VAR(J4,L4)</f>
        <v>6.042187169005564E-4</v>
      </c>
      <c r="O4" s="259">
        <f t="shared" ref="O4:O8" si="6">VAR(K4,M4)</f>
        <v>6.0421871689379152E-4</v>
      </c>
      <c r="R4" s="18"/>
      <c r="S4" s="262"/>
      <c r="T4" s="18"/>
      <c r="U4" s="38"/>
      <c r="V4" s="18"/>
    </row>
    <row r="5" spans="1:22">
      <c r="A5" s="92" t="s">
        <v>125</v>
      </c>
      <c r="B5" s="90">
        <f>'Video 4'!P25</f>
        <v>17</v>
      </c>
      <c r="C5" s="38">
        <f>'Video 4'!P26</f>
        <v>6</v>
      </c>
      <c r="D5" s="91">
        <f t="shared" si="0"/>
        <v>23</v>
      </c>
      <c r="E5" s="247">
        <f t="shared" si="1"/>
        <v>0.73913043478260865</v>
      </c>
      <c r="F5" s="247">
        <f t="shared" si="2"/>
        <v>0.2608695652173913</v>
      </c>
      <c r="I5" s="191" t="s">
        <v>124</v>
      </c>
      <c r="J5" s="93">
        <f t="shared" si="3"/>
        <v>1</v>
      </c>
      <c r="K5" s="122">
        <f t="shared" si="3"/>
        <v>0</v>
      </c>
      <c r="L5" s="122">
        <f t="shared" si="4"/>
        <v>1</v>
      </c>
      <c r="M5" s="105">
        <f t="shared" si="4"/>
        <v>0</v>
      </c>
      <c r="N5" s="258">
        <f t="shared" si="5"/>
        <v>0</v>
      </c>
      <c r="O5" s="259">
        <f t="shared" si="6"/>
        <v>0</v>
      </c>
      <c r="R5" s="18"/>
      <c r="S5" s="262"/>
      <c r="T5" s="18"/>
      <c r="U5" s="38"/>
      <c r="V5" s="18"/>
    </row>
    <row r="6" spans="1:22">
      <c r="A6" s="94" t="s">
        <v>126</v>
      </c>
      <c r="B6" s="95">
        <f>'Video 5'!P15</f>
        <v>10</v>
      </c>
      <c r="C6" s="96">
        <f>'Video 5'!P16</f>
        <v>3</v>
      </c>
      <c r="D6" s="97">
        <f t="shared" si="0"/>
        <v>13</v>
      </c>
      <c r="E6" s="247">
        <f t="shared" si="1"/>
        <v>0.76923076923076927</v>
      </c>
      <c r="F6" s="247">
        <f t="shared" si="2"/>
        <v>0.23076923076923078</v>
      </c>
      <c r="I6" s="191" t="s">
        <v>125</v>
      </c>
      <c r="J6" s="93">
        <f t="shared" si="3"/>
        <v>0.73913043478260865</v>
      </c>
      <c r="K6" s="122">
        <f t="shared" si="3"/>
        <v>0.2608695652173913</v>
      </c>
      <c r="L6" s="122">
        <f t="shared" si="4"/>
        <v>0.7082152974503334</v>
      </c>
      <c r="M6" s="105">
        <f t="shared" si="4"/>
        <v>0.29178470254907957</v>
      </c>
      <c r="N6" s="258">
        <f t="shared" si="5"/>
        <v>4.778728581367193E-4</v>
      </c>
      <c r="O6" s="259">
        <f t="shared" si="6"/>
        <v>4.7787285811857284E-4</v>
      </c>
      <c r="R6" s="18"/>
      <c r="S6" s="262"/>
      <c r="T6" s="18"/>
      <c r="U6" s="38"/>
      <c r="V6" s="18"/>
    </row>
    <row r="7" spans="1:22">
      <c r="A7" s="94" t="s">
        <v>106</v>
      </c>
      <c r="B7" s="95">
        <f>AVERAGE(B2:B6)</f>
        <v>15.4</v>
      </c>
      <c r="C7" s="96">
        <f>AVERAGE(C2:C6)</f>
        <v>2.4</v>
      </c>
      <c r="D7" s="97">
        <f t="shared" ref="D7" si="7">AVERAGE(D2:D6)</f>
        <v>17.8</v>
      </c>
      <c r="E7" s="269">
        <f t="shared" si="1"/>
        <v>0.8651685393258427</v>
      </c>
      <c r="F7" s="269">
        <f t="shared" si="2"/>
        <v>0.1348314606741573</v>
      </c>
      <c r="I7" s="106" t="s">
        <v>126</v>
      </c>
      <c r="J7" s="100">
        <f t="shared" si="3"/>
        <v>0.76923076923076927</v>
      </c>
      <c r="K7" s="126">
        <f t="shared" si="3"/>
        <v>0.23076923076923078</v>
      </c>
      <c r="L7" s="126">
        <f t="shared" si="4"/>
        <v>0.71856287425149701</v>
      </c>
      <c r="M7" s="127">
        <f t="shared" si="4"/>
        <v>0.28143712574850299</v>
      </c>
      <c r="N7" s="258">
        <f t="shared" si="5"/>
        <v>1.2836177908152819E-3</v>
      </c>
      <c r="O7" s="259">
        <f t="shared" si="6"/>
        <v>1.2836177908152791E-3</v>
      </c>
      <c r="R7" s="18"/>
      <c r="S7" s="18"/>
      <c r="T7" s="18"/>
      <c r="U7" s="18"/>
      <c r="V7" s="18"/>
    </row>
    <row r="8" spans="1:22">
      <c r="A8" s="98" t="s">
        <v>172</v>
      </c>
      <c r="B8" s="99">
        <f>SUM(B2:B6)</f>
        <v>77</v>
      </c>
      <c r="C8" s="99">
        <f>SUM(C2:C6)</f>
        <v>12</v>
      </c>
      <c r="D8" s="99">
        <f>SUM(D2:D6)</f>
        <v>89</v>
      </c>
      <c r="I8" s="106" t="s">
        <v>106</v>
      </c>
      <c r="J8" s="107">
        <f t="shared" si="3"/>
        <v>0.8651685393258427</v>
      </c>
      <c r="K8" s="255">
        <f t="shared" si="3"/>
        <v>0.1348314606741573</v>
      </c>
      <c r="L8" s="255">
        <f t="shared" si="4"/>
        <v>0.86800526696903879</v>
      </c>
      <c r="M8" s="108">
        <f t="shared" si="4"/>
        <v>0.13199473303094678</v>
      </c>
      <c r="N8" s="260">
        <f t="shared" si="5"/>
        <v>4.0235118608364238E-6</v>
      </c>
      <c r="O8" s="261">
        <f t="shared" si="6"/>
        <v>4.023511860877366E-6</v>
      </c>
      <c r="R8" s="18"/>
      <c r="S8" s="18"/>
      <c r="T8" s="18"/>
      <c r="U8" s="18"/>
      <c r="V8" s="18"/>
    </row>
    <row r="9" spans="1:22">
      <c r="R9" s="18"/>
      <c r="S9" s="18"/>
      <c r="T9" s="18"/>
      <c r="U9" s="18"/>
      <c r="V9" s="18"/>
    </row>
    <row r="10" spans="1:22">
      <c r="A10" s="101" t="s">
        <v>93</v>
      </c>
      <c r="B10" s="102" t="s">
        <v>90</v>
      </c>
      <c r="C10" s="102" t="s">
        <v>63</v>
      </c>
      <c r="D10" s="103" t="s">
        <v>91</v>
      </c>
      <c r="E10" s="104" t="s">
        <v>90</v>
      </c>
      <c r="F10" s="104" t="s">
        <v>63</v>
      </c>
    </row>
    <row r="11" spans="1:22">
      <c r="A11" s="88" t="s">
        <v>122</v>
      </c>
      <c r="B11" s="202">
        <v>2.7970353477800001</v>
      </c>
      <c r="C11" s="202">
        <v>1.1915621436699999</v>
      </c>
      <c r="D11" s="203">
        <v>3.9885974914500002</v>
      </c>
      <c r="E11" s="248">
        <f>B11/D11 *100 %</f>
        <v>0.70125786163576409</v>
      </c>
      <c r="F11" s="249">
        <f>(C11/D11)*100 %</f>
        <v>0.29874213836423585</v>
      </c>
      <c r="I11" s="101" t="s">
        <v>94</v>
      </c>
      <c r="J11" s="102" t="s">
        <v>90</v>
      </c>
      <c r="K11" s="102" t="s">
        <v>63</v>
      </c>
      <c r="L11" s="103" t="s">
        <v>91</v>
      </c>
      <c r="N11" s="101" t="s">
        <v>97</v>
      </c>
      <c r="O11" s="102" t="s">
        <v>90</v>
      </c>
      <c r="P11" s="102" t="s">
        <v>63</v>
      </c>
      <c r="Q11" s="103" t="s">
        <v>91</v>
      </c>
    </row>
    <row r="12" spans="1:22">
      <c r="A12" s="92" t="s">
        <v>123</v>
      </c>
      <c r="B12" s="194">
        <v>8.20341207349</v>
      </c>
      <c r="C12" s="194">
        <v>1.87007874016E-2</v>
      </c>
      <c r="D12" s="195">
        <v>8.2221128608900003</v>
      </c>
      <c r="E12" s="248">
        <f t="shared" ref="E12:E15" si="8">B12/D12 *100 %</f>
        <v>0.99772554965902327</v>
      </c>
      <c r="F12" s="249">
        <f t="shared" ref="F12:F15" si="9">(C12/D12)*100 %</f>
        <v>2.2744503411712765E-3</v>
      </c>
      <c r="I12" s="88" t="s">
        <v>122</v>
      </c>
      <c r="J12" s="192">
        <f>'Video 1'!C12</f>
        <v>3065.2132500000002</v>
      </c>
      <c r="K12" s="202">
        <f>'Video 1'!C13</f>
        <v>5223.4290000000001</v>
      </c>
      <c r="L12" s="203">
        <f>'Video 1'!C14</f>
        <v>3496.8564000000001</v>
      </c>
      <c r="N12" s="88" t="s">
        <v>122</v>
      </c>
      <c r="O12" s="202">
        <f t="shared" ref="O12:Q13" si="10">(J12)/60</f>
        <v>51.086887500000003</v>
      </c>
      <c r="P12" s="202">
        <f t="shared" si="10"/>
        <v>87.057150000000007</v>
      </c>
      <c r="Q12" s="203">
        <f t="shared" si="10"/>
        <v>58.280940000000001</v>
      </c>
    </row>
    <row r="13" spans="1:22">
      <c r="A13" s="92" t="s">
        <v>124</v>
      </c>
      <c r="B13" s="194">
        <v>6.9917491749199998</v>
      </c>
      <c r="C13" s="194">
        <v>0</v>
      </c>
      <c r="D13" s="195">
        <v>6.9917491749199998</v>
      </c>
      <c r="E13" s="248">
        <f t="shared" si="8"/>
        <v>1</v>
      </c>
      <c r="F13" s="249">
        <f t="shared" si="9"/>
        <v>0</v>
      </c>
      <c r="I13" s="92" t="s">
        <v>123</v>
      </c>
      <c r="J13" s="193">
        <f>'Video 2'!C29</f>
        <v>9610.6588076944608</v>
      </c>
      <c r="K13" s="194">
        <f>'Video 2'!C30</f>
        <v>964.99999999800002</v>
      </c>
      <c r="L13" s="195">
        <f>'Video 2'!C31</f>
        <v>9290.4492222242206</v>
      </c>
      <c r="N13" s="92" t="s">
        <v>123</v>
      </c>
      <c r="O13" s="194">
        <f t="shared" si="10"/>
        <v>160.17764679490767</v>
      </c>
      <c r="P13" s="194">
        <f t="shared" si="10"/>
        <v>16.083333333300001</v>
      </c>
      <c r="Q13" s="195">
        <f t="shared" si="10"/>
        <v>154.84082037040369</v>
      </c>
    </row>
    <row r="14" spans="1:22">
      <c r="A14" s="92" t="s">
        <v>125</v>
      </c>
      <c r="B14" s="194">
        <v>2.4131274131299998</v>
      </c>
      <c r="C14" s="194">
        <v>0.99420849420799995</v>
      </c>
      <c r="D14" s="195">
        <v>3.4073359073399998</v>
      </c>
      <c r="E14" s="248">
        <f t="shared" si="8"/>
        <v>0.7082152974503334</v>
      </c>
      <c r="F14" s="249">
        <f t="shared" si="9"/>
        <v>0.29178470254907957</v>
      </c>
      <c r="I14" s="92" t="s">
        <v>124</v>
      </c>
      <c r="J14" s="193">
        <f>'Video 3'!C18</f>
        <v>2877.3544375022625</v>
      </c>
      <c r="K14" s="194">
        <f>'Video 3'!C19</f>
        <v>0</v>
      </c>
      <c r="L14" s="195">
        <f>'Video 3'!C20</f>
        <v>2877.3544375022625</v>
      </c>
      <c r="N14" s="92" t="s">
        <v>124</v>
      </c>
      <c r="O14" s="194">
        <f>(J14)/60</f>
        <v>47.955907291704378</v>
      </c>
      <c r="P14" s="194">
        <f>(K14)/60</f>
        <v>0</v>
      </c>
      <c r="Q14" s="195">
        <f>(L14)/60</f>
        <v>47.955907291704378</v>
      </c>
    </row>
    <row r="15" spans="1:22">
      <c r="A15" s="94" t="s">
        <v>126</v>
      </c>
      <c r="B15" s="197">
        <v>3.75</v>
      </c>
      <c r="C15" s="197">
        <v>1.46875</v>
      </c>
      <c r="D15" s="198">
        <v>5.21875</v>
      </c>
      <c r="E15" s="248">
        <f t="shared" si="8"/>
        <v>0.71856287425149701</v>
      </c>
      <c r="F15" s="249">
        <f t="shared" si="9"/>
        <v>0.28143712574850299</v>
      </c>
      <c r="I15" s="92" t="s">
        <v>125</v>
      </c>
      <c r="J15" s="193">
        <f>'Video 4'!C25</f>
        <v>773.73288235294126</v>
      </c>
      <c r="K15" s="194">
        <f>'Video 4'!C26</f>
        <v>871.83866666666665</v>
      </c>
      <c r="L15" s="195">
        <f>'Video 4'!C27</f>
        <v>799.32569565208701</v>
      </c>
      <c r="N15" s="92" t="s">
        <v>125</v>
      </c>
      <c r="O15" s="194">
        <f>(J15)/60</f>
        <v>12.895548039215688</v>
      </c>
      <c r="P15" s="194">
        <f>(K15)/60</f>
        <v>14.530644444444444</v>
      </c>
      <c r="Q15" s="195">
        <f>(L15)/60</f>
        <v>13.322094927534783</v>
      </c>
    </row>
    <row r="16" spans="1:22">
      <c r="A16" s="106" t="s">
        <v>99</v>
      </c>
      <c r="B16" s="219">
        <f>AVERAGE(B11:B15)</f>
        <v>4.8310648018639997</v>
      </c>
      <c r="C16" s="197">
        <f>AVERAGE(C11:C15)</f>
        <v>0.73464428505591994</v>
      </c>
      <c r="D16" s="198">
        <f>AVERAGE(D11:D15)</f>
        <v>5.5657090869200001</v>
      </c>
      <c r="E16" s="250">
        <f>B16/D16 *100 %</f>
        <v>0.86800526696903879</v>
      </c>
      <c r="F16" s="251">
        <f>(C16/D16)*100 %</f>
        <v>0.13199473303094678</v>
      </c>
      <c r="I16" s="94" t="s">
        <v>126</v>
      </c>
      <c r="J16" s="196">
        <f>'Video 5'!C15</f>
        <v>717.84040000037999</v>
      </c>
      <c r="K16" s="197">
        <f>'Video 5'!C16</f>
        <v>935.74400000065998</v>
      </c>
      <c r="L16" s="198">
        <f>'Video 5'!C17</f>
        <v>768.12584615429091</v>
      </c>
      <c r="N16" s="94" t="s">
        <v>126</v>
      </c>
      <c r="O16" s="197">
        <f>(J16)/60</f>
        <v>11.964006666672999</v>
      </c>
      <c r="P16" s="197">
        <f>(K16)/60</f>
        <v>15.595733333344333</v>
      </c>
      <c r="Q16" s="198">
        <f>(L16)/60</f>
        <v>12.802097435904848</v>
      </c>
    </row>
    <row r="17" spans="1:17">
      <c r="H17" s="98"/>
      <c r="I17" s="254" t="s">
        <v>99</v>
      </c>
      <c r="J17" s="197">
        <f>AVERAGE(J12:J16)</f>
        <v>3408.959955510009</v>
      </c>
      <c r="K17" s="197">
        <f>AVERAGE(K12:K16)</f>
        <v>1599.2023333330653</v>
      </c>
      <c r="L17" s="270">
        <f>AVERAGE(L12:L16)</f>
        <v>3446.4223203065717</v>
      </c>
      <c r="N17" s="106" t="s">
        <v>99</v>
      </c>
      <c r="O17" s="197">
        <f>(J17)/60</f>
        <v>56.815999258500149</v>
      </c>
      <c r="P17" s="197">
        <f>(K17)/60</f>
        <v>26.653372222217754</v>
      </c>
      <c r="Q17" s="198">
        <f>(L17)/60</f>
        <v>57.440372005109531</v>
      </c>
    </row>
    <row r="18" spans="1:17">
      <c r="I18" s="98"/>
      <c r="J18" s="201"/>
      <c r="K18" s="201"/>
      <c r="O18" s="201"/>
      <c r="P18" s="271"/>
      <c r="Q18" s="272"/>
    </row>
    <row r="19" spans="1:17">
      <c r="A19" s="101" t="s">
        <v>110</v>
      </c>
      <c r="B19" s="110" t="s">
        <v>90</v>
      </c>
      <c r="C19" s="103"/>
      <c r="D19" s="102" t="s">
        <v>63</v>
      </c>
      <c r="E19" s="102"/>
      <c r="F19" s="110" t="s">
        <v>91</v>
      </c>
      <c r="G19" s="103"/>
      <c r="O19" s="271"/>
      <c r="P19" s="271"/>
      <c r="Q19" s="271"/>
    </row>
    <row r="20" spans="1:17">
      <c r="A20" s="111"/>
      <c r="B20" s="115" t="s">
        <v>111</v>
      </c>
      <c r="C20" s="116" t="s">
        <v>112</v>
      </c>
      <c r="D20" s="36" t="s">
        <v>111</v>
      </c>
      <c r="E20" s="36" t="s">
        <v>112</v>
      </c>
      <c r="F20" s="112" t="s">
        <v>111</v>
      </c>
      <c r="G20" s="113" t="s">
        <v>112</v>
      </c>
      <c r="I20" s="101" t="s">
        <v>103</v>
      </c>
      <c r="J20" s="102" t="s">
        <v>90</v>
      </c>
      <c r="K20" s="102" t="s">
        <v>63</v>
      </c>
      <c r="L20" s="103" t="s">
        <v>91</v>
      </c>
      <c r="N20" s="101" t="s">
        <v>100</v>
      </c>
      <c r="O20" s="273" t="s">
        <v>102</v>
      </c>
      <c r="P20" s="274" t="s">
        <v>101</v>
      </c>
      <c r="Q20" s="275" t="s">
        <v>132</v>
      </c>
    </row>
    <row r="21" spans="1:17">
      <c r="A21" s="101" t="s">
        <v>122</v>
      </c>
      <c r="B21" s="215">
        <f>'Video 1'!H12</f>
        <v>94.625</v>
      </c>
      <c r="C21" s="216">
        <f>'Video 1'!I12</f>
        <v>88.125</v>
      </c>
      <c r="D21" s="215">
        <f>'Video 1'!H13</f>
        <v>133</v>
      </c>
      <c r="E21" s="252">
        <f>'Video 1'!I13</f>
        <v>84.5</v>
      </c>
      <c r="F21" s="202">
        <f>'Video 1'!H14</f>
        <v>102.3</v>
      </c>
      <c r="G21" s="203">
        <f>'Video 1'!I14</f>
        <v>87.4</v>
      </c>
      <c r="I21" s="88" t="s">
        <v>122</v>
      </c>
      <c r="J21" s="192">
        <f>(J12/O21)*100</f>
        <v>34.979039712427252</v>
      </c>
      <c r="K21" s="202">
        <f>(K12/O21) *100</f>
        <v>59.607771311194803</v>
      </c>
      <c r="L21" s="203">
        <f>(L12/O21) * 100</f>
        <v>39.904786032180759</v>
      </c>
      <c r="N21" s="88" t="s">
        <v>122</v>
      </c>
      <c r="O21" s="192">
        <v>8763</v>
      </c>
      <c r="P21" s="203">
        <f>O21/60</f>
        <v>146.05000000000001</v>
      </c>
      <c r="Q21" s="278">
        <f>ROUND(P21,0)</f>
        <v>146</v>
      </c>
    </row>
    <row r="22" spans="1:17">
      <c r="A22" s="191" t="s">
        <v>123</v>
      </c>
      <c r="B22" s="217">
        <f>'Video 2'!H29</f>
        <v>69.15384615384616</v>
      </c>
      <c r="C22" s="218">
        <f>'Video 2'!I29</f>
        <v>59.03846153846154</v>
      </c>
      <c r="D22" s="217">
        <f>'Video 2'!H30</f>
        <v>180</v>
      </c>
      <c r="E22" s="253">
        <f>'Video 2'!I30</f>
        <v>107</v>
      </c>
      <c r="F22" s="194">
        <f t="shared" ref="F22:F25" si="11">AVERAGE(B22,D22)</f>
        <v>124.57692307692308</v>
      </c>
      <c r="G22" s="195">
        <f t="shared" ref="G22:G25" si="12">AVERAGE(C22,E22)</f>
        <v>83.019230769230774</v>
      </c>
      <c r="I22" s="92" t="s">
        <v>123</v>
      </c>
      <c r="J22" s="193">
        <f>(J13/O22)*100</f>
        <v>31.539310867991798</v>
      </c>
      <c r="K22" s="194">
        <f>(K13/O22) *100</f>
        <v>3.1668416907259127</v>
      </c>
      <c r="L22" s="195">
        <f>(L13/O22) * 100</f>
        <v>30.488478676241211</v>
      </c>
      <c r="N22" s="92" t="s">
        <v>123</v>
      </c>
      <c r="O22" s="193">
        <v>30472</v>
      </c>
      <c r="P22" s="195">
        <f t="shared" ref="P22:P27" si="13">O22/60</f>
        <v>507.86666666666667</v>
      </c>
      <c r="Q22" s="276">
        <f t="shared" ref="Q22:Q27" si="14">ROUND(P22,0)</f>
        <v>508</v>
      </c>
    </row>
    <row r="23" spans="1:17">
      <c r="A23" s="191" t="s">
        <v>124</v>
      </c>
      <c r="B23" s="193">
        <f>'Video 3'!H18</f>
        <v>59.375</v>
      </c>
      <c r="C23" s="194">
        <f>'Video 3'!I18</f>
        <v>59.8125</v>
      </c>
      <c r="D23" s="193">
        <f>'Video 3'!H19</f>
        <v>0</v>
      </c>
      <c r="E23" s="195">
        <f>'Video 3'!I19</f>
        <v>0</v>
      </c>
      <c r="F23" s="194">
        <f t="shared" si="11"/>
        <v>29.6875</v>
      </c>
      <c r="G23" s="195">
        <f t="shared" si="12"/>
        <v>29.90625</v>
      </c>
      <c r="I23" s="92" t="s">
        <v>124</v>
      </c>
      <c r="J23" s="193">
        <f>(J14/O23)*100</f>
        <v>47.543860500698322</v>
      </c>
      <c r="K23" s="194">
        <f>(K14/O23) *100</f>
        <v>0</v>
      </c>
      <c r="L23" s="195">
        <f>(L14/O23) * 100</f>
        <v>47.543860500698322</v>
      </c>
      <c r="N23" s="92" t="s">
        <v>124</v>
      </c>
      <c r="O23" s="193">
        <v>6052</v>
      </c>
      <c r="P23" s="195">
        <f t="shared" si="13"/>
        <v>100.86666666666666</v>
      </c>
      <c r="Q23" s="276">
        <f t="shared" si="14"/>
        <v>101</v>
      </c>
    </row>
    <row r="24" spans="1:17">
      <c r="A24" s="191" t="s">
        <v>125</v>
      </c>
      <c r="B24" s="193">
        <f>'Video 4'!H25</f>
        <v>62.411764705882355</v>
      </c>
      <c r="C24" s="194">
        <f>'Video 4'!I25</f>
        <v>64.352941176470594</v>
      </c>
      <c r="D24" s="266">
        <f>'Video 4'!H26</f>
        <v>119.5</v>
      </c>
      <c r="E24" s="267">
        <f>'Video 4'!I26</f>
        <v>67.333333333333329</v>
      </c>
      <c r="F24" s="194">
        <f t="shared" si="11"/>
        <v>90.955882352941174</v>
      </c>
      <c r="G24" s="195">
        <f t="shared" si="12"/>
        <v>65.843137254901961</v>
      </c>
      <c r="I24" s="92" t="s">
        <v>125</v>
      </c>
      <c r="J24" s="193">
        <f>(J15/O24)*100</f>
        <v>14.960032528092446</v>
      </c>
      <c r="K24" s="194">
        <f>(K15/O24) *100</f>
        <v>16.856896107244136</v>
      </c>
      <c r="L24" s="195">
        <f>(L15/O24) * 100</f>
        <v>15.454866505260769</v>
      </c>
      <c r="N24" s="92" t="s">
        <v>125</v>
      </c>
      <c r="O24" s="193">
        <v>5172</v>
      </c>
      <c r="P24" s="195">
        <f t="shared" si="13"/>
        <v>86.2</v>
      </c>
      <c r="Q24" s="276">
        <f t="shared" si="14"/>
        <v>86</v>
      </c>
    </row>
    <row r="25" spans="1:17">
      <c r="A25" s="106" t="s">
        <v>126</v>
      </c>
      <c r="B25" s="196">
        <f>'Video 5'!H15</f>
        <v>115.7</v>
      </c>
      <c r="C25" s="197">
        <f>'Video 5'!I15</f>
        <v>121.2</v>
      </c>
      <c r="D25" s="196">
        <f>'Video 5'!H16</f>
        <v>106.66666666666667</v>
      </c>
      <c r="E25" s="198">
        <f>'Video 5'!I16</f>
        <v>75.333333333333329</v>
      </c>
      <c r="F25" s="197">
        <f t="shared" si="11"/>
        <v>111.18333333333334</v>
      </c>
      <c r="G25" s="198">
        <f t="shared" si="12"/>
        <v>98.266666666666666</v>
      </c>
      <c r="I25" s="94" t="s">
        <v>126</v>
      </c>
      <c r="J25" s="196">
        <f>(J16/O25)*100</f>
        <v>37.465574112754695</v>
      </c>
      <c r="K25" s="197">
        <f>(K16/O25) *100</f>
        <v>48.83841336120355</v>
      </c>
      <c r="L25" s="198">
        <f>(L16/O25) * 100</f>
        <v>40.090075477781362</v>
      </c>
      <c r="N25" s="94" t="s">
        <v>126</v>
      </c>
      <c r="O25" s="196">
        <v>1916</v>
      </c>
      <c r="P25" s="198">
        <f t="shared" si="13"/>
        <v>31.933333333333334</v>
      </c>
      <c r="Q25" s="277">
        <f t="shared" si="14"/>
        <v>32</v>
      </c>
    </row>
    <row r="26" spans="1:17">
      <c r="A26" s="106" t="s">
        <v>99</v>
      </c>
      <c r="B26" s="268">
        <f>AVERAGE(B21:B25)</f>
        <v>80.253122171945705</v>
      </c>
      <c r="C26" s="197">
        <f>AVERAGE(C21:C25)</f>
        <v>78.505780542986429</v>
      </c>
      <c r="D26" s="196">
        <f t="shared" ref="D26:E26" si="15">AVERAGE(D21:D25)</f>
        <v>107.83333333333333</v>
      </c>
      <c r="E26" s="198">
        <f t="shared" si="15"/>
        <v>66.833333333333329</v>
      </c>
      <c r="F26" s="197">
        <f t="shared" ref="F26" si="16">AVERAGE(F21:F25)</f>
        <v>91.740727752639515</v>
      </c>
      <c r="G26" s="198">
        <f t="shared" ref="G26" si="17">AVERAGE(G21:G25)</f>
        <v>72.887056938159873</v>
      </c>
      <c r="I26" s="254" t="s">
        <v>106</v>
      </c>
      <c r="J26" s="197">
        <f>AVERAGE(J21:J25)</f>
        <v>33.297563544392901</v>
      </c>
      <c r="K26" s="197">
        <f>AVERAGE(K21,K22,21,K25)</f>
        <v>33.153256590781069</v>
      </c>
      <c r="L26" s="198">
        <f>AVERAGE(J26,K26)</f>
        <v>33.225410067586985</v>
      </c>
      <c r="N26" s="106" t="s">
        <v>105</v>
      </c>
      <c r="O26" s="197">
        <f>AVERAGE(O21:O25)</f>
        <v>10475</v>
      </c>
      <c r="P26" s="198">
        <f t="shared" si="13"/>
        <v>174.58333333333334</v>
      </c>
      <c r="Q26" s="277">
        <f t="shared" si="14"/>
        <v>175</v>
      </c>
    </row>
    <row r="27" spans="1:17">
      <c r="J27" s="201">
        <f>_xlfn.STDEV.P(J21:J22:J24:J25)</f>
        <v>10.606725672107613</v>
      </c>
      <c r="K27" s="201">
        <f>_xlfn.STDEV.P(K21:K22:K24:K25)</f>
        <v>24.213866511086298</v>
      </c>
      <c r="L27" s="201">
        <f>_xlfn.STDEV.P(L21:L25)</f>
        <v>11.03829221059174</v>
      </c>
      <c r="N27" s="83" t="s">
        <v>104</v>
      </c>
      <c r="O27" s="220">
        <f>SUM(O21:O25)</f>
        <v>52375</v>
      </c>
      <c r="P27" s="221">
        <f t="shared" si="13"/>
        <v>872.91666666666663</v>
      </c>
      <c r="Q27" s="277">
        <f t="shared" si="14"/>
        <v>873</v>
      </c>
    </row>
    <row r="29" spans="1:17">
      <c r="A29" s="101" t="s">
        <v>110</v>
      </c>
      <c r="B29" s="110" t="s">
        <v>90</v>
      </c>
      <c r="C29" s="102"/>
      <c r="D29" s="110" t="s">
        <v>63</v>
      </c>
      <c r="E29" s="103"/>
      <c r="F29" s="102" t="s">
        <v>91</v>
      </c>
      <c r="G29" s="103"/>
      <c r="I29" s="101" t="s">
        <v>116</v>
      </c>
      <c r="J29" s="102" t="s">
        <v>120</v>
      </c>
      <c r="K29" s="102" t="s">
        <v>121</v>
      </c>
      <c r="L29" s="103" t="s">
        <v>133</v>
      </c>
      <c r="N29" s="101" t="s">
        <v>119</v>
      </c>
      <c r="O29" s="102" t="s">
        <v>90</v>
      </c>
      <c r="P29" s="102" t="s">
        <v>63</v>
      </c>
      <c r="Q29" s="103" t="s">
        <v>91</v>
      </c>
    </row>
    <row r="30" spans="1:17">
      <c r="A30" s="111"/>
      <c r="B30" s="115" t="s">
        <v>114</v>
      </c>
      <c r="C30" s="36" t="s">
        <v>113</v>
      </c>
      <c r="D30" s="115" t="s">
        <v>114</v>
      </c>
      <c r="E30" s="116" t="s">
        <v>113</v>
      </c>
      <c r="F30" s="36" t="s">
        <v>114</v>
      </c>
      <c r="G30" s="116" t="s">
        <v>113</v>
      </c>
      <c r="I30" s="88" t="s">
        <v>122</v>
      </c>
      <c r="J30" s="208">
        <f>'Video 1'!F12 %</f>
        <v>3.5871915162701669E-2</v>
      </c>
      <c r="K30" s="117">
        <f>'Video 1'!F13 %</f>
        <v>5.0267466502597759E-2</v>
      </c>
      <c r="L30" s="118">
        <f>'Video 1'!F14 %</f>
        <v>3.8751025430680881E-2</v>
      </c>
      <c r="N30" s="101" t="s">
        <v>122</v>
      </c>
      <c r="O30" s="119">
        <f>'Video 1'!G12 %</f>
        <v>8.8586712696720513E-2</v>
      </c>
      <c r="P30" s="120">
        <f>'Video 1'!G13 %</f>
        <v>7.0795152686312438E-2</v>
      </c>
      <c r="Q30" s="121">
        <f>'Video 1'!G14 %</f>
        <v>0.15938186538303295</v>
      </c>
    </row>
    <row r="31" spans="1:17">
      <c r="A31" s="101" t="s">
        <v>122</v>
      </c>
      <c r="B31" s="215">
        <f>'Video 1'!K12</f>
        <v>15.512295081967213</v>
      </c>
      <c r="C31" s="216">
        <f>'Video 1'!L12</f>
        <v>14.446721311475411</v>
      </c>
      <c r="D31" s="215">
        <f>'Video 1'!K13</f>
        <v>21.803278688524593</v>
      </c>
      <c r="E31" s="252">
        <f>'Video 1'!L13</f>
        <v>13.852459016393443</v>
      </c>
      <c r="F31" s="216">
        <f>'Video 1'!K14</f>
        <v>16.770491803278688</v>
      </c>
      <c r="G31" s="252">
        <f>'Video 1'!L14</f>
        <v>14.327868852459018</v>
      </c>
      <c r="I31" s="92" t="s">
        <v>123</v>
      </c>
      <c r="J31" s="93">
        <f>'Video 2'!F29 %</f>
        <v>1.8584316917650244E-2</v>
      </c>
      <c r="K31" s="122">
        <f>'Video 2'!F30 %</f>
        <v>8.4920634920634924E-2</v>
      </c>
      <c r="L31" s="105">
        <f>'Video 2'!F31 %</f>
        <v>2.1041217584427455E-2</v>
      </c>
      <c r="N31" s="191" t="s">
        <v>123</v>
      </c>
      <c r="O31" s="123">
        <f>'Video 2'!G29 %</f>
        <v>0.19246792804093876</v>
      </c>
      <c r="P31" s="124">
        <f>'Video 2'!G30 %</f>
        <v>2.6893020706958148E-3</v>
      </c>
      <c r="Q31" s="125">
        <f>'Video 2'!G31 %</f>
        <v>0.19515723011163455</v>
      </c>
    </row>
    <row r="32" spans="1:17">
      <c r="A32" s="191" t="s">
        <v>123</v>
      </c>
      <c r="B32" s="217">
        <f>'Video 2'!K29</f>
        <v>11.336696090794453</v>
      </c>
      <c r="C32" s="218">
        <f>'Video 2'!L29</f>
        <v>9.6784363177805801</v>
      </c>
      <c r="D32" s="217">
        <f>'Video 2'!K30</f>
        <v>29.508196721311478</v>
      </c>
      <c r="E32" s="253">
        <f>'Video 2'!L30</f>
        <v>17.540983606557379</v>
      </c>
      <c r="F32" s="218">
        <f>'Video 2'!K31</f>
        <v>12.009714632665451</v>
      </c>
      <c r="G32" s="253">
        <f>'Video 2'!L31</f>
        <v>9.9696417729204629</v>
      </c>
      <c r="I32" s="92" t="s">
        <v>124</v>
      </c>
      <c r="J32" s="93">
        <f>'Video 3'!F18 %</f>
        <v>1.4918430335097002E-2</v>
      </c>
      <c r="K32" s="122">
        <f>'Video 3'!F19 %</f>
        <v>0</v>
      </c>
      <c r="L32" s="105">
        <f>'Video 3'!F20 %</f>
        <v>1.4918430335097002E-2</v>
      </c>
      <c r="N32" s="191" t="s">
        <v>124</v>
      </c>
      <c r="O32" s="123">
        <f>'Video 3'!G18 %</f>
        <v>0.13491435115850128</v>
      </c>
      <c r="P32" s="124">
        <f>'Video 3'!G19 %</f>
        <v>0</v>
      </c>
      <c r="Q32" s="125">
        <f>'Video 3'!G20 %</f>
        <v>0.13491435115850128</v>
      </c>
    </row>
    <row r="33" spans="1:17">
      <c r="A33" s="191" t="s">
        <v>124</v>
      </c>
      <c r="B33" s="193">
        <f>'Video 3'!K18</f>
        <v>9.7336065573770494</v>
      </c>
      <c r="C33" s="194">
        <f>'Video 3'!L18</f>
        <v>9.8053278688524603</v>
      </c>
      <c r="D33" s="193">
        <f>'Video 3'!K19</f>
        <v>0</v>
      </c>
      <c r="E33" s="195">
        <f>'Video 3'!L19</f>
        <v>0</v>
      </c>
      <c r="F33" s="194">
        <f>'Video 3'!K20</f>
        <v>9.7336065573770494</v>
      </c>
      <c r="G33" s="195">
        <f>'Video 3'!L20</f>
        <v>9.8053278688524603</v>
      </c>
      <c r="I33" s="92" t="s">
        <v>125</v>
      </c>
      <c r="J33" s="209">
        <f>'Video 4'!F25 %</f>
        <v>1.5023083306470588E-2</v>
      </c>
      <c r="K33" s="210">
        <f>'Video 4'!F26 %</f>
        <v>3.6128012936666655E-2</v>
      </c>
      <c r="L33" s="211">
        <f>'Video 4'!F27 %</f>
        <v>2.052871712304348E-2</v>
      </c>
      <c r="N33" s="191" t="s">
        <v>125</v>
      </c>
      <c r="O33" s="123">
        <f>'Video 4'!G25 %</f>
        <v>3.2302461668994462E-2</v>
      </c>
      <c r="P33" s="124">
        <f>'Video 4'!G26 %</f>
        <v>4.1264250713369893E-2</v>
      </c>
      <c r="Q33" s="125">
        <f>'Video 4'!G27 %</f>
        <v>7.3566712382364327E-2</v>
      </c>
    </row>
    <row r="34" spans="1:17">
      <c r="A34" s="191" t="s">
        <v>125</v>
      </c>
      <c r="B34" s="193">
        <f>'Video 4'!K25</f>
        <v>10.549662487946</v>
      </c>
      <c r="C34" s="194">
        <f>'Video 4'!L25</f>
        <v>10.231436837029895</v>
      </c>
      <c r="D34" s="193">
        <f>'Video 4'!K26</f>
        <v>11.038251366120219</v>
      </c>
      <c r="E34" s="195">
        <f>'Video 4'!L26</f>
        <v>19.590163934426229</v>
      </c>
      <c r="F34" s="194">
        <f>'Video 4'!K27</f>
        <v>10.677120456165362</v>
      </c>
      <c r="G34" s="195">
        <f>'Video 4'!L27</f>
        <v>12.672843905915895</v>
      </c>
      <c r="H34" s="98"/>
      <c r="I34" s="94" t="s">
        <v>126</v>
      </c>
      <c r="J34" s="212">
        <f>'Video 5'!F15 %</f>
        <v>7.5988095238095243E-2</v>
      </c>
      <c r="K34" s="213">
        <f>'Video 5'!F16 %</f>
        <v>3.5026455026455031E-2</v>
      </c>
      <c r="L34" s="214">
        <f>'Video 5'!F17 %</f>
        <v>6.6535409035409041E-2</v>
      </c>
      <c r="N34" s="106" t="s">
        <v>126</v>
      </c>
      <c r="O34" s="279">
        <f>'Video 5'!G15 %</f>
        <v>0.15071070219043128</v>
      </c>
      <c r="P34" s="280">
        <f>'Video 5'!G16 %</f>
        <v>6.0546845058633988E-2</v>
      </c>
      <c r="Q34" s="281">
        <f>'Video 5'!G17 %</f>
        <v>0.21125754724906529</v>
      </c>
    </row>
    <row r="35" spans="1:17">
      <c r="A35" s="106" t="s">
        <v>126</v>
      </c>
      <c r="B35" s="196">
        <f>'Video 5'!K15</f>
        <v>18.967213114754099</v>
      </c>
      <c r="C35" s="197">
        <f>'Video 5'!L15</f>
        <v>19.868852459016395</v>
      </c>
      <c r="D35" s="196">
        <f>'Video 5'!K16</f>
        <v>17.486338797814209</v>
      </c>
      <c r="E35" s="198">
        <f>'Video 5'!L16</f>
        <v>12.349726775956285</v>
      </c>
      <c r="F35" s="197">
        <f>'Video 5'!K17</f>
        <v>18.62547288776797</v>
      </c>
      <c r="G35" s="198">
        <f>'Video 5'!L17</f>
        <v>18.133669609079448</v>
      </c>
      <c r="I35" s="106" t="s">
        <v>134</v>
      </c>
      <c r="J35" s="205">
        <f>AVERAGE(J30:J34)</f>
        <v>3.2077168192002944E-2</v>
      </c>
      <c r="K35" s="206">
        <f>AVERAGE(K30,K31,K33,K34)</f>
        <v>5.1585642346588592E-2</v>
      </c>
      <c r="L35" s="207">
        <f>AVERAGE(L30:L34)</f>
        <v>3.2354959901731574E-2</v>
      </c>
      <c r="N35" s="83" t="s">
        <v>135</v>
      </c>
      <c r="O35" s="279">
        <f>AVERAGE(O30:O34)</f>
        <v>0.11979643115111727</v>
      </c>
      <c r="P35" s="280">
        <f t="shared" ref="P35:Q35" si="18">AVERAGE(P30:P34)</f>
        <v>3.5059110105802427E-2</v>
      </c>
      <c r="Q35" s="281">
        <f t="shared" si="18"/>
        <v>0.15485554125691969</v>
      </c>
    </row>
    <row r="36" spans="1:17">
      <c r="A36" s="106" t="s">
        <v>99</v>
      </c>
      <c r="B36" s="196">
        <f>AVERAGE(B31:B35)</f>
        <v>13.219894666567763</v>
      </c>
      <c r="C36" s="197">
        <f t="shared" ref="C36:E36" si="19">AVERAGE(C31:C35)</f>
        <v>12.80615495883095</v>
      </c>
      <c r="D36" s="197">
        <f t="shared" si="19"/>
        <v>15.967213114754099</v>
      </c>
      <c r="E36" s="197">
        <f t="shared" si="19"/>
        <v>12.666666666666668</v>
      </c>
      <c r="F36" s="197">
        <f>AVERAGE(B36,D36)</f>
        <v>14.593553890660932</v>
      </c>
      <c r="G36" s="198">
        <f>AVERAGE(C36,E36)</f>
        <v>12.736410812748808</v>
      </c>
      <c r="J36" s="204">
        <f>_xlfn.STDEV.P(J30,J31,J33,J34)</f>
        <v>2.4196398978996374E-2</v>
      </c>
      <c r="K36" s="204">
        <f>_xlfn.STDEV.P(K30,K31,K33,K34)</f>
        <v>2.0162491842187814E-2</v>
      </c>
      <c r="L36" s="204">
        <f>_xlfn.STDEV.P(L30:L34)</f>
        <v>1.8873823693366838E-2</v>
      </c>
      <c r="O36" s="86"/>
      <c r="P36" s="86"/>
      <c r="Q36" s="86"/>
    </row>
    <row r="38" spans="1:17">
      <c r="I38" s="101" t="s">
        <v>115</v>
      </c>
      <c r="J38" s="102" t="s">
        <v>120</v>
      </c>
      <c r="K38" s="102" t="s">
        <v>121</v>
      </c>
      <c r="L38" s="103" t="s">
        <v>118</v>
      </c>
      <c r="N38" s="101" t="s">
        <v>117</v>
      </c>
      <c r="O38" s="102" t="s">
        <v>90</v>
      </c>
      <c r="P38" s="102" t="s">
        <v>63</v>
      </c>
      <c r="Q38" s="103" t="s">
        <v>91</v>
      </c>
    </row>
    <row r="39" spans="1:17">
      <c r="I39" s="101" t="s">
        <v>122</v>
      </c>
      <c r="J39" s="192">
        <f>'Video 1'!D12</f>
        <v>2.7329875000000001</v>
      </c>
      <c r="K39" s="199">
        <f>'Video 1'!D13</f>
        <v>3.8297499999999998</v>
      </c>
      <c r="L39" s="200">
        <f>'Video 1'!D14</f>
        <v>2.95234</v>
      </c>
      <c r="N39" s="88" t="s">
        <v>122</v>
      </c>
      <c r="O39" s="282">
        <f>'Video 1'!E12</f>
        <v>6.7491999999999992</v>
      </c>
      <c r="P39" s="283">
        <f>'Video 1'!E13</f>
        <v>5.3936999999999999</v>
      </c>
      <c r="Q39" s="284">
        <f>SUM(O39,P39)</f>
        <v>12.142899999999999</v>
      </c>
    </row>
    <row r="40" spans="1:17">
      <c r="I40" s="191" t="s">
        <v>123</v>
      </c>
      <c r="J40" s="193">
        <f>'Video 2'!D29</f>
        <v>1.372045272436154</v>
      </c>
      <c r="K40" s="194">
        <f>'Video 2'!D30</f>
        <v>6.26953125</v>
      </c>
      <c r="L40" s="195">
        <f>'Video 2'!D31</f>
        <v>1.5534336419755559</v>
      </c>
      <c r="N40" s="92" t="s">
        <v>123</v>
      </c>
      <c r="O40" s="285">
        <f>'Video 2'!E29</f>
        <v>14.209546249881214</v>
      </c>
      <c r="P40" s="286">
        <f>'Video 2'!E30</f>
        <v>0.19854612943899999</v>
      </c>
      <c r="Q40" s="287">
        <f>SUM(O40,P40)</f>
        <v>14.408092379320214</v>
      </c>
    </row>
    <row r="41" spans="1:17">
      <c r="I41" s="191" t="s">
        <v>124</v>
      </c>
      <c r="J41" s="193">
        <f>'Video 3'!D18</f>
        <v>1.1013997395839374</v>
      </c>
      <c r="K41" s="194">
        <f>'Video 3'!D19</f>
        <v>0</v>
      </c>
      <c r="L41" s="195">
        <f>'Video 3'!D20</f>
        <v>1.1013997395839374</v>
      </c>
      <c r="N41" s="92" t="s">
        <v>124</v>
      </c>
      <c r="O41" s="285">
        <f>'Video 3'!E18</f>
        <v>9.9604735816182988</v>
      </c>
      <c r="P41" s="286">
        <f>'Video 3'!E19</f>
        <v>0</v>
      </c>
      <c r="Q41" s="287">
        <f>SUM(O41,P41)</f>
        <v>9.9604735816182988</v>
      </c>
    </row>
    <row r="42" spans="1:17">
      <c r="I42" s="191" t="s">
        <v>125</v>
      </c>
      <c r="J42" s="193">
        <f>'Video 4'!D25</f>
        <v>1.1091260723047647</v>
      </c>
      <c r="K42" s="194">
        <f>'Video 4'!D26</f>
        <v>2.66726345486</v>
      </c>
      <c r="L42" s="195">
        <f>'Video 4'!D27</f>
        <v>1.5155966938409131</v>
      </c>
      <c r="N42" s="92" t="s">
        <v>125</v>
      </c>
      <c r="O42" s="285">
        <f>'Video 4'!E25</f>
        <v>2.3848301778839498</v>
      </c>
      <c r="P42" s="286">
        <f>'Video 4'!E26</f>
        <v>3.0464622594675999</v>
      </c>
      <c r="Q42" s="287">
        <f>SUM(O42,P42)</f>
        <v>5.4312924373515497</v>
      </c>
    </row>
    <row r="43" spans="1:17">
      <c r="I43" s="106" t="s">
        <v>126</v>
      </c>
      <c r="J43" s="196">
        <f>'Video 5'!D15</f>
        <v>5.6100585937493008</v>
      </c>
      <c r="K43" s="197">
        <f>'Video 5'!D16</f>
        <v>2.5859375</v>
      </c>
      <c r="L43" s="198">
        <f>'Video 5'!D17</f>
        <v>4.9121844951917701</v>
      </c>
      <c r="N43" s="94" t="s">
        <v>126</v>
      </c>
      <c r="O43" s="288">
        <f>'Video 5'!E15</f>
        <v>11.1266885602</v>
      </c>
      <c r="P43" s="289">
        <f>'Video 5'!E16</f>
        <v>4.4700600453385997</v>
      </c>
      <c r="Q43" s="290">
        <f>SUM(O43,P43)</f>
        <v>15.5967486055386</v>
      </c>
    </row>
    <row r="44" spans="1:17">
      <c r="I44" s="83" t="s">
        <v>106</v>
      </c>
      <c r="J44" s="196">
        <f>AVERAGE(J39:J43)</f>
        <v>2.3851234356148314</v>
      </c>
      <c r="K44" s="197">
        <f>AVERAGE(K39:K43)</f>
        <v>3.0704964409720001</v>
      </c>
      <c r="L44" s="198">
        <f>AVERAGE(L39:L43)</f>
        <v>2.4069909141184356</v>
      </c>
      <c r="N44" s="83" t="s">
        <v>106</v>
      </c>
      <c r="O44" s="288">
        <f>AVERAGE(O39:O43)</f>
        <v>8.8861477139166922</v>
      </c>
      <c r="P44" s="289">
        <f>AVERAGE(P39:P43)</f>
        <v>2.6217536868490399</v>
      </c>
      <c r="Q44" s="290">
        <f>AVERAGE(Q39:Q43)</f>
        <v>11.507901400765732</v>
      </c>
    </row>
  </sheetData>
  <dataConsolidate/>
  <mergeCells count="2">
    <mergeCell ref="J1:K1"/>
    <mergeCell ref="L1:M1"/>
  </mergeCells>
  <pageMargins left="0.7" right="0.7" top="0.78740157499999996" bottom="0.78740157499999996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6" sqref="A16:B16"/>
    </sheetView>
  </sheetViews>
  <sheetFormatPr baseColWidth="10" defaultRowHeight="13" x14ac:dyDescent="0"/>
  <cols>
    <col min="3" max="3" width="21.5" customWidth="1"/>
  </cols>
  <sheetData>
    <row r="1" spans="1:3">
      <c r="A1">
        <v>462</v>
      </c>
      <c r="B1">
        <v>2914</v>
      </c>
      <c r="C1" t="s">
        <v>136</v>
      </c>
    </row>
    <row r="2" spans="1:3">
      <c r="A2">
        <v>3360</v>
      </c>
      <c r="B2">
        <v>6972</v>
      </c>
      <c r="C2" t="s">
        <v>138</v>
      </c>
    </row>
    <row r="3" spans="1:3">
      <c r="A3">
        <v>7400</v>
      </c>
      <c r="B3">
        <v>19260</v>
      </c>
      <c r="C3" t="s">
        <v>137</v>
      </c>
    </row>
    <row r="4" spans="1:3">
      <c r="A4">
        <v>32560</v>
      </c>
      <c r="B4">
        <v>57596</v>
      </c>
      <c r="C4" t="s">
        <v>139</v>
      </c>
    </row>
    <row r="16" spans="1:3">
      <c r="A16">
        <v>13.606557377049182</v>
      </c>
      <c r="B16">
        <v>13.77049180327869</v>
      </c>
      <c r="C16">
        <f>SQRT(A16*B16)</f>
        <v>13.688279177146299</v>
      </c>
    </row>
  </sheetData>
  <sortState ref="B6:B28">
    <sortCondition ref="B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65" workbookViewId="0">
      <pane xSplit="14880" topLeftCell="L1" activePane="topRight"/>
      <selection activeCell="A65" sqref="A65"/>
      <selection pane="topRight" activeCell="P91" sqref="P91"/>
    </sheetView>
  </sheetViews>
  <sheetFormatPr baseColWidth="10" defaultRowHeight="13" x14ac:dyDescent="0"/>
  <cols>
    <col min="14" max="15" width="10.83203125" style="182"/>
  </cols>
  <sheetData>
    <row r="1" spans="1:21" ht="15" thickBot="1">
      <c r="A1" s="183" t="s">
        <v>49</v>
      </c>
      <c r="B1" s="184" t="s">
        <v>152</v>
      </c>
      <c r="C1" s="181" t="s">
        <v>153</v>
      </c>
      <c r="D1" s="185" t="s">
        <v>158</v>
      </c>
      <c r="E1" s="185" t="s">
        <v>162</v>
      </c>
      <c r="F1" s="185" t="s">
        <v>157</v>
      </c>
      <c r="G1" s="186" t="s">
        <v>156</v>
      </c>
      <c r="H1" s="187" t="s">
        <v>1</v>
      </c>
      <c r="I1" s="187" t="s">
        <v>2</v>
      </c>
      <c r="J1" s="187" t="s">
        <v>109</v>
      </c>
      <c r="K1" s="181" t="s">
        <v>95</v>
      </c>
      <c r="L1" s="181" t="s">
        <v>96</v>
      </c>
      <c r="M1" s="187" t="s">
        <v>140</v>
      </c>
      <c r="N1" s="181" t="s">
        <v>165</v>
      </c>
      <c r="O1" s="181" t="s">
        <v>164</v>
      </c>
      <c r="P1" s="188" t="s">
        <v>154</v>
      </c>
      <c r="Q1" s="183" t="s">
        <v>171</v>
      </c>
      <c r="R1" s="5"/>
      <c r="S1" s="5"/>
    </row>
    <row r="2" spans="1:21">
      <c r="A2" s="182" t="s">
        <v>3</v>
      </c>
      <c r="B2" s="182">
        <v>125.1613</v>
      </c>
      <c r="C2" s="182">
        <v>7509.6779999999999</v>
      </c>
      <c r="D2" s="182">
        <v>5.4166999999999996</v>
      </c>
      <c r="E2" s="182">
        <v>4.6418999999999997</v>
      </c>
      <c r="F2" s="182">
        <v>7.1096527208094065</v>
      </c>
      <c r="G2" s="182">
        <v>6.0927995692231587</v>
      </c>
      <c r="H2" s="182">
        <v>160</v>
      </c>
      <c r="I2" s="182">
        <v>104</v>
      </c>
      <c r="J2" s="182">
        <v>16640</v>
      </c>
      <c r="K2" s="182">
        <v>26.229508196721312</v>
      </c>
      <c r="L2" s="182">
        <v>17.049180327868854</v>
      </c>
      <c r="M2" s="182">
        <v>6</v>
      </c>
      <c r="N2" s="182">
        <v>895.49923890000002</v>
      </c>
      <c r="O2" s="182">
        <v>146.80315391803279</v>
      </c>
      <c r="P2" s="182" t="s">
        <v>155</v>
      </c>
      <c r="Q2" s="182" t="s">
        <v>166</v>
      </c>
    </row>
    <row r="3" spans="1:21">
      <c r="A3" s="182" t="s">
        <v>4</v>
      </c>
      <c r="B3" s="182">
        <v>6.383</v>
      </c>
      <c r="C3" s="182">
        <v>382.98</v>
      </c>
      <c r="D3" s="182">
        <v>1.5938000000000001</v>
      </c>
      <c r="E3" s="182">
        <v>6.9699999999999998E-2</v>
      </c>
      <c r="F3" s="182">
        <v>2.0918785890073828</v>
      </c>
      <c r="G3" s="182">
        <v>9.1423903003314794E-2</v>
      </c>
      <c r="H3" s="182">
        <v>96</v>
      </c>
      <c r="I3" s="182">
        <v>51</v>
      </c>
      <c r="J3" s="182">
        <v>4896</v>
      </c>
      <c r="K3" s="182">
        <v>15.737704918032788</v>
      </c>
      <c r="L3" s="182">
        <v>8.3606557377049189</v>
      </c>
      <c r="M3" s="182">
        <v>2</v>
      </c>
      <c r="N3" s="182">
        <v>30.01666204</v>
      </c>
      <c r="O3" s="182">
        <v>4.9207642688524595</v>
      </c>
      <c r="P3" s="182" t="s">
        <v>151</v>
      </c>
      <c r="Q3" s="182" t="s">
        <v>166</v>
      </c>
    </row>
    <row r="4" spans="1:21">
      <c r="A4" s="182" t="s">
        <v>5</v>
      </c>
      <c r="B4" s="182">
        <v>48.953000000000003</v>
      </c>
      <c r="C4" s="182">
        <v>2937.1800000000003</v>
      </c>
      <c r="D4" s="182">
        <v>2.2427999999999999</v>
      </c>
      <c r="E4" s="182">
        <v>0.75180000000000002</v>
      </c>
      <c r="F4" s="182">
        <v>2.943840579710145</v>
      </c>
      <c r="G4" s="182">
        <v>0.98671569940808446</v>
      </c>
      <c r="H4" s="182">
        <v>106</v>
      </c>
      <c r="I4" s="182">
        <v>65</v>
      </c>
      <c r="J4" s="182">
        <v>6890</v>
      </c>
      <c r="K4" s="182">
        <v>17.377049180327869</v>
      </c>
      <c r="L4" s="182">
        <v>10.655737704918034</v>
      </c>
      <c r="M4" s="182">
        <v>9</v>
      </c>
      <c r="N4" s="182">
        <v>940.48241270000005</v>
      </c>
      <c r="O4" s="182">
        <v>154.17744470491806</v>
      </c>
      <c r="P4" s="182" t="s">
        <v>155</v>
      </c>
      <c r="Q4" s="182" t="s">
        <v>166</v>
      </c>
      <c r="T4">
        <v>0</v>
      </c>
      <c r="U4">
        <f t="array" ref="U4:U20">FREQUENCY(O2:O90,T4:T20)</f>
        <v>25</v>
      </c>
    </row>
    <row r="5" spans="1:21">
      <c r="A5" s="182" t="s">
        <v>6</v>
      </c>
      <c r="B5" s="182">
        <v>0.69930000000000003</v>
      </c>
      <c r="C5" s="182">
        <v>41.957999999999998</v>
      </c>
      <c r="D5" s="182">
        <v>2.7604000000000002</v>
      </c>
      <c r="E5" s="182">
        <v>1.32E-2</v>
      </c>
      <c r="F5" s="182">
        <v>3.6231884057971016</v>
      </c>
      <c r="G5" s="182">
        <v>1.7348138666031587E-2</v>
      </c>
      <c r="H5" s="182">
        <v>80</v>
      </c>
      <c r="I5" s="182">
        <v>106</v>
      </c>
      <c r="J5" s="182">
        <v>8480</v>
      </c>
      <c r="K5" s="182">
        <v>13.114754098360656</v>
      </c>
      <c r="L5" s="182">
        <v>17.377049180327869</v>
      </c>
      <c r="M5" s="182">
        <v>1</v>
      </c>
      <c r="N5" s="182">
        <v>0</v>
      </c>
      <c r="O5" s="182">
        <v>0</v>
      </c>
      <c r="P5" s="182" t="s">
        <v>151</v>
      </c>
      <c r="Q5" s="182" t="s">
        <v>166</v>
      </c>
      <c r="T5">
        <v>10</v>
      </c>
      <c r="U5">
        <v>14</v>
      </c>
    </row>
    <row r="6" spans="1:21">
      <c r="A6" s="182" t="s">
        <v>7</v>
      </c>
      <c r="B6" s="182">
        <v>121.68940000000001</v>
      </c>
      <c r="C6" s="182">
        <v>7301.3640000000005</v>
      </c>
      <c r="D6" s="182">
        <v>1.5557000000000001</v>
      </c>
      <c r="E6" s="182">
        <v>1.2962</v>
      </c>
      <c r="F6" s="182">
        <v>2.041888843314192</v>
      </c>
      <c r="G6" s="182">
        <v>1.7013093338555156</v>
      </c>
      <c r="H6" s="182">
        <v>81</v>
      </c>
      <c r="I6" s="182">
        <v>59</v>
      </c>
      <c r="J6" s="182">
        <v>4779</v>
      </c>
      <c r="K6" s="182">
        <v>13.278688524590164</v>
      </c>
      <c r="L6" s="182">
        <v>9.6721311475409841</v>
      </c>
      <c r="M6" s="182">
        <v>6</v>
      </c>
      <c r="N6" s="182">
        <v>490.6169597</v>
      </c>
      <c r="O6" s="182">
        <v>80.429009786885246</v>
      </c>
      <c r="P6" s="182" t="s">
        <v>151</v>
      </c>
      <c r="Q6" s="182" t="s">
        <v>166</v>
      </c>
      <c r="T6">
        <v>20</v>
      </c>
      <c r="U6">
        <v>9</v>
      </c>
    </row>
    <row r="7" spans="1:21">
      <c r="A7" s="182" t="s">
        <v>8</v>
      </c>
      <c r="B7" s="182">
        <v>89.673199999999994</v>
      </c>
      <c r="C7" s="182">
        <v>5380.3919999999998</v>
      </c>
      <c r="D7" s="182">
        <v>1.4501999999999999</v>
      </c>
      <c r="E7" s="182">
        <v>0.89039999999999997</v>
      </c>
      <c r="F7" s="182">
        <v>1.9034557013945859</v>
      </c>
      <c r="G7" s="182">
        <v>1.1687022512995342</v>
      </c>
      <c r="H7" s="182">
        <v>81</v>
      </c>
      <c r="I7" s="182">
        <v>55</v>
      </c>
      <c r="J7" s="182">
        <v>4455</v>
      </c>
      <c r="K7" s="182">
        <v>13.278688524590164</v>
      </c>
      <c r="L7" s="182">
        <v>9.0163934426229506</v>
      </c>
      <c r="M7" s="182">
        <v>9</v>
      </c>
      <c r="N7" s="182">
        <v>818.79949439999996</v>
      </c>
      <c r="O7" s="182">
        <v>134.22942531147541</v>
      </c>
      <c r="P7" s="182" t="s">
        <v>151</v>
      </c>
      <c r="Q7" s="182" t="s">
        <v>166</v>
      </c>
      <c r="T7">
        <v>30</v>
      </c>
      <c r="U7">
        <v>6</v>
      </c>
    </row>
    <row r="8" spans="1:21">
      <c r="A8" s="182" t="s">
        <v>9</v>
      </c>
      <c r="B8" s="182">
        <v>24.616</v>
      </c>
      <c r="C8" s="182">
        <v>1476.96</v>
      </c>
      <c r="D8" s="182">
        <v>2.5781000000000001</v>
      </c>
      <c r="E8" s="182">
        <v>0.4345</v>
      </c>
      <c r="F8" s="182">
        <v>3.3839212469237081</v>
      </c>
      <c r="G8" s="182">
        <v>0.57034307027917841</v>
      </c>
      <c r="H8" s="182">
        <v>88</v>
      </c>
      <c r="I8" s="182">
        <v>90</v>
      </c>
      <c r="J8" s="182">
        <v>7920</v>
      </c>
      <c r="K8" s="182">
        <v>14.426229508196721</v>
      </c>
      <c r="L8" s="182">
        <v>14.754098360655739</v>
      </c>
      <c r="M8" s="182">
        <v>1</v>
      </c>
      <c r="N8" s="182">
        <v>0</v>
      </c>
      <c r="O8" s="182">
        <v>0</v>
      </c>
      <c r="P8" s="182" t="s">
        <v>151</v>
      </c>
      <c r="Q8" s="182" t="s">
        <v>166</v>
      </c>
      <c r="T8">
        <v>40</v>
      </c>
      <c r="U8">
        <v>4</v>
      </c>
    </row>
    <row r="9" spans="1:21">
      <c r="A9" s="182" t="s">
        <v>10</v>
      </c>
      <c r="B9" s="182">
        <v>64.250200000000007</v>
      </c>
      <c r="C9" s="182">
        <v>3855.0120000000006</v>
      </c>
      <c r="D9" s="182">
        <v>1.9466000000000001</v>
      </c>
      <c r="E9" s="182">
        <v>0.85640000000000005</v>
      </c>
      <c r="F9" s="182">
        <v>2.5550314465408808</v>
      </c>
      <c r="G9" s="182">
        <v>1.1240074046322555</v>
      </c>
      <c r="H9" s="182">
        <v>92</v>
      </c>
      <c r="I9" s="182">
        <v>65</v>
      </c>
      <c r="J9" s="182">
        <v>5980</v>
      </c>
      <c r="K9" s="182">
        <v>15.081967213114755</v>
      </c>
      <c r="L9" s="182">
        <v>10.655737704918034</v>
      </c>
      <c r="M9" s="182">
        <v>3</v>
      </c>
      <c r="N9" s="182">
        <v>45.130829470000002</v>
      </c>
      <c r="O9" s="182">
        <v>7.3984966344262304</v>
      </c>
      <c r="P9" s="182" t="s">
        <v>151</v>
      </c>
      <c r="Q9" s="182" t="s">
        <v>166</v>
      </c>
      <c r="T9">
        <v>50</v>
      </c>
      <c r="U9">
        <v>2</v>
      </c>
    </row>
    <row r="10" spans="1:21">
      <c r="A10" s="182" t="s">
        <v>11</v>
      </c>
      <c r="B10" s="182">
        <v>4.0641999999999996</v>
      </c>
      <c r="C10" s="182">
        <v>243.85199999999998</v>
      </c>
      <c r="D10" s="182">
        <v>5.4199000000000002</v>
      </c>
      <c r="E10" s="182">
        <v>0.15079999999999999</v>
      </c>
      <c r="F10" s="182">
        <v>7.1139253486464309</v>
      </c>
      <c r="G10" s="182">
        <v>0.19796244712063554</v>
      </c>
      <c r="H10" s="182">
        <v>90</v>
      </c>
      <c r="I10" s="182">
        <v>185</v>
      </c>
      <c r="J10" s="182">
        <v>16650</v>
      </c>
      <c r="K10" s="182">
        <v>14.754098360655739</v>
      </c>
      <c r="L10" s="182">
        <v>30.327868852459019</v>
      </c>
      <c r="M10" s="182">
        <v>1</v>
      </c>
      <c r="N10" s="182">
        <v>0</v>
      </c>
      <c r="O10" s="182">
        <v>0</v>
      </c>
      <c r="P10" s="182" t="s">
        <v>151</v>
      </c>
      <c r="Q10" s="182" t="s">
        <v>166</v>
      </c>
      <c r="T10">
        <v>60</v>
      </c>
      <c r="U10">
        <v>1</v>
      </c>
    </row>
    <row r="11" spans="1:21">
      <c r="A11" s="182" t="s">
        <v>12</v>
      </c>
      <c r="B11" s="182">
        <v>97.319800000000001</v>
      </c>
      <c r="C11" s="182">
        <v>5839.1880000000001</v>
      </c>
      <c r="D11" s="182">
        <v>4.5591999999999997</v>
      </c>
      <c r="E11" s="182">
        <v>3.0379999999999998</v>
      </c>
      <c r="F11" s="182">
        <v>5.9842425485370523</v>
      </c>
      <c r="G11" s="182">
        <v>3.9875747208155849</v>
      </c>
      <c r="H11" s="182">
        <v>149</v>
      </c>
      <c r="I11" s="182">
        <v>94</v>
      </c>
      <c r="J11" s="182">
        <v>14006</v>
      </c>
      <c r="K11" s="182">
        <v>24.426229508196723</v>
      </c>
      <c r="L11" s="182">
        <v>15.409836065573771</v>
      </c>
      <c r="M11" s="182">
        <v>7</v>
      </c>
      <c r="N11" s="182">
        <v>465.93240500000002</v>
      </c>
      <c r="O11" s="182">
        <v>76.382361475409837</v>
      </c>
      <c r="P11" s="182" t="s">
        <v>151</v>
      </c>
      <c r="Q11" s="182" t="s">
        <v>166</v>
      </c>
      <c r="T11">
        <v>70</v>
      </c>
      <c r="U11">
        <v>5</v>
      </c>
    </row>
    <row r="12" spans="1:21">
      <c r="A12" s="182" t="s">
        <v>22</v>
      </c>
      <c r="B12" s="182">
        <v>507.866666667</v>
      </c>
      <c r="C12" s="182">
        <v>30472.000000020002</v>
      </c>
      <c r="D12" s="182">
        <v>2.1796875</v>
      </c>
      <c r="E12" s="182">
        <v>2.1796875</v>
      </c>
      <c r="F12" s="182">
        <v>2.9523809523809526</v>
      </c>
      <c r="G12" s="182">
        <v>2.9523809523828901</v>
      </c>
      <c r="H12" s="182">
        <v>93</v>
      </c>
      <c r="I12" s="182">
        <v>72</v>
      </c>
      <c r="J12" s="182">
        <v>6696</v>
      </c>
      <c r="K12" s="182">
        <v>15.245901639344263</v>
      </c>
      <c r="L12" s="182">
        <v>11.803278688524591</v>
      </c>
      <c r="M12" s="182">
        <v>1</v>
      </c>
      <c r="N12" s="182">
        <v>0</v>
      </c>
      <c r="O12" s="182">
        <v>0</v>
      </c>
      <c r="P12" s="182" t="s">
        <v>151</v>
      </c>
      <c r="Q12" s="182" t="s">
        <v>167</v>
      </c>
      <c r="T12">
        <v>80</v>
      </c>
      <c r="U12">
        <v>4</v>
      </c>
    </row>
    <row r="13" spans="1:21">
      <c r="A13" s="182" t="s">
        <v>23</v>
      </c>
      <c r="B13" s="182">
        <v>507.63933333300002</v>
      </c>
      <c r="C13" s="182">
        <v>30458.359999980003</v>
      </c>
      <c r="D13" s="182">
        <v>2.03125</v>
      </c>
      <c r="E13" s="182">
        <v>2.0303407636499999</v>
      </c>
      <c r="F13" s="182">
        <v>2.7513227513227512</v>
      </c>
      <c r="G13" s="182">
        <v>2.7500911930928007</v>
      </c>
      <c r="H13" s="182">
        <v>80</v>
      </c>
      <c r="I13" s="182">
        <v>78</v>
      </c>
      <c r="J13" s="182">
        <v>6240</v>
      </c>
      <c r="K13" s="182">
        <v>13.114754098360656</v>
      </c>
      <c r="L13" s="182">
        <v>12.78688524590164</v>
      </c>
      <c r="M13" s="182">
        <v>4</v>
      </c>
      <c r="N13" s="182">
        <v>390.77448253900002</v>
      </c>
      <c r="O13" s="182">
        <v>64.061390580163945</v>
      </c>
      <c r="P13" s="182" t="s">
        <v>151</v>
      </c>
      <c r="Q13" s="182" t="s">
        <v>167</v>
      </c>
      <c r="T13">
        <v>90</v>
      </c>
      <c r="U13">
        <v>3</v>
      </c>
    </row>
    <row r="14" spans="1:21">
      <c r="A14" s="182" t="s">
        <v>24</v>
      </c>
      <c r="B14" s="182">
        <v>507.76511666699997</v>
      </c>
      <c r="C14" s="182">
        <v>30465.907000019997</v>
      </c>
      <c r="D14" s="182">
        <v>0.50455729166700003</v>
      </c>
      <c r="E14" s="182">
        <v>0.50445640338999997</v>
      </c>
      <c r="F14" s="182">
        <v>0.68342151675485008</v>
      </c>
      <c r="G14" s="182">
        <v>0.68328486385094089</v>
      </c>
      <c r="H14" s="182">
        <v>31</v>
      </c>
      <c r="I14" s="182">
        <v>50</v>
      </c>
      <c r="J14" s="182">
        <v>1550</v>
      </c>
      <c r="K14" s="182">
        <v>5.081967213114754</v>
      </c>
      <c r="L14" s="182">
        <v>8.1967213114754109</v>
      </c>
      <c r="M14" s="182">
        <v>7</v>
      </c>
      <c r="N14" s="182">
        <v>97.722694326699994</v>
      </c>
      <c r="O14" s="182">
        <v>16.020113824049179</v>
      </c>
      <c r="P14" s="182" t="s">
        <v>151</v>
      </c>
      <c r="Q14" s="182" t="s">
        <v>167</v>
      </c>
      <c r="T14">
        <v>100</v>
      </c>
      <c r="U14">
        <v>2</v>
      </c>
    </row>
    <row r="15" spans="1:21">
      <c r="A15" s="182" t="s">
        <v>25</v>
      </c>
      <c r="B15" s="182">
        <v>444.06666666699999</v>
      </c>
      <c r="C15" s="182">
        <v>26644.000000019998</v>
      </c>
      <c r="D15" s="182">
        <v>3.0833333333300001</v>
      </c>
      <c r="E15" s="182">
        <v>2.69599413669</v>
      </c>
      <c r="F15" s="182">
        <v>4.1763668430335095</v>
      </c>
      <c r="G15" s="182">
        <v>3.6517169258948656</v>
      </c>
      <c r="H15" s="182">
        <v>148</v>
      </c>
      <c r="I15" s="182">
        <v>64</v>
      </c>
      <c r="J15" s="182">
        <v>9472</v>
      </c>
      <c r="K15" s="182">
        <v>24.262295081967213</v>
      </c>
      <c r="L15" s="182">
        <v>10.491803278688526</v>
      </c>
      <c r="M15" s="182">
        <v>12</v>
      </c>
      <c r="N15" s="182">
        <v>889.415391054</v>
      </c>
      <c r="O15" s="182">
        <v>145.80580181213116</v>
      </c>
      <c r="P15" s="182" t="s">
        <v>151</v>
      </c>
      <c r="Q15" s="182" t="s">
        <v>167</v>
      </c>
      <c r="T15">
        <v>120</v>
      </c>
      <c r="U15">
        <v>4</v>
      </c>
    </row>
    <row r="16" spans="1:21">
      <c r="A16" s="182" t="s">
        <v>26</v>
      </c>
      <c r="B16" s="182">
        <v>5.29318333333</v>
      </c>
      <c r="C16" s="182">
        <v>317.59099999979998</v>
      </c>
      <c r="D16" s="182">
        <v>0.29166666666699997</v>
      </c>
      <c r="E16" s="182">
        <v>3.0398630983600001E-3</v>
      </c>
      <c r="F16" s="182">
        <v>0.39506172839506176</v>
      </c>
      <c r="G16" s="182">
        <v>4.117486524764933E-3</v>
      </c>
      <c r="H16" s="182">
        <v>28</v>
      </c>
      <c r="I16" s="182">
        <v>32</v>
      </c>
      <c r="J16" s="182">
        <v>896</v>
      </c>
      <c r="K16" s="182">
        <v>4.5901639344262302</v>
      </c>
      <c r="L16" s="182">
        <v>5.2459016393442628</v>
      </c>
      <c r="M16" s="182">
        <v>1</v>
      </c>
      <c r="N16" s="182">
        <v>0</v>
      </c>
      <c r="O16" s="182">
        <v>0</v>
      </c>
      <c r="P16" s="182" t="s">
        <v>151</v>
      </c>
      <c r="Q16" s="182" t="s">
        <v>167</v>
      </c>
      <c r="T16">
        <v>140</v>
      </c>
      <c r="U16">
        <v>2</v>
      </c>
    </row>
    <row r="17" spans="1:21">
      <c r="A17" s="182" t="s">
        <v>27</v>
      </c>
      <c r="B17" s="182">
        <v>420.89833333299998</v>
      </c>
      <c r="C17" s="182">
        <v>25253.89999998</v>
      </c>
      <c r="D17" s="182">
        <v>2.158203125</v>
      </c>
      <c r="E17" s="182">
        <v>1.78862712977</v>
      </c>
      <c r="F17" s="182">
        <v>2.9232804232804233</v>
      </c>
      <c r="G17" s="182">
        <v>2.4226907154575681</v>
      </c>
      <c r="H17" s="182">
        <v>78</v>
      </c>
      <c r="I17" s="182">
        <v>85</v>
      </c>
      <c r="J17" s="182">
        <v>6630</v>
      </c>
      <c r="K17" s="182">
        <v>12.78688524590164</v>
      </c>
      <c r="L17" s="182">
        <v>13.934426229508198</v>
      </c>
      <c r="M17" s="182">
        <v>9</v>
      </c>
      <c r="N17" s="182">
        <v>102.261496213</v>
      </c>
      <c r="O17" s="182">
        <v>16.76417970704918</v>
      </c>
      <c r="P17" s="182" t="s">
        <v>151</v>
      </c>
      <c r="Q17" s="182" t="s">
        <v>167</v>
      </c>
      <c r="T17">
        <v>160</v>
      </c>
      <c r="U17">
        <v>4</v>
      </c>
    </row>
    <row r="18" spans="1:21">
      <c r="A18" s="182" t="s">
        <v>28</v>
      </c>
      <c r="B18" s="182">
        <v>53.453000000000003</v>
      </c>
      <c r="C18" s="182">
        <v>3207.1800000000003</v>
      </c>
      <c r="D18" s="182">
        <v>3.1901041666699999</v>
      </c>
      <c r="E18" s="182">
        <v>0.33575867292099998</v>
      </c>
      <c r="F18" s="182">
        <v>4.3209876543209873</v>
      </c>
      <c r="G18" s="182">
        <v>0.45478423422109432</v>
      </c>
      <c r="H18" s="182">
        <v>98</v>
      </c>
      <c r="I18" s="182">
        <v>100</v>
      </c>
      <c r="J18" s="182">
        <v>9800</v>
      </c>
      <c r="K18" s="182">
        <v>16.065573770491802</v>
      </c>
      <c r="L18" s="182">
        <v>16.393442622950822</v>
      </c>
      <c r="M18" s="182">
        <v>2</v>
      </c>
      <c r="N18" s="182">
        <v>282.72955275300001</v>
      </c>
      <c r="O18" s="182">
        <v>46.349107008688527</v>
      </c>
      <c r="P18" s="182" t="s">
        <v>151</v>
      </c>
      <c r="Q18" s="182" t="s">
        <v>167</v>
      </c>
      <c r="T18">
        <v>180</v>
      </c>
      <c r="U18">
        <v>0</v>
      </c>
    </row>
    <row r="19" spans="1:21">
      <c r="A19" s="182" t="s">
        <v>29</v>
      </c>
      <c r="B19" s="182">
        <v>5.6529666666700003</v>
      </c>
      <c r="C19" s="182">
        <v>339.17800000020003</v>
      </c>
      <c r="D19" s="182">
        <v>4.53125</v>
      </c>
      <c r="E19" s="182">
        <v>5.0436476519400003E-2</v>
      </c>
      <c r="F19" s="182">
        <v>6.1375661375661377</v>
      </c>
      <c r="G19" s="182">
        <v>6.8316074015772998E-2</v>
      </c>
      <c r="H19" s="182">
        <v>120</v>
      </c>
      <c r="I19" s="182">
        <v>116</v>
      </c>
      <c r="J19" s="182">
        <v>13920</v>
      </c>
      <c r="K19" s="182">
        <v>19.672131147540984</v>
      </c>
      <c r="L19" s="182">
        <v>19.016393442622952</v>
      </c>
      <c r="M19" s="182">
        <v>1</v>
      </c>
      <c r="N19" s="182">
        <v>0</v>
      </c>
      <c r="O19" s="182">
        <v>0</v>
      </c>
      <c r="P19" s="182" t="s">
        <v>151</v>
      </c>
      <c r="Q19" s="182" t="s">
        <v>167</v>
      </c>
      <c r="T19">
        <v>200</v>
      </c>
      <c r="U19">
        <v>1</v>
      </c>
    </row>
    <row r="20" spans="1:21">
      <c r="A20" s="182" t="s">
        <v>30</v>
      </c>
      <c r="B20" s="182">
        <v>66.163933333299994</v>
      </c>
      <c r="C20" s="182">
        <v>3969.8359999979998</v>
      </c>
      <c r="D20" s="182">
        <v>0.229166666667</v>
      </c>
      <c r="E20" s="182">
        <v>2.9855410978399999E-2</v>
      </c>
      <c r="F20" s="182">
        <v>0.31040564373897706</v>
      </c>
      <c r="G20" s="182">
        <v>4.0439075187632741E-2</v>
      </c>
      <c r="H20" s="182">
        <v>88</v>
      </c>
      <c r="I20" s="182">
        <v>8</v>
      </c>
      <c r="J20" s="182">
        <v>704</v>
      </c>
      <c r="K20" s="182">
        <v>14.426229508196721</v>
      </c>
      <c r="L20" s="182">
        <v>1.3114754098360657</v>
      </c>
      <c r="M20" s="182">
        <v>1</v>
      </c>
      <c r="N20" s="182">
        <v>0</v>
      </c>
      <c r="O20" s="182">
        <v>0</v>
      </c>
      <c r="P20" s="182" t="s">
        <v>151</v>
      </c>
      <c r="Q20" s="182" t="s">
        <v>167</v>
      </c>
      <c r="T20">
        <v>300</v>
      </c>
      <c r="U20">
        <v>3</v>
      </c>
    </row>
    <row r="21" spans="1:21">
      <c r="A21" s="182" t="s">
        <v>31</v>
      </c>
      <c r="B21" s="182">
        <v>48.318350000000002</v>
      </c>
      <c r="C21" s="182">
        <v>2899.1010000000001</v>
      </c>
      <c r="D21" s="182">
        <v>1.9765625</v>
      </c>
      <c r="E21" s="182">
        <v>0.18804982673599999</v>
      </c>
      <c r="F21" s="182">
        <v>2.6772486772486772</v>
      </c>
      <c r="G21" s="182">
        <v>0.25471299282818055</v>
      </c>
      <c r="H21" s="182">
        <v>92</v>
      </c>
      <c r="I21" s="182">
        <v>66</v>
      </c>
      <c r="J21" s="182">
        <v>6072</v>
      </c>
      <c r="K21" s="182">
        <v>15.081967213114755</v>
      </c>
      <c r="L21" s="182">
        <v>10.819672131147541</v>
      </c>
      <c r="M21" s="182">
        <v>2</v>
      </c>
      <c r="N21" s="182">
        <v>210.44714300699999</v>
      </c>
      <c r="O21" s="182">
        <v>34.499531640491803</v>
      </c>
      <c r="P21" s="182" t="s">
        <v>151</v>
      </c>
      <c r="Q21" s="182" t="s">
        <v>167</v>
      </c>
    </row>
    <row r="22" spans="1:21">
      <c r="A22" s="182" t="s">
        <v>32</v>
      </c>
      <c r="B22" s="182">
        <v>2</v>
      </c>
      <c r="C22" s="182">
        <v>120</v>
      </c>
      <c r="D22" s="182">
        <v>0.67708333333299997</v>
      </c>
      <c r="E22" s="182">
        <v>2.66638225256E-3</v>
      </c>
      <c r="F22" s="182">
        <v>0.9171075837742505</v>
      </c>
      <c r="G22" s="182">
        <v>3.6116077071708477E-3</v>
      </c>
      <c r="H22" s="182">
        <v>40</v>
      </c>
      <c r="I22" s="182">
        <v>52</v>
      </c>
      <c r="J22" s="182">
        <v>2080</v>
      </c>
      <c r="K22" s="182">
        <v>6.557377049180328</v>
      </c>
      <c r="L22" s="182">
        <v>8.5245901639344268</v>
      </c>
      <c r="M22" s="182">
        <v>1</v>
      </c>
      <c r="N22" s="182">
        <v>0</v>
      </c>
      <c r="O22" s="182">
        <v>0</v>
      </c>
      <c r="P22" s="182" t="s">
        <v>151</v>
      </c>
      <c r="Q22" s="182" t="s">
        <v>167</v>
      </c>
    </row>
    <row r="23" spans="1:21">
      <c r="A23" s="182" t="s">
        <v>33</v>
      </c>
      <c r="B23" s="182">
        <v>347.95</v>
      </c>
      <c r="C23" s="182">
        <v>20877</v>
      </c>
      <c r="D23" s="182">
        <v>1.3541666666700001</v>
      </c>
      <c r="E23" s="182">
        <v>0.92776770477799997</v>
      </c>
      <c r="F23" s="182">
        <v>1.834215167548501</v>
      </c>
      <c r="G23" s="182">
        <v>1.2566589017100962</v>
      </c>
      <c r="H23" s="182">
        <v>80</v>
      </c>
      <c r="I23" s="182">
        <v>52</v>
      </c>
      <c r="J23" s="182">
        <v>4160</v>
      </c>
      <c r="K23" s="182">
        <v>13.114754098360656</v>
      </c>
      <c r="L23" s="182">
        <v>8.5245901639344268</v>
      </c>
      <c r="M23" s="182">
        <v>3</v>
      </c>
      <c r="N23" s="182">
        <v>507.95136778099999</v>
      </c>
      <c r="O23" s="182">
        <v>83.27071602967213</v>
      </c>
      <c r="P23" s="182" t="s">
        <v>151</v>
      </c>
      <c r="Q23" s="182" t="s">
        <v>167</v>
      </c>
    </row>
    <row r="24" spans="1:21">
      <c r="A24" s="182" t="s">
        <v>34</v>
      </c>
      <c r="B24" s="182">
        <v>475.38204999999999</v>
      </c>
      <c r="C24" s="182">
        <v>28522.922999999999</v>
      </c>
      <c r="D24" s="182">
        <v>2.26953125</v>
      </c>
      <c r="E24" s="182">
        <v>2.1243654860099999</v>
      </c>
      <c r="F24" s="182">
        <v>3.0740740740740744</v>
      </c>
      <c r="G24" s="182">
        <v>2.8774474307925675</v>
      </c>
      <c r="H24" s="182">
        <v>83</v>
      </c>
      <c r="I24" s="182">
        <v>84</v>
      </c>
      <c r="J24" s="182">
        <v>6972</v>
      </c>
      <c r="K24" s="182">
        <v>13.606557377049182</v>
      </c>
      <c r="L24" s="182">
        <v>13.77049180327869</v>
      </c>
      <c r="M24" s="182">
        <v>2</v>
      </c>
      <c r="N24" s="182">
        <v>48.0104155366</v>
      </c>
      <c r="O24" s="182">
        <v>7.8705599240327873</v>
      </c>
      <c r="P24" s="182" t="s">
        <v>151</v>
      </c>
      <c r="Q24" s="182" t="s">
        <v>167</v>
      </c>
    </row>
    <row r="25" spans="1:21">
      <c r="A25" s="182" t="s">
        <v>35</v>
      </c>
      <c r="B25" s="182">
        <v>231.716666667</v>
      </c>
      <c r="C25" s="182">
        <v>13903.00000002</v>
      </c>
      <c r="D25" s="182">
        <v>0.83854166666700003</v>
      </c>
      <c r="E25" s="182">
        <v>0.38258876318099999</v>
      </c>
      <c r="F25" s="182">
        <v>1.1358024691358024</v>
      </c>
      <c r="G25" s="182">
        <v>0.51821546759050197</v>
      </c>
      <c r="H25" s="182">
        <v>23</v>
      </c>
      <c r="I25" s="182">
        <v>112</v>
      </c>
      <c r="J25" s="182">
        <v>2576</v>
      </c>
      <c r="K25" s="182">
        <v>3.7704918032786887</v>
      </c>
      <c r="L25" s="182">
        <v>18.360655737704921</v>
      </c>
      <c r="M25" s="182">
        <v>12</v>
      </c>
      <c r="N25" s="182">
        <v>904.10347556099998</v>
      </c>
      <c r="O25" s="182">
        <v>148.21368451819671</v>
      </c>
      <c r="P25" s="182" t="s">
        <v>151</v>
      </c>
      <c r="Q25" s="182" t="s">
        <v>167</v>
      </c>
    </row>
    <row r="26" spans="1:21">
      <c r="A26" s="182" t="s">
        <v>36</v>
      </c>
      <c r="B26" s="182">
        <v>40.483333333300003</v>
      </c>
      <c r="C26" s="182">
        <v>2428.999999998</v>
      </c>
      <c r="D26" s="182">
        <v>1.1510416666700001</v>
      </c>
      <c r="E26" s="182">
        <v>9.1752435295800003E-2</v>
      </c>
      <c r="F26" s="182">
        <v>1.5590828924162259</v>
      </c>
      <c r="G26" s="182">
        <v>0.12427843087673585</v>
      </c>
      <c r="H26" s="182">
        <v>68</v>
      </c>
      <c r="I26" s="182">
        <v>52</v>
      </c>
      <c r="J26" s="182">
        <v>3536</v>
      </c>
      <c r="K26" s="182">
        <v>11.147540983606557</v>
      </c>
      <c r="L26" s="182">
        <v>8.5245901639344268</v>
      </c>
      <c r="M26" s="182">
        <v>2</v>
      </c>
      <c r="N26" s="182">
        <v>25.612496949699999</v>
      </c>
      <c r="O26" s="182">
        <v>4.1987699917540988</v>
      </c>
      <c r="P26" s="182" t="s">
        <v>151</v>
      </c>
      <c r="Q26" s="182" t="s">
        <v>167</v>
      </c>
      <c r="T26">
        <v>0</v>
      </c>
      <c r="U26">
        <f t="array" ref="U26:U29">FREQUENCY(O2:O90,T26:T29)</f>
        <v>25</v>
      </c>
    </row>
    <row r="27" spans="1:21">
      <c r="A27" s="182" t="s">
        <v>37</v>
      </c>
      <c r="B27" s="182">
        <v>5.25</v>
      </c>
      <c r="C27" s="182">
        <v>315</v>
      </c>
      <c r="D27" s="182">
        <v>0.227864583333</v>
      </c>
      <c r="E27" s="182">
        <v>2.35551797552E-3</v>
      </c>
      <c r="F27" s="182">
        <v>0.30864197530864196</v>
      </c>
      <c r="G27" s="182">
        <v>3.1905428663107842E-3</v>
      </c>
      <c r="H27" s="182">
        <v>28</v>
      </c>
      <c r="I27" s="182">
        <v>25</v>
      </c>
      <c r="J27" s="182">
        <v>700</v>
      </c>
      <c r="K27" s="182">
        <v>4.5901639344262302</v>
      </c>
      <c r="L27" s="182">
        <v>4.0983606557377055</v>
      </c>
      <c r="M27" s="182">
        <v>4</v>
      </c>
      <c r="N27" s="182">
        <v>638.97669286300004</v>
      </c>
      <c r="O27" s="182">
        <v>104.7502775185246</v>
      </c>
      <c r="P27" s="182" t="s">
        <v>151</v>
      </c>
      <c r="Q27" s="182" t="s">
        <v>167</v>
      </c>
      <c r="T27">
        <v>15</v>
      </c>
      <c r="U27">
        <v>19</v>
      </c>
    </row>
    <row r="28" spans="1:21">
      <c r="A28" s="182" t="s">
        <v>38</v>
      </c>
      <c r="B28" s="182">
        <v>1.45</v>
      </c>
      <c r="C28" s="182">
        <v>87</v>
      </c>
      <c r="D28" s="182">
        <v>0.150390625</v>
      </c>
      <c r="E28" s="182">
        <v>4.2937727667999998E-4</v>
      </c>
      <c r="F28" s="182">
        <v>0.20370370370370369</v>
      </c>
      <c r="G28" s="182">
        <v>5.8159038534465158E-4</v>
      </c>
      <c r="H28" s="182">
        <v>21</v>
      </c>
      <c r="I28" s="182">
        <v>22</v>
      </c>
      <c r="J28" s="182">
        <v>462</v>
      </c>
      <c r="K28" s="182">
        <v>3.4426229508196724</v>
      </c>
      <c r="L28" s="182">
        <v>3.6065573770491803</v>
      </c>
      <c r="M28" s="182">
        <v>1</v>
      </c>
      <c r="N28" s="182">
        <v>0</v>
      </c>
      <c r="O28" s="182">
        <v>0</v>
      </c>
      <c r="P28" s="182" t="s">
        <v>151</v>
      </c>
      <c r="Q28" s="182" t="s">
        <v>167</v>
      </c>
      <c r="T28">
        <v>60</v>
      </c>
      <c r="U28">
        <v>17</v>
      </c>
    </row>
    <row r="29" spans="1:21">
      <c r="A29" s="182" t="s">
        <v>39</v>
      </c>
      <c r="B29" s="182">
        <v>60.659583333299999</v>
      </c>
      <c r="C29" s="182">
        <v>3639.5749999979998</v>
      </c>
      <c r="D29" s="182">
        <v>0.15625</v>
      </c>
      <c r="E29" s="182">
        <v>1.86624965132E-2</v>
      </c>
      <c r="F29" s="182">
        <v>0.21164021164021166</v>
      </c>
      <c r="G29" s="182">
        <v>2.5278302155421373E-2</v>
      </c>
      <c r="H29" s="182">
        <v>8</v>
      </c>
      <c r="I29" s="182">
        <v>60</v>
      </c>
      <c r="J29" s="182">
        <v>480</v>
      </c>
      <c r="K29" s="182">
        <v>1.3114754098360657</v>
      </c>
      <c r="L29" s="182">
        <v>9.8360655737704921</v>
      </c>
      <c r="M29" s="182">
        <v>1</v>
      </c>
      <c r="N29" s="182">
        <v>0</v>
      </c>
      <c r="O29" s="182">
        <v>0</v>
      </c>
      <c r="P29" s="182" t="s">
        <v>151</v>
      </c>
      <c r="Q29" s="182" t="s">
        <v>167</v>
      </c>
      <c r="T29">
        <v>300</v>
      </c>
      <c r="U29">
        <v>28</v>
      </c>
    </row>
    <row r="30" spans="1:21">
      <c r="A30" s="182" t="s">
        <v>40</v>
      </c>
      <c r="B30" s="182">
        <v>78.389083333299993</v>
      </c>
      <c r="C30" s="182">
        <v>4703.3449999979994</v>
      </c>
      <c r="D30" s="182">
        <v>2.564453125</v>
      </c>
      <c r="E30" s="182">
        <v>0.39582264975100001</v>
      </c>
      <c r="F30" s="182">
        <v>3.4735449735449739</v>
      </c>
      <c r="G30" s="182">
        <v>0.53614073193721901</v>
      </c>
      <c r="H30" s="182">
        <v>101</v>
      </c>
      <c r="I30" s="182">
        <v>78</v>
      </c>
      <c r="J30" s="182">
        <v>7878</v>
      </c>
      <c r="K30" s="182">
        <v>16.557377049180328</v>
      </c>
      <c r="L30" s="182">
        <v>12.78688524590164</v>
      </c>
      <c r="M30" s="182">
        <v>3</v>
      </c>
      <c r="N30" s="182">
        <v>134.937235609</v>
      </c>
      <c r="O30" s="182">
        <v>22.12085829655738</v>
      </c>
      <c r="P30" s="182" t="s">
        <v>151</v>
      </c>
      <c r="Q30" s="182" t="s">
        <v>167</v>
      </c>
    </row>
    <row r="31" spans="1:21">
      <c r="A31" s="182" t="s">
        <v>41</v>
      </c>
      <c r="B31" s="182">
        <v>56.266666666699997</v>
      </c>
      <c r="C31" s="182">
        <v>3376.000000002</v>
      </c>
      <c r="D31" s="182">
        <v>1.09375</v>
      </c>
      <c r="E31" s="182">
        <v>0.12117681806199999</v>
      </c>
      <c r="F31" s="182">
        <v>1.4814814814814816</v>
      </c>
      <c r="G31" s="182">
        <v>0.16413367949213853</v>
      </c>
      <c r="H31" s="182">
        <v>140</v>
      </c>
      <c r="I31" s="182">
        <v>24</v>
      </c>
      <c r="J31" s="182">
        <v>3360</v>
      </c>
      <c r="K31" s="182">
        <v>22.95081967213115</v>
      </c>
      <c r="L31" s="182">
        <v>3.9344262295081971</v>
      </c>
      <c r="M31" s="182">
        <v>1</v>
      </c>
      <c r="N31" s="182">
        <v>0</v>
      </c>
      <c r="O31" s="182">
        <v>0</v>
      </c>
      <c r="P31" s="182" t="s">
        <v>151</v>
      </c>
      <c r="Q31" s="182" t="s">
        <v>167</v>
      </c>
    </row>
    <row r="32" spans="1:21">
      <c r="A32" s="182" t="s">
        <v>42</v>
      </c>
      <c r="B32" s="182">
        <v>16.666666666699999</v>
      </c>
      <c r="C32" s="182">
        <v>1000.000000002</v>
      </c>
      <c r="D32" s="182">
        <v>1.6822916666700001</v>
      </c>
      <c r="E32" s="182">
        <v>5.5207786383099998E-2</v>
      </c>
      <c r="F32" s="182">
        <v>2.2786596119929454</v>
      </c>
      <c r="G32" s="182">
        <v>7.4778800603751083E-2</v>
      </c>
      <c r="H32" s="182">
        <v>76</v>
      </c>
      <c r="I32" s="182">
        <v>68</v>
      </c>
      <c r="J32" s="182">
        <v>5168</v>
      </c>
      <c r="K32" s="182">
        <v>12.459016393442624</v>
      </c>
      <c r="L32" s="182">
        <v>11.147540983606557</v>
      </c>
      <c r="M32" s="182">
        <v>1</v>
      </c>
      <c r="N32" s="182">
        <v>0</v>
      </c>
      <c r="O32" s="182">
        <v>0</v>
      </c>
      <c r="P32" s="182" t="s">
        <v>151</v>
      </c>
      <c r="Q32" s="182" t="s">
        <v>167</v>
      </c>
    </row>
    <row r="33" spans="1:17">
      <c r="A33" s="182" t="s">
        <v>43</v>
      </c>
      <c r="B33" s="182">
        <v>85.35</v>
      </c>
      <c r="C33" s="182">
        <v>5121</v>
      </c>
      <c r="D33" s="182">
        <v>0.93587239583299997</v>
      </c>
      <c r="E33" s="182">
        <v>0.15727889666100001</v>
      </c>
      <c r="F33" s="182">
        <v>1.2676366843033509</v>
      </c>
      <c r="G33" s="182">
        <v>0.21303384944596546</v>
      </c>
      <c r="H33" s="182">
        <v>25</v>
      </c>
      <c r="I33" s="182">
        <v>115</v>
      </c>
      <c r="J33" s="182">
        <v>2875</v>
      </c>
      <c r="K33" s="182">
        <v>4.0983606557377055</v>
      </c>
      <c r="L33" s="182">
        <v>18.852459016393443</v>
      </c>
      <c r="M33" s="182">
        <v>5</v>
      </c>
      <c r="N33" s="182">
        <v>426.772431412</v>
      </c>
      <c r="O33" s="182">
        <v>69.962693674098361</v>
      </c>
      <c r="P33" s="182" t="s">
        <v>151</v>
      </c>
      <c r="Q33" s="182" t="s">
        <v>167</v>
      </c>
    </row>
    <row r="34" spans="1:17">
      <c r="A34" s="182" t="s">
        <v>44</v>
      </c>
      <c r="B34" s="182">
        <v>6.2</v>
      </c>
      <c r="C34" s="182">
        <v>372</v>
      </c>
      <c r="D34" s="182">
        <v>0.365234375</v>
      </c>
      <c r="E34" s="182">
        <v>4.4587551686799997E-3</v>
      </c>
      <c r="F34" s="182">
        <v>0.49470899470899471</v>
      </c>
      <c r="G34" s="182">
        <v>6.0393720803277118E-3</v>
      </c>
      <c r="H34" s="182">
        <v>34</v>
      </c>
      <c r="I34" s="182">
        <v>33</v>
      </c>
      <c r="J34" s="182">
        <v>1122</v>
      </c>
      <c r="K34" s="182">
        <v>5.5737704918032787</v>
      </c>
      <c r="L34" s="182">
        <v>5.4098360655737707</v>
      </c>
      <c r="M34" s="182">
        <v>2</v>
      </c>
      <c r="N34" s="182">
        <v>81.608823052399998</v>
      </c>
      <c r="O34" s="182">
        <v>13.378495582360657</v>
      </c>
      <c r="P34" s="182" t="s">
        <v>151</v>
      </c>
      <c r="Q34" s="182" t="s">
        <v>167</v>
      </c>
    </row>
    <row r="35" spans="1:17">
      <c r="A35" s="182" t="s">
        <v>45</v>
      </c>
      <c r="B35" s="182">
        <v>3.1</v>
      </c>
      <c r="C35" s="182">
        <v>186</v>
      </c>
      <c r="D35" s="182">
        <v>0.3125</v>
      </c>
      <c r="E35" s="182">
        <v>1.9074888422200001E-3</v>
      </c>
      <c r="F35" s="182">
        <v>0.42328042328042331</v>
      </c>
      <c r="G35" s="182">
        <v>2.5836885905145294E-3</v>
      </c>
      <c r="H35" s="182">
        <v>32</v>
      </c>
      <c r="I35" s="182">
        <v>30</v>
      </c>
      <c r="J35" s="182">
        <v>960</v>
      </c>
      <c r="K35" s="182">
        <v>5.2459016393442628</v>
      </c>
      <c r="L35" s="182">
        <v>4.918032786885246</v>
      </c>
      <c r="M35" s="182">
        <v>1</v>
      </c>
      <c r="N35" s="182">
        <v>0</v>
      </c>
      <c r="O35" s="182">
        <v>0</v>
      </c>
      <c r="P35" s="182" t="s">
        <v>151</v>
      </c>
      <c r="Q35" s="182" t="s">
        <v>167</v>
      </c>
    </row>
    <row r="36" spans="1:17">
      <c r="A36" s="182" t="s">
        <v>46</v>
      </c>
      <c r="B36" s="182">
        <v>9.6999999999999993</v>
      </c>
      <c r="C36" s="182">
        <v>582</v>
      </c>
      <c r="D36" s="182">
        <v>1.4632161458299999</v>
      </c>
      <c r="E36" s="182">
        <v>2.7946698506000001E-2</v>
      </c>
      <c r="F36" s="182">
        <v>1.9819223985890655</v>
      </c>
      <c r="G36" s="182">
        <v>3.7853729193319641E-2</v>
      </c>
      <c r="H36" s="182">
        <v>155</v>
      </c>
      <c r="I36" s="182">
        <v>29</v>
      </c>
      <c r="J36" s="182">
        <v>4495</v>
      </c>
      <c r="K36" s="182">
        <v>25.409836065573771</v>
      </c>
      <c r="L36" s="182">
        <v>4.7540983606557381</v>
      </c>
      <c r="M36" s="182">
        <v>1</v>
      </c>
      <c r="N36" s="182">
        <v>0</v>
      </c>
      <c r="O36" s="182">
        <v>0</v>
      </c>
      <c r="P36" s="182" t="s">
        <v>151</v>
      </c>
      <c r="Q36" s="182" t="s">
        <v>167</v>
      </c>
    </row>
    <row r="37" spans="1:17">
      <c r="A37" s="182" t="s">
        <v>47</v>
      </c>
      <c r="B37" s="182">
        <v>176.937216667</v>
      </c>
      <c r="C37" s="182">
        <v>10616.23300002</v>
      </c>
      <c r="D37" s="182">
        <v>0.25520833333300003</v>
      </c>
      <c r="E37" s="182">
        <v>8.8912809471299994E-2</v>
      </c>
      <c r="F37" s="182">
        <v>0.34567901234567905</v>
      </c>
      <c r="G37" s="182">
        <v>0.12043216520998026</v>
      </c>
      <c r="H37" s="182">
        <v>28</v>
      </c>
      <c r="I37" s="182">
        <v>28</v>
      </c>
      <c r="J37" s="182">
        <v>784</v>
      </c>
      <c r="K37" s="182">
        <v>4.5901639344262302</v>
      </c>
      <c r="L37" s="182">
        <v>4.5901639344262302</v>
      </c>
      <c r="M37" s="182">
        <v>3</v>
      </c>
      <c r="N37" s="182">
        <v>444.54170555500002</v>
      </c>
      <c r="O37" s="182">
        <v>72.875689435245903</v>
      </c>
      <c r="P37" s="182" t="s">
        <v>151</v>
      </c>
      <c r="Q37" s="182" t="s">
        <v>167</v>
      </c>
    </row>
    <row r="38" spans="1:17">
      <c r="A38" s="182" t="s">
        <v>48</v>
      </c>
      <c r="B38" s="182">
        <v>16.083333333300001</v>
      </c>
      <c r="C38" s="182">
        <v>964.99999999800002</v>
      </c>
      <c r="D38" s="182">
        <v>6.26953125</v>
      </c>
      <c r="E38" s="182">
        <v>0.19854612943899999</v>
      </c>
      <c r="F38" s="182">
        <v>8.4920634920634921</v>
      </c>
      <c r="G38" s="182">
        <v>0.26893020706958148</v>
      </c>
      <c r="H38" s="182">
        <v>180</v>
      </c>
      <c r="I38" s="182">
        <v>107</v>
      </c>
      <c r="J38" s="182">
        <v>19260</v>
      </c>
      <c r="K38" s="182">
        <v>29.508196721311478</v>
      </c>
      <c r="L38" s="182">
        <v>17.540983606557379</v>
      </c>
      <c r="M38" s="182">
        <v>4</v>
      </c>
      <c r="N38" s="182">
        <v>179.14029621500001</v>
      </c>
      <c r="O38" s="182">
        <v>29.367261674590168</v>
      </c>
      <c r="P38" s="182" t="s">
        <v>155</v>
      </c>
      <c r="Q38" s="182" t="s">
        <v>167</v>
      </c>
    </row>
    <row r="39" spans="1:17">
      <c r="A39" s="182" t="s">
        <v>23</v>
      </c>
      <c r="B39" s="182">
        <v>100.866666667</v>
      </c>
      <c r="C39" s="182">
        <v>6052.0000000199998</v>
      </c>
      <c r="D39" s="182">
        <v>2.8151041666699999</v>
      </c>
      <c r="E39" s="182">
        <v>2.8151041666699999</v>
      </c>
      <c r="F39" s="182">
        <v>3.8130511463844794</v>
      </c>
      <c r="G39" s="182">
        <v>3.81305114639708</v>
      </c>
      <c r="H39" s="182">
        <v>94</v>
      </c>
      <c r="I39" s="182">
        <v>92</v>
      </c>
      <c r="J39" s="182">
        <v>8648</v>
      </c>
      <c r="K39" s="182">
        <v>15.409836065573771</v>
      </c>
      <c r="L39" s="182">
        <v>15.081967213114755</v>
      </c>
      <c r="M39" s="182">
        <v>2</v>
      </c>
      <c r="N39" s="182">
        <v>44.181444068700003</v>
      </c>
      <c r="O39" s="182">
        <v>7.2428596833934433</v>
      </c>
      <c r="P39" s="182" t="s">
        <v>151</v>
      </c>
      <c r="Q39" s="182" t="s">
        <v>168</v>
      </c>
    </row>
    <row r="40" spans="1:17">
      <c r="A40" s="182" t="s">
        <v>24</v>
      </c>
      <c r="B40" s="182">
        <v>46.183333333299998</v>
      </c>
      <c r="C40" s="182">
        <v>2770.999999998</v>
      </c>
      <c r="D40" s="182">
        <v>0.724609375</v>
      </c>
      <c r="E40" s="182">
        <v>0.33177339361000002</v>
      </c>
      <c r="F40" s="182">
        <v>0.9814814814814814</v>
      </c>
      <c r="G40" s="182">
        <v>0.44938618393642138</v>
      </c>
      <c r="H40" s="182">
        <v>42</v>
      </c>
      <c r="I40" s="182">
        <v>53</v>
      </c>
      <c r="J40" s="182">
        <v>2226</v>
      </c>
      <c r="K40" s="182">
        <v>6.8852459016393448</v>
      </c>
      <c r="L40" s="182">
        <v>8.6885245901639347</v>
      </c>
      <c r="M40" s="182">
        <v>2</v>
      </c>
      <c r="N40" s="182">
        <v>149.45902448499999</v>
      </c>
      <c r="O40" s="182">
        <v>24.50147942377049</v>
      </c>
      <c r="P40" s="182" t="s">
        <v>151</v>
      </c>
      <c r="Q40" s="182" t="s">
        <v>168</v>
      </c>
    </row>
    <row r="41" spans="1:17">
      <c r="A41" s="182" t="s">
        <v>61</v>
      </c>
      <c r="B41" s="182">
        <v>45.066666666700002</v>
      </c>
      <c r="C41" s="182">
        <v>2704.000000002</v>
      </c>
      <c r="D41" s="182">
        <v>2.4088541666699999</v>
      </c>
      <c r="E41" s="182">
        <v>1.07626266799</v>
      </c>
      <c r="F41" s="182">
        <v>3.2627865961199292</v>
      </c>
      <c r="G41" s="182">
        <v>1.4577949365358251</v>
      </c>
      <c r="H41" s="182">
        <v>148</v>
      </c>
      <c r="I41" s="182">
        <v>50</v>
      </c>
      <c r="J41" s="182">
        <v>7400</v>
      </c>
      <c r="K41" s="182">
        <v>24.262295081967213</v>
      </c>
      <c r="L41" s="182">
        <v>8.1967213114754109</v>
      </c>
      <c r="M41" s="182">
        <v>3</v>
      </c>
      <c r="N41" s="182">
        <v>69.352230906900004</v>
      </c>
      <c r="O41" s="182">
        <v>11.369218181459019</v>
      </c>
      <c r="P41" s="182" t="s">
        <v>151</v>
      </c>
      <c r="Q41" s="182" t="s">
        <v>168</v>
      </c>
    </row>
    <row r="42" spans="1:17">
      <c r="A42" s="182" t="s">
        <v>60</v>
      </c>
      <c r="B42" s="182">
        <v>100.498683333</v>
      </c>
      <c r="C42" s="182">
        <v>6029.9209999800005</v>
      </c>
      <c r="D42" s="182">
        <v>0.515625</v>
      </c>
      <c r="E42" s="182">
        <v>0.5137438889</v>
      </c>
      <c r="F42" s="182">
        <v>0.69841269841269837</v>
      </c>
      <c r="G42" s="182">
        <v>0.69586473840241714</v>
      </c>
      <c r="H42" s="182">
        <v>16</v>
      </c>
      <c r="I42" s="182">
        <v>99</v>
      </c>
      <c r="J42" s="182">
        <v>1584</v>
      </c>
      <c r="K42" s="182">
        <v>2.6229508196721314</v>
      </c>
      <c r="L42" s="182">
        <v>16.229508196721312</v>
      </c>
      <c r="M42" s="182">
        <v>3</v>
      </c>
      <c r="N42" s="182">
        <v>155.80268996000001</v>
      </c>
      <c r="O42" s="182">
        <v>25.54142458360656</v>
      </c>
      <c r="P42" s="182" t="s">
        <v>151</v>
      </c>
      <c r="Q42" s="182" t="s">
        <v>168</v>
      </c>
    </row>
    <row r="43" spans="1:17">
      <c r="A43" s="182" t="s">
        <v>34</v>
      </c>
      <c r="B43" s="182">
        <v>100.666666667</v>
      </c>
      <c r="C43" s="182">
        <v>6040.0000000199998</v>
      </c>
      <c r="D43" s="182">
        <v>1.9296875</v>
      </c>
      <c r="E43" s="182">
        <v>1.9258612855299999</v>
      </c>
      <c r="F43" s="182">
        <v>2.6137566137566135</v>
      </c>
      <c r="G43" s="182">
        <v>2.6085740163817284</v>
      </c>
      <c r="H43" s="182">
        <v>76</v>
      </c>
      <c r="I43" s="182">
        <v>78</v>
      </c>
      <c r="J43" s="182">
        <v>5928</v>
      </c>
      <c r="K43" s="182">
        <v>12.459016393442624</v>
      </c>
      <c r="L43" s="182">
        <v>12.78688524590164</v>
      </c>
      <c r="M43" s="182">
        <v>2</v>
      </c>
      <c r="N43" s="182">
        <v>73.824115301199996</v>
      </c>
      <c r="O43" s="182">
        <v>12.102313983803279</v>
      </c>
      <c r="P43" s="182" t="s">
        <v>151</v>
      </c>
      <c r="Q43" s="182" t="s">
        <v>168</v>
      </c>
    </row>
    <row r="44" spans="1:17">
      <c r="A44" s="182" t="s">
        <v>29</v>
      </c>
      <c r="B44" s="182">
        <v>35.566666666700002</v>
      </c>
      <c r="C44" s="182">
        <v>2134.000000002</v>
      </c>
      <c r="D44" s="182">
        <v>0.84375</v>
      </c>
      <c r="E44" s="182">
        <v>0.29751528420399997</v>
      </c>
      <c r="F44" s="182">
        <v>1.1428571428571428</v>
      </c>
      <c r="G44" s="182">
        <v>0.40298366537664049</v>
      </c>
      <c r="H44" s="182">
        <v>54</v>
      </c>
      <c r="I44" s="182">
        <v>48</v>
      </c>
      <c r="J44" s="182">
        <v>2592</v>
      </c>
      <c r="K44" s="182">
        <v>8.8524590163934427</v>
      </c>
      <c r="L44" s="182">
        <v>7.8688524590163942</v>
      </c>
      <c r="M44" s="182">
        <v>1</v>
      </c>
      <c r="N44" s="182">
        <v>0</v>
      </c>
      <c r="O44" s="182">
        <v>0</v>
      </c>
      <c r="P44" s="182" t="s">
        <v>151</v>
      </c>
      <c r="Q44" s="182" t="s">
        <v>168</v>
      </c>
    </row>
    <row r="45" spans="1:17">
      <c r="A45" s="182" t="s">
        <v>59</v>
      </c>
      <c r="B45" s="182">
        <v>4.5666666666699998</v>
      </c>
      <c r="C45" s="182">
        <v>274.00000000019998</v>
      </c>
      <c r="D45" s="182">
        <v>1.3359375</v>
      </c>
      <c r="E45" s="182">
        <v>6.0483621117000001E-2</v>
      </c>
      <c r="F45" s="182">
        <v>1.8095238095238095</v>
      </c>
      <c r="G45" s="182">
        <v>8.1924904793437822E-2</v>
      </c>
      <c r="H45" s="182">
        <v>76</v>
      </c>
      <c r="I45" s="182">
        <v>54</v>
      </c>
      <c r="J45" s="182">
        <v>4104</v>
      </c>
      <c r="K45" s="182">
        <v>12.459016393442624</v>
      </c>
      <c r="L45" s="182">
        <v>8.8524590163934427</v>
      </c>
      <c r="M45" s="182">
        <v>1</v>
      </c>
      <c r="N45" s="182">
        <v>0</v>
      </c>
      <c r="O45" s="182">
        <v>0</v>
      </c>
      <c r="P45" s="182" t="s">
        <v>151</v>
      </c>
      <c r="Q45" s="182" t="s">
        <v>168</v>
      </c>
    </row>
    <row r="46" spans="1:17">
      <c r="A46" s="182" t="s">
        <v>58</v>
      </c>
      <c r="B46" s="182">
        <v>64.981216666700007</v>
      </c>
      <c r="C46" s="182">
        <v>3898.8730000020005</v>
      </c>
      <c r="D46" s="182">
        <v>0.5859375</v>
      </c>
      <c r="E46" s="182">
        <v>0.37747784177799998</v>
      </c>
      <c r="F46" s="182">
        <v>0.79365079365079361</v>
      </c>
      <c r="G46" s="182">
        <v>0.51129273806927267</v>
      </c>
      <c r="H46" s="182">
        <v>40</v>
      </c>
      <c r="I46" s="182">
        <v>45</v>
      </c>
      <c r="J46" s="182">
        <v>1800</v>
      </c>
      <c r="K46" s="182">
        <v>6.557377049180328</v>
      </c>
      <c r="L46" s="182">
        <v>7.3770491803278695</v>
      </c>
      <c r="M46" s="182">
        <v>4</v>
      </c>
      <c r="N46" s="182">
        <v>96.937347309299994</v>
      </c>
      <c r="O46" s="182">
        <v>15.891368411360656</v>
      </c>
      <c r="P46" s="182" t="s">
        <v>151</v>
      </c>
      <c r="Q46" s="182" t="s">
        <v>168</v>
      </c>
    </row>
    <row r="47" spans="1:17">
      <c r="A47" s="182" t="s">
        <v>57</v>
      </c>
      <c r="B47" s="182">
        <v>61.366666666699999</v>
      </c>
      <c r="C47" s="182">
        <v>3682.000000002</v>
      </c>
      <c r="D47" s="182">
        <v>1.8251953125</v>
      </c>
      <c r="E47" s="182">
        <v>1.1104377297800001</v>
      </c>
      <c r="F47" s="182">
        <v>2.4722222222222223</v>
      </c>
      <c r="G47" s="182">
        <v>1.5040849673210783</v>
      </c>
      <c r="H47" s="182">
        <v>63</v>
      </c>
      <c r="I47" s="182">
        <v>89</v>
      </c>
      <c r="J47" s="182">
        <v>5607</v>
      </c>
      <c r="K47" s="182">
        <v>10.327868852459018</v>
      </c>
      <c r="L47" s="182">
        <v>14.590163934426231</v>
      </c>
      <c r="M47" s="182">
        <v>5</v>
      </c>
      <c r="N47" s="182">
        <v>710.11579476500003</v>
      </c>
      <c r="O47" s="182">
        <v>116.41242537131149</v>
      </c>
      <c r="P47" s="182" t="s">
        <v>151</v>
      </c>
      <c r="Q47" s="182" t="s">
        <v>168</v>
      </c>
    </row>
    <row r="48" spans="1:17">
      <c r="A48" s="182" t="s">
        <v>56</v>
      </c>
      <c r="B48" s="182">
        <v>26.7166666667</v>
      </c>
      <c r="C48" s="182">
        <v>1603.000000002</v>
      </c>
      <c r="D48" s="182">
        <v>0.1953125</v>
      </c>
      <c r="E48" s="182">
        <v>5.1732640036399997E-2</v>
      </c>
      <c r="F48" s="182">
        <v>0.26455026455026454</v>
      </c>
      <c r="G48" s="182">
        <v>7.0071724070489616E-2</v>
      </c>
      <c r="H48" s="182">
        <v>24</v>
      </c>
      <c r="I48" s="182">
        <v>25</v>
      </c>
      <c r="J48" s="182">
        <v>600</v>
      </c>
      <c r="K48" s="182">
        <v>3.9344262295081971</v>
      </c>
      <c r="L48" s="182">
        <v>4.0983606557377055</v>
      </c>
      <c r="M48" s="182">
        <v>3</v>
      </c>
      <c r="N48" s="182">
        <v>141.68761358500001</v>
      </c>
      <c r="O48" s="182">
        <v>23.227477636885247</v>
      </c>
      <c r="P48" s="182" t="s">
        <v>151</v>
      </c>
      <c r="Q48" s="182" t="s">
        <v>168</v>
      </c>
    </row>
    <row r="49" spans="1:17">
      <c r="A49" s="182" t="s">
        <v>55</v>
      </c>
      <c r="B49" s="182">
        <v>57.916666666700003</v>
      </c>
      <c r="C49" s="182">
        <v>3475.000000002</v>
      </c>
      <c r="D49" s="182">
        <v>1.4977213541700001</v>
      </c>
      <c r="E49" s="182">
        <v>0.85997714899699995</v>
      </c>
      <c r="F49" s="182">
        <v>2.0286596119929454</v>
      </c>
      <c r="G49" s="182">
        <v>1.1648367732451326</v>
      </c>
      <c r="H49" s="182">
        <v>43</v>
      </c>
      <c r="I49" s="182">
        <v>107</v>
      </c>
      <c r="J49" s="182">
        <v>4601</v>
      </c>
      <c r="K49" s="182">
        <v>7.0491803278688527</v>
      </c>
      <c r="L49" s="182">
        <v>17.540983606557379</v>
      </c>
      <c r="M49" s="182">
        <v>3</v>
      </c>
      <c r="N49" s="182">
        <v>87.007142492699998</v>
      </c>
      <c r="O49" s="182">
        <v>14.263465982409837</v>
      </c>
      <c r="P49" s="182" t="s">
        <v>151</v>
      </c>
      <c r="Q49" s="182" t="s">
        <v>168</v>
      </c>
    </row>
    <row r="50" spans="1:17">
      <c r="A50" s="182" t="s">
        <v>54</v>
      </c>
      <c r="B50" s="182">
        <v>39.2166666667</v>
      </c>
      <c r="C50" s="182">
        <v>2353.000000002</v>
      </c>
      <c r="D50" s="182">
        <v>0.24609375</v>
      </c>
      <c r="E50" s="182">
        <v>9.5680534327499997E-2</v>
      </c>
      <c r="F50" s="182">
        <v>0.33333333333333337</v>
      </c>
      <c r="G50" s="182">
        <v>0.12959903062359551</v>
      </c>
      <c r="H50" s="182">
        <v>21</v>
      </c>
      <c r="I50" s="182">
        <v>36</v>
      </c>
      <c r="J50" s="182">
        <v>756</v>
      </c>
      <c r="K50" s="182">
        <v>3.4426229508196724</v>
      </c>
      <c r="L50" s="182">
        <v>5.9016393442622954</v>
      </c>
      <c r="M50" s="182">
        <v>1</v>
      </c>
      <c r="N50" s="182">
        <v>0</v>
      </c>
      <c r="O50" s="182">
        <v>0</v>
      </c>
      <c r="P50" s="182" t="s">
        <v>151</v>
      </c>
      <c r="Q50" s="182" t="s">
        <v>168</v>
      </c>
    </row>
    <row r="51" spans="1:17">
      <c r="A51" s="182" t="s">
        <v>53</v>
      </c>
      <c r="B51" s="182">
        <v>55.564616666699997</v>
      </c>
      <c r="C51" s="182">
        <v>3333.8770000019999</v>
      </c>
      <c r="D51" s="182">
        <v>0.35546875</v>
      </c>
      <c r="E51" s="182">
        <v>0.19581776104500001</v>
      </c>
      <c r="F51" s="182">
        <v>0.48148148148148151</v>
      </c>
      <c r="G51" s="182">
        <v>0.2652346392990747</v>
      </c>
      <c r="H51" s="182">
        <v>12</v>
      </c>
      <c r="I51" s="182">
        <v>91</v>
      </c>
      <c r="J51" s="182">
        <v>1092</v>
      </c>
      <c r="K51" s="182">
        <v>1.9672131147540985</v>
      </c>
      <c r="L51" s="182">
        <v>14.918032786885247</v>
      </c>
      <c r="M51" s="182">
        <v>1</v>
      </c>
      <c r="N51" s="182">
        <v>0</v>
      </c>
      <c r="O51" s="182">
        <v>0</v>
      </c>
      <c r="P51" s="182" t="s">
        <v>151</v>
      </c>
      <c r="Q51" s="182" t="s">
        <v>168</v>
      </c>
    </row>
    <row r="52" spans="1:17">
      <c r="A52" s="182" t="s">
        <v>52</v>
      </c>
      <c r="B52" s="182">
        <v>17.7166666667</v>
      </c>
      <c r="C52" s="182">
        <v>1063.000000002</v>
      </c>
      <c r="D52" s="182">
        <v>1.1015625</v>
      </c>
      <c r="E52" s="182">
        <v>0.19348330097499999</v>
      </c>
      <c r="F52" s="182">
        <v>1.4920634920634921</v>
      </c>
      <c r="G52" s="182">
        <v>0.26207261931038933</v>
      </c>
      <c r="H52" s="182">
        <v>72</v>
      </c>
      <c r="I52" s="182">
        <v>47</v>
      </c>
      <c r="J52" s="182">
        <v>3384</v>
      </c>
      <c r="K52" s="182">
        <v>11.803278688524591</v>
      </c>
      <c r="L52" s="182">
        <v>7.7049180327868854</v>
      </c>
      <c r="M52" s="182">
        <v>5</v>
      </c>
      <c r="N52" s="182">
        <v>348.05974571799999</v>
      </c>
      <c r="O52" s="182">
        <v>57.058974707868856</v>
      </c>
      <c r="P52" s="182" t="s">
        <v>151</v>
      </c>
      <c r="Q52" s="182" t="s">
        <v>168</v>
      </c>
    </row>
    <row r="53" spans="1:17">
      <c r="A53" s="182" t="s">
        <v>51</v>
      </c>
      <c r="B53" s="182">
        <v>3.8333333333300001</v>
      </c>
      <c r="C53" s="182">
        <v>229.9999999998</v>
      </c>
      <c r="D53" s="182">
        <v>0.94856770833299997</v>
      </c>
      <c r="E53" s="182">
        <v>3.60493345864E-2</v>
      </c>
      <c r="F53" s="182">
        <v>1.2848324514991181</v>
      </c>
      <c r="G53" s="182">
        <v>4.8828728328575703E-2</v>
      </c>
      <c r="H53" s="182">
        <v>94</v>
      </c>
      <c r="I53" s="182">
        <v>31</v>
      </c>
      <c r="J53" s="182">
        <v>2914</v>
      </c>
      <c r="K53" s="182">
        <v>15.409836065573771</v>
      </c>
      <c r="L53" s="182">
        <v>5.081967213114754</v>
      </c>
      <c r="M53" s="182">
        <v>2</v>
      </c>
      <c r="N53" s="182">
        <v>38.327535793499997</v>
      </c>
      <c r="O53" s="182">
        <v>6.2832025890983605</v>
      </c>
      <c r="P53" s="182" t="s">
        <v>151</v>
      </c>
      <c r="Q53" s="182" t="s">
        <v>168</v>
      </c>
    </row>
    <row r="54" spans="1:17">
      <c r="A54" s="182" t="s">
        <v>50</v>
      </c>
      <c r="B54" s="182">
        <v>6.5666666666699998</v>
      </c>
      <c r="C54" s="182">
        <v>394.00000000019998</v>
      </c>
      <c r="D54" s="182">
        <v>0.29296875</v>
      </c>
      <c r="E54" s="182">
        <v>1.9072982071999998E-2</v>
      </c>
      <c r="F54" s="182">
        <v>0.3968253968253968</v>
      </c>
      <c r="G54" s="182">
        <v>2.5834303758969879E-2</v>
      </c>
      <c r="H54" s="182">
        <v>75</v>
      </c>
      <c r="I54" s="182">
        <v>12</v>
      </c>
      <c r="J54" s="182">
        <v>900</v>
      </c>
      <c r="K54" s="182">
        <v>12.295081967213115</v>
      </c>
      <c r="L54" s="182">
        <v>1.9672131147540985</v>
      </c>
      <c r="M54" s="182">
        <v>2</v>
      </c>
      <c r="N54" s="182">
        <v>72.945184899300003</v>
      </c>
      <c r="O54" s="182">
        <v>11.958227032672132</v>
      </c>
      <c r="P54" s="182" t="s">
        <v>151</v>
      </c>
      <c r="Q54" s="182" t="s">
        <v>168</v>
      </c>
    </row>
    <row r="55" spans="1:17">
      <c r="A55" s="182" t="s">
        <v>65</v>
      </c>
      <c r="B55" s="182">
        <v>17.829999999999998</v>
      </c>
      <c r="C55" s="182">
        <v>1070</v>
      </c>
      <c r="D55" s="182">
        <v>2.54</v>
      </c>
      <c r="E55" s="182">
        <v>0.52</v>
      </c>
      <c r="F55" s="182">
        <v>3.43</v>
      </c>
      <c r="G55" s="182">
        <v>0.71</v>
      </c>
      <c r="H55" s="182">
        <v>118</v>
      </c>
      <c r="I55" s="182">
        <v>66</v>
      </c>
      <c r="J55" s="182">
        <v>7788</v>
      </c>
      <c r="K55" s="182">
        <v>10.82</v>
      </c>
      <c r="L55" s="182">
        <v>19.34</v>
      </c>
      <c r="M55" s="182">
        <v>9</v>
      </c>
      <c r="N55" s="182">
        <v>1631.69</v>
      </c>
      <c r="O55" s="182">
        <v>267.49</v>
      </c>
      <c r="P55" s="182" t="s">
        <v>155</v>
      </c>
      <c r="Q55" s="182" t="s">
        <v>170</v>
      </c>
    </row>
    <row r="56" spans="1:17">
      <c r="A56" s="182" t="s">
        <v>23</v>
      </c>
      <c r="B56" s="182">
        <v>7.78</v>
      </c>
      <c r="C56" s="182">
        <v>466.6</v>
      </c>
      <c r="D56" s="182">
        <v>2.85</v>
      </c>
      <c r="E56" s="182">
        <v>0.26</v>
      </c>
      <c r="F56" s="182">
        <v>3.85</v>
      </c>
      <c r="G56" s="182">
        <v>0.35</v>
      </c>
      <c r="H56" s="182">
        <v>94</v>
      </c>
      <c r="I56" s="182">
        <v>93</v>
      </c>
      <c r="J56" s="182">
        <v>8742</v>
      </c>
      <c r="K56" s="182">
        <v>15.25</v>
      </c>
      <c r="L56" s="182">
        <v>15.41</v>
      </c>
      <c r="M56" s="182">
        <v>3</v>
      </c>
      <c r="N56" s="182">
        <v>247.95</v>
      </c>
      <c r="O56" s="182">
        <v>40.65</v>
      </c>
      <c r="P56" s="182" t="s">
        <v>151</v>
      </c>
      <c r="Q56" s="182" t="s">
        <v>170</v>
      </c>
    </row>
    <row r="57" spans="1:17">
      <c r="A57" s="182" t="s">
        <v>24</v>
      </c>
      <c r="B57" s="182">
        <v>15.38</v>
      </c>
      <c r="C57" s="182">
        <v>923</v>
      </c>
      <c r="D57" s="182">
        <v>0.56999999999999995</v>
      </c>
      <c r="E57" s="182">
        <v>0.1</v>
      </c>
      <c r="F57" s="182">
        <v>0.78</v>
      </c>
      <c r="G57" s="182">
        <v>0.14000000000000001</v>
      </c>
      <c r="H57" s="182">
        <v>43</v>
      </c>
      <c r="I57" s="182">
        <v>41</v>
      </c>
      <c r="J57" s="182">
        <v>1763</v>
      </c>
      <c r="K57" s="182">
        <v>6.72</v>
      </c>
      <c r="L57" s="182">
        <v>7.05</v>
      </c>
      <c r="M57" s="182">
        <v>3</v>
      </c>
      <c r="N57" s="182">
        <v>51.09</v>
      </c>
      <c r="O57" s="182">
        <v>8.3800000000000008</v>
      </c>
      <c r="P57" s="182" t="s">
        <v>151</v>
      </c>
      <c r="Q57" s="182" t="s">
        <v>170</v>
      </c>
    </row>
    <row r="58" spans="1:17">
      <c r="A58" s="182" t="s">
        <v>53</v>
      </c>
      <c r="B58" s="182">
        <v>4.53</v>
      </c>
      <c r="C58" s="182">
        <v>272</v>
      </c>
      <c r="D58" s="182">
        <v>0.39</v>
      </c>
      <c r="E58" s="182">
        <v>0.02</v>
      </c>
      <c r="F58" s="182">
        <v>0.52</v>
      </c>
      <c r="G58" s="182">
        <v>0.03</v>
      </c>
      <c r="H58" s="182">
        <v>85</v>
      </c>
      <c r="I58" s="182">
        <v>14</v>
      </c>
      <c r="J58" s="182">
        <v>1190</v>
      </c>
      <c r="K58" s="182">
        <v>2.2999999999999998</v>
      </c>
      <c r="L58" s="182">
        <v>13.93</v>
      </c>
      <c r="M58" s="182">
        <v>4</v>
      </c>
      <c r="N58" s="182">
        <v>530.13</v>
      </c>
      <c r="O58" s="182">
        <v>86.91</v>
      </c>
      <c r="P58" s="182" t="s">
        <v>151</v>
      </c>
      <c r="Q58" s="182" t="s">
        <v>170</v>
      </c>
    </row>
    <row r="59" spans="1:17">
      <c r="A59" s="182" t="s">
        <v>66</v>
      </c>
      <c r="B59" s="182">
        <v>21.37</v>
      </c>
      <c r="C59" s="182">
        <v>1282</v>
      </c>
      <c r="D59" s="182">
        <v>3.28</v>
      </c>
      <c r="E59" s="182">
        <v>0.81</v>
      </c>
      <c r="F59" s="182">
        <v>4.4400000000000004</v>
      </c>
      <c r="G59" s="182">
        <v>1.1000000000000001</v>
      </c>
      <c r="H59" s="182">
        <v>136</v>
      </c>
      <c r="I59" s="182">
        <v>74</v>
      </c>
      <c r="J59" s="182">
        <v>10064</v>
      </c>
      <c r="K59" s="182">
        <v>12.13</v>
      </c>
      <c r="L59" s="182">
        <v>22.3</v>
      </c>
      <c r="M59" s="182">
        <v>12</v>
      </c>
      <c r="N59" s="182">
        <v>1364.66</v>
      </c>
      <c r="O59" s="182">
        <v>223.72</v>
      </c>
      <c r="P59" s="182" t="s">
        <v>155</v>
      </c>
      <c r="Q59" s="182" t="s">
        <v>170</v>
      </c>
    </row>
    <row r="60" spans="1:17">
      <c r="A60" s="182" t="s">
        <v>67</v>
      </c>
      <c r="B60" s="182">
        <v>9.4499999999999993</v>
      </c>
      <c r="C60" s="182">
        <v>567</v>
      </c>
      <c r="D60" s="182">
        <v>1.37</v>
      </c>
      <c r="E60" s="182">
        <v>0.15</v>
      </c>
      <c r="F60" s="182">
        <v>1.86</v>
      </c>
      <c r="G60" s="182">
        <v>0.2</v>
      </c>
      <c r="H60" s="182">
        <v>124</v>
      </c>
      <c r="I60" s="182">
        <v>34</v>
      </c>
      <c r="J60" s="182">
        <v>4216</v>
      </c>
      <c r="K60" s="182">
        <v>5.57</v>
      </c>
      <c r="L60" s="182">
        <v>20.329999999999998</v>
      </c>
      <c r="M60" s="182">
        <v>5</v>
      </c>
      <c r="N60" s="182">
        <v>654.13</v>
      </c>
      <c r="O60" s="182">
        <v>107.23</v>
      </c>
      <c r="P60" s="182" t="s">
        <v>155</v>
      </c>
      <c r="Q60" s="182" t="s">
        <v>170</v>
      </c>
    </row>
    <row r="61" spans="1:17">
      <c r="A61" s="182" t="s">
        <v>68</v>
      </c>
      <c r="B61" s="182">
        <v>33.07</v>
      </c>
      <c r="C61" s="182">
        <v>1984</v>
      </c>
      <c r="D61" s="182">
        <v>0.55000000000000004</v>
      </c>
      <c r="E61" s="182">
        <v>0.21</v>
      </c>
      <c r="F61" s="182">
        <v>0.74</v>
      </c>
      <c r="G61" s="182">
        <v>0.28000000000000003</v>
      </c>
      <c r="H61" s="182">
        <v>41</v>
      </c>
      <c r="I61" s="182">
        <v>41</v>
      </c>
      <c r="J61" s="182">
        <v>1681</v>
      </c>
      <c r="K61" s="182">
        <v>6.72</v>
      </c>
      <c r="L61" s="182">
        <v>6.72</v>
      </c>
      <c r="M61" s="182">
        <v>7</v>
      </c>
      <c r="N61" s="182">
        <v>567.12</v>
      </c>
      <c r="O61" s="182">
        <v>92.97</v>
      </c>
      <c r="P61" s="182" t="s">
        <v>151</v>
      </c>
      <c r="Q61" s="182" t="s">
        <v>170</v>
      </c>
    </row>
    <row r="62" spans="1:17">
      <c r="A62" s="182" t="s">
        <v>69</v>
      </c>
      <c r="B62" s="182">
        <v>51.77</v>
      </c>
      <c r="C62" s="182">
        <v>3106</v>
      </c>
      <c r="D62" s="182">
        <v>0.46</v>
      </c>
      <c r="E62" s="182">
        <v>0.27</v>
      </c>
      <c r="F62" s="182">
        <v>0.62</v>
      </c>
      <c r="G62" s="182">
        <v>0.37</v>
      </c>
      <c r="H62" s="182">
        <v>23</v>
      </c>
      <c r="I62" s="182">
        <v>61</v>
      </c>
      <c r="J62" s="182">
        <v>1403</v>
      </c>
      <c r="K62" s="182">
        <v>10</v>
      </c>
      <c r="L62" s="182">
        <v>3.77</v>
      </c>
      <c r="M62" s="182">
        <v>7</v>
      </c>
      <c r="N62" s="182">
        <v>1372.01</v>
      </c>
      <c r="O62" s="182">
        <v>224.92</v>
      </c>
      <c r="P62" s="182" t="s">
        <v>151</v>
      </c>
      <c r="Q62" s="182" t="s">
        <v>170</v>
      </c>
    </row>
    <row r="63" spans="1:17">
      <c r="A63" s="182" t="s">
        <v>37</v>
      </c>
      <c r="B63" s="182">
        <v>33.75</v>
      </c>
      <c r="C63" s="182">
        <v>2025</v>
      </c>
      <c r="D63" s="182">
        <v>0.59</v>
      </c>
      <c r="E63" s="182">
        <v>0.23</v>
      </c>
      <c r="F63" s="182">
        <v>0.8</v>
      </c>
      <c r="G63" s="182">
        <v>0.31</v>
      </c>
      <c r="H63" s="182">
        <v>42</v>
      </c>
      <c r="I63" s="182">
        <v>43</v>
      </c>
      <c r="J63" s="182">
        <v>1806</v>
      </c>
      <c r="K63" s="182">
        <v>7.05</v>
      </c>
      <c r="L63" s="182">
        <v>6.89</v>
      </c>
      <c r="M63" s="182">
        <v>10</v>
      </c>
      <c r="N63" s="182">
        <v>1142.03</v>
      </c>
      <c r="O63" s="182">
        <v>187.22</v>
      </c>
      <c r="P63" s="182" t="s">
        <v>151</v>
      </c>
      <c r="Q63" s="182" t="s">
        <v>170</v>
      </c>
    </row>
    <row r="64" spans="1:17">
      <c r="A64" s="182" t="s">
        <v>70</v>
      </c>
      <c r="B64" s="182">
        <v>3.28</v>
      </c>
      <c r="C64" s="182">
        <v>197</v>
      </c>
      <c r="D64" s="182">
        <v>1.71</v>
      </c>
      <c r="E64" s="182">
        <v>7.0000000000000007E-2</v>
      </c>
      <c r="F64" s="182">
        <v>2.31</v>
      </c>
      <c r="G64" s="182">
        <v>0.09</v>
      </c>
      <c r="H64" s="182">
        <v>43</v>
      </c>
      <c r="I64" s="182">
        <v>122</v>
      </c>
      <c r="J64" s="182">
        <v>5246</v>
      </c>
      <c r="K64" s="182">
        <v>20</v>
      </c>
      <c r="L64" s="182">
        <v>7.05</v>
      </c>
      <c r="M64" s="182">
        <v>1</v>
      </c>
      <c r="N64" s="182">
        <v>0</v>
      </c>
      <c r="O64" s="182">
        <v>0</v>
      </c>
      <c r="P64" s="182" t="s">
        <v>151</v>
      </c>
      <c r="Q64" s="182" t="s">
        <v>170</v>
      </c>
    </row>
    <row r="65" spans="1:17">
      <c r="A65" s="182" t="s">
        <v>71</v>
      </c>
      <c r="B65" s="182">
        <v>12.93</v>
      </c>
      <c r="C65" s="182">
        <v>776</v>
      </c>
      <c r="D65" s="182">
        <v>0.47</v>
      </c>
      <c r="E65" s="182">
        <v>7.0000000000000007E-2</v>
      </c>
      <c r="F65" s="182">
        <v>0.63</v>
      </c>
      <c r="G65" s="182">
        <v>0.1</v>
      </c>
      <c r="H65" s="182">
        <v>20</v>
      </c>
      <c r="I65" s="182">
        <v>72</v>
      </c>
      <c r="J65" s="182">
        <v>1440</v>
      </c>
      <c r="K65" s="182">
        <v>11.8</v>
      </c>
      <c r="L65" s="182">
        <v>3.28</v>
      </c>
      <c r="M65" s="182">
        <v>5</v>
      </c>
      <c r="N65" s="182">
        <v>800.02</v>
      </c>
      <c r="O65" s="182">
        <v>131.15</v>
      </c>
      <c r="P65" s="182" t="s">
        <v>151</v>
      </c>
      <c r="Q65" s="182" t="s">
        <v>170</v>
      </c>
    </row>
    <row r="66" spans="1:17">
      <c r="A66" s="182" t="s">
        <v>72</v>
      </c>
      <c r="B66" s="182">
        <v>0.53</v>
      </c>
      <c r="C66" s="182">
        <v>32</v>
      </c>
      <c r="D66" s="182">
        <v>0.74</v>
      </c>
      <c r="E66" s="182">
        <v>0</v>
      </c>
      <c r="F66" s="182">
        <v>1</v>
      </c>
      <c r="G66" s="182">
        <v>0.01</v>
      </c>
      <c r="H66" s="182">
        <v>87</v>
      </c>
      <c r="I66" s="182">
        <v>26</v>
      </c>
      <c r="J66" s="182">
        <v>2262</v>
      </c>
      <c r="K66" s="182">
        <v>4.26</v>
      </c>
      <c r="L66" s="182">
        <v>14.26</v>
      </c>
      <c r="M66" s="182">
        <v>1</v>
      </c>
      <c r="N66" s="182">
        <v>0</v>
      </c>
      <c r="O66" s="182">
        <v>0</v>
      </c>
      <c r="P66" s="182" t="s">
        <v>151</v>
      </c>
      <c r="Q66" s="182" t="s">
        <v>170</v>
      </c>
    </row>
    <row r="67" spans="1:17">
      <c r="A67" s="182" t="s">
        <v>73</v>
      </c>
      <c r="B67" s="182">
        <v>12.63</v>
      </c>
      <c r="C67" s="182">
        <v>757.55</v>
      </c>
      <c r="D67" s="182">
        <v>3.32</v>
      </c>
      <c r="E67" s="182">
        <v>0.49</v>
      </c>
      <c r="F67" s="182">
        <v>4.49</v>
      </c>
      <c r="G67" s="182">
        <v>0.66</v>
      </c>
      <c r="H67" s="182">
        <v>167</v>
      </c>
      <c r="I67" s="182">
        <v>61</v>
      </c>
      <c r="J67" s="182">
        <v>10187</v>
      </c>
      <c r="K67" s="182">
        <v>10</v>
      </c>
      <c r="L67" s="182">
        <v>27.38</v>
      </c>
      <c r="M67" s="182">
        <v>3</v>
      </c>
      <c r="N67" s="182">
        <v>379.93</v>
      </c>
      <c r="O67" s="182">
        <v>62.28</v>
      </c>
      <c r="P67" s="182" t="s">
        <v>151</v>
      </c>
      <c r="Q67" s="182" t="s">
        <v>170</v>
      </c>
    </row>
    <row r="68" spans="1:17">
      <c r="A68" s="182" t="s">
        <v>50</v>
      </c>
      <c r="B68" s="182">
        <v>4.37</v>
      </c>
      <c r="C68" s="182">
        <v>262</v>
      </c>
      <c r="D68" s="182">
        <v>0.35</v>
      </c>
      <c r="E68" s="182">
        <v>0.02</v>
      </c>
      <c r="F68" s="182">
        <v>0.47</v>
      </c>
      <c r="G68" s="182">
        <v>0.02</v>
      </c>
      <c r="H68" s="182">
        <v>14</v>
      </c>
      <c r="I68" s="182">
        <v>76</v>
      </c>
      <c r="J68" s="182">
        <v>1064</v>
      </c>
      <c r="K68" s="182">
        <v>12.46</v>
      </c>
      <c r="L68" s="182">
        <v>2.2999999999999998</v>
      </c>
      <c r="M68" s="182">
        <v>2</v>
      </c>
      <c r="N68" s="182">
        <v>187.22</v>
      </c>
      <c r="O68" s="182">
        <v>30.69</v>
      </c>
      <c r="P68" s="182" t="s">
        <v>151</v>
      </c>
      <c r="Q68" s="182" t="s">
        <v>170</v>
      </c>
    </row>
    <row r="69" spans="1:17">
      <c r="A69" s="182" t="s">
        <v>74</v>
      </c>
      <c r="B69" s="182">
        <v>18.77</v>
      </c>
      <c r="C69" s="182">
        <v>1126</v>
      </c>
      <c r="D69" s="182">
        <v>1.52</v>
      </c>
      <c r="E69" s="182">
        <v>0.33</v>
      </c>
      <c r="F69" s="182">
        <v>2.06</v>
      </c>
      <c r="G69" s="182">
        <v>0.45</v>
      </c>
      <c r="H69" s="182">
        <v>82</v>
      </c>
      <c r="I69" s="182">
        <v>57</v>
      </c>
      <c r="J69" s="182">
        <v>4674</v>
      </c>
      <c r="K69" s="182">
        <v>9.34</v>
      </c>
      <c r="L69" s="182">
        <v>13.44</v>
      </c>
      <c r="M69" s="182">
        <v>7</v>
      </c>
      <c r="N69" s="182">
        <v>550.36</v>
      </c>
      <c r="O69" s="182">
        <v>90.22</v>
      </c>
      <c r="P69" s="182" t="s">
        <v>151</v>
      </c>
      <c r="Q69" s="182" t="s">
        <v>170</v>
      </c>
    </row>
    <row r="70" spans="1:17">
      <c r="A70" s="182" t="s">
        <v>48</v>
      </c>
      <c r="B70" s="182">
        <v>18.440000000000001</v>
      </c>
      <c r="C70" s="182">
        <v>1106.23</v>
      </c>
      <c r="D70" s="182">
        <v>4.7</v>
      </c>
      <c r="E70" s="182">
        <v>1.01</v>
      </c>
      <c r="F70" s="182">
        <v>6.37</v>
      </c>
      <c r="G70" s="182">
        <v>1.36</v>
      </c>
      <c r="H70" s="182">
        <v>152</v>
      </c>
      <c r="I70" s="182">
        <v>95</v>
      </c>
      <c r="J70" s="182">
        <v>14440</v>
      </c>
      <c r="K70" s="182">
        <v>15.57</v>
      </c>
      <c r="L70" s="182">
        <v>24.92</v>
      </c>
      <c r="M70" s="182">
        <v>6</v>
      </c>
      <c r="N70" s="182">
        <v>455.35</v>
      </c>
      <c r="O70" s="182">
        <v>74.650000000000006</v>
      </c>
      <c r="P70" s="182" t="s">
        <v>155</v>
      </c>
      <c r="Q70" s="182" t="s">
        <v>170</v>
      </c>
    </row>
    <row r="71" spans="1:17">
      <c r="A71" s="182" t="s">
        <v>75</v>
      </c>
      <c r="B71" s="182">
        <v>14.42</v>
      </c>
      <c r="C71" s="182">
        <v>864.91</v>
      </c>
      <c r="D71" s="182">
        <v>2.79</v>
      </c>
      <c r="E71" s="182">
        <v>0.47</v>
      </c>
      <c r="F71" s="182">
        <v>3.78</v>
      </c>
      <c r="G71" s="182">
        <v>0.63</v>
      </c>
      <c r="H71" s="182">
        <v>126</v>
      </c>
      <c r="I71" s="182">
        <v>68</v>
      </c>
      <c r="J71" s="182">
        <v>8568</v>
      </c>
      <c r="K71" s="182">
        <v>11.15</v>
      </c>
      <c r="L71" s="182">
        <v>20.66</v>
      </c>
      <c r="M71" s="182">
        <v>6</v>
      </c>
      <c r="N71" s="182">
        <v>677.22</v>
      </c>
      <c r="O71" s="182">
        <v>111.02</v>
      </c>
      <c r="P71" s="182" t="s">
        <v>155</v>
      </c>
      <c r="Q71" s="182" t="s">
        <v>170</v>
      </c>
    </row>
    <row r="72" spans="1:17">
      <c r="A72" s="182" t="s">
        <v>76</v>
      </c>
      <c r="B72" s="182">
        <v>10.81</v>
      </c>
      <c r="C72" s="182">
        <v>648.51</v>
      </c>
      <c r="D72" s="182">
        <v>1.69</v>
      </c>
      <c r="E72" s="182">
        <v>0.21</v>
      </c>
      <c r="F72" s="182">
        <v>2.29</v>
      </c>
      <c r="G72" s="182">
        <v>0.28999999999999998</v>
      </c>
      <c r="H72" s="182">
        <v>88</v>
      </c>
      <c r="I72" s="182">
        <v>59</v>
      </c>
      <c r="J72" s="182">
        <v>5192</v>
      </c>
      <c r="K72" s="182">
        <v>9.67</v>
      </c>
      <c r="L72" s="182">
        <v>14.43</v>
      </c>
      <c r="M72" s="182">
        <v>2</v>
      </c>
      <c r="N72" s="182">
        <v>209.85</v>
      </c>
      <c r="O72" s="182">
        <v>34.4</v>
      </c>
      <c r="P72" s="182" t="s">
        <v>151</v>
      </c>
      <c r="Q72" s="182" t="s">
        <v>170</v>
      </c>
    </row>
    <row r="73" spans="1:17">
      <c r="A73" s="182" t="s">
        <v>77</v>
      </c>
      <c r="B73" s="182">
        <v>3.1</v>
      </c>
      <c r="C73" s="182">
        <v>186</v>
      </c>
      <c r="D73" s="182">
        <v>0.18</v>
      </c>
      <c r="E73" s="182">
        <v>0.01</v>
      </c>
      <c r="F73" s="182">
        <v>0.24</v>
      </c>
      <c r="G73" s="182">
        <v>0.01</v>
      </c>
      <c r="H73" s="182">
        <v>23</v>
      </c>
      <c r="I73" s="182">
        <v>24</v>
      </c>
      <c r="J73" s="182">
        <v>552</v>
      </c>
      <c r="K73" s="182">
        <v>3.93</v>
      </c>
      <c r="L73" s="182">
        <v>3.77</v>
      </c>
      <c r="M73" s="182">
        <v>1</v>
      </c>
      <c r="N73" s="182">
        <v>0</v>
      </c>
      <c r="O73" s="182">
        <v>0</v>
      </c>
      <c r="P73" s="182" t="s">
        <v>151</v>
      </c>
      <c r="Q73" s="182" t="s">
        <v>170</v>
      </c>
    </row>
    <row r="74" spans="1:17">
      <c r="A74" s="182" t="s">
        <v>78</v>
      </c>
      <c r="B74" s="182">
        <v>2.15</v>
      </c>
      <c r="C74" s="182">
        <v>129</v>
      </c>
      <c r="D74" s="182">
        <v>1.31</v>
      </c>
      <c r="E74" s="182">
        <v>0.03</v>
      </c>
      <c r="F74" s="182">
        <v>1.77</v>
      </c>
      <c r="G74" s="182">
        <v>0.04</v>
      </c>
      <c r="H74" s="182">
        <v>161</v>
      </c>
      <c r="I74" s="182">
        <v>25</v>
      </c>
      <c r="J74" s="182">
        <v>4025</v>
      </c>
      <c r="K74" s="182">
        <v>4.0999999999999996</v>
      </c>
      <c r="L74" s="182">
        <v>26.39</v>
      </c>
      <c r="M74" s="182">
        <v>3</v>
      </c>
      <c r="N74" s="182">
        <v>454.41</v>
      </c>
      <c r="O74" s="182">
        <v>74.489999999999995</v>
      </c>
      <c r="P74" s="182" t="s">
        <v>151</v>
      </c>
      <c r="Q74" s="182" t="s">
        <v>170</v>
      </c>
    </row>
    <row r="75" spans="1:17">
      <c r="A75" s="182" t="s">
        <v>79</v>
      </c>
      <c r="B75" s="182">
        <v>5.68</v>
      </c>
      <c r="C75" s="182">
        <v>340.9</v>
      </c>
      <c r="D75" s="182">
        <v>1.33</v>
      </c>
      <c r="E75" s="182">
        <v>0.09</v>
      </c>
      <c r="F75" s="182">
        <v>1.8</v>
      </c>
      <c r="G75" s="182">
        <v>0.12</v>
      </c>
      <c r="H75" s="182">
        <v>61</v>
      </c>
      <c r="I75" s="182">
        <v>67</v>
      </c>
      <c r="J75" s="182">
        <v>4087</v>
      </c>
      <c r="K75" s="182">
        <v>10.98</v>
      </c>
      <c r="L75" s="182">
        <v>10</v>
      </c>
      <c r="M75" s="182">
        <v>2</v>
      </c>
      <c r="N75" s="182">
        <v>54.23</v>
      </c>
      <c r="O75" s="182">
        <v>8.89</v>
      </c>
      <c r="P75" s="182" t="s">
        <v>155</v>
      </c>
      <c r="Q75" s="182" t="s">
        <v>170</v>
      </c>
    </row>
    <row r="76" spans="1:17">
      <c r="A76" s="182" t="s">
        <v>80</v>
      </c>
      <c r="B76" s="182">
        <v>0.17</v>
      </c>
      <c r="C76" s="182">
        <v>10</v>
      </c>
      <c r="D76" s="182">
        <v>0.88</v>
      </c>
      <c r="E76" s="182">
        <v>0</v>
      </c>
      <c r="F76" s="182">
        <v>1.19</v>
      </c>
      <c r="G76" s="182">
        <v>0</v>
      </c>
      <c r="H76" s="182">
        <v>24</v>
      </c>
      <c r="I76" s="182">
        <v>112</v>
      </c>
      <c r="J76" s="182">
        <v>2688</v>
      </c>
      <c r="K76" s="182">
        <v>18.36</v>
      </c>
      <c r="L76" s="182">
        <v>3.93</v>
      </c>
      <c r="M76" s="182">
        <v>1</v>
      </c>
      <c r="N76" s="182">
        <v>0</v>
      </c>
      <c r="O76" s="182">
        <v>0</v>
      </c>
      <c r="P76" s="182" t="s">
        <v>151</v>
      </c>
      <c r="Q76" s="182" t="s">
        <v>170</v>
      </c>
    </row>
    <row r="77" spans="1:17">
      <c r="A77" s="182" t="s">
        <v>81</v>
      </c>
      <c r="B77" s="182">
        <v>4.21</v>
      </c>
      <c r="C77" s="182">
        <v>252.8</v>
      </c>
      <c r="D77" s="182">
        <v>1.3</v>
      </c>
      <c r="E77" s="182">
        <v>0.06</v>
      </c>
      <c r="F77" s="182">
        <v>1.77</v>
      </c>
      <c r="G77" s="182">
        <v>0.09</v>
      </c>
      <c r="H77" s="182">
        <v>24</v>
      </c>
      <c r="I77" s="182">
        <v>167</v>
      </c>
      <c r="J77" s="182">
        <v>4008</v>
      </c>
      <c r="K77" s="182">
        <v>27.38</v>
      </c>
      <c r="L77" s="182">
        <v>3.93</v>
      </c>
      <c r="M77" s="182">
        <v>2</v>
      </c>
      <c r="N77" s="182">
        <v>42.8</v>
      </c>
      <c r="O77" s="182">
        <v>7.02</v>
      </c>
      <c r="P77" s="182" t="s">
        <v>151</v>
      </c>
      <c r="Q77" s="182" t="s">
        <v>170</v>
      </c>
    </row>
    <row r="78" spans="1:17">
      <c r="A78" s="182" t="s">
        <v>73</v>
      </c>
      <c r="B78" s="182">
        <v>22.9</v>
      </c>
      <c r="C78" s="182">
        <v>1374</v>
      </c>
      <c r="D78" s="182">
        <v>3.40234375</v>
      </c>
      <c r="E78" s="182">
        <v>2.4398853405500001</v>
      </c>
      <c r="F78" s="182">
        <v>4.6084656084656084</v>
      </c>
      <c r="G78" s="182">
        <v>3.3048182390562348</v>
      </c>
      <c r="H78" s="182">
        <v>156</v>
      </c>
      <c r="I78" s="182">
        <v>67</v>
      </c>
      <c r="J78" s="182">
        <v>10452</v>
      </c>
      <c r="K78" s="182">
        <v>25.57377049180328</v>
      </c>
      <c r="L78" s="182">
        <v>10.983606557377049</v>
      </c>
      <c r="M78" s="182">
        <v>2</v>
      </c>
      <c r="N78" s="182">
        <v>27.513632984400001</v>
      </c>
      <c r="O78" s="182">
        <v>4.510431636786886</v>
      </c>
      <c r="P78" s="182" t="s">
        <v>151</v>
      </c>
      <c r="Q78" s="182" t="s">
        <v>169</v>
      </c>
    </row>
    <row r="79" spans="1:17">
      <c r="A79" s="182" t="s">
        <v>24</v>
      </c>
      <c r="B79" s="182">
        <v>31.9</v>
      </c>
      <c r="C79" s="182">
        <v>1914</v>
      </c>
      <c r="D79" s="182">
        <v>0.56966145833299997</v>
      </c>
      <c r="E79" s="182">
        <v>0.56906682215600002</v>
      </c>
      <c r="F79" s="182">
        <v>0.77160493827160492</v>
      </c>
      <c r="G79" s="182">
        <v>0.770799505141885</v>
      </c>
      <c r="H79" s="182">
        <v>35</v>
      </c>
      <c r="I79" s="182">
        <v>50</v>
      </c>
      <c r="J79" s="182">
        <v>1750</v>
      </c>
      <c r="K79" s="182">
        <v>5.7377049180327875</v>
      </c>
      <c r="L79" s="182">
        <v>8.1967213114754109</v>
      </c>
      <c r="M79" s="182">
        <v>3</v>
      </c>
      <c r="N79" s="182">
        <v>192.73324396199999</v>
      </c>
      <c r="O79" s="182">
        <v>31.595613764262296</v>
      </c>
      <c r="P79" s="182" t="s">
        <v>151</v>
      </c>
      <c r="Q79" s="182" t="s">
        <v>169</v>
      </c>
    </row>
    <row r="80" spans="1:17">
      <c r="A80" s="182" t="s">
        <v>23</v>
      </c>
      <c r="B80" s="182">
        <v>22.566666666700002</v>
      </c>
      <c r="C80" s="182">
        <v>1354.000000002</v>
      </c>
      <c r="D80" s="182">
        <v>1.3330078125</v>
      </c>
      <c r="E80" s="182">
        <v>0.94201074014899999</v>
      </c>
      <c r="F80" s="182">
        <v>1.8055555555555554</v>
      </c>
      <c r="G80" s="182">
        <v>1.2759510554414577</v>
      </c>
      <c r="H80" s="182">
        <v>65</v>
      </c>
      <c r="I80" s="182">
        <v>63</v>
      </c>
      <c r="J80" s="182">
        <v>4095</v>
      </c>
      <c r="K80" s="182">
        <v>10.655737704918034</v>
      </c>
      <c r="L80" s="182">
        <v>10.327868852459018</v>
      </c>
      <c r="M80" s="182">
        <v>1</v>
      </c>
      <c r="N80" s="182">
        <v>0</v>
      </c>
      <c r="O80" s="182">
        <v>0</v>
      </c>
      <c r="P80" s="182" t="s">
        <v>151</v>
      </c>
      <c r="Q80" s="182" t="s">
        <v>169</v>
      </c>
    </row>
    <row r="81" spans="1:17">
      <c r="A81" s="182" t="s">
        <v>89</v>
      </c>
      <c r="B81" s="182">
        <v>5.5</v>
      </c>
      <c r="C81" s="182">
        <v>330</v>
      </c>
      <c r="D81" s="182">
        <v>0.83170572916700003</v>
      </c>
      <c r="E81" s="182">
        <v>0.14324785523200001</v>
      </c>
      <c r="F81" s="182">
        <v>1.1265432098765431</v>
      </c>
      <c r="G81" s="182">
        <v>0.19402884094950901</v>
      </c>
      <c r="H81" s="182">
        <v>35</v>
      </c>
      <c r="I81" s="182">
        <v>73</v>
      </c>
      <c r="J81" s="182">
        <v>2555</v>
      </c>
      <c r="K81" s="182">
        <v>5.7377049180327875</v>
      </c>
      <c r="L81" s="182">
        <v>11.967213114754099</v>
      </c>
      <c r="M81" s="182">
        <v>1</v>
      </c>
      <c r="N81" s="182">
        <v>0</v>
      </c>
      <c r="O81" s="182">
        <v>0</v>
      </c>
      <c r="P81" s="182" t="s">
        <v>151</v>
      </c>
      <c r="Q81" s="182" t="s">
        <v>169</v>
      </c>
    </row>
    <row r="82" spans="1:17">
      <c r="A82" s="182" t="s">
        <v>48</v>
      </c>
      <c r="B82" s="182">
        <v>28.537199999999999</v>
      </c>
      <c r="C82" s="182">
        <v>1712.232</v>
      </c>
      <c r="D82" s="182">
        <v>3.40234375</v>
      </c>
      <c r="E82" s="182">
        <v>3.0405020061300001</v>
      </c>
      <c r="F82" s="182">
        <v>4.6084656084656084</v>
      </c>
      <c r="G82" s="182">
        <v>4.1183519236504615</v>
      </c>
      <c r="H82" s="182">
        <v>134</v>
      </c>
      <c r="I82" s="182">
        <v>78</v>
      </c>
      <c r="J82" s="182">
        <v>10452</v>
      </c>
      <c r="K82" s="182">
        <v>21.967213114754099</v>
      </c>
      <c r="L82" s="182">
        <v>12.78688524590164</v>
      </c>
      <c r="M82" s="182">
        <v>5</v>
      </c>
      <c r="N82" s="182">
        <v>385.46379555099998</v>
      </c>
      <c r="O82" s="182">
        <v>63.190786155901641</v>
      </c>
      <c r="P82" s="182" t="s">
        <v>155</v>
      </c>
      <c r="Q82" s="182" t="s">
        <v>169</v>
      </c>
    </row>
    <row r="83" spans="1:17">
      <c r="A83" s="182" t="s">
        <v>65</v>
      </c>
      <c r="B83" s="182">
        <v>17.916666666699999</v>
      </c>
      <c r="C83" s="182">
        <v>1075.000000002</v>
      </c>
      <c r="D83" s="182">
        <v>2.513671875</v>
      </c>
      <c r="E83" s="182">
        <v>1.4103326021</v>
      </c>
      <c r="F83" s="182">
        <v>3.4047619047619051</v>
      </c>
      <c r="G83" s="182">
        <v>1.9102917785103641</v>
      </c>
      <c r="H83" s="182">
        <v>117</v>
      </c>
      <c r="I83" s="182">
        <v>66</v>
      </c>
      <c r="J83" s="182">
        <v>7722</v>
      </c>
      <c r="K83" s="182">
        <v>19.180327868852459</v>
      </c>
      <c r="L83" s="182">
        <v>10.819672131147541</v>
      </c>
      <c r="M83" s="182">
        <v>3</v>
      </c>
      <c r="N83" s="182">
        <v>114.473431902</v>
      </c>
      <c r="O83" s="182">
        <v>18.766136377377052</v>
      </c>
      <c r="P83" s="182" t="s">
        <v>151</v>
      </c>
      <c r="Q83" s="182" t="s">
        <v>169</v>
      </c>
    </row>
    <row r="84" spans="1:17">
      <c r="A84" s="182" t="s">
        <v>88</v>
      </c>
      <c r="B84" s="182">
        <v>0.33333333333300003</v>
      </c>
      <c r="C84" s="182">
        <v>19.999999999980002</v>
      </c>
      <c r="D84" s="182">
        <v>1.841796875</v>
      </c>
      <c r="E84" s="182">
        <v>1.9225437108599999E-2</v>
      </c>
      <c r="F84" s="182">
        <v>2.4947089947089949</v>
      </c>
      <c r="G84" s="182">
        <v>2.604080370257307E-2</v>
      </c>
      <c r="H84" s="182">
        <v>69</v>
      </c>
      <c r="I84" s="182">
        <v>82</v>
      </c>
      <c r="J84" s="182">
        <v>5658</v>
      </c>
      <c r="K84" s="182">
        <v>11.311475409836067</v>
      </c>
      <c r="L84" s="182">
        <v>13.442622950819674</v>
      </c>
      <c r="M84" s="182">
        <v>2</v>
      </c>
      <c r="N84" s="182">
        <v>134.79243302200001</v>
      </c>
      <c r="O84" s="182">
        <v>22.097120167540986</v>
      </c>
      <c r="P84" s="182" t="s">
        <v>155</v>
      </c>
      <c r="Q84" s="182" t="s">
        <v>169</v>
      </c>
    </row>
    <row r="85" spans="1:17">
      <c r="A85" s="182" t="s">
        <v>87</v>
      </c>
      <c r="B85" s="182">
        <v>15.016666666700001</v>
      </c>
      <c r="C85" s="182">
        <v>901.00000000200009</v>
      </c>
      <c r="D85" s="182">
        <v>0.55208333333299997</v>
      </c>
      <c r="E85" s="182">
        <v>0.25961747564400001</v>
      </c>
      <c r="F85" s="182">
        <v>0.74779541446208109</v>
      </c>
      <c r="G85" s="182">
        <v>0.35165118394145656</v>
      </c>
      <c r="H85" s="182">
        <v>16</v>
      </c>
      <c r="I85" s="182">
        <v>106</v>
      </c>
      <c r="J85" s="182">
        <v>1696</v>
      </c>
      <c r="K85" s="182">
        <v>2.6229508196721314</v>
      </c>
      <c r="L85" s="182">
        <v>17.377049180327869</v>
      </c>
      <c r="M85" s="182">
        <v>1</v>
      </c>
      <c r="N85" s="182">
        <v>0</v>
      </c>
      <c r="O85" s="182">
        <v>0</v>
      </c>
      <c r="P85" s="182" t="s">
        <v>151</v>
      </c>
      <c r="Q85" s="182" t="s">
        <v>169</v>
      </c>
    </row>
    <row r="86" spans="1:17">
      <c r="A86" s="182" t="s">
        <v>86</v>
      </c>
      <c r="B86" s="182">
        <v>7.4733999999999998</v>
      </c>
      <c r="C86" s="182">
        <v>448.404</v>
      </c>
      <c r="D86" s="182">
        <v>18.748697916699999</v>
      </c>
      <c r="E86" s="182">
        <v>4.3877824324799999</v>
      </c>
      <c r="F86" s="182">
        <v>25.395061728395063</v>
      </c>
      <c r="G86" s="182">
        <v>5.943239696899405</v>
      </c>
      <c r="H86" s="182">
        <v>238</v>
      </c>
      <c r="I86" s="182">
        <v>242</v>
      </c>
      <c r="J86" s="182">
        <v>57596</v>
      </c>
      <c r="K86" s="182">
        <v>39.016393442622956</v>
      </c>
      <c r="L86" s="182">
        <v>39.672131147540988</v>
      </c>
      <c r="M86" s="182">
        <v>2</v>
      </c>
      <c r="N86" s="182">
        <v>4.4721359549999997</v>
      </c>
      <c r="O86" s="182">
        <v>0.73313704180327866</v>
      </c>
      <c r="P86" s="182" t="s">
        <v>151</v>
      </c>
      <c r="Q86" s="182" t="s">
        <v>169</v>
      </c>
    </row>
    <row r="87" spans="1:17">
      <c r="A87" s="182" t="s">
        <v>85</v>
      </c>
      <c r="B87" s="182">
        <v>0.7</v>
      </c>
      <c r="C87" s="182">
        <v>42</v>
      </c>
      <c r="D87" s="182">
        <v>10.598958333300001</v>
      </c>
      <c r="E87" s="182">
        <v>0.23233624739</v>
      </c>
      <c r="F87" s="182">
        <v>14.356261022927688</v>
      </c>
      <c r="G87" s="182">
        <v>0.31469883244413516</v>
      </c>
      <c r="H87" s="182">
        <v>220</v>
      </c>
      <c r="I87" s="182">
        <v>148</v>
      </c>
      <c r="J87" s="182">
        <v>32560</v>
      </c>
      <c r="K87" s="182">
        <v>36.065573770491802</v>
      </c>
      <c r="L87" s="182">
        <v>24.262295081967213</v>
      </c>
      <c r="M87" s="182">
        <v>2</v>
      </c>
      <c r="N87" s="182">
        <v>20.880613017799998</v>
      </c>
      <c r="O87" s="182">
        <v>3.4230513143934425</v>
      </c>
      <c r="P87" s="182" t="s">
        <v>151</v>
      </c>
      <c r="Q87" s="182" t="s">
        <v>169</v>
      </c>
    </row>
    <row r="88" spans="1:17">
      <c r="A88" s="182" t="s">
        <v>84</v>
      </c>
      <c r="B88" s="182">
        <v>6.9</v>
      </c>
      <c r="C88" s="182">
        <v>414</v>
      </c>
      <c r="D88" s="182">
        <v>3.8831380208300001</v>
      </c>
      <c r="E88" s="182">
        <v>0.83904965585900004</v>
      </c>
      <c r="F88" s="182">
        <v>5.2597001763668434</v>
      </c>
      <c r="G88" s="182">
        <v>1.1364905391523348</v>
      </c>
      <c r="H88" s="182">
        <v>79</v>
      </c>
      <c r="I88" s="182">
        <v>151</v>
      </c>
      <c r="J88" s="182">
        <v>11929</v>
      </c>
      <c r="K88" s="182">
        <v>12.950819672131148</v>
      </c>
      <c r="L88" s="182">
        <v>24.754098360655739</v>
      </c>
      <c r="M88" s="182">
        <v>4</v>
      </c>
      <c r="N88" s="182">
        <v>414.97403778699999</v>
      </c>
      <c r="O88" s="182">
        <v>68.028530784754096</v>
      </c>
      <c r="P88" s="182" t="s">
        <v>151</v>
      </c>
      <c r="Q88" s="182" t="s">
        <v>169</v>
      </c>
    </row>
    <row r="89" spans="1:17">
      <c r="A89" s="182" t="s">
        <v>83</v>
      </c>
      <c r="B89" s="182">
        <v>4.7333333333300001</v>
      </c>
      <c r="C89" s="182">
        <v>283.99999999980002</v>
      </c>
      <c r="D89" s="182">
        <v>3.7356770833300001</v>
      </c>
      <c r="E89" s="182">
        <v>0.55372249043099997</v>
      </c>
      <c r="F89" s="182">
        <v>5.0599647266313932</v>
      </c>
      <c r="G89" s="182">
        <v>0.75001564841456358</v>
      </c>
      <c r="H89" s="182">
        <v>151</v>
      </c>
      <c r="I89" s="182">
        <v>76</v>
      </c>
      <c r="J89" s="182">
        <v>11476</v>
      </c>
      <c r="K89" s="182">
        <v>24.754098360655739</v>
      </c>
      <c r="L89" s="182">
        <v>12.459016393442624</v>
      </c>
      <c r="M89" s="182">
        <v>2</v>
      </c>
      <c r="N89" s="182">
        <v>7.0710678118699999</v>
      </c>
      <c r="O89" s="182">
        <v>1.1591914445688525</v>
      </c>
      <c r="P89" s="182" t="s">
        <v>151</v>
      </c>
      <c r="Q89" s="182" t="s">
        <v>169</v>
      </c>
    </row>
    <row r="90" spans="1:17">
      <c r="A90" s="182" t="s">
        <v>82</v>
      </c>
      <c r="B90" s="182">
        <v>1.95</v>
      </c>
      <c r="C90" s="182">
        <v>117</v>
      </c>
      <c r="D90" s="182">
        <v>12.4453125</v>
      </c>
      <c r="E90" s="182">
        <v>0.75996950026099996</v>
      </c>
      <c r="F90" s="182">
        <v>16.857142857142858</v>
      </c>
      <c r="G90" s="182">
        <v>1.0293766776021473</v>
      </c>
      <c r="H90" s="182">
        <v>162</v>
      </c>
      <c r="I90" s="182">
        <v>236</v>
      </c>
      <c r="J90" s="182">
        <v>38232</v>
      </c>
      <c r="K90" s="182">
        <v>26.557377049180328</v>
      </c>
      <c r="L90" s="182">
        <v>38.688524590163937</v>
      </c>
      <c r="M90" s="182">
        <v>4</v>
      </c>
      <c r="N90" s="182">
        <v>57.189196367599997</v>
      </c>
      <c r="O90" s="182">
        <v>9.3752780930491806</v>
      </c>
      <c r="P90" s="182" t="s">
        <v>151</v>
      </c>
      <c r="Q90" s="182" t="s">
        <v>169</v>
      </c>
    </row>
    <row r="91" spans="1:17">
      <c r="A91" s="189"/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P91" s="189">
        <f>COUNTIF(P2:P90,"P")</f>
        <v>78</v>
      </c>
      <c r="Q91" s="189"/>
    </row>
    <row r="92" spans="1:17">
      <c r="A92" s="189"/>
      <c r="B92" s="189"/>
      <c r="C92" s="189"/>
      <c r="D92" s="189"/>
      <c r="E92" s="189"/>
      <c r="F92" s="189"/>
      <c r="G92" s="189"/>
      <c r="H92" s="189"/>
      <c r="I92" s="189"/>
      <c r="J92" s="189"/>
      <c r="K92" s="189"/>
      <c r="L92" s="189"/>
      <c r="M92" s="189"/>
      <c r="P92" s="189">
        <f>COUNTIF(P2:P90,"H")</f>
        <v>11</v>
      </c>
      <c r="Q92" s="189"/>
    </row>
  </sheetData>
  <conditionalFormatting sqref="B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{18FBE08F-E607-3A49-A259-F463D62EFB72}</x14:id>
        </ext>
      </extLst>
    </cfRule>
  </conditionalFormatting>
  <conditionalFormatting sqref="B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{0D2C30BB-98AE-9D41-BA8C-19C97D6E6C5B}</x14:id>
        </ext>
      </extLst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FBE08F-E607-3A49-A259-F463D62EFB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0D2C30BB-98AE-9D41-BA8C-19C97D6E6C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Video 1</vt:lpstr>
      <vt:lpstr>Video 2</vt:lpstr>
      <vt:lpstr>Video 3</vt:lpstr>
      <vt:lpstr>Video 4</vt:lpstr>
      <vt:lpstr>Video 5</vt:lpstr>
      <vt:lpstr>Stats</vt:lpstr>
      <vt:lpstr>Sheet1</vt:lpstr>
      <vt:lpstr>Aggregation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Aurelien Tabard</cp:lastModifiedBy>
  <dcterms:created xsi:type="dcterms:W3CDTF">2012-08-15T13:22:47Z</dcterms:created>
  <dcterms:modified xsi:type="dcterms:W3CDTF">2012-09-09T19:24:35Z</dcterms:modified>
</cp:coreProperties>
</file>