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265" windowHeight="7995" activeTab="5"/>
  </bookViews>
  <sheets>
    <sheet name="Video 1" sheetId="1" r:id="rId1"/>
    <sheet name="Video 2" sheetId="2" r:id="rId2"/>
    <sheet name="Video 3" sheetId="3" r:id="rId3"/>
    <sheet name="Video 4" sheetId="4" r:id="rId4"/>
    <sheet name="Video 5" sheetId="5" r:id="rId5"/>
    <sheet name="Stats" sheetId="6" r:id="rId6"/>
  </sheets>
  <definedNames>
    <definedName name="output_1" localSheetId="0">'Video 1'!$A$1:$F$13</definedName>
    <definedName name="output_2" localSheetId="0">'Video 1'!#REF!</definedName>
    <definedName name="output_2" localSheetId="1">'Video 2'!$A$1:$F$30</definedName>
    <definedName name="output_3_tab" localSheetId="2">'Video 3'!$A$1:$F$19</definedName>
    <definedName name="output_4_tab" localSheetId="3">'Video 4'!$A$1:$F$26</definedName>
    <definedName name="output_5_tab" localSheetId="4">'Video 5'!$A$1:$F$16</definedName>
  </definedNames>
  <calcPr calcId="145621"/>
</workbook>
</file>

<file path=xl/calcChain.xml><?xml version="1.0" encoding="utf-8"?>
<calcChain xmlns="http://schemas.openxmlformats.org/spreadsheetml/2006/main">
  <c r="Q28" i="6" l="1"/>
  <c r="P32" i="6"/>
  <c r="P31" i="6"/>
  <c r="P29" i="6"/>
  <c r="P28" i="6"/>
  <c r="O32" i="6"/>
  <c r="O31" i="6"/>
  <c r="O30" i="6"/>
  <c r="O29" i="6"/>
  <c r="O28" i="6"/>
  <c r="L28" i="6"/>
  <c r="L29" i="6"/>
  <c r="K33" i="6"/>
  <c r="K28" i="6"/>
  <c r="K31" i="6"/>
  <c r="K32" i="6"/>
  <c r="K29" i="6"/>
  <c r="J33" i="6"/>
  <c r="J32" i="6"/>
  <c r="J31" i="6"/>
  <c r="J30" i="6"/>
  <c r="J29" i="6"/>
  <c r="J28" i="6"/>
  <c r="F11" i="6"/>
  <c r="M4" i="6" s="1"/>
  <c r="F12" i="6"/>
  <c r="M5" i="6" s="1"/>
  <c r="F13" i="6"/>
  <c r="M6" i="6" s="1"/>
  <c r="F14" i="6"/>
  <c r="M7" i="6" s="1"/>
  <c r="F10" i="6"/>
  <c r="M3" i="6" s="1"/>
  <c r="E11" i="6"/>
  <c r="L4" i="6" s="1"/>
  <c r="E12" i="6"/>
  <c r="L5" i="6" s="1"/>
  <c r="E13" i="6"/>
  <c r="L6" i="6" s="1"/>
  <c r="E14" i="6"/>
  <c r="L7" i="6" s="1"/>
  <c r="E10" i="6"/>
  <c r="L3" i="6" s="1"/>
  <c r="P41" i="6"/>
  <c r="O41" i="6"/>
  <c r="K41" i="6"/>
  <c r="J41" i="6"/>
  <c r="D32" i="6"/>
  <c r="K40" i="6"/>
  <c r="J40" i="6"/>
  <c r="B31" i="6"/>
  <c r="F31" i="6" s="1"/>
  <c r="D30" i="6"/>
  <c r="P38" i="6"/>
  <c r="K38" i="6"/>
  <c r="D29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C33" i="6" s="1"/>
  <c r="I16" i="5"/>
  <c r="E33" i="6" s="1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B33" i="6" s="1"/>
  <c r="H16" i="5"/>
  <c r="D33" i="6" s="1"/>
  <c r="H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C32" i="6" s="1"/>
  <c r="G32" i="6" s="1"/>
  <c r="I26" i="4"/>
  <c r="E32" i="6" s="1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B32" i="6" s="1"/>
  <c r="H26" i="4"/>
  <c r="H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C31" i="6" s="1"/>
  <c r="G31" i="6" s="1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F27" i="1"/>
  <c r="C29" i="6" s="1"/>
  <c r="F28" i="1"/>
  <c r="E29" i="6" s="1"/>
  <c r="E27" i="1"/>
  <c r="B29" i="6" s="1"/>
  <c r="E28" i="1"/>
  <c r="F18" i="1"/>
  <c r="F19" i="1"/>
  <c r="F20" i="1"/>
  <c r="F21" i="1"/>
  <c r="F22" i="1"/>
  <c r="F23" i="1"/>
  <c r="F24" i="1"/>
  <c r="F25" i="1"/>
  <c r="F26" i="1"/>
  <c r="F17" i="1"/>
  <c r="E18" i="1"/>
  <c r="E19" i="1"/>
  <c r="E20" i="1"/>
  <c r="E21" i="1"/>
  <c r="E22" i="1"/>
  <c r="E23" i="1"/>
  <c r="E24" i="1"/>
  <c r="E25" i="1"/>
  <c r="E26" i="1"/>
  <c r="E17" i="1"/>
  <c r="I29" i="2"/>
  <c r="C30" i="6" s="1"/>
  <c r="I30" i="2"/>
  <c r="E30" i="6" s="1"/>
  <c r="H29" i="2"/>
  <c r="B30" i="6" s="1"/>
  <c r="F30" i="6" s="1"/>
  <c r="H30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I3" i="2"/>
  <c r="H3" i="2"/>
  <c r="I2" i="2"/>
  <c r="H2" i="2"/>
  <c r="C7" i="6"/>
  <c r="Q41" i="6"/>
  <c r="L40" i="6"/>
  <c r="D25" i="4"/>
  <c r="O40" i="6" s="1"/>
  <c r="D26" i="4"/>
  <c r="P40" i="6" s="1"/>
  <c r="C18" i="3"/>
  <c r="J39" i="6" s="1"/>
  <c r="L39" i="6" s="1"/>
  <c r="D18" i="3"/>
  <c r="O39" i="6" s="1"/>
  <c r="Q39" i="6" s="1"/>
  <c r="C13" i="1"/>
  <c r="C12" i="1"/>
  <c r="D13" i="1"/>
  <c r="D12" i="1"/>
  <c r="C29" i="2"/>
  <c r="J38" i="6" s="1"/>
  <c r="D29" i="2"/>
  <c r="O38" i="6" s="1"/>
  <c r="Q38" i="6" s="1"/>
  <c r="G29" i="2"/>
  <c r="G21" i="6"/>
  <c r="G22" i="6"/>
  <c r="G23" i="6"/>
  <c r="G24" i="6"/>
  <c r="F21" i="6"/>
  <c r="F22" i="6"/>
  <c r="F23" i="6"/>
  <c r="F24" i="6"/>
  <c r="G20" i="6"/>
  <c r="F20" i="6"/>
  <c r="D25" i="6"/>
  <c r="E25" i="6"/>
  <c r="C25" i="6"/>
  <c r="B25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2" i="5"/>
  <c r="G3" i="5"/>
  <c r="J3" i="5" s="1"/>
  <c r="K3" i="5" s="1"/>
  <c r="G4" i="5"/>
  <c r="J4" i="5" s="1"/>
  <c r="G5" i="5"/>
  <c r="J5" i="5" s="1"/>
  <c r="K5" i="5" s="1"/>
  <c r="G6" i="5"/>
  <c r="J6" i="5" s="1"/>
  <c r="G7" i="5"/>
  <c r="J7" i="5" s="1"/>
  <c r="K7" i="5" s="1"/>
  <c r="G8" i="5"/>
  <c r="J8" i="5" s="1"/>
  <c r="K8" i="5" s="1"/>
  <c r="G9" i="5"/>
  <c r="J9" i="5" s="1"/>
  <c r="K9" i="5" s="1"/>
  <c r="G10" i="5"/>
  <c r="J10" i="5" s="1"/>
  <c r="K10" i="5" s="1"/>
  <c r="G11" i="5"/>
  <c r="J11" i="5" s="1"/>
  <c r="K11" i="5" s="1"/>
  <c r="G12" i="5"/>
  <c r="J12" i="5" s="1"/>
  <c r="K12" i="5" s="1"/>
  <c r="G13" i="5"/>
  <c r="J13" i="5" s="1"/>
  <c r="K13" i="5" s="1"/>
  <c r="G14" i="5"/>
  <c r="J14" i="5" s="1"/>
  <c r="K14" i="5" s="1"/>
  <c r="G15" i="5"/>
  <c r="G16" i="5"/>
  <c r="G2" i="5"/>
  <c r="J2" i="5" s="1"/>
  <c r="K2" i="5" s="1"/>
  <c r="K25" i="4"/>
  <c r="K26" i="4"/>
  <c r="L6" i="4"/>
  <c r="L10" i="4"/>
  <c r="L14" i="4"/>
  <c r="L18" i="4"/>
  <c r="L2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" i="4"/>
  <c r="J4" i="4"/>
  <c r="L4" i="4" s="1"/>
  <c r="J6" i="4"/>
  <c r="J8" i="4"/>
  <c r="L8" i="4" s="1"/>
  <c r="J10" i="4"/>
  <c r="J12" i="4"/>
  <c r="L12" i="4" s="1"/>
  <c r="J14" i="4"/>
  <c r="J16" i="4"/>
  <c r="L16" i="4" s="1"/>
  <c r="J18" i="4"/>
  <c r="J20" i="4"/>
  <c r="L20" i="4" s="1"/>
  <c r="J22" i="4"/>
  <c r="J24" i="4"/>
  <c r="L24" i="4" s="1"/>
  <c r="K17" i="1"/>
  <c r="G3" i="4"/>
  <c r="J3" i="4" s="1"/>
  <c r="G4" i="4"/>
  <c r="G5" i="4"/>
  <c r="J5" i="4" s="1"/>
  <c r="L5" i="4" s="1"/>
  <c r="G6" i="4"/>
  <c r="G7" i="4"/>
  <c r="J7" i="4" s="1"/>
  <c r="L7" i="4" s="1"/>
  <c r="G8" i="4"/>
  <c r="G9" i="4"/>
  <c r="J9" i="4" s="1"/>
  <c r="L9" i="4" s="1"/>
  <c r="G10" i="4"/>
  <c r="G11" i="4"/>
  <c r="J11" i="4" s="1"/>
  <c r="L11" i="4" s="1"/>
  <c r="G12" i="4"/>
  <c r="G13" i="4"/>
  <c r="J13" i="4" s="1"/>
  <c r="L13" i="4" s="1"/>
  <c r="G14" i="4"/>
  <c r="G15" i="4"/>
  <c r="J15" i="4" s="1"/>
  <c r="L15" i="4" s="1"/>
  <c r="G16" i="4"/>
  <c r="G17" i="4"/>
  <c r="J17" i="4" s="1"/>
  <c r="L17" i="4" s="1"/>
  <c r="G18" i="4"/>
  <c r="G19" i="4"/>
  <c r="J19" i="4" s="1"/>
  <c r="L19" i="4" s="1"/>
  <c r="G20" i="4"/>
  <c r="G21" i="4"/>
  <c r="J21" i="4" s="1"/>
  <c r="L21" i="4" s="1"/>
  <c r="G22" i="4"/>
  <c r="G23" i="4"/>
  <c r="J23" i="4" s="1"/>
  <c r="L23" i="4" s="1"/>
  <c r="G24" i="4"/>
  <c r="G25" i="4"/>
  <c r="G26" i="4"/>
  <c r="G2" i="4"/>
  <c r="J2" i="4" s="1"/>
  <c r="N3" i="3"/>
  <c r="O3" i="3" s="1"/>
  <c r="N4" i="3"/>
  <c r="N5" i="3"/>
  <c r="N6" i="3"/>
  <c r="N7" i="3"/>
  <c r="O7" i="3" s="1"/>
  <c r="N8" i="3"/>
  <c r="N9" i="3"/>
  <c r="N10" i="3"/>
  <c r="N11" i="3"/>
  <c r="O11" i="3" s="1"/>
  <c r="N12" i="3"/>
  <c r="N13" i="3"/>
  <c r="N14" i="3"/>
  <c r="N15" i="3"/>
  <c r="O15" i="3" s="1"/>
  <c r="N16" i="3"/>
  <c r="N17" i="3"/>
  <c r="N18" i="3"/>
  <c r="N19" i="3"/>
  <c r="N2" i="3"/>
  <c r="M3" i="3"/>
  <c r="M5" i="3"/>
  <c r="O5" i="3" s="1"/>
  <c r="M7" i="3"/>
  <c r="M9" i="3"/>
  <c r="O9" i="3" s="1"/>
  <c r="M11" i="3"/>
  <c r="M13" i="3"/>
  <c r="O13" i="3" s="1"/>
  <c r="M15" i="3"/>
  <c r="M17" i="3"/>
  <c r="O17" i="3" s="1"/>
  <c r="L8" i="3"/>
  <c r="L9" i="3"/>
  <c r="L10" i="3"/>
  <c r="L11" i="3"/>
  <c r="L12" i="3"/>
  <c r="L13" i="3"/>
  <c r="L14" i="3"/>
  <c r="L15" i="3"/>
  <c r="L16" i="3"/>
  <c r="L17" i="3"/>
  <c r="L18" i="3"/>
  <c r="L7" i="3"/>
  <c r="L6" i="3"/>
  <c r="L5" i="3"/>
  <c r="L4" i="3"/>
  <c r="L3" i="3"/>
  <c r="L2" i="3"/>
  <c r="G3" i="3"/>
  <c r="G4" i="3"/>
  <c r="M4" i="3" s="1"/>
  <c r="O4" i="3" s="1"/>
  <c r="G5" i="3"/>
  <c r="G6" i="3"/>
  <c r="M6" i="3" s="1"/>
  <c r="O6" i="3" s="1"/>
  <c r="G7" i="3"/>
  <c r="G8" i="3"/>
  <c r="M8" i="3" s="1"/>
  <c r="O8" i="3" s="1"/>
  <c r="G9" i="3"/>
  <c r="G10" i="3"/>
  <c r="M10" i="3" s="1"/>
  <c r="O10" i="3" s="1"/>
  <c r="G11" i="3"/>
  <c r="G12" i="3"/>
  <c r="M12" i="3" s="1"/>
  <c r="O12" i="3" s="1"/>
  <c r="G13" i="3"/>
  <c r="G14" i="3"/>
  <c r="M14" i="3" s="1"/>
  <c r="O14" i="3" s="1"/>
  <c r="G15" i="3"/>
  <c r="G16" i="3"/>
  <c r="M16" i="3" s="1"/>
  <c r="O16" i="3" s="1"/>
  <c r="G17" i="3"/>
  <c r="G18" i="3"/>
  <c r="G19" i="3"/>
  <c r="G2" i="3"/>
  <c r="M2" i="3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2" i="2"/>
  <c r="D15" i="6"/>
  <c r="B15" i="6"/>
  <c r="C15" i="6"/>
  <c r="K16" i="6"/>
  <c r="O25" i="6"/>
  <c r="P25" i="6" s="1"/>
  <c r="Q25" i="6" s="1"/>
  <c r="F29" i="6" l="1"/>
  <c r="J26" i="4"/>
  <c r="L31" i="6" s="1"/>
  <c r="L2" i="4"/>
  <c r="L26" i="4" s="1"/>
  <c r="J25" i="4"/>
  <c r="L3" i="4"/>
  <c r="L25" i="4" s="1"/>
  <c r="O2" i="3"/>
  <c r="O18" i="3" s="1"/>
  <c r="Q30" i="6" s="1"/>
  <c r="M18" i="3"/>
  <c r="Q40" i="6"/>
  <c r="F15" i="6"/>
  <c r="M8" i="6" s="1"/>
  <c r="E15" i="6"/>
  <c r="L8" i="6" s="1"/>
  <c r="F25" i="6"/>
  <c r="L38" i="6"/>
  <c r="G33" i="6"/>
  <c r="G25" i="6"/>
  <c r="J16" i="5"/>
  <c r="J15" i="5"/>
  <c r="K6" i="5"/>
  <c r="K16" i="5" s="1"/>
  <c r="K4" i="5"/>
  <c r="K15" i="5" s="1"/>
  <c r="L41" i="6"/>
  <c r="E34" i="6"/>
  <c r="F33" i="6"/>
  <c r="G29" i="6"/>
  <c r="D34" i="6"/>
  <c r="C34" i="6"/>
  <c r="G34" i="6" s="1"/>
  <c r="G30" i="6"/>
  <c r="B34" i="6"/>
  <c r="F32" i="6"/>
  <c r="K21" i="6"/>
  <c r="K20" i="6"/>
  <c r="K22" i="6"/>
  <c r="K23" i="6"/>
  <c r="K19" i="6"/>
  <c r="J20" i="6"/>
  <c r="J21" i="6"/>
  <c r="J22" i="6"/>
  <c r="J23" i="6"/>
  <c r="J19" i="6"/>
  <c r="P20" i="6"/>
  <c r="Q20" i="6" s="1"/>
  <c r="P21" i="6"/>
  <c r="Q21" i="6" s="1"/>
  <c r="P22" i="6"/>
  <c r="Q22" i="6" s="1"/>
  <c r="P23" i="6"/>
  <c r="Q23" i="6" s="1"/>
  <c r="P19" i="6"/>
  <c r="Q19" i="6" s="1"/>
  <c r="O24" i="6"/>
  <c r="P24" i="6" s="1"/>
  <c r="Q24" i="6" s="1"/>
  <c r="P12" i="6"/>
  <c r="P14" i="6"/>
  <c r="P15" i="6"/>
  <c r="P11" i="6"/>
  <c r="O12" i="6"/>
  <c r="O13" i="6"/>
  <c r="O14" i="6"/>
  <c r="O15" i="6"/>
  <c r="O11" i="6"/>
  <c r="L30" i="6"/>
  <c r="L32" i="6"/>
  <c r="P16" i="6"/>
  <c r="J16" i="6"/>
  <c r="O16" i="6" s="1"/>
  <c r="L12" i="6"/>
  <c r="Q12" i="6" s="1"/>
  <c r="L13" i="6"/>
  <c r="Q13" i="6" s="1"/>
  <c r="L14" i="6"/>
  <c r="Q14" i="6" s="1"/>
  <c r="L15" i="6"/>
  <c r="Q15" i="6" s="1"/>
  <c r="L11" i="6"/>
  <c r="L19" i="6" s="1"/>
  <c r="B7" i="6"/>
  <c r="D3" i="6"/>
  <c r="D4" i="6"/>
  <c r="D5" i="6"/>
  <c r="D6" i="6"/>
  <c r="D2" i="6"/>
  <c r="Q31" i="6" l="1"/>
  <c r="F4" i="6"/>
  <c r="K5" i="6" s="1"/>
  <c r="O5" i="6" s="1"/>
  <c r="E4" i="6"/>
  <c r="J5" i="6" s="1"/>
  <c r="N5" i="6" s="1"/>
  <c r="F2" i="6"/>
  <c r="K3" i="6" s="1"/>
  <c r="O3" i="6" s="1"/>
  <c r="E2" i="6"/>
  <c r="J3" i="6" s="1"/>
  <c r="N3" i="6" s="1"/>
  <c r="F5" i="6"/>
  <c r="K6" i="6" s="1"/>
  <c r="O6" i="6" s="1"/>
  <c r="E5" i="6"/>
  <c r="J6" i="6" s="1"/>
  <c r="N6" i="6" s="1"/>
  <c r="F3" i="6"/>
  <c r="K4" i="6" s="1"/>
  <c r="O4" i="6" s="1"/>
  <c r="E3" i="6"/>
  <c r="J4" i="6" s="1"/>
  <c r="N4" i="6" s="1"/>
  <c r="F6" i="6"/>
  <c r="K7" i="6" s="1"/>
  <c r="O7" i="6" s="1"/>
  <c r="E6" i="6"/>
  <c r="J7" i="6" s="1"/>
  <c r="N7" i="6" s="1"/>
  <c r="F34" i="6"/>
  <c r="Q32" i="6"/>
  <c r="J24" i="6"/>
  <c r="K24" i="6"/>
  <c r="L22" i="6"/>
  <c r="L20" i="6"/>
  <c r="L23" i="6"/>
  <c r="L21" i="6"/>
  <c r="L16" i="6"/>
  <c r="D7" i="6"/>
  <c r="F7" i="6" s="1"/>
  <c r="K8" i="6" s="1"/>
  <c r="O8" i="6" s="1"/>
  <c r="Q11" i="6"/>
  <c r="M3" i="2"/>
  <c r="N3" i="2" s="1"/>
  <c r="P3" i="2" s="1"/>
  <c r="M4" i="2"/>
  <c r="M5" i="2"/>
  <c r="M6" i="2"/>
  <c r="M7" i="2"/>
  <c r="N7" i="2" s="1"/>
  <c r="P7" i="2" s="1"/>
  <c r="M8" i="2"/>
  <c r="M9" i="2"/>
  <c r="M10" i="2"/>
  <c r="M11" i="2"/>
  <c r="N11" i="2" s="1"/>
  <c r="P11" i="2" s="1"/>
  <c r="M12" i="2"/>
  <c r="M13" i="2"/>
  <c r="M14" i="2"/>
  <c r="M15" i="2"/>
  <c r="N15" i="2" s="1"/>
  <c r="P15" i="2" s="1"/>
  <c r="M16" i="2"/>
  <c r="M17" i="2"/>
  <c r="M18" i="2"/>
  <c r="M19" i="2"/>
  <c r="N19" i="2" s="1"/>
  <c r="P19" i="2" s="1"/>
  <c r="M20" i="2"/>
  <c r="M21" i="2"/>
  <c r="M22" i="2"/>
  <c r="M23" i="2"/>
  <c r="N23" i="2" s="1"/>
  <c r="P23" i="2" s="1"/>
  <c r="M24" i="2"/>
  <c r="M25" i="2"/>
  <c r="M26" i="2"/>
  <c r="M27" i="2"/>
  <c r="N27" i="2" s="1"/>
  <c r="P27" i="2" s="1"/>
  <c r="M28" i="2"/>
  <c r="M29" i="2"/>
  <c r="M30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0" i="2"/>
  <c r="G2" i="2"/>
  <c r="N10" i="2" l="1"/>
  <c r="P10" i="2" s="1"/>
  <c r="N6" i="2"/>
  <c r="P6" i="2" s="1"/>
  <c r="N2" i="2"/>
  <c r="N22" i="2"/>
  <c r="P22" i="2" s="1"/>
  <c r="N14" i="2"/>
  <c r="P14" i="2" s="1"/>
  <c r="N25" i="2"/>
  <c r="P25" i="2" s="1"/>
  <c r="N21" i="2"/>
  <c r="P21" i="2" s="1"/>
  <c r="N17" i="2"/>
  <c r="P17" i="2" s="1"/>
  <c r="N13" i="2"/>
  <c r="P13" i="2" s="1"/>
  <c r="N9" i="2"/>
  <c r="P9" i="2" s="1"/>
  <c r="N5" i="2"/>
  <c r="P5" i="2" s="1"/>
  <c r="N26" i="2"/>
  <c r="P26" i="2" s="1"/>
  <c r="N18" i="2"/>
  <c r="P18" i="2" s="1"/>
  <c r="N28" i="2"/>
  <c r="N24" i="2"/>
  <c r="P24" i="2" s="1"/>
  <c r="N20" i="2"/>
  <c r="P20" i="2" s="1"/>
  <c r="N16" i="2"/>
  <c r="P16" i="2" s="1"/>
  <c r="N12" i="2"/>
  <c r="P12" i="2" s="1"/>
  <c r="N8" i="2"/>
  <c r="P8" i="2" s="1"/>
  <c r="N4" i="2"/>
  <c r="P4" i="2" s="1"/>
  <c r="E7" i="6"/>
  <c r="J8" i="6" s="1"/>
  <c r="N8" i="6" s="1"/>
  <c r="L24" i="6"/>
  <c r="Q16" i="6"/>
  <c r="O29" i="1"/>
  <c r="O28" i="1"/>
  <c r="O27" i="1"/>
  <c r="N29" i="2" l="1"/>
  <c r="P2" i="2"/>
  <c r="P29" i="2" s="1"/>
  <c r="N30" i="2"/>
  <c r="P28" i="2"/>
  <c r="P30" i="2" s="1"/>
  <c r="Q5" i="1"/>
  <c r="O3" i="1"/>
  <c r="B18" i="1" s="1"/>
  <c r="O4" i="1"/>
  <c r="B19" i="1" s="1"/>
  <c r="O5" i="1"/>
  <c r="B20" i="1" s="1"/>
  <c r="O6" i="1"/>
  <c r="B21" i="1" s="1"/>
  <c r="O7" i="1"/>
  <c r="B22" i="1" s="1"/>
  <c r="O8" i="1"/>
  <c r="B23" i="1" s="1"/>
  <c r="O9" i="1"/>
  <c r="B24" i="1" s="1"/>
  <c r="O10" i="1"/>
  <c r="B25" i="1" s="1"/>
  <c r="O11" i="1"/>
  <c r="B26" i="1" s="1"/>
  <c r="O12" i="1"/>
  <c r="B27" i="1" s="1"/>
  <c r="O13" i="1"/>
  <c r="B28" i="1" s="1"/>
  <c r="O2" i="1"/>
  <c r="B17" i="1" s="1"/>
  <c r="K18" i="1"/>
  <c r="K19" i="1"/>
  <c r="K20" i="1"/>
  <c r="K21" i="1"/>
  <c r="K22" i="1"/>
  <c r="K23" i="1"/>
  <c r="K24" i="1"/>
  <c r="K25" i="1"/>
  <c r="K26" i="1"/>
  <c r="K27" i="1"/>
  <c r="K28" i="1"/>
  <c r="G3" i="1"/>
  <c r="G4" i="1"/>
  <c r="L19" i="1" s="1"/>
  <c r="M19" i="1" s="1"/>
  <c r="G5" i="1"/>
  <c r="G6" i="1"/>
  <c r="G7" i="1"/>
  <c r="G8" i="1"/>
  <c r="L23" i="1" s="1"/>
  <c r="M23" i="1" s="1"/>
  <c r="G9" i="1"/>
  <c r="G10" i="1"/>
  <c r="G11" i="1"/>
  <c r="G12" i="1"/>
  <c r="G13" i="1"/>
  <c r="G2" i="1"/>
  <c r="L17" i="1" s="1"/>
  <c r="K3" i="1"/>
  <c r="L3" i="1" s="1"/>
  <c r="K4" i="1"/>
  <c r="L4" i="1" s="1"/>
  <c r="M4" i="1" s="1"/>
  <c r="K5" i="1"/>
  <c r="L5" i="1" s="1"/>
  <c r="M5" i="1" s="1"/>
  <c r="K6" i="1"/>
  <c r="L6" i="1" s="1"/>
  <c r="M6" i="1" s="1"/>
  <c r="K7" i="1"/>
  <c r="L7" i="1" s="1"/>
  <c r="K8" i="1"/>
  <c r="L8" i="1" s="1"/>
  <c r="M8" i="1" s="1"/>
  <c r="K9" i="1"/>
  <c r="L9" i="1" s="1"/>
  <c r="M9" i="1" s="1"/>
  <c r="K10" i="1"/>
  <c r="L10" i="1" s="1"/>
  <c r="M10" i="1" s="1"/>
  <c r="K11" i="1"/>
  <c r="K12" i="1"/>
  <c r="K13" i="1"/>
  <c r="K2" i="1"/>
  <c r="L2" i="1" s="1"/>
  <c r="Q29" i="6" l="1"/>
  <c r="L11" i="1"/>
  <c r="M11" i="1" s="1"/>
  <c r="M3" i="1"/>
  <c r="L12" i="1"/>
  <c r="J37" i="6" s="1"/>
  <c r="L25" i="1"/>
  <c r="M25" i="1" s="1"/>
  <c r="L21" i="1"/>
  <c r="M21" i="1" s="1"/>
  <c r="M7" i="1"/>
  <c r="M2" i="1"/>
  <c r="M13" i="1" s="1"/>
  <c r="P37" i="6" s="1"/>
  <c r="P42" i="6" s="1"/>
  <c r="L13" i="1"/>
  <c r="K37" i="6" s="1"/>
  <c r="K42" i="6" s="1"/>
  <c r="L26" i="1"/>
  <c r="M26" i="1" s="1"/>
  <c r="L24" i="1"/>
  <c r="M24" i="1" s="1"/>
  <c r="L22" i="1"/>
  <c r="M22" i="1" s="1"/>
  <c r="L20" i="1"/>
  <c r="M20" i="1" s="1"/>
  <c r="L18" i="1"/>
  <c r="M17" i="1"/>
  <c r="L28" i="1"/>
  <c r="M12" i="1"/>
  <c r="O37" i="6" s="1"/>
  <c r="M28" i="1"/>
  <c r="O42" i="6" l="1"/>
  <c r="Q37" i="6"/>
  <c r="Q42" i="6" s="1"/>
  <c r="L37" i="6"/>
  <c r="L42" i="6" s="1"/>
  <c r="J42" i="6"/>
  <c r="M18" i="1"/>
  <c r="L27" i="1"/>
  <c r="M27" i="1"/>
  <c r="P33" i="6"/>
  <c r="Q33" i="6" l="1"/>
  <c r="L33" i="6"/>
  <c r="O33" i="6" l="1"/>
</calcChain>
</file>

<file path=xl/connections.xml><?xml version="1.0" encoding="utf-8"?>
<connections xmlns="http://schemas.openxmlformats.org/spreadsheetml/2006/main">
  <connection id="1" name="output" type="6" refreshedVersion="4" background="1" saveData="1">
    <textPr codePage="850" sourceFile="C:\Users\Simon\Desktop\output.csv" decimal="," thousands=".">
      <textFields count="6">
        <textField/>
        <textField/>
        <textField/>
        <textField/>
        <textField/>
        <textField/>
      </textFields>
    </textPr>
  </connection>
  <connection id="2" name="output_1" type="6" refreshedVersion="4" background="1">
    <textPr codePage="850" sourceFile="C:\Users\Simon\Documents\NetBeansProjects\oot\src\output_1.csv" decimal="," thousands="." tab="0" comma="1">
      <textFields count="6">
        <textField/>
        <textField/>
        <textField/>
        <textField/>
        <textField/>
        <textField/>
      </textFields>
    </textPr>
  </connection>
  <connection id="3" name="output_2" type="6" refreshedVersion="4" background="1" saveData="1">
    <textPr codePage="850" sourceFile="C:\Users\Simon\Desktop\output_2.csv" decimal="," thousands=".">
      <textFields count="6">
        <textField type="text"/>
        <textField/>
        <textField/>
        <textField/>
        <textField/>
        <textField/>
      </textFields>
    </textPr>
  </connection>
  <connection id="4" name="output_3_tab" type="6" refreshedVersion="4" background="1" saveData="1">
    <textPr codePage="850" sourceFile="C:\Users\Simon\Documents\NetBeansProjects\oot\src\excel\output_3_tab.csv" decimal="," thousands=".">
      <textFields count="6">
        <textField/>
        <textField/>
        <textField/>
        <textField/>
        <textField/>
        <textField/>
      </textFields>
    </textPr>
  </connection>
  <connection id="5" name="output_4_tab" type="6" refreshedVersion="4" background="1" saveData="1">
    <textPr codePage="850" sourceFile="C:\Users\Simon\Documents\NetBeansProjects\oot\src\excel\output_4_tab.csv" decimal="," thousands=".">
      <textFields count="6">
        <textField/>
        <textField/>
        <textField/>
        <textField/>
        <textField/>
        <textField/>
      </textFields>
    </textPr>
  </connection>
  <connection id="6" name="output_5_tab" type="6" refreshedVersion="4" background="1" saveData="1">
    <textPr codePage="850" sourceFile="C:\Users\Simon\Documents\NetBeansProjects\oot\src\excel\output_5_tab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<sst xmlns="http://schemas.openxmlformats.org/spreadsheetml/2006/main" count="346" uniqueCount="150">
  <si>
    <t>time on table (in m)</t>
  </si>
  <si>
    <t>occlusion</t>
  </si>
  <si>
    <t>sizeX</t>
  </si>
  <si>
    <t>sizeY</t>
  </si>
  <si>
    <t>name</t>
  </si>
  <si>
    <t>Large1</t>
  </si>
  <si>
    <t>Blue1</t>
  </si>
  <si>
    <t>Small1</t>
  </si>
  <si>
    <t>Blue2</t>
  </si>
  <si>
    <t>White1</t>
  </si>
  <si>
    <t>White2</t>
  </si>
  <si>
    <t>Glass1</t>
  </si>
  <si>
    <t>Blue3</t>
  </si>
  <si>
    <t>Ipad</t>
  </si>
  <si>
    <t>Keyboard</t>
  </si>
  <si>
    <t>physical item</t>
  </si>
  <si>
    <t>hybrid item</t>
  </si>
  <si>
    <t>videoX</t>
  </si>
  <si>
    <t>videoY</t>
  </si>
  <si>
    <t>size px²</t>
  </si>
  <si>
    <t>video px²</t>
  </si>
  <si>
    <t>occ Video</t>
  </si>
  <si>
    <t>displayX</t>
  </si>
  <si>
    <t>displayY</t>
  </si>
  <si>
    <t>display px²</t>
  </si>
  <si>
    <t>occDisplay</t>
  </si>
  <si>
    <t>occOverallVideo</t>
  </si>
  <si>
    <t xml:space="preserve"> total time in seconds</t>
  </si>
  <si>
    <t>total time physicals</t>
  </si>
  <si>
    <t>occOverallDisplay</t>
  </si>
  <si>
    <t>case_1</t>
  </si>
  <si>
    <t>glass_1</t>
  </si>
  <si>
    <t>mouse</t>
  </si>
  <si>
    <t>rack_clear</t>
  </si>
  <si>
    <t>glas_tiny</t>
  </si>
  <si>
    <t>rack_tri</t>
  </si>
  <si>
    <t>glass_3</t>
  </si>
  <si>
    <t>aluminum</t>
  </si>
  <si>
    <t>pen_h</t>
  </si>
  <si>
    <t>blue_1</t>
  </si>
  <si>
    <t>blue_border</t>
  </si>
  <si>
    <t>blue_top</t>
  </si>
  <si>
    <t>glass_2</t>
  </si>
  <si>
    <t>pip_v</t>
  </si>
  <si>
    <t>blue_3</t>
  </si>
  <si>
    <t>jar_1</t>
  </si>
  <si>
    <t>jar_1_cap</t>
  </si>
  <si>
    <t>pen_v</t>
  </si>
  <si>
    <t>blue_2</t>
  </si>
  <si>
    <t>pip_h</t>
  </si>
  <si>
    <t>white_1</t>
  </si>
  <si>
    <t>pip2_v</t>
  </si>
  <si>
    <t>jar_2</t>
  </si>
  <si>
    <t>jar_2_cap</t>
  </si>
  <si>
    <t>pip2_h</t>
  </si>
  <si>
    <t>glass_tiny</t>
  </si>
  <si>
    <t>large_1</t>
  </si>
  <si>
    <t>time on table (in s)</t>
  </si>
  <si>
    <t>Object</t>
  </si>
  <si>
    <t>time on table (total)</t>
  </si>
  <si>
    <t>occlusion per time</t>
  </si>
  <si>
    <t>pen_2</t>
  </si>
  <si>
    <t>white_rack_2</t>
  </si>
  <si>
    <t>white_rack</t>
  </si>
  <si>
    <t>pen_1</t>
  </si>
  <si>
    <t>caps</t>
  </si>
  <si>
    <t>blue_box_2</t>
  </si>
  <si>
    <t>vial</t>
  </si>
  <si>
    <t>blue_box</t>
  </si>
  <si>
    <t>small_glass</t>
  </si>
  <si>
    <t>small_rack_1</t>
  </si>
  <si>
    <t>pipette</t>
  </si>
  <si>
    <t>notes</t>
  </si>
  <si>
    <t>Physical objects</t>
  </si>
  <si>
    <t>Hybrid Objects</t>
  </si>
  <si>
    <t>Hybrid objects</t>
  </si>
  <si>
    <t>small_1</t>
  </si>
  <si>
    <t>rack_1</t>
  </si>
  <si>
    <t>long_1</t>
  </si>
  <si>
    <t>glass_small</t>
  </si>
  <si>
    <t>tube_1</t>
  </si>
  <si>
    <t>glove</t>
  </si>
  <si>
    <t>testtube_1</t>
  </si>
  <si>
    <t>testtube_2</t>
  </si>
  <si>
    <t>keyboard</t>
  </si>
  <si>
    <t>box_1</t>
  </si>
  <si>
    <t>small_2</t>
  </si>
  <si>
    <t>box_2</t>
  </si>
  <si>
    <t>cap_1</t>
  </si>
  <si>
    <t>pipette_1</t>
  </si>
  <si>
    <t>tag_1</t>
  </si>
  <si>
    <t>pipette_3</t>
  </si>
  <si>
    <t>pipette_2</t>
  </si>
  <si>
    <t>plate_3</t>
  </si>
  <si>
    <t>Rack</t>
  </si>
  <si>
    <t>Box_1</t>
  </si>
  <si>
    <t>plate_2</t>
  </si>
  <si>
    <t>plate_1</t>
  </si>
  <si>
    <t>pen</t>
  </si>
  <si>
    <t>tag</t>
  </si>
  <si>
    <t>calc</t>
  </si>
  <si>
    <t>Physical Objects</t>
  </si>
  <si>
    <t>All Objects</t>
  </si>
  <si>
    <t>Object Count</t>
  </si>
  <si>
    <t>Objects on Table (average)</t>
  </si>
  <si>
    <t>Time on Table in s (average)</t>
  </si>
  <si>
    <t>X in cm</t>
  </si>
  <si>
    <t>Y in cm</t>
  </si>
  <si>
    <t>Time on Table in m (average)</t>
  </si>
  <si>
    <t>no Hybrid objects</t>
  </si>
  <si>
    <t>Overall</t>
  </si>
  <si>
    <t>time relative</t>
  </si>
  <si>
    <t xml:space="preserve">Video Duration </t>
  </si>
  <si>
    <t>in Minutes</t>
  </si>
  <si>
    <t>in Seconds</t>
  </si>
  <si>
    <t>Time on Table in % (average)</t>
  </si>
  <si>
    <t>In Total</t>
  </si>
  <si>
    <t>On average</t>
  </si>
  <si>
    <t>On Average</t>
  </si>
  <si>
    <t>total time</t>
  </si>
  <si>
    <t>Time in s</t>
  </si>
  <si>
    <t>occD/Time</t>
  </si>
  <si>
    <t>size²</t>
  </si>
  <si>
    <t>occD</t>
  </si>
  <si>
    <t>Object size</t>
  </si>
  <si>
    <t>x in px</t>
  </si>
  <si>
    <t>y in px</t>
  </si>
  <si>
    <t>y in cm</t>
  </si>
  <si>
    <t>x in cm</t>
  </si>
  <si>
    <t>OcclusionVideo</t>
  </si>
  <si>
    <t>OcclusionDisplay</t>
  </si>
  <si>
    <t>OccV / Time</t>
  </si>
  <si>
    <t>Per Object</t>
  </si>
  <si>
    <t>OccD / Time</t>
  </si>
  <si>
    <t>Physical Object</t>
  </si>
  <si>
    <t>Hybrid Object</t>
  </si>
  <si>
    <t>Session 1</t>
  </si>
  <si>
    <t>Session 2</t>
  </si>
  <si>
    <t>Session 3</t>
  </si>
  <si>
    <t>Session 4</t>
  </si>
  <si>
    <t>Session 5</t>
  </si>
  <si>
    <t>Variance</t>
  </si>
  <si>
    <t>Total Amount</t>
  </si>
  <si>
    <t>(Physical Objects)</t>
  </si>
  <si>
    <t>Average amount on table</t>
  </si>
  <si>
    <t>(Hybrid Objects)</t>
  </si>
  <si>
    <t>Video Duration (in m)</t>
  </si>
  <si>
    <t>Average</t>
  </si>
  <si>
    <t>Average Occlusion per Object</t>
  </si>
  <si>
    <t>Average Occlusion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</si>
</sst>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0" fillId="0" borderId="12" xfId="0" applyBorder="1" applyAlignment="1"/>
    <xf numFmtId="0" fontId="0" fillId="0" borderId="0" xfId="0" applyAlignment="1"/>
    <xf numFmtId="0" fontId="0" fillId="0" borderId="0" xfId="0" applyFont="1" applyBorder="1" applyAlignment="1"/>
    <xf numFmtId="0" fontId="0" fillId="0" borderId="24" xfId="0" applyBorder="1" applyAlignment="1"/>
    <xf numFmtId="0" fontId="0" fillId="0" borderId="23" xfId="0" applyBorder="1" applyAlignment="1"/>
    <xf numFmtId="0" fontId="0" fillId="0" borderId="25" xfId="0" applyBorder="1" applyAlignment="1"/>
    <xf numFmtId="0" fontId="0" fillId="0" borderId="11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49" fontId="16" fillId="0" borderId="10" xfId="0" applyNumberFormat="1" applyFont="1" applyBorder="1" applyAlignment="1">
      <alignment horizontal="left"/>
    </xf>
    <xf numFmtId="49" fontId="16" fillId="0" borderId="21" xfId="0" applyNumberFormat="1" applyFont="1" applyBorder="1" applyAlignment="1">
      <alignment horizontal="left"/>
    </xf>
    <xf numFmtId="49" fontId="16" fillId="0" borderId="22" xfId="0" applyNumberFormat="1" applyFont="1" applyBorder="1" applyAlignment="1">
      <alignment horizontal="left"/>
    </xf>
    <xf numFmtId="0" fontId="16" fillId="0" borderId="17" xfId="0" applyFont="1" applyBorder="1" applyAlignment="1">
      <alignment horizontal="right"/>
    </xf>
    <xf numFmtId="0" fontId="16" fillId="0" borderId="26" xfId="0" applyFont="1" applyBorder="1" applyAlignment="1">
      <alignment horizontal="right"/>
    </xf>
    <xf numFmtId="0" fontId="16" fillId="0" borderId="28" xfId="0" applyFont="1" applyBorder="1" applyAlignment="1">
      <alignment horizontal="right"/>
    </xf>
    <xf numFmtId="0" fontId="16" fillId="0" borderId="27" xfId="0" applyFont="1" applyBorder="1" applyAlignment="1">
      <alignment horizontal="right"/>
    </xf>
    <xf numFmtId="0" fontId="16" fillId="0" borderId="28" xfId="0" applyFont="1" applyFill="1" applyBorder="1" applyAlignment="1">
      <alignment horizontal="right"/>
    </xf>
    <xf numFmtId="0" fontId="16" fillId="0" borderId="18" xfId="0" applyFont="1" applyBorder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16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16" fillId="0" borderId="10" xfId="0" applyFont="1" applyBorder="1"/>
    <xf numFmtId="0" fontId="16" fillId="0" borderId="0" xfId="0" applyFont="1" applyFill="1" applyBorder="1" applyAlignment="1">
      <alignment horizontal="right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18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6" fillId="0" borderId="21" xfId="0" applyFont="1" applyBorder="1"/>
    <xf numFmtId="0" fontId="16" fillId="0" borderId="22" xfId="0" applyFont="1" applyBorder="1"/>
    <xf numFmtId="0" fontId="16" fillId="0" borderId="24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33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23" xfId="0" applyFont="1" applyBorder="1" applyAlignment="1">
      <alignment horizontal="right"/>
    </xf>
    <xf numFmtId="0" fontId="16" fillId="0" borderId="25" xfId="0" applyFont="1" applyBorder="1" applyAlignment="1">
      <alignment horizontal="right"/>
    </xf>
    <xf numFmtId="0" fontId="16" fillId="0" borderId="1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4" xfId="0" applyFont="1" applyBorder="1" applyAlignment="1">
      <alignment horizontal="right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0" fontId="16" fillId="0" borderId="16" xfId="0" applyFont="1" applyFill="1" applyBorder="1" applyAlignment="1">
      <alignment horizontal="right"/>
    </xf>
    <xf numFmtId="3" fontId="16" fillId="0" borderId="18" xfId="0" applyNumberFormat="1" applyFont="1" applyBorder="1" applyAlignment="1">
      <alignment horizontal="right"/>
    </xf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33" xfId="0" applyFont="1" applyBorder="1"/>
    <xf numFmtId="0" fontId="16" fillId="0" borderId="16" xfId="0" applyFont="1" applyBorder="1" applyAlignment="1">
      <alignment horizontal="left"/>
    </xf>
    <xf numFmtId="0" fontId="16" fillId="0" borderId="33" xfId="0" applyFon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6" fillId="0" borderId="24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6" fillId="0" borderId="13" xfId="0" applyFont="1" applyBorder="1" applyAlignment="1"/>
    <xf numFmtId="0" fontId="16" fillId="0" borderId="14" xfId="0" applyFont="1" applyBorder="1" applyAlignment="1"/>
    <xf numFmtId="0" fontId="16" fillId="0" borderId="15" xfId="0" applyFont="1" applyBorder="1" applyAlignment="1"/>
    <xf numFmtId="49" fontId="16" fillId="0" borderId="33" xfId="0" applyNumberFormat="1" applyFont="1" applyBorder="1" applyAlignment="1">
      <alignment horizontal="left"/>
    </xf>
    <xf numFmtId="0" fontId="16" fillId="0" borderId="24" xfId="0" applyFont="1" applyBorder="1" applyAlignment="1"/>
    <xf numFmtId="0" fontId="16" fillId="0" borderId="29" xfId="0" applyFont="1" applyBorder="1" applyAlignment="1"/>
    <xf numFmtId="0" fontId="16" fillId="0" borderId="30" xfId="0" applyFont="1" applyBorder="1" applyAlignment="1"/>
    <xf numFmtId="0" fontId="16" fillId="0" borderId="23" xfId="0" applyFont="1" applyBorder="1" applyAlignment="1"/>
    <xf numFmtId="0" fontId="16" fillId="0" borderId="23" xfId="0" applyFont="1" applyBorder="1"/>
    <xf numFmtId="0" fontId="16" fillId="0" borderId="25" xfId="0" applyFont="1" applyBorder="1" applyAlignment="1"/>
    <xf numFmtId="0" fontId="16" fillId="0" borderId="34" xfId="0" applyFont="1" applyBorder="1" applyAlignment="1"/>
    <xf numFmtId="0" fontId="16" fillId="0" borderId="35" xfId="0" applyFont="1" applyBorder="1" applyAlignment="1"/>
    <xf numFmtId="0" fontId="16" fillId="0" borderId="25" xfId="0" applyFont="1" applyBorder="1"/>
    <xf numFmtId="0" fontId="16" fillId="0" borderId="24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left"/>
    </xf>
    <xf numFmtId="0" fontId="16" fillId="0" borderId="33" xfId="0" applyFont="1" applyBorder="1" applyAlignment="1">
      <alignment horizontal="center"/>
    </xf>
    <xf numFmtId="0" fontId="16" fillId="0" borderId="24" xfId="0" applyFont="1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6" fillId="0" borderId="12" xfId="0" applyFont="1" applyBorder="1" applyAlignment="1">
      <alignment horizontal="right"/>
    </xf>
    <xf numFmtId="0" fontId="16" fillId="0" borderId="15" xfId="0" applyFont="1" applyBorder="1" applyAlignment="1">
      <alignment horizontal="right"/>
    </xf>
    <xf numFmtId="0" fontId="16" fillId="0" borderId="13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23" xfId="0" applyFont="1" applyBorder="1"/>
    <xf numFmtId="0" fontId="0" fillId="0" borderId="24" xfId="0" applyFont="1" applyBorder="1"/>
    <xf numFmtId="0" fontId="0" fillId="0" borderId="11" xfId="0" applyFont="1" applyBorder="1" applyAlignment="1"/>
    <xf numFmtId="0" fontId="0" fillId="0" borderId="11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16" fillId="0" borderId="11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25" xfId="0" applyBorder="1"/>
    <xf numFmtId="0" fontId="0" fillId="0" borderId="12" xfId="0" applyFill="1" applyBorder="1" applyAlignment="1">
      <alignment horizontal="right"/>
    </xf>
    <xf numFmtId="0" fontId="16" fillId="0" borderId="33" xfId="0" applyFont="1" applyFill="1" applyBorder="1" applyAlignment="1">
      <alignment horizontal="right"/>
    </xf>
    <xf numFmtId="10" fontId="0" fillId="0" borderId="16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10" fontId="0" fillId="0" borderId="12" xfId="0" applyNumberFormat="1" applyBorder="1" applyAlignment="1">
      <alignment horizontal="right"/>
    </xf>
    <xf numFmtId="10" fontId="0" fillId="0" borderId="18" xfId="0" applyNumberFormat="1" applyBorder="1" applyAlignment="1">
      <alignment horizontal="right"/>
    </xf>
    <xf numFmtId="10" fontId="0" fillId="0" borderId="21" xfId="0" applyNumberFormat="1" applyBorder="1" applyAlignment="1">
      <alignment horizontal="right"/>
    </xf>
    <xf numFmtId="10" fontId="0" fillId="0" borderId="21" xfId="0" applyNumberFormat="1" applyFont="1" applyBorder="1" applyAlignment="1">
      <alignment horizontal="right"/>
    </xf>
    <xf numFmtId="10" fontId="0" fillId="0" borderId="33" xfId="0" applyNumberFormat="1" applyBorder="1" applyAlignment="1">
      <alignment horizontal="right"/>
    </xf>
    <xf numFmtId="10" fontId="0" fillId="0" borderId="33" xfId="0" applyNumberFormat="1" applyFont="1" applyBorder="1" applyAlignment="1">
      <alignment horizontal="right"/>
    </xf>
    <xf numFmtId="10" fontId="0" fillId="0" borderId="22" xfId="0" applyNumberFormat="1" applyBorder="1" applyAlignment="1">
      <alignment horizontal="right"/>
    </xf>
    <xf numFmtId="10" fontId="0" fillId="0" borderId="22" xfId="0" applyNumberFormat="1" applyFon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12" xfId="0" applyNumberFormat="1" applyBorder="1" applyAlignment="1">
      <alignment horizontal="right"/>
    </xf>
    <xf numFmtId="10" fontId="0" fillId="0" borderId="10" xfId="0" applyNumberFormat="1" applyBorder="1" applyAlignment="1">
      <alignment horizontal="right"/>
    </xf>
    <xf numFmtId="10" fontId="0" fillId="0" borderId="13" xfId="0" applyNumberFormat="1" applyBorder="1" applyAlignment="1">
      <alignment horizontal="right"/>
    </xf>
    <xf numFmtId="0" fontId="0" fillId="0" borderId="14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10" fontId="0" fillId="0" borderId="23" xfId="0" applyNumberForma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0" fillId="0" borderId="14" xfId="0" applyNumberFormat="1" applyBorder="1" applyAlignment="1">
      <alignment horizontal="right"/>
    </xf>
    <xf numFmtId="10" fontId="0" fillId="0" borderId="25" xfId="0" applyNumberFormat="1" applyBorder="1" applyAlignment="1">
      <alignment horizontal="right"/>
    </xf>
    <xf numFmtId="10" fontId="0" fillId="0" borderId="15" xfId="0" applyNumberFormat="1" applyBorder="1" applyAlignment="1">
      <alignment horizontal="right"/>
    </xf>
    <xf numFmtId="10" fontId="0" fillId="0" borderId="24" xfId="0" applyNumberFormat="1" applyBorder="1"/>
    <xf numFmtId="10" fontId="0" fillId="0" borderId="23" xfId="0" applyNumberFormat="1" applyBorder="1"/>
    <xf numFmtId="10" fontId="0" fillId="0" borderId="11" xfId="0" applyNumberFormat="1" applyBorder="1"/>
    <xf numFmtId="10" fontId="0" fillId="0" borderId="0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25" xfId="0" applyNumberFormat="1" applyBorder="1"/>
    <xf numFmtId="10" fontId="0" fillId="0" borderId="12" xfId="0" applyNumberFormat="1" applyBorder="1"/>
    <xf numFmtId="10" fontId="0" fillId="0" borderId="18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>
        <c:manualLayout>
          <c:xMode val="edge"/>
          <c:yMode val="edge"/>
          <c:x val="0.32647826555927117"/>
          <c:y val="3.0927835051546396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'Video 1'!$B$1</c:f>
              <c:strCache>
                <c:ptCount val="1"/>
                <c:pt idx="0">
                  <c:v>time on table (in m)</c:v>
                </c:pt>
              </c:strCache>
            </c:strRef>
          </c:tx>
          <c:invertIfNegative val="0"/>
          <c:dPt>
            <c:idx val="10"/>
            <c:invertIfNegative val="0"/>
            <c:bubble3D val="0"/>
            <c:spPr>
              <a:gradFill>
                <a:gsLst>
                  <a:gs pos="0">
                    <a:schemeClr val="tx2">
                      <a:lumMod val="60000"/>
                      <a:lumOff val="40000"/>
                    </a:schemeClr>
                  </a:gs>
                  <a:gs pos="5000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11"/>
            <c:invertIfNegative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5000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'Video 1'!$A$2:$A$13</c:f>
              <c:strCache>
                <c:ptCount val="12"/>
                <c:pt idx="0">
                  <c:v>Large1</c:v>
                </c:pt>
                <c:pt idx="1">
                  <c:v>Blue1</c:v>
                </c:pt>
                <c:pt idx="2">
                  <c:v>Small1</c:v>
                </c:pt>
                <c:pt idx="3">
                  <c:v>Blue2</c:v>
                </c:pt>
                <c:pt idx="4">
                  <c:v>White1</c:v>
                </c:pt>
                <c:pt idx="5">
                  <c:v>White2</c:v>
                </c:pt>
                <c:pt idx="6">
                  <c:v>Glass1</c:v>
                </c:pt>
                <c:pt idx="7">
                  <c:v>Blue3</c:v>
                </c:pt>
                <c:pt idx="8">
                  <c:v>Ipad</c:v>
                </c:pt>
                <c:pt idx="9">
                  <c:v>Keyboard</c:v>
                </c:pt>
                <c:pt idx="10">
                  <c:v>Physical objects</c:v>
                </c:pt>
                <c:pt idx="11">
                  <c:v>Hybrid objects</c:v>
                </c:pt>
              </c:strCache>
            </c:strRef>
          </c:cat>
          <c:val>
            <c:numRef>
              <c:f>'Video 1'!$B$2:$B$13</c:f>
              <c:numCache>
                <c:formatCode>General</c:formatCode>
                <c:ptCount val="12"/>
                <c:pt idx="0">
                  <c:v>125.1613</c:v>
                </c:pt>
                <c:pt idx="1">
                  <c:v>6.383</c:v>
                </c:pt>
                <c:pt idx="2">
                  <c:v>48.953000000000003</c:v>
                </c:pt>
                <c:pt idx="3">
                  <c:v>0.69930000000000003</c:v>
                </c:pt>
                <c:pt idx="4">
                  <c:v>121.68940000000001</c:v>
                </c:pt>
                <c:pt idx="5">
                  <c:v>89.673199999999994</c:v>
                </c:pt>
                <c:pt idx="6">
                  <c:v>24.616</c:v>
                </c:pt>
                <c:pt idx="7">
                  <c:v>64.250200000000007</c:v>
                </c:pt>
                <c:pt idx="8">
                  <c:v>4.0641999999999996</c:v>
                </c:pt>
                <c:pt idx="9">
                  <c:v>97.319800000000001</c:v>
                </c:pt>
                <c:pt idx="10">
                  <c:v>51.0869</c:v>
                </c:pt>
                <c:pt idx="11">
                  <c:v>87.057199999999995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3677824"/>
        <c:axId val="73822976"/>
      </c:barChart>
      <c:catAx>
        <c:axId val="73677824"/>
        <c:scaling>
          <c:orientation val="minMax"/>
        </c:scaling>
        <c:delete val="0"/>
        <c:axPos val="l"/>
        <c:majorTickMark val="none"/>
        <c:minorTickMark val="none"/>
        <c:tickLblPos val="nextTo"/>
        <c:crossAx val="73822976"/>
        <c:crosses val="autoZero"/>
        <c:auto val="1"/>
        <c:lblAlgn val="ctr"/>
        <c:lblOffset val="100"/>
        <c:noMultiLvlLbl val="0"/>
      </c:catAx>
      <c:valAx>
        <c:axId val="738229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367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Stats!$N$33</c:f>
              <c:strCache>
                <c:ptCount val="1"/>
                <c:pt idx="0">
                  <c:v>Average Occlusion over Time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5000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>
                      <a:lumMod val="60000"/>
                      <a:lumOff val="40000"/>
                    </a:schemeClr>
                  </a:gs>
                  <a:gs pos="5000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Stats!$O$27:$Q$27</c:f>
              <c:strCache>
                <c:ptCount val="3"/>
                <c:pt idx="0">
                  <c:v>Physical Objects</c:v>
                </c:pt>
                <c:pt idx="1">
                  <c:v>Hybrid Objects</c:v>
                </c:pt>
                <c:pt idx="2">
                  <c:v>All Objects</c:v>
                </c:pt>
              </c:strCache>
            </c:strRef>
          </c:cat>
          <c:val>
            <c:numRef>
              <c:f>Stats!$O$33:$Q$33</c:f>
              <c:numCache>
                <c:formatCode>0.00%</c:formatCode>
                <c:ptCount val="3"/>
                <c:pt idx="0">
                  <c:v>0.11979643115105174</c:v>
                </c:pt>
                <c:pt idx="1">
                  <c:v>4.3823887631491615E-2</c:v>
                </c:pt>
                <c:pt idx="2">
                  <c:v>0.15485554125624504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007808"/>
        <c:axId val="90021888"/>
      </c:barChart>
      <c:catAx>
        <c:axId val="900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0021888"/>
        <c:crosses val="autoZero"/>
        <c:auto val="1"/>
        <c:lblAlgn val="ctr"/>
        <c:lblOffset val="100"/>
        <c:noMultiLvlLbl val="0"/>
      </c:catAx>
      <c:valAx>
        <c:axId val="90021888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000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'Video 2'!$B$1</c:f>
              <c:strCache>
                <c:ptCount val="1"/>
                <c:pt idx="0">
                  <c:v>time on table (in m)</c:v>
                </c:pt>
              </c:strCache>
            </c:strRef>
          </c:tx>
          <c:invertIfNegative val="0"/>
          <c:dPt>
            <c:idx val="27"/>
            <c:invertIfNegative val="0"/>
            <c:bubble3D val="0"/>
            <c:spPr>
              <a:gradFill>
                <a:gsLst>
                  <a:gs pos="0">
                    <a:schemeClr val="tx2">
                      <a:lumMod val="60000"/>
                      <a:lumOff val="40000"/>
                    </a:schemeClr>
                  </a:gs>
                  <a:gs pos="5000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28"/>
            <c:invertIfNegative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5000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'Video 2'!$A$2:$A$30</c:f>
              <c:strCache>
                <c:ptCount val="29"/>
                <c:pt idx="0">
                  <c:v>case_1</c:v>
                </c:pt>
                <c:pt idx="1">
                  <c:v>glass_1</c:v>
                </c:pt>
                <c:pt idx="2">
                  <c:v>mouse</c:v>
                </c:pt>
                <c:pt idx="3">
                  <c:v>rack_clear</c:v>
                </c:pt>
                <c:pt idx="4">
                  <c:v>glas_tiny</c:v>
                </c:pt>
                <c:pt idx="5">
                  <c:v>rack_tri</c:v>
                </c:pt>
                <c:pt idx="6">
                  <c:v>glass_3</c:v>
                </c:pt>
                <c:pt idx="7">
                  <c:v>aluminum</c:v>
                </c:pt>
                <c:pt idx="8">
                  <c:v>pen_h</c:v>
                </c:pt>
                <c:pt idx="9">
                  <c:v>blue_1</c:v>
                </c:pt>
                <c:pt idx="10">
                  <c:v>blue_border</c:v>
                </c:pt>
                <c:pt idx="11">
                  <c:v>blue_top</c:v>
                </c:pt>
                <c:pt idx="12">
                  <c:v>glass_2</c:v>
                </c:pt>
                <c:pt idx="13">
                  <c:v>pip_v</c:v>
                </c:pt>
                <c:pt idx="14">
                  <c:v>blue_3</c:v>
                </c:pt>
                <c:pt idx="15">
                  <c:v>jar_1</c:v>
                </c:pt>
                <c:pt idx="16">
                  <c:v>jar_1_cap</c:v>
                </c:pt>
                <c:pt idx="17">
                  <c:v>pen_v</c:v>
                </c:pt>
                <c:pt idx="18">
                  <c:v>blue_2</c:v>
                </c:pt>
                <c:pt idx="19">
                  <c:v>pip_h</c:v>
                </c:pt>
                <c:pt idx="20">
                  <c:v>white_1</c:v>
                </c:pt>
                <c:pt idx="21">
                  <c:v>pip2_v</c:v>
                </c:pt>
                <c:pt idx="22">
                  <c:v>jar_2</c:v>
                </c:pt>
                <c:pt idx="23">
                  <c:v>jar_2_cap</c:v>
                </c:pt>
                <c:pt idx="24">
                  <c:v>pip2_h</c:v>
                </c:pt>
                <c:pt idx="25">
                  <c:v>glass_tiny</c:v>
                </c:pt>
                <c:pt idx="26">
                  <c:v>large_1</c:v>
                </c:pt>
                <c:pt idx="27">
                  <c:v>Physical objects</c:v>
                </c:pt>
                <c:pt idx="28">
                  <c:v>Hybrid Objects</c:v>
                </c:pt>
              </c:strCache>
            </c:strRef>
          </c:cat>
          <c:val>
            <c:numRef>
              <c:f>'Video 2'!$B$2:$B$30</c:f>
              <c:numCache>
                <c:formatCode>General</c:formatCode>
                <c:ptCount val="29"/>
                <c:pt idx="0">
                  <c:v>507.866666667</c:v>
                </c:pt>
                <c:pt idx="1">
                  <c:v>507.63933333300002</c:v>
                </c:pt>
                <c:pt idx="2">
                  <c:v>507.76511666699997</c:v>
                </c:pt>
                <c:pt idx="3">
                  <c:v>444.06666666699999</c:v>
                </c:pt>
                <c:pt idx="4">
                  <c:v>5.29318333333</c:v>
                </c:pt>
                <c:pt idx="5">
                  <c:v>420.89833333299998</c:v>
                </c:pt>
                <c:pt idx="6">
                  <c:v>53.453000000000003</c:v>
                </c:pt>
                <c:pt idx="7">
                  <c:v>5.6529666666700003</c:v>
                </c:pt>
                <c:pt idx="8">
                  <c:v>66.163933333299994</c:v>
                </c:pt>
                <c:pt idx="9">
                  <c:v>48.318350000000002</c:v>
                </c:pt>
                <c:pt idx="10">
                  <c:v>2</c:v>
                </c:pt>
                <c:pt idx="11">
                  <c:v>347.95</c:v>
                </c:pt>
                <c:pt idx="12">
                  <c:v>475.38204999999999</c:v>
                </c:pt>
                <c:pt idx="13">
                  <c:v>231.716666667</c:v>
                </c:pt>
                <c:pt idx="14">
                  <c:v>40.483333333300003</c:v>
                </c:pt>
                <c:pt idx="15">
                  <c:v>5.25</c:v>
                </c:pt>
                <c:pt idx="16">
                  <c:v>1.45</c:v>
                </c:pt>
                <c:pt idx="17">
                  <c:v>60.659583333299999</c:v>
                </c:pt>
                <c:pt idx="18">
                  <c:v>78.389083333299993</c:v>
                </c:pt>
                <c:pt idx="19">
                  <c:v>56.266666666699997</c:v>
                </c:pt>
                <c:pt idx="20">
                  <c:v>16.666666666699999</c:v>
                </c:pt>
                <c:pt idx="21">
                  <c:v>85.35</c:v>
                </c:pt>
                <c:pt idx="22">
                  <c:v>6.2</c:v>
                </c:pt>
                <c:pt idx="23">
                  <c:v>3.1</c:v>
                </c:pt>
                <c:pt idx="24">
                  <c:v>9.6999999999999993</c:v>
                </c:pt>
                <c:pt idx="25">
                  <c:v>176.937216667</c:v>
                </c:pt>
                <c:pt idx="26">
                  <c:v>16.083333333300001</c:v>
                </c:pt>
                <c:pt idx="27">
                  <c:v>154.84082036999999</c:v>
                </c:pt>
                <c:pt idx="28">
                  <c:v>16.083333333300001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84320"/>
        <c:axId val="44586112"/>
      </c:barChart>
      <c:catAx>
        <c:axId val="44584320"/>
        <c:scaling>
          <c:orientation val="minMax"/>
        </c:scaling>
        <c:delete val="0"/>
        <c:axPos val="l"/>
        <c:majorTickMark val="none"/>
        <c:minorTickMark val="none"/>
        <c:tickLblPos val="nextTo"/>
        <c:crossAx val="44586112"/>
        <c:crosses val="autoZero"/>
        <c:auto val="1"/>
        <c:lblAlgn val="ctr"/>
        <c:lblOffset val="100"/>
        <c:noMultiLvlLbl val="0"/>
      </c:catAx>
      <c:valAx>
        <c:axId val="445861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4458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'Video 3'!$B$1</c:f>
              <c:strCache>
                <c:ptCount val="1"/>
                <c:pt idx="0">
                  <c:v>time on table (in m)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gradFill>
                <a:gsLst>
                  <a:gs pos="0">
                    <a:schemeClr val="tx2">
                      <a:lumMod val="60000"/>
                      <a:lumOff val="40000"/>
                    </a:schemeClr>
                  </a:gs>
                  <a:gs pos="5000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'Video 3'!$A$2:$A$19</c:f>
              <c:strCache>
                <c:ptCount val="18"/>
                <c:pt idx="0">
                  <c:v>glass_1</c:v>
                </c:pt>
                <c:pt idx="1">
                  <c:v>mouse</c:v>
                </c:pt>
                <c:pt idx="2">
                  <c:v>notes</c:v>
                </c:pt>
                <c:pt idx="3">
                  <c:v>pipette</c:v>
                </c:pt>
                <c:pt idx="4">
                  <c:v>glass_2</c:v>
                </c:pt>
                <c:pt idx="5">
                  <c:v>aluminum</c:v>
                </c:pt>
                <c:pt idx="6">
                  <c:v>small_rack_1</c:v>
                </c:pt>
                <c:pt idx="7">
                  <c:v>small_glass</c:v>
                </c:pt>
                <c:pt idx="8">
                  <c:v>blue_box</c:v>
                </c:pt>
                <c:pt idx="9">
                  <c:v>vial</c:v>
                </c:pt>
                <c:pt idx="10">
                  <c:v>blue_box_2</c:v>
                </c:pt>
                <c:pt idx="11">
                  <c:v>caps</c:v>
                </c:pt>
                <c:pt idx="12">
                  <c:v>pen_1</c:v>
                </c:pt>
                <c:pt idx="13">
                  <c:v>white_rack</c:v>
                </c:pt>
                <c:pt idx="14">
                  <c:v>white_rack_2</c:v>
                </c:pt>
                <c:pt idx="15">
                  <c:v>pen_2</c:v>
                </c:pt>
                <c:pt idx="16">
                  <c:v>Physical Objects</c:v>
                </c:pt>
                <c:pt idx="17">
                  <c:v>no Hybrid objects</c:v>
                </c:pt>
              </c:strCache>
            </c:strRef>
          </c:cat>
          <c:val>
            <c:numRef>
              <c:f>'Video 3'!$B$2:$B$19</c:f>
              <c:numCache>
                <c:formatCode>General</c:formatCode>
                <c:ptCount val="18"/>
                <c:pt idx="0">
                  <c:v>100.866666667</c:v>
                </c:pt>
                <c:pt idx="1">
                  <c:v>46.183333333299998</c:v>
                </c:pt>
                <c:pt idx="2">
                  <c:v>45.066666666700002</c:v>
                </c:pt>
                <c:pt idx="3">
                  <c:v>100.498683333</c:v>
                </c:pt>
                <c:pt idx="4">
                  <c:v>100.666666667</c:v>
                </c:pt>
                <c:pt idx="5">
                  <c:v>35.566666666700002</c:v>
                </c:pt>
                <c:pt idx="6">
                  <c:v>4.5666666666699998</c:v>
                </c:pt>
                <c:pt idx="7">
                  <c:v>64.981216666700007</c:v>
                </c:pt>
                <c:pt idx="8">
                  <c:v>61.366666666699999</c:v>
                </c:pt>
                <c:pt idx="9">
                  <c:v>26.7166666667</c:v>
                </c:pt>
                <c:pt idx="10">
                  <c:v>57.916666666700003</c:v>
                </c:pt>
                <c:pt idx="11">
                  <c:v>39.2166666667</c:v>
                </c:pt>
                <c:pt idx="12">
                  <c:v>55.564616666699997</c:v>
                </c:pt>
                <c:pt idx="13">
                  <c:v>17.7166666667</c:v>
                </c:pt>
                <c:pt idx="14">
                  <c:v>3.8333333333300001</c:v>
                </c:pt>
                <c:pt idx="15">
                  <c:v>6.5666666666699998</c:v>
                </c:pt>
                <c:pt idx="16">
                  <c:v>47.955907291700001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53600"/>
        <c:axId val="68955136"/>
      </c:barChart>
      <c:catAx>
        <c:axId val="68953600"/>
        <c:scaling>
          <c:orientation val="minMax"/>
        </c:scaling>
        <c:delete val="0"/>
        <c:axPos val="l"/>
        <c:majorTickMark val="out"/>
        <c:minorTickMark val="none"/>
        <c:tickLblPos val="nextTo"/>
        <c:crossAx val="68955136"/>
        <c:crosses val="autoZero"/>
        <c:auto val="1"/>
        <c:lblAlgn val="ctr"/>
        <c:lblOffset val="100"/>
        <c:noMultiLvlLbl val="0"/>
      </c:catAx>
      <c:valAx>
        <c:axId val="68955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89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'Video 4'!$B$1</c:f>
              <c:strCache>
                <c:ptCount val="1"/>
                <c:pt idx="0">
                  <c:v>time on table (in m)</c:v>
                </c:pt>
              </c:strCache>
            </c:strRef>
          </c:tx>
          <c:invertIfNegative val="0"/>
          <c:dPt>
            <c:idx val="23"/>
            <c:invertIfNegative val="0"/>
            <c:bubble3D val="0"/>
            <c:spPr>
              <a:gradFill>
                <a:gsLst>
                  <a:gs pos="0">
                    <a:schemeClr val="tx2">
                      <a:lumMod val="60000"/>
                      <a:lumOff val="40000"/>
                    </a:schemeClr>
                  </a:gs>
                  <a:gs pos="5000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24"/>
            <c:invertIfNegative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5000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'Video 4'!$A$2:$A$26</c:f>
              <c:strCache>
                <c:ptCount val="25"/>
                <c:pt idx="0">
                  <c:v>small_1</c:v>
                </c:pt>
                <c:pt idx="1">
                  <c:v>glass_1</c:v>
                </c:pt>
                <c:pt idx="2">
                  <c:v>mouse</c:v>
                </c:pt>
                <c:pt idx="3">
                  <c:v>pen_1</c:v>
                </c:pt>
                <c:pt idx="4">
                  <c:v>rack_1</c:v>
                </c:pt>
                <c:pt idx="5">
                  <c:v>long_1</c:v>
                </c:pt>
                <c:pt idx="6">
                  <c:v>glass_small</c:v>
                </c:pt>
                <c:pt idx="7">
                  <c:v>tube_1</c:v>
                </c:pt>
                <c:pt idx="8">
                  <c:v>jar_1</c:v>
                </c:pt>
                <c:pt idx="9">
                  <c:v>glove</c:v>
                </c:pt>
                <c:pt idx="10">
                  <c:v>testtube_1</c:v>
                </c:pt>
                <c:pt idx="11">
                  <c:v>testtube_2</c:v>
                </c:pt>
                <c:pt idx="12">
                  <c:v>keyboard</c:v>
                </c:pt>
                <c:pt idx="13">
                  <c:v>pen_2</c:v>
                </c:pt>
                <c:pt idx="14">
                  <c:v>box_1</c:v>
                </c:pt>
                <c:pt idx="15">
                  <c:v>large_1</c:v>
                </c:pt>
                <c:pt idx="16">
                  <c:v>small_2</c:v>
                </c:pt>
                <c:pt idx="17">
                  <c:v>box_2</c:v>
                </c:pt>
                <c:pt idx="18">
                  <c:v>cap_1</c:v>
                </c:pt>
                <c:pt idx="19">
                  <c:v>pipette_1</c:v>
                </c:pt>
                <c:pt idx="20">
                  <c:v>tag_1</c:v>
                </c:pt>
                <c:pt idx="21">
                  <c:v>pipette_3</c:v>
                </c:pt>
                <c:pt idx="22">
                  <c:v>pipette_2</c:v>
                </c:pt>
                <c:pt idx="23">
                  <c:v>Physical Objects</c:v>
                </c:pt>
                <c:pt idx="24">
                  <c:v>Hybrid Objects</c:v>
                </c:pt>
              </c:strCache>
            </c:strRef>
          </c:cat>
          <c:val>
            <c:numRef>
              <c:f>'Video 4'!$B$2:$B$26</c:f>
              <c:numCache>
                <c:formatCode>General</c:formatCode>
                <c:ptCount val="25"/>
                <c:pt idx="0">
                  <c:v>17.833333333300001</c:v>
                </c:pt>
                <c:pt idx="1">
                  <c:v>7.7766666666699997</c:v>
                </c:pt>
                <c:pt idx="2">
                  <c:v>15.3833333333</c:v>
                </c:pt>
                <c:pt idx="3">
                  <c:v>4.5333333333299999</c:v>
                </c:pt>
                <c:pt idx="4">
                  <c:v>21.366666666699999</c:v>
                </c:pt>
                <c:pt idx="5">
                  <c:v>9.4499999999999993</c:v>
                </c:pt>
                <c:pt idx="6">
                  <c:v>33.066666666700002</c:v>
                </c:pt>
                <c:pt idx="7">
                  <c:v>51.766666666699997</c:v>
                </c:pt>
                <c:pt idx="8">
                  <c:v>33.75</c:v>
                </c:pt>
                <c:pt idx="9">
                  <c:v>3.2833333333299999</c:v>
                </c:pt>
                <c:pt idx="10">
                  <c:v>12.9333333333</c:v>
                </c:pt>
                <c:pt idx="11">
                  <c:v>0.53333333333300004</c:v>
                </c:pt>
                <c:pt idx="12">
                  <c:v>12.625783333299999</c:v>
                </c:pt>
                <c:pt idx="13">
                  <c:v>4.3666666666699996</c:v>
                </c:pt>
                <c:pt idx="14">
                  <c:v>18.766666666700001</c:v>
                </c:pt>
                <c:pt idx="15">
                  <c:v>18.4371166667</c:v>
                </c:pt>
                <c:pt idx="16">
                  <c:v>14.4150833333</c:v>
                </c:pt>
                <c:pt idx="17">
                  <c:v>10.8084833333</c:v>
                </c:pt>
                <c:pt idx="18">
                  <c:v>3.1</c:v>
                </c:pt>
                <c:pt idx="19">
                  <c:v>2.15</c:v>
                </c:pt>
                <c:pt idx="20">
                  <c:v>5.68166666667</c:v>
                </c:pt>
                <c:pt idx="21">
                  <c:v>0.166666666667</c:v>
                </c:pt>
                <c:pt idx="22">
                  <c:v>4.2133833333300004</c:v>
                </c:pt>
                <c:pt idx="23">
                  <c:v>13.3661657407</c:v>
                </c:pt>
                <c:pt idx="24">
                  <c:v>14.5306444444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02720"/>
        <c:axId val="69904256"/>
      </c:barChart>
      <c:catAx>
        <c:axId val="69902720"/>
        <c:scaling>
          <c:orientation val="minMax"/>
        </c:scaling>
        <c:delete val="0"/>
        <c:axPos val="l"/>
        <c:majorTickMark val="out"/>
        <c:minorTickMark val="none"/>
        <c:tickLblPos val="nextTo"/>
        <c:crossAx val="69904256"/>
        <c:crosses val="autoZero"/>
        <c:auto val="1"/>
        <c:lblAlgn val="ctr"/>
        <c:lblOffset val="100"/>
        <c:noMultiLvlLbl val="0"/>
      </c:catAx>
      <c:valAx>
        <c:axId val="69904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990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6741090516699333"/>
          <c:y val="0.10002987293868283"/>
          <c:w val="0.79947214480724627"/>
          <c:h val="0.83550387503804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'Video 5'!$B$1</c:f>
              <c:strCache>
                <c:ptCount val="1"/>
                <c:pt idx="0">
                  <c:v>time on table (in m)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5000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14"/>
            <c:invertIfNegative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5000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'Video 5'!$A$2:$A$16</c:f>
              <c:strCache>
                <c:ptCount val="15"/>
                <c:pt idx="0">
                  <c:v>keyboard</c:v>
                </c:pt>
                <c:pt idx="1">
                  <c:v>mouse</c:v>
                </c:pt>
                <c:pt idx="2">
                  <c:v>glass_1</c:v>
                </c:pt>
                <c:pt idx="3">
                  <c:v>calc</c:v>
                </c:pt>
                <c:pt idx="4">
                  <c:v>large_1</c:v>
                </c:pt>
                <c:pt idx="5">
                  <c:v>small_1</c:v>
                </c:pt>
                <c:pt idx="6">
                  <c:v>tag</c:v>
                </c:pt>
                <c:pt idx="7">
                  <c:v>pen</c:v>
                </c:pt>
                <c:pt idx="8">
                  <c:v>plate_1</c:v>
                </c:pt>
                <c:pt idx="9">
                  <c:v>plate_2</c:v>
                </c:pt>
                <c:pt idx="10">
                  <c:v>Box_1</c:v>
                </c:pt>
                <c:pt idx="11">
                  <c:v>Rack</c:v>
                </c:pt>
                <c:pt idx="12">
                  <c:v>plate_3</c:v>
                </c:pt>
                <c:pt idx="13">
                  <c:v>Physical Objects</c:v>
                </c:pt>
                <c:pt idx="14">
                  <c:v>Hybrid Objects</c:v>
                </c:pt>
              </c:strCache>
            </c:strRef>
          </c:cat>
          <c:val>
            <c:numRef>
              <c:f>'Video 5'!$B$2:$B$16</c:f>
              <c:numCache>
                <c:formatCode>General</c:formatCode>
                <c:ptCount val="15"/>
                <c:pt idx="0">
                  <c:v>22.9</c:v>
                </c:pt>
                <c:pt idx="1">
                  <c:v>31.9</c:v>
                </c:pt>
                <c:pt idx="2">
                  <c:v>22.566666666700002</c:v>
                </c:pt>
                <c:pt idx="3">
                  <c:v>5.5</c:v>
                </c:pt>
                <c:pt idx="4">
                  <c:v>28.537199999999999</c:v>
                </c:pt>
                <c:pt idx="5">
                  <c:v>17.916666666699999</c:v>
                </c:pt>
                <c:pt idx="6">
                  <c:v>0.33333333333300003</c:v>
                </c:pt>
                <c:pt idx="7">
                  <c:v>15.016666666700001</c:v>
                </c:pt>
                <c:pt idx="8">
                  <c:v>7.4733999999999998</c:v>
                </c:pt>
                <c:pt idx="9">
                  <c:v>0.7</c:v>
                </c:pt>
                <c:pt idx="10">
                  <c:v>6.9</c:v>
                </c:pt>
                <c:pt idx="11">
                  <c:v>4.7333333333300001</c:v>
                </c:pt>
                <c:pt idx="12">
                  <c:v>1.95</c:v>
                </c:pt>
                <c:pt idx="13">
                  <c:v>11.9640066667</c:v>
                </c:pt>
                <c:pt idx="14">
                  <c:v>15.5957333333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94688"/>
        <c:axId val="72196480"/>
      </c:barChart>
      <c:catAx>
        <c:axId val="72194688"/>
        <c:scaling>
          <c:orientation val="minMax"/>
        </c:scaling>
        <c:delete val="0"/>
        <c:axPos val="l"/>
        <c:majorTickMark val="out"/>
        <c:minorTickMark val="none"/>
        <c:tickLblPos val="nextTo"/>
        <c:crossAx val="72196480"/>
        <c:crosses val="autoZero"/>
        <c:auto val="1"/>
        <c:lblAlgn val="ctr"/>
        <c:lblOffset val="100"/>
        <c:noMultiLvlLbl val="0"/>
      </c:catAx>
      <c:valAx>
        <c:axId val="72196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19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Physical Objects</c:v>
                </c:pt>
              </c:strCache>
            </c:strRef>
          </c:tx>
          <c:invertIfNegative val="0"/>
          <c:cat>
            <c:strRef>
              <c:f>Stats!$A$2:$A$7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On Average</c:v>
                </c:pt>
              </c:strCache>
            </c:strRef>
          </c:cat>
          <c:val>
            <c:numRef>
              <c:f>Stats!$B$2:$B$7</c:f>
              <c:numCache>
                <c:formatCode>General</c:formatCode>
                <c:ptCount val="6"/>
                <c:pt idx="0">
                  <c:v>8</c:v>
                </c:pt>
                <c:pt idx="1">
                  <c:v>27</c:v>
                </c:pt>
                <c:pt idx="2">
                  <c:v>16</c:v>
                </c:pt>
                <c:pt idx="3">
                  <c:v>18</c:v>
                </c:pt>
                <c:pt idx="4">
                  <c:v>10</c:v>
                </c:pt>
                <c:pt idx="5">
                  <c:v>15.8</c:v>
                </c:pt>
              </c:numCache>
            </c:numRef>
          </c:val>
        </c:ser>
        <c:ser>
          <c:idx val="1"/>
          <c:order val="1"/>
          <c:tx>
            <c:strRef>
              <c:f>Stats!$C$1</c:f>
              <c:strCache>
                <c:ptCount val="1"/>
                <c:pt idx="0">
                  <c:v>Hybrid Objects</c:v>
                </c:pt>
              </c:strCache>
            </c:strRef>
          </c:tx>
          <c:spPr>
            <a:gradFill>
              <a:gsLst>
                <a:gs pos="0">
                  <a:srgbClr val="F79646">
                    <a:lumMod val="60000"/>
                    <a:lumOff val="40000"/>
                  </a:srgbClr>
                </a:gs>
                <a:gs pos="50000">
                  <a:srgbClr val="F79646"/>
                </a:gs>
                <a:gs pos="100000">
                  <a:schemeClr val="accent6">
                    <a:lumMod val="75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Stats!$A$2:$A$7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On Average</c:v>
                </c:pt>
              </c:strCache>
            </c:strRef>
          </c:cat>
          <c:val>
            <c:numRef>
              <c:f>Stats!$C$2:$C$7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06496"/>
        <c:axId val="73708288"/>
      </c:barChart>
      <c:lineChart>
        <c:grouping val="stacked"/>
        <c:varyColors val="0"/>
        <c:ser>
          <c:idx val="2"/>
          <c:order val="2"/>
          <c:tx>
            <c:strRef>
              <c:f>Stats!$Q$18</c:f>
              <c:strCache>
                <c:ptCount val="1"/>
                <c:pt idx="0">
                  <c:v>Video Duration (in m)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Stats!$A$2:$A$7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On Average</c:v>
                </c:pt>
              </c:strCache>
            </c:strRef>
          </c:cat>
          <c:val>
            <c:numRef>
              <c:f>Stats!$Q$19:$Q$24</c:f>
              <c:numCache>
                <c:formatCode>General</c:formatCode>
                <c:ptCount val="6"/>
                <c:pt idx="0">
                  <c:v>146</c:v>
                </c:pt>
                <c:pt idx="1">
                  <c:v>508</c:v>
                </c:pt>
                <c:pt idx="2">
                  <c:v>101</c:v>
                </c:pt>
                <c:pt idx="3">
                  <c:v>86</c:v>
                </c:pt>
                <c:pt idx="4">
                  <c:v>32</c:v>
                </c:pt>
                <c:pt idx="5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19808"/>
        <c:axId val="73709824"/>
      </c:lineChart>
      <c:catAx>
        <c:axId val="737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3708288"/>
        <c:crosses val="autoZero"/>
        <c:auto val="1"/>
        <c:lblAlgn val="ctr"/>
        <c:lblOffset val="100"/>
        <c:noMultiLvlLbl val="0"/>
      </c:catAx>
      <c:valAx>
        <c:axId val="737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06496"/>
        <c:crosses val="autoZero"/>
        <c:crossBetween val="between"/>
      </c:valAx>
      <c:valAx>
        <c:axId val="7370982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73719808"/>
        <c:crosses val="max"/>
        <c:crossBetween val="between"/>
      </c:valAx>
      <c:catAx>
        <c:axId val="73719808"/>
        <c:scaling>
          <c:orientation val="minMax"/>
        </c:scaling>
        <c:delete val="1"/>
        <c:axPos val="b"/>
        <c:majorTickMark val="out"/>
        <c:minorTickMark val="none"/>
        <c:tickLblPos val="none"/>
        <c:crossAx val="737098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6415543079439454"/>
          <c:y val="4.9097979661140441E-2"/>
          <c:w val="0.24601653330975642"/>
          <c:h val="0.18132219663326188"/>
        </c:manualLayout>
      </c:layout>
      <c:overlay val="1"/>
      <c:spPr>
        <a:solidFill>
          <a:sysClr val="window" lastClr="FFFFFF"/>
        </a:solidFill>
        <a:ln w="12700" cap="rnd"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zero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Stats!$J$1:$J$2</c:f>
              <c:strCache>
                <c:ptCount val="1"/>
                <c:pt idx="0">
                  <c:v>Total Amount (Physical Objects)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Stats!$I$3:$I$8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On Average</c:v>
                </c:pt>
              </c:strCache>
            </c:strRef>
          </c:cat>
          <c:val>
            <c:numRef>
              <c:f>Stats!$J$3:$J$8</c:f>
              <c:numCache>
                <c:formatCode>0.00%</c:formatCode>
                <c:ptCount val="6"/>
                <c:pt idx="0">
                  <c:v>0.8</c:v>
                </c:pt>
                <c:pt idx="1">
                  <c:v>0.9642857142857143</c:v>
                </c:pt>
                <c:pt idx="2">
                  <c:v>1</c:v>
                </c:pt>
                <c:pt idx="3">
                  <c:v>0.75</c:v>
                </c:pt>
                <c:pt idx="4">
                  <c:v>0.76923076923076927</c:v>
                </c:pt>
                <c:pt idx="5">
                  <c:v>0.86813186813186816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Stats!$K$1:$K$2</c:f>
              <c:strCache>
                <c:ptCount val="1"/>
                <c:pt idx="0">
                  <c:v>Total Amount (Hybrid Objects)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Stats!$I$3:$I$8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On Average</c:v>
                </c:pt>
              </c:strCache>
            </c:strRef>
          </c:cat>
          <c:val>
            <c:numRef>
              <c:f>Stats!$K$3:$K$8</c:f>
              <c:numCache>
                <c:formatCode>0.00%</c:formatCode>
                <c:ptCount val="6"/>
                <c:pt idx="0">
                  <c:v>0.2</c:v>
                </c:pt>
                <c:pt idx="1">
                  <c:v>3.5714285714285712E-2</c:v>
                </c:pt>
                <c:pt idx="2">
                  <c:v>0</c:v>
                </c:pt>
                <c:pt idx="3">
                  <c:v>0.25</c:v>
                </c:pt>
                <c:pt idx="4">
                  <c:v>0.23076923076923078</c:v>
                </c:pt>
                <c:pt idx="5">
                  <c:v>0.13186813186813187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Stats!$L$1:$L$2</c:f>
              <c:strCache>
                <c:ptCount val="1"/>
                <c:pt idx="0">
                  <c:v>Average amount on table (Physical Objects)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Stats!$I$3:$I$8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On Average</c:v>
                </c:pt>
              </c:strCache>
            </c:strRef>
          </c:cat>
          <c:val>
            <c:numRef>
              <c:f>Stats!$L$3:$L$8</c:f>
              <c:numCache>
                <c:formatCode>0.00%</c:formatCode>
                <c:ptCount val="6"/>
                <c:pt idx="0">
                  <c:v>0.70125786163576409</c:v>
                </c:pt>
                <c:pt idx="1">
                  <c:v>0.99772554965902327</c:v>
                </c:pt>
                <c:pt idx="2">
                  <c:v>1</c:v>
                </c:pt>
                <c:pt idx="3">
                  <c:v>0.7082152974503334</c:v>
                </c:pt>
                <c:pt idx="4">
                  <c:v>0.71856287425149701</c:v>
                </c:pt>
                <c:pt idx="5">
                  <c:v>0.86800526696903879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Stats!$M$1:$M$2</c:f>
              <c:strCache>
                <c:ptCount val="1"/>
                <c:pt idx="0">
                  <c:v>Average amount on table (Hybrid Objects)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Stats!$I$3:$I$8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On Average</c:v>
                </c:pt>
              </c:strCache>
            </c:strRef>
          </c:cat>
          <c:val>
            <c:numRef>
              <c:f>Stats!$M$3:$M$8</c:f>
              <c:numCache>
                <c:formatCode>0.00%</c:formatCode>
                <c:ptCount val="6"/>
                <c:pt idx="0">
                  <c:v>0.29874213836423585</c:v>
                </c:pt>
                <c:pt idx="1">
                  <c:v>2.2744503411712765E-3</c:v>
                </c:pt>
                <c:pt idx="2">
                  <c:v>0</c:v>
                </c:pt>
                <c:pt idx="3">
                  <c:v>0.29178470254907957</c:v>
                </c:pt>
                <c:pt idx="4">
                  <c:v>0.28143712574850299</c:v>
                </c:pt>
                <c:pt idx="5">
                  <c:v>0.13199473303094678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46304"/>
        <c:axId val="73747840"/>
      </c:lineChart>
      <c:catAx>
        <c:axId val="737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3747840"/>
        <c:crosses val="autoZero"/>
        <c:auto val="1"/>
        <c:lblAlgn val="ctr"/>
        <c:lblOffset val="100"/>
        <c:noMultiLvlLbl val="0"/>
      </c:catAx>
      <c:valAx>
        <c:axId val="73747840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3746304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17476180162002269"/>
          <c:y val="0.33531946006749158"/>
          <c:w val="0.3665079823157083"/>
          <c:h val="0.22459917510311211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>
              <a:lumMod val="50000"/>
              <a:lumOff val="50000"/>
            </a:sysClr>
          </a:solidFill>
        </a:ln>
      </c:spPr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Stats!$J$27</c:f>
              <c:strCache>
                <c:ptCount val="1"/>
                <c:pt idx="0">
                  <c:v>Physical Object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0">
                  <a:schemeClr val="accent1">
                    <a:lumMod val="60000"/>
                    <a:lumOff val="40000"/>
                  </a:schemeClr>
                </a:gs>
                <a:gs pos="5000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Stats!$I$28:$I$33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Average Occlusion per Object</c:v>
                </c:pt>
              </c:strCache>
            </c:strRef>
          </c:cat>
          <c:val>
            <c:numRef>
              <c:f>Stats!$J$28:$J$33</c:f>
              <c:numCache>
                <c:formatCode>0.00%</c:formatCode>
                <c:ptCount val="6"/>
                <c:pt idx="0">
                  <c:v>3.5871915162701669E-2</c:v>
                </c:pt>
                <c:pt idx="1">
                  <c:v>1.8584316917650244E-2</c:v>
                </c:pt>
                <c:pt idx="2">
                  <c:v>1.4918430335097002E-2</c:v>
                </c:pt>
                <c:pt idx="3">
                  <c:v>1.5023083307397029E-2</c:v>
                </c:pt>
                <c:pt idx="4">
                  <c:v>7.5988095238095243E-2</c:v>
                </c:pt>
                <c:pt idx="5">
                  <c:v>3.2077168192188241E-2</c:v>
                </c:pt>
              </c:numCache>
            </c:numRef>
          </c:val>
        </c:ser>
        <c:ser>
          <c:idx val="1"/>
          <c:order val="1"/>
          <c:tx>
            <c:strRef>
              <c:f>Stats!$K$27</c:f>
              <c:strCache>
                <c:ptCount val="1"/>
                <c:pt idx="0">
                  <c:v>Hybrid Object</c:v>
                </c:pt>
              </c:strCache>
            </c:strRef>
          </c:tx>
          <c:spPr>
            <a:gradFill>
              <a:gsLst>
                <a:gs pos="0">
                  <a:srgbClr val="FABD8B"/>
                </a:gs>
                <a:gs pos="0">
                  <a:schemeClr val="accent6">
                    <a:lumMod val="60000"/>
                    <a:lumOff val="40000"/>
                  </a:schemeClr>
                </a:gs>
                <a:gs pos="50000">
                  <a:schemeClr val="accent6"/>
                </a:gs>
                <a:gs pos="100000">
                  <a:schemeClr val="accent6">
                    <a:lumMod val="75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Stats!$I$28:$I$33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Average Occlusion per Object</c:v>
                </c:pt>
              </c:strCache>
            </c:strRef>
          </c:cat>
          <c:val>
            <c:numRef>
              <c:f>Stats!$K$28:$K$33</c:f>
              <c:numCache>
                <c:formatCode>0.00%</c:formatCode>
                <c:ptCount val="6"/>
                <c:pt idx="0">
                  <c:v>5.0267466502597759E-2</c:v>
                </c:pt>
                <c:pt idx="1">
                  <c:v>8.4920634920634924E-2</c:v>
                </c:pt>
                <c:pt idx="3">
                  <c:v>3.6128012933568494E-2</c:v>
                </c:pt>
                <c:pt idx="4">
                  <c:v>3.5026455026455031E-2</c:v>
                </c:pt>
                <c:pt idx="5">
                  <c:v>5.1585642345814045E-2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11616"/>
        <c:axId val="99313920"/>
      </c:barChart>
      <c:lineChart>
        <c:grouping val="standard"/>
        <c:varyColors val="0"/>
        <c:ser>
          <c:idx val="2"/>
          <c:order val="2"/>
          <c:tx>
            <c:strRef>
              <c:f>Stats!$L$27</c:f>
              <c:strCache>
                <c:ptCount val="1"/>
                <c:pt idx="0">
                  <c:v>Average</c:v>
                </c:pt>
              </c:strCache>
            </c:strRef>
          </c:tx>
          <c:spPr>
            <a:ln w="50800"/>
          </c:spPr>
          <c:marker>
            <c:symbol val="none"/>
          </c:marker>
          <c:cat>
            <c:strRef>
              <c:f>Stats!$I$28:$I$33</c:f>
              <c:strCache>
                <c:ptCount val="6"/>
                <c:pt idx="0">
                  <c:v>Session 1</c:v>
                </c:pt>
                <c:pt idx="1">
                  <c:v>Session 2</c:v>
                </c:pt>
                <c:pt idx="2">
                  <c:v>Session 3</c:v>
                </c:pt>
                <c:pt idx="3">
                  <c:v>Session 4</c:v>
                </c:pt>
                <c:pt idx="4">
                  <c:v>Session 5</c:v>
                </c:pt>
                <c:pt idx="5">
                  <c:v>Average Occlusion per Object</c:v>
                </c:pt>
              </c:strCache>
            </c:strRef>
          </c:cat>
          <c:val>
            <c:numRef>
              <c:f>Stats!$L$28:$L$33</c:f>
              <c:numCache>
                <c:formatCode>0.00%</c:formatCode>
                <c:ptCount val="6"/>
                <c:pt idx="0">
                  <c:v>4.3069690832649714E-2</c:v>
                </c:pt>
                <c:pt idx="1">
                  <c:v>5.1752475919142588E-2</c:v>
                </c:pt>
                <c:pt idx="2">
                  <c:v>1.4918430335097002E-2</c:v>
                </c:pt>
                <c:pt idx="3">
                  <c:v>2.5575548120482763E-2</c:v>
                </c:pt>
                <c:pt idx="4">
                  <c:v>5.5507275132275137E-2</c:v>
                </c:pt>
                <c:pt idx="5">
                  <c:v>3.8164684067929437E-2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11616"/>
        <c:axId val="99313920"/>
      </c:lineChart>
      <c:catAx>
        <c:axId val="993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9313920"/>
        <c:crosses val="autoZero"/>
        <c:auto val="1"/>
        <c:lblAlgn val="ctr"/>
        <c:lblOffset val="100"/>
        <c:noMultiLvlLbl val="0"/>
      </c:catAx>
      <c:valAx>
        <c:axId val="99313920"/>
        <c:scaling>
          <c:orientation val="minMax"/>
          <c:max val="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9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211342679119864"/>
          <c:y val="4.5339945479700834E-2"/>
          <c:w val="0.22338716031920167"/>
          <c:h val="0.15685972011449226"/>
        </c:manualLayout>
      </c:layout>
      <c:overlay val="1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Occlusion per </a:t>
            </a:r>
            <a:r>
              <a:rPr lang="de-DE" baseline="0"/>
              <a:t>Object and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Stats!$I$33</c:f>
              <c:strCache>
                <c:ptCount val="1"/>
                <c:pt idx="0">
                  <c:v>Average Occlusion per Object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5000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60000"/>
                      <a:lumOff val="40000"/>
                    </a:schemeClr>
                  </a:gs>
                  <a:gs pos="5000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  <a:gs pos="5000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Stats!$J$27:$L$27</c:f>
              <c:strCache>
                <c:ptCount val="3"/>
                <c:pt idx="0">
                  <c:v>Physical Object</c:v>
                </c:pt>
                <c:pt idx="1">
                  <c:v>Hybrid Object</c:v>
                </c:pt>
                <c:pt idx="2">
                  <c:v>Average</c:v>
                </c:pt>
              </c:strCache>
            </c:strRef>
          </c:cat>
          <c:val>
            <c:numRef>
              <c:f>Stats!$J$33:$L$33</c:f>
              <c:numCache>
                <c:formatCode>0.00%</c:formatCode>
                <c:ptCount val="3"/>
                <c:pt idx="0">
                  <c:v>3.2077168192188241E-2</c:v>
                </c:pt>
                <c:pt idx="1">
                  <c:v>5.1585642345814045E-2</c:v>
                </c:pt>
                <c:pt idx="2">
                  <c:v>3.8164684067929437E-2</c:v>
                </c:pt>
              </c:numCache>
            </c:numRef>
          </c:val>
        </c:ser>
        <c:ser>
          <c:idx val="0"/>
          <c:order val="0"/>
          <c:tx>
            <c:strRef>
              <c:f>Stats!$N$33</c:f>
              <c:strCache>
                <c:ptCount val="1"/>
                <c:pt idx="0">
                  <c:v>Average Occlusion over 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tx2">
                      <a:lumMod val="60000"/>
                      <a:lumOff val="40000"/>
                    </a:schemeClr>
                  </a:gs>
                  <a:gs pos="50000">
                    <a:schemeClr val="tx2"/>
                  </a:gs>
                  <a:gs pos="100000">
                    <a:schemeClr val="tx2">
                      <a:lumMod val="75000"/>
                    </a:schemeClr>
                  </a:gs>
                </a:gsLst>
                <a:lin ang="5400000" scaled="0"/>
              </a:gradFill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50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50000"/>
                    </a:schemeClr>
                  </a:gs>
                </a:gsLst>
                <a:lin ang="5400000" scaled="0"/>
              </a:gradFill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/>
                  </a:gs>
                  <a:gs pos="50000">
                    <a:schemeClr val="accent3">
                      <a:lumMod val="75000"/>
                    </a:schemeClr>
                  </a:gs>
                  <a:gs pos="100000">
                    <a:schemeClr val="accent3">
                      <a:lumMod val="50000"/>
                    </a:schemeClr>
                  </a:gs>
                </a:gsLst>
                <a:lin ang="5400000" scaled="0"/>
              </a:gradFill>
            </c:spPr>
          </c:dPt>
          <c:cat>
            <c:strRef>
              <c:f>Stats!$O$27:$Q$27</c:f>
              <c:strCache>
                <c:ptCount val="3"/>
                <c:pt idx="0">
                  <c:v>Physical Objects</c:v>
                </c:pt>
                <c:pt idx="1">
                  <c:v>Hybrid Objects</c:v>
                </c:pt>
                <c:pt idx="2">
                  <c:v>All Objects</c:v>
                </c:pt>
              </c:strCache>
            </c:strRef>
          </c:cat>
          <c:val>
            <c:numRef>
              <c:f>Stats!$O$33:$Q$33</c:f>
              <c:numCache>
                <c:formatCode>0.00%</c:formatCode>
                <c:ptCount val="3"/>
                <c:pt idx="0">
                  <c:v>0.11979643115105174</c:v>
                </c:pt>
                <c:pt idx="1">
                  <c:v>4.3823887631491615E-2</c:v>
                </c:pt>
                <c:pt idx="2">
                  <c:v>0.15485554125624504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90272"/>
        <c:axId val="97612928"/>
      </c:barChart>
      <c:catAx>
        <c:axId val="975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7612928"/>
        <c:crosses val="autoZero"/>
        <c:auto val="1"/>
        <c:lblAlgn val="ctr"/>
        <c:lblOffset val="100"/>
        <c:noMultiLvlLbl val="0"/>
      </c:catAx>
      <c:valAx>
        <c:axId val="976129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9759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923925</xdr:colOff>
      <xdr:row>31</xdr:row>
      <xdr:rowOff>180975</xdr:rowOff>
    </xdr:from>
    <xdr:to>
      <xdr:col>14</xdr:col>
      <xdr:colOff>228600</xdr:colOff>
      <xdr:row>51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823911</xdr:colOff>
      <xdr:row>36</xdr:row>
      <xdr:rowOff>33338</xdr:rowOff>
    </xdr:from>
    <xdr:to>
      <xdr:col>11</xdr:col>
      <xdr:colOff>166687</xdr:colOff>
      <xdr:row>65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20</xdr:row>
      <xdr:rowOff>128587</xdr:rowOff>
    </xdr:from>
    <xdr:to>
      <xdr:col>13</xdr:col>
      <xdr:colOff>628650</xdr:colOff>
      <xdr:row>46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35</xdr:row>
      <xdr:rowOff>185210</xdr:rowOff>
    </xdr:from>
    <xdr:to>
      <xdr:col>5</xdr:col>
      <xdr:colOff>699559</xdr:colOff>
      <xdr:row>72</xdr:row>
      <xdr:rowOff>175684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21</xdr:row>
      <xdr:rowOff>128587</xdr:rowOff>
    </xdr:from>
    <xdr:to>
      <xdr:col>4</xdr:col>
      <xdr:colOff>419099</xdr:colOff>
      <xdr:row>49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489476</xdr:colOff>
      <xdr:row>36</xdr:row>
      <xdr:rowOff>153458</xdr:rowOff>
    </xdr:from>
    <xdr:to>
      <xdr:col>6</xdr:col>
      <xdr:colOff>370151</xdr:colOff>
      <xdr:row>64</xdr:row>
      <xdr:rowOff>89960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</xdr:colOff>
      <xdr:row>51</xdr:row>
      <xdr:rowOff>119063</xdr:rowOff>
    </xdr:from>
    <xdr:to>
      <xdr:col>14</xdr:col>
      <xdr:colOff>1035844</xdr:colOff>
      <xdr:row>78</xdr:row>
      <xdr:rowOff>35719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607220</xdr:colOff>
      <xdr:row>67</xdr:row>
      <xdr:rowOff>122635</xdr:rowOff>
    </xdr:from>
    <xdr:to>
      <xdr:col>6</xdr:col>
      <xdr:colOff>440532</xdr:colOff>
      <xdr:row>95</xdr:row>
      <xdr:rowOff>71438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464345</xdr:colOff>
      <xdr:row>80</xdr:row>
      <xdr:rowOff>51194</xdr:rowOff>
    </xdr:from>
    <xdr:to>
      <xdr:col>12</xdr:col>
      <xdr:colOff>47627</xdr:colOff>
      <xdr:row>105</xdr:row>
      <xdr:rowOff>95249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702468</xdr:colOff>
      <xdr:row>80</xdr:row>
      <xdr:rowOff>170259</xdr:rowOff>
    </xdr:from>
    <xdr:to>
      <xdr:col>16</xdr:col>
      <xdr:colOff>928687</xdr:colOff>
      <xdr:row>95</xdr:row>
      <xdr:rowOff>55959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3_tab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4_tab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5_tab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80" zoomScaleNormal="80" workbookViewId="0">
      <selection activeCell="G7" sqref="G7"/>
    </sheetView>
  </sheetViews>
  <sheetFormatPr baseColWidth="10" defaultRowHeight="15" x14ac:dyDescent="0.25"/>
  <cols>
    <col min="1" max="1" width="15.85546875" customWidth="1"/>
    <col min="2" max="2" width="18.7109375" bestFit="1" customWidth="1"/>
    <col min="3" max="3" width="13.42578125" customWidth="1"/>
    <col min="4" max="4" width="18.42578125" customWidth="1"/>
    <col min="5" max="5" width="7.7109375" customWidth="1"/>
    <col min="6" max="6" width="9" customWidth="1"/>
    <col min="7" max="7" width="9.28515625" customWidth="1"/>
    <col min="8" max="8" width="14.5703125" customWidth="1"/>
    <col min="9" max="9" width="9.5703125" customWidth="1"/>
    <col min="11" max="11" width="17.85546875" customWidth="1"/>
    <col min="12" max="12" width="13.7109375" customWidth="1"/>
    <col min="13" max="13" width="16.28515625" customWidth="1"/>
    <col min="14" max="14" width="6.42578125" customWidth="1"/>
    <col min="15" max="15" width="16.140625" customWidth="1"/>
    <col min="16" max="16" width="4.42578125" customWidth="1"/>
    <col min="17" max="17" width="22.7109375" customWidth="1"/>
  </cols>
  <sheetData>
    <row r="1" spans="1:20" x14ac:dyDescent="0.25">
      <c r="A1" s="42" t="s">
        <v>58</v>
      </c>
      <c r="B1" s="29" t="s">
        <v>0</v>
      </c>
      <c r="C1" s="29" t="s">
        <v>1</v>
      </c>
      <c r="D1" s="29" t="s">
        <v>60</v>
      </c>
      <c r="E1" s="29" t="s">
        <v>2</v>
      </c>
      <c r="F1" s="29" t="s">
        <v>3</v>
      </c>
      <c r="G1" s="34" t="s">
        <v>19</v>
      </c>
      <c r="I1" s="44" t="s">
        <v>17</v>
      </c>
      <c r="J1" s="45" t="s">
        <v>18</v>
      </c>
      <c r="K1" s="45" t="s">
        <v>20</v>
      </c>
      <c r="L1" s="46" t="s">
        <v>21</v>
      </c>
      <c r="M1" s="47" t="s">
        <v>26</v>
      </c>
      <c r="N1" s="35"/>
      <c r="O1" s="48" t="s">
        <v>57</v>
      </c>
      <c r="P1" s="35"/>
      <c r="Q1" s="49" t="s">
        <v>27</v>
      </c>
      <c r="R1" s="2"/>
      <c r="S1" s="2"/>
      <c r="T1" s="2"/>
    </row>
    <row r="2" spans="1:20" ht="15.75" thickBot="1" x14ac:dyDescent="0.3">
      <c r="A2" s="55" t="s">
        <v>5</v>
      </c>
      <c r="B2" s="6">
        <v>125.1613</v>
      </c>
      <c r="C2" s="6">
        <v>5.4166999999999996</v>
      </c>
      <c r="D2" s="6">
        <v>4.6418999999999997</v>
      </c>
      <c r="E2" s="6">
        <v>160</v>
      </c>
      <c r="F2" s="6">
        <v>104</v>
      </c>
      <c r="G2" s="7">
        <f>E2*F2</f>
        <v>16640</v>
      </c>
      <c r="I2" s="10">
        <v>640</v>
      </c>
      <c r="J2" s="9">
        <v>480</v>
      </c>
      <c r="K2" s="9">
        <f>I2*J2</f>
        <v>307200</v>
      </c>
      <c r="L2" s="12">
        <f t="shared" ref="L2:L11" si="0">(G2/K2)*100</f>
        <v>5.416666666666667</v>
      </c>
      <c r="M2" s="7">
        <f>(L2*O2)/Q2</f>
        <v>4.6419516718018947</v>
      </c>
      <c r="O2" s="13">
        <f t="shared" ref="O2:O13" si="1">(B2*60)</f>
        <v>7509.6779999999999</v>
      </c>
      <c r="Q2" s="11">
        <v>8763</v>
      </c>
    </row>
    <row r="3" spans="1:20" ht="15.75" thickBot="1" x14ac:dyDescent="0.3">
      <c r="A3" s="55" t="s">
        <v>6</v>
      </c>
      <c r="B3" s="6">
        <v>6.383</v>
      </c>
      <c r="C3" s="6">
        <v>1.5938000000000001</v>
      </c>
      <c r="D3" s="6">
        <v>6.9699999999999998E-2</v>
      </c>
      <c r="E3" s="6">
        <v>96</v>
      </c>
      <c r="F3" s="6">
        <v>51</v>
      </c>
      <c r="G3" s="7">
        <f t="shared" ref="G3:G13" si="2">E3*F3</f>
        <v>4896</v>
      </c>
      <c r="I3" s="10">
        <v>640</v>
      </c>
      <c r="J3" s="9">
        <v>480</v>
      </c>
      <c r="K3" s="9">
        <f t="shared" ref="K3:K13" si="3">I3*J3</f>
        <v>307200</v>
      </c>
      <c r="L3" s="12">
        <f t="shared" si="0"/>
        <v>1.59375</v>
      </c>
      <c r="M3" s="7">
        <f>(L3*O3)/Q2</f>
        <v>6.9653586100650464E-2</v>
      </c>
      <c r="O3" s="13">
        <f t="shared" si="1"/>
        <v>382.98</v>
      </c>
    </row>
    <row r="4" spans="1:20" x14ac:dyDescent="0.25">
      <c r="A4" s="55" t="s">
        <v>7</v>
      </c>
      <c r="B4" s="6">
        <v>48.953000000000003</v>
      </c>
      <c r="C4" s="6">
        <v>2.2427999999999999</v>
      </c>
      <c r="D4" s="6">
        <v>0.75180000000000002</v>
      </c>
      <c r="E4" s="6">
        <v>106</v>
      </c>
      <c r="F4" s="6">
        <v>65</v>
      </c>
      <c r="G4" s="7">
        <f t="shared" si="2"/>
        <v>6890</v>
      </c>
      <c r="I4" s="10">
        <v>640</v>
      </c>
      <c r="J4" s="9">
        <v>480</v>
      </c>
      <c r="K4" s="9">
        <f t="shared" si="3"/>
        <v>307200</v>
      </c>
      <c r="L4" s="12">
        <f t="shared" si="0"/>
        <v>2.2428385416666665</v>
      </c>
      <c r="M4" s="7">
        <f>(L4*O4)/Q2</f>
        <v>0.75175402348653431</v>
      </c>
      <c r="O4" s="13">
        <f t="shared" si="1"/>
        <v>2937.1800000000003</v>
      </c>
      <c r="Q4" s="49" t="s">
        <v>28</v>
      </c>
    </row>
    <row r="5" spans="1:20" ht="15.75" thickBot="1" x14ac:dyDescent="0.3">
      <c r="A5" s="55" t="s">
        <v>8</v>
      </c>
      <c r="B5" s="6">
        <v>0.69930000000000003</v>
      </c>
      <c r="C5" s="6">
        <v>2.7604000000000002</v>
      </c>
      <c r="D5" s="6">
        <v>1.32E-2</v>
      </c>
      <c r="E5" s="6">
        <v>80</v>
      </c>
      <c r="F5" s="6">
        <v>106</v>
      </c>
      <c r="G5" s="7">
        <f t="shared" si="2"/>
        <v>8480</v>
      </c>
      <c r="I5" s="10">
        <v>640</v>
      </c>
      <c r="J5" s="9">
        <v>480</v>
      </c>
      <c r="K5" s="9">
        <f t="shared" si="3"/>
        <v>307200</v>
      </c>
      <c r="L5" s="12">
        <f t="shared" si="0"/>
        <v>2.7604166666666665</v>
      </c>
      <c r="M5" s="7">
        <f>(L5*O5)/Q2</f>
        <v>1.3217113146182813E-2</v>
      </c>
      <c r="O5" s="13">
        <f t="shared" si="1"/>
        <v>41.957999999999998</v>
      </c>
      <c r="Q5" s="11">
        <f>(B3+B5+B6+B7+B8+B9+B10+B11)*60</f>
        <v>24521.706000000002</v>
      </c>
    </row>
    <row r="6" spans="1:20" x14ac:dyDescent="0.25">
      <c r="A6" s="55" t="s">
        <v>9</v>
      </c>
      <c r="B6" s="6">
        <v>121.68940000000001</v>
      </c>
      <c r="C6" s="6">
        <v>1.5557000000000001</v>
      </c>
      <c r="D6" s="6">
        <v>1.2962</v>
      </c>
      <c r="E6" s="6">
        <v>81</v>
      </c>
      <c r="F6" s="6">
        <v>59</v>
      </c>
      <c r="G6" s="7">
        <f t="shared" si="2"/>
        <v>4779</v>
      </c>
      <c r="I6" s="10">
        <v>640</v>
      </c>
      <c r="J6" s="9">
        <v>480</v>
      </c>
      <c r="K6" s="9">
        <f t="shared" si="3"/>
        <v>307200</v>
      </c>
      <c r="L6" s="12">
        <f t="shared" si="0"/>
        <v>1.5556640625</v>
      </c>
      <c r="M6" s="7">
        <f>(L6*O6)/Q2</f>
        <v>1.2961850487311708</v>
      </c>
      <c r="O6" s="13">
        <f t="shared" si="1"/>
        <v>7301.3640000000005</v>
      </c>
    </row>
    <row r="7" spans="1:20" x14ac:dyDescent="0.25">
      <c r="A7" s="55" t="s">
        <v>10</v>
      </c>
      <c r="B7" s="6">
        <v>89.673199999999994</v>
      </c>
      <c r="C7" s="6">
        <v>1.4501999999999999</v>
      </c>
      <c r="D7" s="6">
        <v>0.89039999999999997</v>
      </c>
      <c r="E7" s="6">
        <v>81</v>
      </c>
      <c r="F7" s="6">
        <v>55</v>
      </c>
      <c r="G7" s="7">
        <f t="shared" si="2"/>
        <v>4455</v>
      </c>
      <c r="I7" s="10">
        <v>640</v>
      </c>
      <c r="J7" s="9">
        <v>480</v>
      </c>
      <c r="K7" s="9">
        <f t="shared" si="3"/>
        <v>307200</v>
      </c>
      <c r="L7" s="12">
        <f t="shared" si="0"/>
        <v>1.4501953125</v>
      </c>
      <c r="M7" s="7">
        <f>(L7*O7)/Q2</f>
        <v>0.89040502770883256</v>
      </c>
      <c r="O7" s="13">
        <f t="shared" si="1"/>
        <v>5380.3919999999998</v>
      </c>
    </row>
    <row r="8" spans="1:20" x14ac:dyDescent="0.25">
      <c r="A8" s="55" t="s">
        <v>11</v>
      </c>
      <c r="B8" s="6">
        <v>24.616</v>
      </c>
      <c r="C8" s="6">
        <v>2.5781000000000001</v>
      </c>
      <c r="D8" s="6">
        <v>0.4345</v>
      </c>
      <c r="E8" s="6">
        <v>88</v>
      </c>
      <c r="F8" s="6">
        <v>90</v>
      </c>
      <c r="G8" s="7">
        <f t="shared" si="2"/>
        <v>7920</v>
      </c>
      <c r="I8" s="10">
        <v>640</v>
      </c>
      <c r="J8" s="9">
        <v>480</v>
      </c>
      <c r="K8" s="9">
        <f t="shared" si="3"/>
        <v>307200</v>
      </c>
      <c r="L8" s="12">
        <f t="shared" si="0"/>
        <v>2.578125</v>
      </c>
      <c r="M8" s="7">
        <f>(L8*O8)/Q2</f>
        <v>0.43453012666894897</v>
      </c>
      <c r="O8" s="13">
        <f t="shared" si="1"/>
        <v>1476.96</v>
      </c>
    </row>
    <row r="9" spans="1:20" x14ac:dyDescent="0.25">
      <c r="A9" s="55" t="s">
        <v>12</v>
      </c>
      <c r="B9" s="6">
        <v>64.250200000000007</v>
      </c>
      <c r="C9" s="6">
        <v>1.9466000000000001</v>
      </c>
      <c r="D9" s="6">
        <v>0.85640000000000005</v>
      </c>
      <c r="E9" s="6">
        <v>92</v>
      </c>
      <c r="F9" s="6">
        <v>65</v>
      </c>
      <c r="G9" s="7">
        <f t="shared" si="2"/>
        <v>5980</v>
      </c>
      <c r="I9" s="10">
        <v>640</v>
      </c>
      <c r="J9" s="9">
        <v>480</v>
      </c>
      <c r="K9" s="9">
        <f t="shared" si="3"/>
        <v>307200</v>
      </c>
      <c r="L9" s="12">
        <f t="shared" si="0"/>
        <v>1.9466145833333333</v>
      </c>
      <c r="M9" s="7">
        <f>(L9*O9)/Q2</f>
        <v>0.8563531414041996</v>
      </c>
      <c r="O9" s="13">
        <f t="shared" si="1"/>
        <v>3855.0120000000006</v>
      </c>
    </row>
    <row r="10" spans="1:20" x14ac:dyDescent="0.25">
      <c r="A10" s="55" t="s">
        <v>13</v>
      </c>
      <c r="B10" s="6">
        <v>4.0641999999999996</v>
      </c>
      <c r="C10" s="6">
        <v>5.4199000000000002</v>
      </c>
      <c r="D10" s="6">
        <v>0.15079999999999999</v>
      </c>
      <c r="E10" s="6">
        <v>90</v>
      </c>
      <c r="F10" s="6">
        <v>185</v>
      </c>
      <c r="G10" s="7">
        <f t="shared" si="2"/>
        <v>16650</v>
      </c>
      <c r="I10" s="10">
        <v>640</v>
      </c>
      <c r="J10" s="9">
        <v>480</v>
      </c>
      <c r="K10" s="9">
        <f t="shared" si="3"/>
        <v>307200</v>
      </c>
      <c r="L10" s="12">
        <f t="shared" si="0"/>
        <v>5.419921875</v>
      </c>
      <c r="M10" s="7">
        <f>(L10*O10)/Q2</f>
        <v>0.15082263940003421</v>
      </c>
      <c r="O10" s="13">
        <f t="shared" si="1"/>
        <v>243.85199999999998</v>
      </c>
    </row>
    <row r="11" spans="1:20" x14ac:dyDescent="0.25">
      <c r="A11" s="55" t="s">
        <v>14</v>
      </c>
      <c r="B11" s="6">
        <v>97.319800000000001</v>
      </c>
      <c r="C11" s="6">
        <v>4.5591999999999997</v>
      </c>
      <c r="D11" s="6">
        <v>3.0379999999999998</v>
      </c>
      <c r="E11" s="6">
        <v>149</v>
      </c>
      <c r="F11" s="6">
        <v>94</v>
      </c>
      <c r="G11" s="7">
        <f t="shared" si="2"/>
        <v>14006</v>
      </c>
      <c r="I11" s="10">
        <v>640</v>
      </c>
      <c r="J11" s="9">
        <v>480</v>
      </c>
      <c r="K11" s="9">
        <f t="shared" si="3"/>
        <v>307200</v>
      </c>
      <c r="L11" s="12">
        <f t="shared" si="0"/>
        <v>4.559244791666667</v>
      </c>
      <c r="M11" s="7">
        <f>(L11*O11)/Q2</f>
        <v>3.0380334904213742</v>
      </c>
      <c r="O11" s="13">
        <f t="shared" si="1"/>
        <v>5839.1880000000001</v>
      </c>
    </row>
    <row r="12" spans="1:20" x14ac:dyDescent="0.25">
      <c r="A12" s="80" t="s">
        <v>73</v>
      </c>
      <c r="B12" s="98">
        <v>51.0869</v>
      </c>
      <c r="C12" s="98">
        <f>AVERAGE(C3,C5:C11)</f>
        <v>2.7329875000000001</v>
      </c>
      <c r="D12" s="98">
        <f>SUM(D3,D5:D11)</f>
        <v>6.7491999999999992</v>
      </c>
      <c r="E12" s="98">
        <v>94</v>
      </c>
      <c r="F12" s="98">
        <v>88</v>
      </c>
      <c r="G12" s="102">
        <f t="shared" si="2"/>
        <v>8272</v>
      </c>
      <c r="H12" s="39"/>
      <c r="I12" s="103">
        <v>640</v>
      </c>
      <c r="J12" s="104">
        <v>480</v>
      </c>
      <c r="K12" s="104">
        <f t="shared" si="3"/>
        <v>307200</v>
      </c>
      <c r="L12" s="105">
        <f>AVERAGE(L3,L5:L11)</f>
        <v>2.7329915364583335</v>
      </c>
      <c r="M12" s="102">
        <f>(M3+M5+M6+M7+M8+M9+M10+M11)</f>
        <v>6.7492001735813938</v>
      </c>
      <c r="N12" s="98"/>
      <c r="O12" s="106">
        <f t="shared" si="1"/>
        <v>3065.2139999999999</v>
      </c>
    </row>
    <row r="13" spans="1:20" x14ac:dyDescent="0.25">
      <c r="A13" s="56" t="s">
        <v>75</v>
      </c>
      <c r="B13" s="76">
        <v>87.057199999999995</v>
      </c>
      <c r="C13" s="76">
        <f>AVERAGE(C2,C4)</f>
        <v>3.8297499999999998</v>
      </c>
      <c r="D13" s="76">
        <f>SUM(D2,D4)</f>
        <v>5.3936999999999999</v>
      </c>
      <c r="E13" s="76">
        <v>133</v>
      </c>
      <c r="F13" s="76">
        <v>84</v>
      </c>
      <c r="G13" s="75">
        <f t="shared" si="2"/>
        <v>11172</v>
      </c>
      <c r="H13" s="8"/>
      <c r="I13" s="77">
        <v>640</v>
      </c>
      <c r="J13" s="78">
        <v>480</v>
      </c>
      <c r="K13" s="78">
        <f t="shared" si="3"/>
        <v>307200</v>
      </c>
      <c r="L13" s="67">
        <f>AVERAGE(L2,L4)</f>
        <v>3.829752604166667</v>
      </c>
      <c r="M13" s="75">
        <f>(M2+M4)</f>
        <v>5.3937056952884292</v>
      </c>
      <c r="N13" s="76"/>
      <c r="O13" s="79">
        <f t="shared" si="1"/>
        <v>5223.4319999999998</v>
      </c>
    </row>
    <row r="14" spans="1:20" x14ac:dyDescent="0.25">
      <c r="E14" s="1"/>
      <c r="F14" s="1"/>
      <c r="G14" s="1"/>
      <c r="I14" s="3"/>
      <c r="J14" s="3"/>
      <c r="K14" s="3"/>
      <c r="L14" s="4"/>
    </row>
    <row r="15" spans="1:20" x14ac:dyDescent="0.25">
      <c r="E15" s="1"/>
      <c r="F15" s="1"/>
      <c r="G15" s="1"/>
    </row>
    <row r="16" spans="1:20" x14ac:dyDescent="0.25">
      <c r="B16" s="87" t="s">
        <v>111</v>
      </c>
      <c r="E16" s="72" t="s">
        <v>106</v>
      </c>
      <c r="F16" s="73" t="s">
        <v>107</v>
      </c>
      <c r="G16" s="71"/>
      <c r="H16" s="37" t="s">
        <v>4</v>
      </c>
      <c r="I16" s="44" t="s">
        <v>22</v>
      </c>
      <c r="J16" s="45" t="s">
        <v>23</v>
      </c>
      <c r="K16" s="45" t="s">
        <v>24</v>
      </c>
      <c r="L16" s="46" t="s">
        <v>25</v>
      </c>
      <c r="M16" s="47" t="s">
        <v>29</v>
      </c>
      <c r="O16" s="43" t="s">
        <v>59</v>
      </c>
    </row>
    <row r="17" spans="2:15" x14ac:dyDescent="0.25">
      <c r="B17" s="108">
        <f>O2/Q2 * 100</f>
        <v>85.697569325573426</v>
      </c>
      <c r="E17" s="5">
        <f>(E2)/6.1</f>
        <v>26.229508196721312</v>
      </c>
      <c r="F17" s="5">
        <f>(F2)/6.1</f>
        <v>17.049180327868854</v>
      </c>
      <c r="H17" s="5" t="s">
        <v>5</v>
      </c>
      <c r="I17" s="10">
        <v>640</v>
      </c>
      <c r="J17" s="9">
        <v>365.7</v>
      </c>
      <c r="K17" s="9">
        <f>I17*J17</f>
        <v>234048</v>
      </c>
      <c r="L17" s="12">
        <f t="shared" ref="L17:L26" si="4">(G2/K17)*100</f>
        <v>7.1096527208094065</v>
      </c>
      <c r="M17" s="7">
        <f>(L17*O2)/Q2</f>
        <v>6.0927995692231587</v>
      </c>
    </row>
    <row r="18" spans="2:15" x14ac:dyDescent="0.25">
      <c r="B18" s="108">
        <f>O3/Q2* 100</f>
        <v>4.3704210886682642</v>
      </c>
      <c r="E18" s="5">
        <f t="shared" ref="E18:F26" si="5">(E3)/6.1</f>
        <v>15.737704918032788</v>
      </c>
      <c r="F18" s="5">
        <f t="shared" si="5"/>
        <v>8.3606557377049189</v>
      </c>
      <c r="H18" s="5" t="s">
        <v>6</v>
      </c>
      <c r="I18" s="10">
        <v>640</v>
      </c>
      <c r="J18" s="9">
        <v>365.7</v>
      </c>
      <c r="K18" s="9">
        <f t="shared" ref="K18:K28" si="6">I18*J18</f>
        <v>234048</v>
      </c>
      <c r="L18" s="12">
        <f t="shared" si="4"/>
        <v>2.0918785890073828</v>
      </c>
      <c r="M18" s="7">
        <f>(L18*O3)/Q2</f>
        <v>9.1423903003314794E-2</v>
      </c>
    </row>
    <row r="19" spans="2:15" x14ac:dyDescent="0.25">
      <c r="B19" s="108">
        <f>O4/Q2* 100</f>
        <v>33.517973296816159</v>
      </c>
      <c r="E19" s="5">
        <f t="shared" si="5"/>
        <v>17.377049180327869</v>
      </c>
      <c r="F19" s="5">
        <f t="shared" si="5"/>
        <v>10.655737704918034</v>
      </c>
      <c r="H19" s="5" t="s">
        <v>7</v>
      </c>
      <c r="I19" s="10">
        <v>640</v>
      </c>
      <c r="J19" s="9">
        <v>365.7</v>
      </c>
      <c r="K19" s="9">
        <f t="shared" si="6"/>
        <v>234048</v>
      </c>
      <c r="L19" s="12">
        <f t="shared" si="4"/>
        <v>2.943840579710145</v>
      </c>
      <c r="M19" s="7">
        <f>(L19*O4)/Q2</f>
        <v>0.98671569940808446</v>
      </c>
    </row>
    <row r="20" spans="2:15" x14ac:dyDescent="0.25">
      <c r="B20" s="108">
        <f>O5/Q2* 100</f>
        <v>0.47880862718247175</v>
      </c>
      <c r="E20" s="5">
        <f t="shared" si="5"/>
        <v>13.114754098360656</v>
      </c>
      <c r="F20" s="5">
        <f t="shared" si="5"/>
        <v>17.377049180327869</v>
      </c>
      <c r="H20" s="5" t="s">
        <v>8</v>
      </c>
      <c r="I20" s="10">
        <v>640</v>
      </c>
      <c r="J20" s="9">
        <v>365.7</v>
      </c>
      <c r="K20" s="9">
        <f t="shared" si="6"/>
        <v>234048</v>
      </c>
      <c r="L20" s="12">
        <f t="shared" si="4"/>
        <v>3.6231884057971016</v>
      </c>
      <c r="M20" s="7">
        <f>(L20*O5)/Q2</f>
        <v>1.7348138666031587E-2</v>
      </c>
    </row>
    <row r="21" spans="2:15" x14ac:dyDescent="0.25">
      <c r="B21" s="108">
        <f>O6/Q2* 100</f>
        <v>83.320369736391655</v>
      </c>
      <c r="E21" s="5">
        <f t="shared" si="5"/>
        <v>13.278688524590164</v>
      </c>
      <c r="F21" s="5">
        <f t="shared" si="5"/>
        <v>9.6721311475409841</v>
      </c>
      <c r="H21" s="5" t="s">
        <v>9</v>
      </c>
      <c r="I21" s="10">
        <v>640</v>
      </c>
      <c r="J21" s="9">
        <v>365.7</v>
      </c>
      <c r="K21" s="9">
        <f t="shared" si="6"/>
        <v>234048</v>
      </c>
      <c r="L21" s="12">
        <f t="shared" si="4"/>
        <v>2.041888843314192</v>
      </c>
      <c r="M21" s="7">
        <f>(L21*O6)/Q2</f>
        <v>1.7013093338555156</v>
      </c>
    </row>
    <row r="22" spans="2:15" x14ac:dyDescent="0.25">
      <c r="B22" s="108">
        <f>O7/Q2* 100</f>
        <v>61.398972954467645</v>
      </c>
      <c r="E22" s="5">
        <f t="shared" si="5"/>
        <v>13.278688524590164</v>
      </c>
      <c r="F22" s="5">
        <f t="shared" si="5"/>
        <v>9.0163934426229506</v>
      </c>
      <c r="H22" s="5" t="s">
        <v>10</v>
      </c>
      <c r="I22" s="10">
        <v>640</v>
      </c>
      <c r="J22" s="9">
        <v>365.7</v>
      </c>
      <c r="K22" s="9">
        <f t="shared" si="6"/>
        <v>234048</v>
      </c>
      <c r="L22" s="12">
        <f t="shared" si="4"/>
        <v>1.9034557013945859</v>
      </c>
      <c r="M22" s="7">
        <f>(L22*O7)/Q2</f>
        <v>1.1687022512995342</v>
      </c>
    </row>
    <row r="23" spans="2:15" x14ac:dyDescent="0.25">
      <c r="B23" s="108">
        <f>O8/Q2* 100</f>
        <v>16.854501882916807</v>
      </c>
      <c r="E23" s="5">
        <f t="shared" si="5"/>
        <v>14.426229508196721</v>
      </c>
      <c r="F23" s="5">
        <f t="shared" si="5"/>
        <v>14.754098360655739</v>
      </c>
      <c r="H23" s="5" t="s">
        <v>11</v>
      </c>
      <c r="I23" s="10">
        <v>640</v>
      </c>
      <c r="J23" s="9">
        <v>365.7</v>
      </c>
      <c r="K23" s="9">
        <f t="shared" si="6"/>
        <v>234048</v>
      </c>
      <c r="L23" s="12">
        <f t="shared" si="4"/>
        <v>3.3839212469237081</v>
      </c>
      <c r="M23" s="7">
        <f>(L23*O8)/Q2</f>
        <v>0.57034307027917841</v>
      </c>
    </row>
    <row r="24" spans="2:15" x14ac:dyDescent="0.25">
      <c r="B24" s="108">
        <f>O9/Q2* 100</f>
        <v>43.991920575145507</v>
      </c>
      <c r="E24" s="5">
        <f t="shared" si="5"/>
        <v>15.081967213114755</v>
      </c>
      <c r="F24" s="5">
        <f t="shared" si="5"/>
        <v>10.655737704918034</v>
      </c>
      <c r="H24" s="5" t="s">
        <v>12</v>
      </c>
      <c r="I24" s="10">
        <v>640</v>
      </c>
      <c r="J24" s="9">
        <v>365.7</v>
      </c>
      <c r="K24" s="9">
        <f t="shared" si="6"/>
        <v>234048</v>
      </c>
      <c r="L24" s="12">
        <f t="shared" si="4"/>
        <v>2.5550314465408808</v>
      </c>
      <c r="M24" s="7">
        <f>(L24*O9)/Q2</f>
        <v>1.1240074046322555</v>
      </c>
    </row>
    <row r="25" spans="2:15" x14ac:dyDescent="0.25">
      <c r="B25" s="108">
        <f>O10/Q2* 100</f>
        <v>2.7827456350564872</v>
      </c>
      <c r="E25" s="5">
        <f t="shared" si="5"/>
        <v>14.754098360655739</v>
      </c>
      <c r="F25" s="5">
        <f t="shared" si="5"/>
        <v>30.327868852459019</v>
      </c>
      <c r="H25" s="5" t="s">
        <v>13</v>
      </c>
      <c r="I25" s="10">
        <v>640</v>
      </c>
      <c r="J25" s="9">
        <v>365.7</v>
      </c>
      <c r="K25" s="9">
        <f t="shared" si="6"/>
        <v>234048</v>
      </c>
      <c r="L25" s="12">
        <f t="shared" si="4"/>
        <v>7.1139253486464309</v>
      </c>
      <c r="M25" s="7">
        <f>(L25*O10)/Q2</f>
        <v>0.19796244712063554</v>
      </c>
    </row>
    <row r="26" spans="2:15" x14ac:dyDescent="0.25">
      <c r="B26" s="108">
        <f>O11/Q2* 100</f>
        <v>66.634577199589188</v>
      </c>
      <c r="E26" s="5">
        <f t="shared" si="5"/>
        <v>24.426229508196723</v>
      </c>
      <c r="F26" s="5">
        <f t="shared" si="5"/>
        <v>15.409836065573771</v>
      </c>
      <c r="H26" s="5" t="s">
        <v>14</v>
      </c>
      <c r="I26" s="10">
        <v>640</v>
      </c>
      <c r="J26" s="9">
        <v>365.7</v>
      </c>
      <c r="K26" s="9">
        <f t="shared" si="6"/>
        <v>234048</v>
      </c>
      <c r="L26" s="12">
        <f t="shared" si="4"/>
        <v>5.9842425485370523</v>
      </c>
      <c r="M26" s="7">
        <f>(L26*O11)/Q2</f>
        <v>3.9875747208155849</v>
      </c>
    </row>
    <row r="27" spans="2:15" x14ac:dyDescent="0.25">
      <c r="B27" s="80">
        <f>O12/Q2* 100</f>
        <v>34.979048271140016</v>
      </c>
      <c r="C27" s="39"/>
      <c r="D27" s="39"/>
      <c r="E27" s="5">
        <f t="shared" ref="E27:F27" si="7">(E12)/6.1</f>
        <v>15.409836065573771</v>
      </c>
      <c r="F27" s="5">
        <f t="shared" si="7"/>
        <v>14.426229508196721</v>
      </c>
      <c r="G27" s="39"/>
      <c r="H27" s="107" t="s">
        <v>15</v>
      </c>
      <c r="I27" s="10">
        <v>640</v>
      </c>
      <c r="J27" s="9">
        <v>365.7</v>
      </c>
      <c r="K27" s="104">
        <f t="shared" si="6"/>
        <v>234048</v>
      </c>
      <c r="L27" s="105">
        <f>AVERAGE(L18,L20,L21,L22,L23,L24,L25,L26)</f>
        <v>3.5871915162701669</v>
      </c>
      <c r="M27" s="102">
        <f>SUM(M20:M26,M18)</f>
        <v>8.8586712696720511</v>
      </c>
      <c r="O27">
        <f>(B3+B5+B6+B7+B8+B9+B10+B11)</f>
        <v>408.69510000000002</v>
      </c>
    </row>
    <row r="28" spans="2:15" x14ac:dyDescent="0.25">
      <c r="B28" s="56">
        <f>O13/Q2* 100</f>
        <v>59.607805546045881</v>
      </c>
      <c r="C28" s="8"/>
      <c r="D28" s="8"/>
      <c r="E28" s="5">
        <f t="shared" ref="E28:F28" si="8">(E13)/6.1</f>
        <v>21.803278688524593</v>
      </c>
      <c r="F28" s="5">
        <f t="shared" si="8"/>
        <v>13.77049180327869</v>
      </c>
      <c r="G28" s="8"/>
      <c r="H28" s="74" t="s">
        <v>16</v>
      </c>
      <c r="I28" s="10">
        <v>640</v>
      </c>
      <c r="J28" s="9">
        <v>365.7</v>
      </c>
      <c r="K28" s="78">
        <f t="shared" si="6"/>
        <v>234048</v>
      </c>
      <c r="L28" s="67">
        <f>AVERAGE(L17,L19)</f>
        <v>5.026746650259776</v>
      </c>
      <c r="M28" s="75">
        <f>SUM(M17,M19)</f>
        <v>7.0795152686312433</v>
      </c>
      <c r="O28">
        <f>(B2+B4)</f>
        <v>174.11430000000001</v>
      </c>
    </row>
    <row r="29" spans="2:15" x14ac:dyDescent="0.25">
      <c r="O29">
        <f>SUM(B2:B11)</f>
        <v>582.80939999999998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80" zoomScaleNormal="80" workbookViewId="0">
      <selection activeCell="A35" sqref="A35"/>
    </sheetView>
  </sheetViews>
  <sheetFormatPr baseColWidth="10" defaultRowHeight="15" x14ac:dyDescent="0.25"/>
  <cols>
    <col min="1" max="1" width="16.140625" customWidth="1"/>
    <col min="2" max="2" width="20.5703125" customWidth="1"/>
    <col min="3" max="3" width="15.42578125" customWidth="1"/>
    <col min="4" max="4" width="19.5703125" customWidth="1"/>
    <col min="5" max="5" width="9.140625" customWidth="1"/>
    <col min="6" max="6" width="8.5703125" customWidth="1"/>
  </cols>
  <sheetData>
    <row r="1" spans="1:17" x14ac:dyDescent="0.25">
      <c r="A1" s="26" t="s">
        <v>58</v>
      </c>
      <c r="B1" s="29" t="s">
        <v>0</v>
      </c>
      <c r="C1" s="30" t="s">
        <v>1</v>
      </c>
      <c r="D1" s="31" t="s">
        <v>60</v>
      </c>
      <c r="E1" s="30" t="s">
        <v>2</v>
      </c>
      <c r="F1" s="32" t="s">
        <v>3</v>
      </c>
      <c r="G1" s="33" t="s">
        <v>19</v>
      </c>
      <c r="H1" s="43" t="s">
        <v>106</v>
      </c>
      <c r="I1" s="43" t="s">
        <v>107</v>
      </c>
      <c r="K1" s="29" t="s">
        <v>22</v>
      </c>
      <c r="L1" s="29" t="s">
        <v>23</v>
      </c>
      <c r="M1" s="29" t="s">
        <v>24</v>
      </c>
      <c r="N1" s="29" t="s">
        <v>25</v>
      </c>
      <c r="O1" s="63" t="s">
        <v>120</v>
      </c>
      <c r="P1" s="63" t="s">
        <v>121</v>
      </c>
      <c r="Q1" s="34"/>
    </row>
    <row r="2" spans="1:17" x14ac:dyDescent="0.25">
      <c r="A2" s="27" t="s">
        <v>30</v>
      </c>
      <c r="B2" s="18">
        <v>507.866666667</v>
      </c>
      <c r="C2" s="22">
        <v>2.1796875</v>
      </c>
      <c r="D2" s="23">
        <v>2.1796875</v>
      </c>
      <c r="E2" s="22">
        <v>93</v>
      </c>
      <c r="F2" s="19">
        <v>72</v>
      </c>
      <c r="G2" s="23">
        <f>E2*F2</f>
        <v>6696</v>
      </c>
      <c r="H2">
        <f>(E2/6.1)</f>
        <v>15.245901639344263</v>
      </c>
      <c r="I2">
        <f>(F2/6.1)</f>
        <v>11.803278688524591</v>
      </c>
      <c r="K2" s="19">
        <v>630</v>
      </c>
      <c r="L2" s="19">
        <v>360</v>
      </c>
      <c r="M2" s="19">
        <f>K2*L2</f>
        <v>226800</v>
      </c>
      <c r="N2" s="19">
        <f t="shared" ref="N2:N28" si="0">(G2/M2)*100</f>
        <v>2.9523809523809526</v>
      </c>
      <c r="O2" s="14">
        <f>B2 *60</f>
        <v>30472.000000020002</v>
      </c>
      <c r="P2" s="14">
        <f>(N2*O2)/A33</f>
        <v>2.9523809523828901</v>
      </c>
      <c r="Q2" s="20"/>
    </row>
    <row r="3" spans="1:17" x14ac:dyDescent="0.25">
      <c r="A3" s="27" t="s">
        <v>31</v>
      </c>
      <c r="B3" s="21">
        <v>507.63933333300002</v>
      </c>
      <c r="C3" s="24">
        <v>2.03125</v>
      </c>
      <c r="D3" s="25">
        <v>2.0303407636499999</v>
      </c>
      <c r="E3" s="24">
        <v>80</v>
      </c>
      <c r="F3" s="14">
        <v>78</v>
      </c>
      <c r="G3" s="25">
        <f t="shared" ref="G3:G30" si="1">E3*F3</f>
        <v>6240</v>
      </c>
      <c r="H3">
        <f>(E3/6.1)</f>
        <v>13.114754098360656</v>
      </c>
      <c r="I3">
        <f>(F3/6.1)</f>
        <v>12.78688524590164</v>
      </c>
      <c r="K3" s="14">
        <v>630</v>
      </c>
      <c r="L3" s="14">
        <v>360</v>
      </c>
      <c r="M3" s="14">
        <f t="shared" ref="M3:M30" si="2">K3*L3</f>
        <v>226800</v>
      </c>
      <c r="N3" s="14">
        <f t="shared" si="0"/>
        <v>2.7513227513227512</v>
      </c>
      <c r="O3" s="14">
        <f t="shared" ref="O3:O30" si="3">B3 *60</f>
        <v>30458.359999980003</v>
      </c>
      <c r="P3" s="14">
        <f t="shared" ref="P3:P28" si="4">(N3*O3)/A34</f>
        <v>2.7500911930928007</v>
      </c>
      <c r="Q3" s="15"/>
    </row>
    <row r="4" spans="1:17" x14ac:dyDescent="0.25">
      <c r="A4" s="27" t="s">
        <v>32</v>
      </c>
      <c r="B4" s="21">
        <v>507.76511666699997</v>
      </c>
      <c r="C4" s="24">
        <v>0.50455729166700003</v>
      </c>
      <c r="D4" s="25">
        <v>0.50445640338999997</v>
      </c>
      <c r="E4" s="24">
        <v>31</v>
      </c>
      <c r="F4" s="14">
        <v>50</v>
      </c>
      <c r="G4" s="25">
        <f t="shared" si="1"/>
        <v>1550</v>
      </c>
      <c r="H4">
        <f t="shared" ref="H4:H30" si="5">(E4/6.1)</f>
        <v>5.081967213114754</v>
      </c>
      <c r="I4">
        <f t="shared" ref="I4:I30" si="6">(F4/6.1)</f>
        <v>8.1967213114754109</v>
      </c>
      <c r="K4" s="14">
        <v>630</v>
      </c>
      <c r="L4" s="14">
        <v>360</v>
      </c>
      <c r="M4" s="14">
        <f t="shared" si="2"/>
        <v>226800</v>
      </c>
      <c r="N4" s="14">
        <f t="shared" si="0"/>
        <v>0.68342151675485008</v>
      </c>
      <c r="O4" s="14">
        <f t="shared" si="3"/>
        <v>30465.907000019997</v>
      </c>
      <c r="P4" s="14">
        <f t="shared" si="4"/>
        <v>0.68328486385094089</v>
      </c>
      <c r="Q4" s="15"/>
    </row>
    <row r="5" spans="1:17" x14ac:dyDescent="0.25">
      <c r="A5" s="27" t="s">
        <v>33</v>
      </c>
      <c r="B5" s="21">
        <v>444.06666666699999</v>
      </c>
      <c r="C5" s="24">
        <v>3.0833333333300001</v>
      </c>
      <c r="D5" s="25">
        <v>2.69599413669</v>
      </c>
      <c r="E5" s="24">
        <v>148</v>
      </c>
      <c r="F5" s="14">
        <v>64</v>
      </c>
      <c r="G5" s="25">
        <f t="shared" si="1"/>
        <v>9472</v>
      </c>
      <c r="H5">
        <f t="shared" si="5"/>
        <v>24.262295081967213</v>
      </c>
      <c r="I5">
        <f t="shared" si="6"/>
        <v>10.491803278688526</v>
      </c>
      <c r="K5" s="14">
        <v>630</v>
      </c>
      <c r="L5" s="14">
        <v>360</v>
      </c>
      <c r="M5" s="14">
        <f t="shared" si="2"/>
        <v>226800</v>
      </c>
      <c r="N5" s="14">
        <f t="shared" si="0"/>
        <v>4.1763668430335095</v>
      </c>
      <c r="O5" s="14">
        <f t="shared" si="3"/>
        <v>26644.000000019998</v>
      </c>
      <c r="P5" s="14">
        <f t="shared" si="4"/>
        <v>3.6517169258948656</v>
      </c>
      <c r="Q5" s="15"/>
    </row>
    <row r="6" spans="1:17" x14ac:dyDescent="0.25">
      <c r="A6" s="27" t="s">
        <v>34</v>
      </c>
      <c r="B6" s="21">
        <v>5.29318333333</v>
      </c>
      <c r="C6" s="24">
        <v>0.29166666666699997</v>
      </c>
      <c r="D6" s="25">
        <v>3.0398630983600001E-3</v>
      </c>
      <c r="E6" s="24">
        <v>28</v>
      </c>
      <c r="F6" s="14">
        <v>32</v>
      </c>
      <c r="G6" s="25">
        <f t="shared" si="1"/>
        <v>896</v>
      </c>
      <c r="H6">
        <f t="shared" si="5"/>
        <v>4.5901639344262302</v>
      </c>
      <c r="I6">
        <f t="shared" si="6"/>
        <v>5.2459016393442628</v>
      </c>
      <c r="K6" s="14">
        <v>630</v>
      </c>
      <c r="L6" s="14">
        <v>360</v>
      </c>
      <c r="M6" s="14">
        <f t="shared" si="2"/>
        <v>226800</v>
      </c>
      <c r="N6" s="14">
        <f t="shared" si="0"/>
        <v>0.39506172839506176</v>
      </c>
      <c r="O6" s="14">
        <f t="shared" si="3"/>
        <v>317.59099999979998</v>
      </c>
      <c r="P6" s="14">
        <f t="shared" si="4"/>
        <v>4.117486524764933E-3</v>
      </c>
      <c r="Q6" s="15"/>
    </row>
    <row r="7" spans="1:17" x14ac:dyDescent="0.25">
      <c r="A7" s="27" t="s">
        <v>35</v>
      </c>
      <c r="B7" s="21">
        <v>420.89833333299998</v>
      </c>
      <c r="C7" s="24">
        <v>2.158203125</v>
      </c>
      <c r="D7" s="25">
        <v>1.78862712977</v>
      </c>
      <c r="E7" s="24">
        <v>78</v>
      </c>
      <c r="F7" s="14">
        <v>85</v>
      </c>
      <c r="G7" s="25">
        <f t="shared" si="1"/>
        <v>6630</v>
      </c>
      <c r="H7">
        <f t="shared" si="5"/>
        <v>12.78688524590164</v>
      </c>
      <c r="I7">
        <f t="shared" si="6"/>
        <v>13.934426229508198</v>
      </c>
      <c r="K7" s="14">
        <v>630</v>
      </c>
      <c r="L7" s="14">
        <v>360</v>
      </c>
      <c r="M7" s="14">
        <f t="shared" si="2"/>
        <v>226800</v>
      </c>
      <c r="N7" s="14">
        <f t="shared" si="0"/>
        <v>2.9232804232804233</v>
      </c>
      <c r="O7" s="14">
        <f t="shared" si="3"/>
        <v>25253.89999998</v>
      </c>
      <c r="P7" s="14">
        <f t="shared" si="4"/>
        <v>2.4226907154575681</v>
      </c>
      <c r="Q7" s="15"/>
    </row>
    <row r="8" spans="1:17" x14ac:dyDescent="0.25">
      <c r="A8" s="27" t="s">
        <v>36</v>
      </c>
      <c r="B8" s="21">
        <v>53.453000000000003</v>
      </c>
      <c r="C8" s="24">
        <v>3.1901041666699999</v>
      </c>
      <c r="D8" s="25">
        <v>0.33575867292099998</v>
      </c>
      <c r="E8" s="24">
        <v>98</v>
      </c>
      <c r="F8" s="14">
        <v>100</v>
      </c>
      <c r="G8" s="25">
        <f t="shared" si="1"/>
        <v>9800</v>
      </c>
      <c r="H8">
        <f t="shared" si="5"/>
        <v>16.065573770491802</v>
      </c>
      <c r="I8">
        <f t="shared" si="6"/>
        <v>16.393442622950822</v>
      </c>
      <c r="K8" s="14">
        <v>630</v>
      </c>
      <c r="L8" s="14">
        <v>360</v>
      </c>
      <c r="M8" s="14">
        <f t="shared" si="2"/>
        <v>226800</v>
      </c>
      <c r="N8" s="14">
        <f t="shared" si="0"/>
        <v>4.3209876543209873</v>
      </c>
      <c r="O8" s="14">
        <f t="shared" si="3"/>
        <v>3207.1800000000003</v>
      </c>
      <c r="P8" s="14">
        <f t="shared" si="4"/>
        <v>0.45478423422109432</v>
      </c>
      <c r="Q8" s="15"/>
    </row>
    <row r="9" spans="1:17" x14ac:dyDescent="0.25">
      <c r="A9" s="27" t="s">
        <v>37</v>
      </c>
      <c r="B9" s="21">
        <v>5.6529666666700003</v>
      </c>
      <c r="C9" s="24">
        <v>4.53125</v>
      </c>
      <c r="D9" s="25">
        <v>5.0436476519400003E-2</v>
      </c>
      <c r="E9" s="24">
        <v>120</v>
      </c>
      <c r="F9" s="14">
        <v>116</v>
      </c>
      <c r="G9" s="25">
        <f t="shared" si="1"/>
        <v>13920</v>
      </c>
      <c r="H9">
        <f t="shared" si="5"/>
        <v>19.672131147540984</v>
      </c>
      <c r="I9">
        <f t="shared" si="6"/>
        <v>19.016393442622952</v>
      </c>
      <c r="K9" s="14">
        <v>630</v>
      </c>
      <c r="L9" s="14">
        <v>360</v>
      </c>
      <c r="M9" s="14">
        <f t="shared" si="2"/>
        <v>226800</v>
      </c>
      <c r="N9" s="14">
        <f t="shared" si="0"/>
        <v>6.1375661375661377</v>
      </c>
      <c r="O9" s="14">
        <f t="shared" si="3"/>
        <v>339.17800000020003</v>
      </c>
      <c r="P9" s="14">
        <f t="shared" si="4"/>
        <v>6.8316074015772998E-2</v>
      </c>
      <c r="Q9" s="15"/>
    </row>
    <row r="10" spans="1:17" x14ac:dyDescent="0.25">
      <c r="A10" s="27" t="s">
        <v>38</v>
      </c>
      <c r="B10" s="21">
        <v>66.163933333299994</v>
      </c>
      <c r="C10" s="24">
        <v>0.229166666667</v>
      </c>
      <c r="D10" s="25">
        <v>2.9855410978399999E-2</v>
      </c>
      <c r="E10" s="24">
        <v>88</v>
      </c>
      <c r="F10" s="14">
        <v>8</v>
      </c>
      <c r="G10" s="25">
        <f t="shared" si="1"/>
        <v>704</v>
      </c>
      <c r="H10">
        <f t="shared" si="5"/>
        <v>14.426229508196721</v>
      </c>
      <c r="I10">
        <f t="shared" si="6"/>
        <v>1.3114754098360657</v>
      </c>
      <c r="K10" s="14">
        <v>630</v>
      </c>
      <c r="L10" s="14">
        <v>360</v>
      </c>
      <c r="M10" s="14">
        <f t="shared" si="2"/>
        <v>226800</v>
      </c>
      <c r="N10" s="14">
        <f t="shared" si="0"/>
        <v>0.31040564373897706</v>
      </c>
      <c r="O10" s="14">
        <f t="shared" si="3"/>
        <v>3969.8359999979998</v>
      </c>
      <c r="P10" s="14">
        <f t="shared" si="4"/>
        <v>4.0439075187632741E-2</v>
      </c>
      <c r="Q10" s="15"/>
    </row>
    <row r="11" spans="1:17" x14ac:dyDescent="0.25">
      <c r="A11" s="27" t="s">
        <v>39</v>
      </c>
      <c r="B11" s="21">
        <v>48.318350000000002</v>
      </c>
      <c r="C11" s="24">
        <v>1.9765625</v>
      </c>
      <c r="D11" s="25">
        <v>0.18804982673599999</v>
      </c>
      <c r="E11" s="24">
        <v>92</v>
      </c>
      <c r="F11" s="14">
        <v>66</v>
      </c>
      <c r="G11" s="25">
        <f t="shared" si="1"/>
        <v>6072</v>
      </c>
      <c r="H11">
        <f t="shared" si="5"/>
        <v>15.081967213114755</v>
      </c>
      <c r="I11">
        <f t="shared" si="6"/>
        <v>10.819672131147541</v>
      </c>
      <c r="K11" s="14">
        <v>630</v>
      </c>
      <c r="L11" s="14">
        <v>360</v>
      </c>
      <c r="M11" s="14">
        <f t="shared" si="2"/>
        <v>226800</v>
      </c>
      <c r="N11" s="14">
        <f t="shared" si="0"/>
        <v>2.6772486772486772</v>
      </c>
      <c r="O11" s="14">
        <f t="shared" si="3"/>
        <v>2899.1010000000001</v>
      </c>
      <c r="P11" s="14">
        <f t="shared" si="4"/>
        <v>0.25471299282818055</v>
      </c>
      <c r="Q11" s="15"/>
    </row>
    <row r="12" spans="1:17" x14ac:dyDescent="0.25">
      <c r="A12" s="27" t="s">
        <v>40</v>
      </c>
      <c r="B12" s="21">
        <v>2</v>
      </c>
      <c r="C12" s="24">
        <v>0.67708333333299997</v>
      </c>
      <c r="D12" s="25">
        <v>2.66638225256E-3</v>
      </c>
      <c r="E12" s="24">
        <v>40</v>
      </c>
      <c r="F12" s="14">
        <v>52</v>
      </c>
      <c r="G12" s="25">
        <f t="shared" si="1"/>
        <v>2080</v>
      </c>
      <c r="H12">
        <f t="shared" si="5"/>
        <v>6.557377049180328</v>
      </c>
      <c r="I12">
        <f t="shared" si="6"/>
        <v>8.5245901639344268</v>
      </c>
      <c r="K12" s="14">
        <v>630</v>
      </c>
      <c r="L12" s="14">
        <v>360</v>
      </c>
      <c r="M12" s="14">
        <f t="shared" si="2"/>
        <v>226800</v>
      </c>
      <c r="N12" s="14">
        <f t="shared" si="0"/>
        <v>0.9171075837742505</v>
      </c>
      <c r="O12" s="14">
        <f t="shared" si="3"/>
        <v>120</v>
      </c>
      <c r="P12" s="14">
        <f t="shared" si="4"/>
        <v>3.6116077071708477E-3</v>
      </c>
      <c r="Q12" s="15"/>
    </row>
    <row r="13" spans="1:17" x14ac:dyDescent="0.25">
      <c r="A13" s="27" t="s">
        <v>41</v>
      </c>
      <c r="B13" s="21">
        <v>347.95</v>
      </c>
      <c r="C13" s="24">
        <v>1.3541666666700001</v>
      </c>
      <c r="D13" s="25">
        <v>0.92776770477799997</v>
      </c>
      <c r="E13" s="24">
        <v>80</v>
      </c>
      <c r="F13" s="14">
        <v>52</v>
      </c>
      <c r="G13" s="25">
        <f t="shared" si="1"/>
        <v>4160</v>
      </c>
      <c r="H13">
        <f t="shared" si="5"/>
        <v>13.114754098360656</v>
      </c>
      <c r="I13">
        <f t="shared" si="6"/>
        <v>8.5245901639344268</v>
      </c>
      <c r="K13" s="14">
        <v>630</v>
      </c>
      <c r="L13" s="14">
        <v>360</v>
      </c>
      <c r="M13" s="14">
        <f t="shared" si="2"/>
        <v>226800</v>
      </c>
      <c r="N13" s="14">
        <f t="shared" si="0"/>
        <v>1.834215167548501</v>
      </c>
      <c r="O13" s="14">
        <f t="shared" si="3"/>
        <v>20877</v>
      </c>
      <c r="P13" s="14">
        <f t="shared" si="4"/>
        <v>1.2566589017100962</v>
      </c>
      <c r="Q13" s="15"/>
    </row>
    <row r="14" spans="1:17" x14ac:dyDescent="0.25">
      <c r="A14" s="27" t="s">
        <v>42</v>
      </c>
      <c r="B14" s="21">
        <v>475.38204999999999</v>
      </c>
      <c r="C14" s="24">
        <v>2.26953125</v>
      </c>
      <c r="D14" s="25">
        <v>2.1243654860099999</v>
      </c>
      <c r="E14" s="24">
        <v>83</v>
      </c>
      <c r="F14" s="14">
        <v>84</v>
      </c>
      <c r="G14" s="25">
        <f t="shared" si="1"/>
        <v>6972</v>
      </c>
      <c r="H14">
        <f t="shared" si="5"/>
        <v>13.606557377049182</v>
      </c>
      <c r="I14">
        <f t="shared" si="6"/>
        <v>13.77049180327869</v>
      </c>
      <c r="K14" s="14">
        <v>630</v>
      </c>
      <c r="L14" s="14">
        <v>360</v>
      </c>
      <c r="M14" s="14">
        <f t="shared" si="2"/>
        <v>226800</v>
      </c>
      <c r="N14" s="14">
        <f t="shared" si="0"/>
        <v>3.0740740740740744</v>
      </c>
      <c r="O14" s="14">
        <f t="shared" si="3"/>
        <v>28522.922999999999</v>
      </c>
      <c r="P14" s="14">
        <f t="shared" si="4"/>
        <v>2.8774474307925675</v>
      </c>
      <c r="Q14" s="15"/>
    </row>
    <row r="15" spans="1:17" x14ac:dyDescent="0.25">
      <c r="A15" s="27" t="s">
        <v>43</v>
      </c>
      <c r="B15" s="21">
        <v>231.716666667</v>
      </c>
      <c r="C15" s="24">
        <v>0.83854166666700003</v>
      </c>
      <c r="D15" s="25">
        <v>0.38258876318099999</v>
      </c>
      <c r="E15" s="24">
        <v>23</v>
      </c>
      <c r="F15" s="14">
        <v>112</v>
      </c>
      <c r="G15" s="25">
        <f t="shared" si="1"/>
        <v>2576</v>
      </c>
      <c r="H15">
        <f t="shared" si="5"/>
        <v>3.7704918032786887</v>
      </c>
      <c r="I15">
        <f t="shared" si="6"/>
        <v>18.360655737704921</v>
      </c>
      <c r="K15" s="14">
        <v>630</v>
      </c>
      <c r="L15" s="14">
        <v>360</v>
      </c>
      <c r="M15" s="14">
        <f t="shared" si="2"/>
        <v>226800</v>
      </c>
      <c r="N15" s="14">
        <f t="shared" si="0"/>
        <v>1.1358024691358024</v>
      </c>
      <c r="O15" s="14">
        <f t="shared" si="3"/>
        <v>13903.00000002</v>
      </c>
      <c r="P15" s="14">
        <f t="shared" si="4"/>
        <v>0.51821546759050197</v>
      </c>
      <c r="Q15" s="15"/>
    </row>
    <row r="16" spans="1:17" x14ac:dyDescent="0.25">
      <c r="A16" s="27" t="s">
        <v>44</v>
      </c>
      <c r="B16" s="21">
        <v>40.483333333300003</v>
      </c>
      <c r="C16" s="24">
        <v>1.1510416666700001</v>
      </c>
      <c r="D16" s="25">
        <v>9.1752435295800003E-2</v>
      </c>
      <c r="E16" s="24">
        <v>68</v>
      </c>
      <c r="F16" s="14">
        <v>52</v>
      </c>
      <c r="G16" s="25">
        <f t="shared" si="1"/>
        <v>3536</v>
      </c>
      <c r="H16">
        <f t="shared" si="5"/>
        <v>11.147540983606557</v>
      </c>
      <c r="I16">
        <f t="shared" si="6"/>
        <v>8.5245901639344268</v>
      </c>
      <c r="K16" s="14">
        <v>630</v>
      </c>
      <c r="L16" s="14">
        <v>360</v>
      </c>
      <c r="M16" s="14">
        <f t="shared" si="2"/>
        <v>226800</v>
      </c>
      <c r="N16" s="14">
        <f t="shared" si="0"/>
        <v>1.5590828924162259</v>
      </c>
      <c r="O16" s="14">
        <f t="shared" si="3"/>
        <v>2428.999999998</v>
      </c>
      <c r="P16" s="14">
        <f t="shared" si="4"/>
        <v>0.12427843087673585</v>
      </c>
      <c r="Q16" s="15"/>
    </row>
    <row r="17" spans="1:17" x14ac:dyDescent="0.25">
      <c r="A17" s="27" t="s">
        <v>45</v>
      </c>
      <c r="B17" s="21">
        <v>5.25</v>
      </c>
      <c r="C17" s="24">
        <v>0.227864583333</v>
      </c>
      <c r="D17" s="25">
        <v>2.35551797552E-3</v>
      </c>
      <c r="E17" s="24">
        <v>28</v>
      </c>
      <c r="F17" s="14">
        <v>25</v>
      </c>
      <c r="G17" s="25">
        <f t="shared" si="1"/>
        <v>700</v>
      </c>
      <c r="H17">
        <f t="shared" si="5"/>
        <v>4.5901639344262302</v>
      </c>
      <c r="I17">
        <f t="shared" si="6"/>
        <v>4.0983606557377055</v>
      </c>
      <c r="K17" s="14">
        <v>630</v>
      </c>
      <c r="L17" s="14">
        <v>360</v>
      </c>
      <c r="M17" s="14">
        <f t="shared" si="2"/>
        <v>226800</v>
      </c>
      <c r="N17" s="14">
        <f t="shared" si="0"/>
        <v>0.30864197530864196</v>
      </c>
      <c r="O17" s="14">
        <f t="shared" si="3"/>
        <v>315</v>
      </c>
      <c r="P17" s="14">
        <f t="shared" si="4"/>
        <v>3.1905428663107842E-3</v>
      </c>
      <c r="Q17" s="15"/>
    </row>
    <row r="18" spans="1:17" x14ac:dyDescent="0.25">
      <c r="A18" s="27" t="s">
        <v>46</v>
      </c>
      <c r="B18" s="21">
        <v>1.45</v>
      </c>
      <c r="C18" s="24">
        <v>0.150390625</v>
      </c>
      <c r="D18" s="25">
        <v>4.2937727667999998E-4</v>
      </c>
      <c r="E18" s="24">
        <v>21</v>
      </c>
      <c r="F18" s="14">
        <v>22</v>
      </c>
      <c r="G18" s="25">
        <f t="shared" si="1"/>
        <v>462</v>
      </c>
      <c r="H18">
        <f t="shared" si="5"/>
        <v>3.4426229508196724</v>
      </c>
      <c r="I18">
        <f t="shared" si="6"/>
        <v>3.6065573770491803</v>
      </c>
      <c r="K18" s="14">
        <v>630</v>
      </c>
      <c r="L18" s="14">
        <v>360</v>
      </c>
      <c r="M18" s="14">
        <f t="shared" si="2"/>
        <v>226800</v>
      </c>
      <c r="N18" s="14">
        <f t="shared" si="0"/>
        <v>0.20370370370370369</v>
      </c>
      <c r="O18" s="14">
        <f t="shared" si="3"/>
        <v>87</v>
      </c>
      <c r="P18" s="14">
        <f t="shared" si="4"/>
        <v>5.8159038534465158E-4</v>
      </c>
      <c r="Q18" s="15"/>
    </row>
    <row r="19" spans="1:17" x14ac:dyDescent="0.25">
      <c r="A19" s="27" t="s">
        <v>47</v>
      </c>
      <c r="B19" s="21">
        <v>60.659583333299999</v>
      </c>
      <c r="C19" s="24">
        <v>0.15625</v>
      </c>
      <c r="D19" s="25">
        <v>1.86624965132E-2</v>
      </c>
      <c r="E19" s="24">
        <v>8</v>
      </c>
      <c r="F19" s="14">
        <v>60</v>
      </c>
      <c r="G19" s="25">
        <f t="shared" si="1"/>
        <v>480</v>
      </c>
      <c r="H19">
        <f t="shared" si="5"/>
        <v>1.3114754098360657</v>
      </c>
      <c r="I19">
        <f t="shared" si="6"/>
        <v>9.8360655737704921</v>
      </c>
      <c r="K19" s="14">
        <v>630</v>
      </c>
      <c r="L19" s="14">
        <v>360</v>
      </c>
      <c r="M19" s="14">
        <f t="shared" si="2"/>
        <v>226800</v>
      </c>
      <c r="N19" s="14">
        <f t="shared" si="0"/>
        <v>0.21164021164021166</v>
      </c>
      <c r="O19" s="14">
        <f t="shared" si="3"/>
        <v>3639.5749999979998</v>
      </c>
      <c r="P19" s="14">
        <f t="shared" si="4"/>
        <v>2.5278302155421373E-2</v>
      </c>
      <c r="Q19" s="15"/>
    </row>
    <row r="20" spans="1:17" x14ac:dyDescent="0.25">
      <c r="A20" s="27" t="s">
        <v>48</v>
      </c>
      <c r="B20" s="21">
        <v>78.389083333299993</v>
      </c>
      <c r="C20" s="24">
        <v>2.564453125</v>
      </c>
      <c r="D20" s="25">
        <v>0.39582264975100001</v>
      </c>
      <c r="E20" s="24">
        <v>101</v>
      </c>
      <c r="F20" s="14">
        <v>78</v>
      </c>
      <c r="G20" s="25">
        <f t="shared" si="1"/>
        <v>7878</v>
      </c>
      <c r="H20">
        <f t="shared" si="5"/>
        <v>16.557377049180328</v>
      </c>
      <c r="I20">
        <f t="shared" si="6"/>
        <v>12.78688524590164</v>
      </c>
      <c r="K20" s="14">
        <v>630</v>
      </c>
      <c r="L20" s="14">
        <v>360</v>
      </c>
      <c r="M20" s="14">
        <f t="shared" si="2"/>
        <v>226800</v>
      </c>
      <c r="N20" s="14">
        <f t="shared" si="0"/>
        <v>3.4735449735449739</v>
      </c>
      <c r="O20" s="14">
        <f t="shared" si="3"/>
        <v>4703.3449999979994</v>
      </c>
      <c r="P20" s="14">
        <f t="shared" si="4"/>
        <v>0.53614073193721901</v>
      </c>
      <c r="Q20" s="15"/>
    </row>
    <row r="21" spans="1:17" x14ac:dyDescent="0.25">
      <c r="A21" s="27" t="s">
        <v>49</v>
      </c>
      <c r="B21" s="21">
        <v>56.266666666699997</v>
      </c>
      <c r="C21" s="24">
        <v>1.09375</v>
      </c>
      <c r="D21" s="25">
        <v>0.12117681806199999</v>
      </c>
      <c r="E21" s="24">
        <v>140</v>
      </c>
      <c r="F21" s="14">
        <v>24</v>
      </c>
      <c r="G21" s="25">
        <f t="shared" si="1"/>
        <v>3360</v>
      </c>
      <c r="H21">
        <f t="shared" si="5"/>
        <v>22.95081967213115</v>
      </c>
      <c r="I21">
        <f t="shared" si="6"/>
        <v>3.9344262295081971</v>
      </c>
      <c r="K21" s="14">
        <v>630</v>
      </c>
      <c r="L21" s="14">
        <v>360</v>
      </c>
      <c r="M21" s="14">
        <f t="shared" si="2"/>
        <v>226800</v>
      </c>
      <c r="N21" s="14">
        <f t="shared" si="0"/>
        <v>1.4814814814814816</v>
      </c>
      <c r="O21" s="14">
        <f t="shared" si="3"/>
        <v>3376.000000002</v>
      </c>
      <c r="P21" s="14">
        <f t="shared" si="4"/>
        <v>0.16413367949213853</v>
      </c>
      <c r="Q21" s="15"/>
    </row>
    <row r="22" spans="1:17" x14ac:dyDescent="0.25">
      <c r="A22" s="27" t="s">
        <v>50</v>
      </c>
      <c r="B22" s="21">
        <v>16.666666666699999</v>
      </c>
      <c r="C22" s="24">
        <v>1.6822916666700001</v>
      </c>
      <c r="D22" s="25">
        <v>5.5207786383099998E-2</v>
      </c>
      <c r="E22" s="24">
        <v>76</v>
      </c>
      <c r="F22" s="14">
        <v>68</v>
      </c>
      <c r="G22" s="25">
        <f t="shared" si="1"/>
        <v>5168</v>
      </c>
      <c r="H22">
        <f t="shared" si="5"/>
        <v>12.459016393442624</v>
      </c>
      <c r="I22">
        <f t="shared" si="6"/>
        <v>11.147540983606557</v>
      </c>
      <c r="K22" s="14">
        <v>630</v>
      </c>
      <c r="L22" s="14">
        <v>360</v>
      </c>
      <c r="M22" s="14">
        <f t="shared" si="2"/>
        <v>226800</v>
      </c>
      <c r="N22" s="14">
        <f t="shared" si="0"/>
        <v>2.2786596119929454</v>
      </c>
      <c r="O22" s="14">
        <f t="shared" si="3"/>
        <v>1000.000000002</v>
      </c>
      <c r="P22" s="14">
        <f t="shared" si="4"/>
        <v>7.4778800603751083E-2</v>
      </c>
      <c r="Q22" s="15"/>
    </row>
    <row r="23" spans="1:17" x14ac:dyDescent="0.25">
      <c r="A23" s="27" t="s">
        <v>51</v>
      </c>
      <c r="B23" s="21">
        <v>85.35</v>
      </c>
      <c r="C23" s="24">
        <v>0.93587239583299997</v>
      </c>
      <c r="D23" s="25">
        <v>0.15727889666100001</v>
      </c>
      <c r="E23" s="24">
        <v>25</v>
      </c>
      <c r="F23" s="14">
        <v>115</v>
      </c>
      <c r="G23" s="25">
        <f t="shared" si="1"/>
        <v>2875</v>
      </c>
      <c r="H23">
        <f t="shared" si="5"/>
        <v>4.0983606557377055</v>
      </c>
      <c r="I23">
        <f t="shared" si="6"/>
        <v>18.852459016393443</v>
      </c>
      <c r="K23" s="14">
        <v>630</v>
      </c>
      <c r="L23" s="14">
        <v>360</v>
      </c>
      <c r="M23" s="14">
        <f t="shared" si="2"/>
        <v>226800</v>
      </c>
      <c r="N23" s="14">
        <f t="shared" si="0"/>
        <v>1.2676366843033509</v>
      </c>
      <c r="O23" s="14">
        <f t="shared" si="3"/>
        <v>5121</v>
      </c>
      <c r="P23" s="14">
        <f t="shared" si="4"/>
        <v>0.21303384944596546</v>
      </c>
      <c r="Q23" s="15"/>
    </row>
    <row r="24" spans="1:17" x14ac:dyDescent="0.25">
      <c r="A24" s="27" t="s">
        <v>52</v>
      </c>
      <c r="B24" s="21">
        <v>6.2</v>
      </c>
      <c r="C24" s="24">
        <v>0.365234375</v>
      </c>
      <c r="D24" s="25">
        <v>4.4587551686799997E-3</v>
      </c>
      <c r="E24" s="24">
        <v>34</v>
      </c>
      <c r="F24" s="14">
        <v>33</v>
      </c>
      <c r="G24" s="25">
        <f t="shared" si="1"/>
        <v>1122</v>
      </c>
      <c r="H24">
        <f t="shared" si="5"/>
        <v>5.5737704918032787</v>
      </c>
      <c r="I24">
        <f t="shared" si="6"/>
        <v>5.4098360655737707</v>
      </c>
      <c r="K24" s="14">
        <v>630</v>
      </c>
      <c r="L24" s="14">
        <v>360</v>
      </c>
      <c r="M24" s="14">
        <f t="shared" si="2"/>
        <v>226800</v>
      </c>
      <c r="N24" s="14">
        <f t="shared" si="0"/>
        <v>0.49470899470899471</v>
      </c>
      <c r="O24" s="14">
        <f t="shared" si="3"/>
        <v>372</v>
      </c>
      <c r="P24" s="14">
        <f t="shared" si="4"/>
        <v>6.0393720803277118E-3</v>
      </c>
      <c r="Q24" s="15"/>
    </row>
    <row r="25" spans="1:17" x14ac:dyDescent="0.25">
      <c r="A25" s="27" t="s">
        <v>53</v>
      </c>
      <c r="B25" s="21">
        <v>3.1</v>
      </c>
      <c r="C25" s="24">
        <v>0.3125</v>
      </c>
      <c r="D25" s="25">
        <v>1.9074888422200001E-3</v>
      </c>
      <c r="E25" s="24">
        <v>32</v>
      </c>
      <c r="F25" s="14">
        <v>30</v>
      </c>
      <c r="G25" s="25">
        <f t="shared" si="1"/>
        <v>960</v>
      </c>
      <c r="H25">
        <f t="shared" si="5"/>
        <v>5.2459016393442628</v>
      </c>
      <c r="I25">
        <f t="shared" si="6"/>
        <v>4.918032786885246</v>
      </c>
      <c r="K25" s="14">
        <v>630</v>
      </c>
      <c r="L25" s="14">
        <v>360</v>
      </c>
      <c r="M25" s="14">
        <f t="shared" si="2"/>
        <v>226800</v>
      </c>
      <c r="N25" s="14">
        <f t="shared" si="0"/>
        <v>0.42328042328042331</v>
      </c>
      <c r="O25" s="14">
        <f t="shared" si="3"/>
        <v>186</v>
      </c>
      <c r="P25" s="14">
        <f t="shared" si="4"/>
        <v>2.5836885905145294E-3</v>
      </c>
      <c r="Q25" s="15"/>
    </row>
    <row r="26" spans="1:17" x14ac:dyDescent="0.25">
      <c r="A26" s="27" t="s">
        <v>54</v>
      </c>
      <c r="B26" s="21">
        <v>9.6999999999999993</v>
      </c>
      <c r="C26" s="24">
        <v>1.4632161458299999</v>
      </c>
      <c r="D26" s="25">
        <v>2.7946698506000001E-2</v>
      </c>
      <c r="E26" s="24">
        <v>155</v>
      </c>
      <c r="F26" s="14">
        <v>29</v>
      </c>
      <c r="G26" s="25">
        <f t="shared" si="1"/>
        <v>4495</v>
      </c>
      <c r="H26">
        <f t="shared" si="5"/>
        <v>25.409836065573771</v>
      </c>
      <c r="I26">
        <f t="shared" si="6"/>
        <v>4.7540983606557381</v>
      </c>
      <c r="K26" s="14">
        <v>630</v>
      </c>
      <c r="L26" s="14">
        <v>360</v>
      </c>
      <c r="M26" s="14">
        <f t="shared" si="2"/>
        <v>226800</v>
      </c>
      <c r="N26" s="14">
        <f t="shared" si="0"/>
        <v>1.9819223985890655</v>
      </c>
      <c r="O26" s="14">
        <f t="shared" si="3"/>
        <v>582</v>
      </c>
      <c r="P26" s="14">
        <f t="shared" si="4"/>
        <v>3.7853729193319641E-2</v>
      </c>
      <c r="Q26" s="15"/>
    </row>
    <row r="27" spans="1:17" x14ac:dyDescent="0.25">
      <c r="A27" s="27" t="s">
        <v>55</v>
      </c>
      <c r="B27" s="21">
        <v>176.937216667</v>
      </c>
      <c r="C27" s="24">
        <v>0.25520833333300003</v>
      </c>
      <c r="D27" s="25">
        <v>8.8912809471299994E-2</v>
      </c>
      <c r="E27" s="24">
        <v>28</v>
      </c>
      <c r="F27" s="14">
        <v>28</v>
      </c>
      <c r="G27" s="25">
        <f t="shared" si="1"/>
        <v>784</v>
      </c>
      <c r="H27">
        <f t="shared" si="5"/>
        <v>4.5901639344262302</v>
      </c>
      <c r="I27">
        <f t="shared" si="6"/>
        <v>4.5901639344262302</v>
      </c>
      <c r="K27" s="14">
        <v>630</v>
      </c>
      <c r="L27" s="14">
        <v>360</v>
      </c>
      <c r="M27" s="14">
        <f t="shared" si="2"/>
        <v>226800</v>
      </c>
      <c r="N27" s="14">
        <f t="shared" si="0"/>
        <v>0.34567901234567905</v>
      </c>
      <c r="O27" s="14">
        <f t="shared" si="3"/>
        <v>10616.23300002</v>
      </c>
      <c r="P27" s="14">
        <f t="shared" si="4"/>
        <v>0.12043216520998026</v>
      </c>
      <c r="Q27" s="15"/>
    </row>
    <row r="28" spans="1:17" x14ac:dyDescent="0.25">
      <c r="A28" s="27" t="s">
        <v>56</v>
      </c>
      <c r="B28" s="21">
        <v>16.083333333300001</v>
      </c>
      <c r="C28" s="24">
        <v>6.26953125</v>
      </c>
      <c r="D28" s="25">
        <v>0.19854612943899999</v>
      </c>
      <c r="E28" s="24">
        <v>180</v>
      </c>
      <c r="F28" s="14">
        <v>107</v>
      </c>
      <c r="G28" s="25">
        <f t="shared" si="1"/>
        <v>19260</v>
      </c>
      <c r="H28">
        <f t="shared" si="5"/>
        <v>29.508196721311478</v>
      </c>
      <c r="I28">
        <f t="shared" si="6"/>
        <v>17.540983606557379</v>
      </c>
      <c r="K28" s="14">
        <v>630</v>
      </c>
      <c r="L28" s="14">
        <v>360</v>
      </c>
      <c r="M28" s="14">
        <f t="shared" si="2"/>
        <v>226800</v>
      </c>
      <c r="N28" s="14">
        <f t="shared" si="0"/>
        <v>8.4920634920634921</v>
      </c>
      <c r="O28" s="14">
        <f t="shared" si="3"/>
        <v>964.99999999800002</v>
      </c>
      <c r="P28" s="14">
        <f t="shared" si="4"/>
        <v>0.26893020706958148</v>
      </c>
      <c r="Q28" s="15"/>
    </row>
    <row r="29" spans="1:17" x14ac:dyDescent="0.25">
      <c r="A29" s="93" t="s">
        <v>73</v>
      </c>
      <c r="B29" s="94">
        <v>154.84082036999999</v>
      </c>
      <c r="C29" s="95">
        <f>AVERAGE(C2:C27)</f>
        <v>1.372045272436154</v>
      </c>
      <c r="D29" s="96">
        <f>SUM(D2:D27)</f>
        <v>14.209546249881214</v>
      </c>
      <c r="E29" s="95">
        <v>69</v>
      </c>
      <c r="F29" s="97">
        <v>59</v>
      </c>
      <c r="G29" s="96">
        <f>E29*F29</f>
        <v>4071</v>
      </c>
      <c r="H29">
        <f t="shared" si="5"/>
        <v>11.311475409836067</v>
      </c>
      <c r="I29">
        <f t="shared" si="6"/>
        <v>9.6721311475409841</v>
      </c>
      <c r="J29" s="98"/>
      <c r="K29" s="97">
        <v>630</v>
      </c>
      <c r="L29" s="97">
        <v>360</v>
      </c>
      <c r="M29" s="97">
        <f t="shared" si="2"/>
        <v>226800</v>
      </c>
      <c r="N29" s="97">
        <f>AVERAGE(N2:N27)</f>
        <v>1.8584316917650245</v>
      </c>
      <c r="O29" s="97">
        <f t="shared" si="3"/>
        <v>9290.449222199999</v>
      </c>
      <c r="P29" s="99">
        <f>SUM(P2:P27)</f>
        <v>19.246792804093875</v>
      </c>
      <c r="Q29" s="99"/>
    </row>
    <row r="30" spans="1:17" x14ac:dyDescent="0.25">
      <c r="A30" s="28" t="s">
        <v>74</v>
      </c>
      <c r="B30" s="90">
        <v>16.083333333300001</v>
      </c>
      <c r="C30" s="100">
        <v>6.26953125</v>
      </c>
      <c r="D30" s="101">
        <v>0.19854612943899999</v>
      </c>
      <c r="E30" s="100">
        <v>180</v>
      </c>
      <c r="F30" s="91">
        <v>107</v>
      </c>
      <c r="G30" s="101">
        <f t="shared" si="1"/>
        <v>19260</v>
      </c>
      <c r="H30">
        <f t="shared" si="5"/>
        <v>29.508196721311478</v>
      </c>
      <c r="I30">
        <f t="shared" si="6"/>
        <v>17.540983606557379</v>
      </c>
      <c r="J30" s="76"/>
      <c r="K30" s="91">
        <v>630</v>
      </c>
      <c r="L30" s="91">
        <v>360</v>
      </c>
      <c r="M30" s="91">
        <f t="shared" si="2"/>
        <v>226800</v>
      </c>
      <c r="N30" s="91">
        <f>AVERAGE(N28)</f>
        <v>8.4920634920634921</v>
      </c>
      <c r="O30" s="91">
        <f t="shared" si="3"/>
        <v>964.99999999800002</v>
      </c>
      <c r="P30" s="92">
        <f>SUM(P28)</f>
        <v>0.26893020706958148</v>
      </c>
      <c r="Q30" s="92"/>
    </row>
    <row r="31" spans="1:17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25">
      <c r="A32" s="106" t="s">
        <v>119</v>
      </c>
      <c r="B32" s="17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3" x14ac:dyDescent="0.25">
      <c r="A33" s="109">
        <v>30472</v>
      </c>
      <c r="B33" s="9"/>
      <c r="C33" s="9"/>
    </row>
    <row r="34" spans="1:3" x14ac:dyDescent="0.25">
      <c r="A34" s="109">
        <v>30472</v>
      </c>
    </row>
    <row r="35" spans="1:3" x14ac:dyDescent="0.25">
      <c r="A35" s="109">
        <v>30472</v>
      </c>
    </row>
    <row r="36" spans="1:3" x14ac:dyDescent="0.25">
      <c r="A36" s="109">
        <v>30472</v>
      </c>
    </row>
    <row r="37" spans="1:3" x14ac:dyDescent="0.25">
      <c r="A37" s="109">
        <v>30472</v>
      </c>
    </row>
    <row r="38" spans="1:3" x14ac:dyDescent="0.25">
      <c r="A38" s="109">
        <v>30472</v>
      </c>
    </row>
    <row r="39" spans="1:3" x14ac:dyDescent="0.25">
      <c r="A39" s="109">
        <v>30472</v>
      </c>
    </row>
    <row r="40" spans="1:3" x14ac:dyDescent="0.25">
      <c r="A40" s="109">
        <v>30472</v>
      </c>
    </row>
    <row r="41" spans="1:3" x14ac:dyDescent="0.25">
      <c r="A41" s="109">
        <v>30472</v>
      </c>
    </row>
    <row r="42" spans="1:3" x14ac:dyDescent="0.25">
      <c r="A42" s="109">
        <v>30472</v>
      </c>
    </row>
    <row r="43" spans="1:3" x14ac:dyDescent="0.25">
      <c r="A43" s="109">
        <v>30472</v>
      </c>
    </row>
    <row r="44" spans="1:3" x14ac:dyDescent="0.25">
      <c r="A44" s="109">
        <v>30472</v>
      </c>
    </row>
    <row r="45" spans="1:3" x14ac:dyDescent="0.25">
      <c r="A45" s="109">
        <v>30472</v>
      </c>
    </row>
    <row r="46" spans="1:3" x14ac:dyDescent="0.25">
      <c r="A46" s="109">
        <v>30472</v>
      </c>
    </row>
    <row r="47" spans="1:3" x14ac:dyDescent="0.25">
      <c r="A47" s="109">
        <v>30472</v>
      </c>
    </row>
    <row r="48" spans="1:3" x14ac:dyDescent="0.25">
      <c r="A48" s="109">
        <v>30472</v>
      </c>
    </row>
    <row r="49" spans="1:1" x14ac:dyDescent="0.25">
      <c r="A49" s="109">
        <v>30472</v>
      </c>
    </row>
    <row r="50" spans="1:1" x14ac:dyDescent="0.25">
      <c r="A50" s="109">
        <v>30472</v>
      </c>
    </row>
    <row r="51" spans="1:1" x14ac:dyDescent="0.25">
      <c r="A51" s="109">
        <v>30472</v>
      </c>
    </row>
    <row r="52" spans="1:1" x14ac:dyDescent="0.25">
      <c r="A52" s="109">
        <v>30472</v>
      </c>
    </row>
    <row r="53" spans="1:1" x14ac:dyDescent="0.25">
      <c r="A53" s="109">
        <v>30472</v>
      </c>
    </row>
    <row r="54" spans="1:1" x14ac:dyDescent="0.25">
      <c r="A54" s="109">
        <v>30472</v>
      </c>
    </row>
    <row r="55" spans="1:1" x14ac:dyDescent="0.25">
      <c r="A55" s="109">
        <v>30472</v>
      </c>
    </row>
    <row r="56" spans="1:1" x14ac:dyDescent="0.25">
      <c r="A56" s="109">
        <v>30472</v>
      </c>
    </row>
    <row r="57" spans="1:1" x14ac:dyDescent="0.25">
      <c r="A57" s="109">
        <v>30472</v>
      </c>
    </row>
    <row r="58" spans="1:1" x14ac:dyDescent="0.25">
      <c r="A58" s="109">
        <v>30472</v>
      </c>
    </row>
    <row r="59" spans="1:1" x14ac:dyDescent="0.25">
      <c r="A59" s="109">
        <v>30472</v>
      </c>
    </row>
    <row r="60" spans="1:1" x14ac:dyDescent="0.25">
      <c r="A60" s="109">
        <v>30472</v>
      </c>
    </row>
    <row r="61" spans="1:1" x14ac:dyDescent="0.25">
      <c r="A61" s="109">
        <v>30472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90" zoomScaleNormal="90" workbookViewId="0">
      <selection activeCell="G6" sqref="G6"/>
    </sheetView>
  </sheetViews>
  <sheetFormatPr baseColWidth="10" defaultRowHeight="15" x14ac:dyDescent="0.25"/>
  <cols>
    <col min="1" max="1" width="16.85546875" customWidth="1"/>
    <col min="2" max="2" width="20.42578125" customWidth="1"/>
    <col min="4" max="4" width="17.85546875" customWidth="1"/>
    <col min="5" max="5" width="8.5703125" customWidth="1"/>
    <col min="6" max="6" width="8" customWidth="1"/>
    <col min="7" max="7" width="9.42578125" customWidth="1"/>
    <col min="10" max="10" width="8.85546875" customWidth="1"/>
    <col min="11" max="11" width="9.42578125" customWidth="1"/>
    <col min="12" max="12" width="10.28515625" customWidth="1"/>
  </cols>
  <sheetData>
    <row r="1" spans="1:17" x14ac:dyDescent="0.25">
      <c r="A1" s="81" t="s">
        <v>58</v>
      </c>
      <c r="B1" s="68" t="s">
        <v>0</v>
      </c>
      <c r="C1" s="68" t="s">
        <v>1</v>
      </c>
      <c r="D1" s="68" t="s">
        <v>60</v>
      </c>
      <c r="E1" s="68" t="s">
        <v>2</v>
      </c>
      <c r="F1" s="68" t="s">
        <v>3</v>
      </c>
      <c r="G1" s="68" t="s">
        <v>122</v>
      </c>
      <c r="H1" s="68" t="s">
        <v>106</v>
      </c>
      <c r="I1" s="68" t="s">
        <v>107</v>
      </c>
      <c r="J1" s="29" t="s">
        <v>22</v>
      </c>
      <c r="K1" s="29" t="s">
        <v>23</v>
      </c>
      <c r="L1" s="29" t="s">
        <v>24</v>
      </c>
      <c r="M1" s="70" t="s">
        <v>123</v>
      </c>
      <c r="N1" s="70" t="s">
        <v>120</v>
      </c>
      <c r="O1" s="70" t="s">
        <v>121</v>
      </c>
      <c r="P1" s="70"/>
      <c r="Q1" s="70"/>
    </row>
    <row r="2" spans="1:17" x14ac:dyDescent="0.25">
      <c r="A2" s="57" t="s">
        <v>31</v>
      </c>
      <c r="B2" s="40">
        <v>100.866666667</v>
      </c>
      <c r="C2" s="40">
        <v>2.8151041666699999</v>
      </c>
      <c r="D2" s="40">
        <v>2.8151041666699999</v>
      </c>
      <c r="E2" s="40">
        <v>94</v>
      </c>
      <c r="F2" s="40">
        <v>92</v>
      </c>
      <c r="G2" s="6">
        <f>E2*F2</f>
        <v>8648</v>
      </c>
      <c r="H2" s="6">
        <f>E2/6.1</f>
        <v>15.409836065573771</v>
      </c>
      <c r="I2" s="6">
        <f>F2/6.1</f>
        <v>15.081967213114755</v>
      </c>
      <c r="J2" s="19">
        <v>630</v>
      </c>
      <c r="K2" s="19">
        <v>360</v>
      </c>
      <c r="L2" s="19">
        <f>J2*K2</f>
        <v>226800</v>
      </c>
      <c r="M2" s="6">
        <f>(G2/L2)*100</f>
        <v>3.8130511463844794</v>
      </c>
      <c r="N2" s="6">
        <f>B2*60</f>
        <v>6052.0000000199998</v>
      </c>
      <c r="O2" s="6">
        <f>M2*N2/6052</f>
        <v>3.81305114639708</v>
      </c>
      <c r="P2" s="6"/>
      <c r="Q2" s="6"/>
    </row>
    <row r="3" spans="1:17" x14ac:dyDescent="0.25">
      <c r="A3" s="58" t="s">
        <v>32</v>
      </c>
      <c r="B3" s="40">
        <v>46.183333333299998</v>
      </c>
      <c r="C3" s="40">
        <v>0.724609375</v>
      </c>
      <c r="D3" s="40">
        <v>0.33177339361000002</v>
      </c>
      <c r="E3" s="40">
        <v>42</v>
      </c>
      <c r="F3" s="40">
        <v>53</v>
      </c>
      <c r="G3" s="6">
        <f t="shared" ref="G3:G19" si="0">E3*F3</f>
        <v>2226</v>
      </c>
      <c r="H3" s="6">
        <f t="shared" ref="H3:H18" si="1">E3/6.1</f>
        <v>6.8852459016393448</v>
      </c>
      <c r="I3" s="6">
        <f t="shared" ref="I3:I18" si="2">F3/6.1</f>
        <v>8.6885245901639347</v>
      </c>
      <c r="J3" s="14">
        <v>630</v>
      </c>
      <c r="K3" s="14">
        <v>360</v>
      </c>
      <c r="L3" s="14">
        <f t="shared" ref="L3:L7" si="3">J3*K3</f>
        <v>226800</v>
      </c>
      <c r="M3" s="6">
        <f t="shared" ref="M3:M17" si="4">(G3/L3)*100</f>
        <v>0.9814814814814814</v>
      </c>
      <c r="N3" s="6">
        <f t="shared" ref="N3:N19" si="5">B3*60</f>
        <v>2770.999999998</v>
      </c>
      <c r="O3" s="6">
        <f t="shared" ref="O3:O17" si="6">M3*N3/6052</f>
        <v>0.44938618393642138</v>
      </c>
      <c r="P3" s="6"/>
      <c r="Q3" s="6"/>
    </row>
    <row r="4" spans="1:17" x14ac:dyDescent="0.25">
      <c r="A4" s="58" t="s">
        <v>72</v>
      </c>
      <c r="B4" s="40">
        <v>45.066666666700002</v>
      </c>
      <c r="C4" s="40">
        <v>2.4088541666699999</v>
      </c>
      <c r="D4" s="40">
        <v>1.07626266799</v>
      </c>
      <c r="E4" s="40">
        <v>148</v>
      </c>
      <c r="F4" s="40">
        <v>50</v>
      </c>
      <c r="G4" s="6">
        <f t="shared" si="0"/>
        <v>7400</v>
      </c>
      <c r="H4" s="6">
        <f t="shared" si="1"/>
        <v>24.262295081967213</v>
      </c>
      <c r="I4" s="6">
        <f t="shared" si="2"/>
        <v>8.1967213114754109</v>
      </c>
      <c r="J4" s="14">
        <v>630</v>
      </c>
      <c r="K4" s="14">
        <v>360</v>
      </c>
      <c r="L4" s="14">
        <f t="shared" si="3"/>
        <v>226800</v>
      </c>
      <c r="M4" s="6">
        <f t="shared" si="4"/>
        <v>3.2627865961199292</v>
      </c>
      <c r="N4" s="6">
        <f t="shared" si="5"/>
        <v>2704.000000002</v>
      </c>
      <c r="O4" s="6">
        <f t="shared" si="6"/>
        <v>1.4577949365358251</v>
      </c>
      <c r="P4" s="6"/>
      <c r="Q4" s="6"/>
    </row>
    <row r="5" spans="1:17" x14ac:dyDescent="0.25">
      <c r="A5" s="58" t="s">
        <v>71</v>
      </c>
      <c r="B5" s="40">
        <v>100.498683333</v>
      </c>
      <c r="C5" s="40">
        <v>0.515625</v>
      </c>
      <c r="D5" s="40">
        <v>0.5137438889</v>
      </c>
      <c r="E5" s="40">
        <v>16</v>
      </c>
      <c r="F5" s="40">
        <v>99</v>
      </c>
      <c r="G5" s="6">
        <f t="shared" si="0"/>
        <v>1584</v>
      </c>
      <c r="H5" s="6">
        <f t="shared" si="1"/>
        <v>2.6229508196721314</v>
      </c>
      <c r="I5" s="6">
        <f t="shared" si="2"/>
        <v>16.229508196721312</v>
      </c>
      <c r="J5" s="14">
        <v>630</v>
      </c>
      <c r="K5" s="14">
        <v>360</v>
      </c>
      <c r="L5" s="14">
        <f t="shared" si="3"/>
        <v>226800</v>
      </c>
      <c r="M5" s="6">
        <f t="shared" si="4"/>
        <v>0.69841269841269837</v>
      </c>
      <c r="N5" s="6">
        <f t="shared" si="5"/>
        <v>6029.9209999800005</v>
      </c>
      <c r="O5" s="6">
        <f t="shared" si="6"/>
        <v>0.69586473840241714</v>
      </c>
      <c r="P5" s="6"/>
      <c r="Q5" s="6"/>
    </row>
    <row r="6" spans="1:17" x14ac:dyDescent="0.25">
      <c r="A6" s="58" t="s">
        <v>42</v>
      </c>
      <c r="B6" s="40">
        <v>100.666666667</v>
      </c>
      <c r="C6" s="40">
        <v>1.9296875</v>
      </c>
      <c r="D6" s="40">
        <v>1.9258612855299999</v>
      </c>
      <c r="E6" s="40">
        <v>76</v>
      </c>
      <c r="F6" s="40">
        <v>78</v>
      </c>
      <c r="G6" s="6">
        <f t="shared" si="0"/>
        <v>5928</v>
      </c>
      <c r="H6" s="6">
        <f t="shared" si="1"/>
        <v>12.459016393442624</v>
      </c>
      <c r="I6" s="6">
        <f t="shared" si="2"/>
        <v>12.78688524590164</v>
      </c>
      <c r="J6" s="14">
        <v>630</v>
      </c>
      <c r="K6" s="14">
        <v>360</v>
      </c>
      <c r="L6" s="14">
        <f t="shared" si="3"/>
        <v>226800</v>
      </c>
      <c r="M6" s="6">
        <f t="shared" si="4"/>
        <v>2.6137566137566135</v>
      </c>
      <c r="N6" s="6">
        <f t="shared" si="5"/>
        <v>6040.0000000199998</v>
      </c>
      <c r="O6" s="6">
        <f t="shared" si="6"/>
        <v>2.6085740163817284</v>
      </c>
      <c r="P6" s="6"/>
      <c r="Q6" s="6"/>
    </row>
    <row r="7" spans="1:17" x14ac:dyDescent="0.25">
      <c r="A7" s="58" t="s">
        <v>37</v>
      </c>
      <c r="B7" s="40">
        <v>35.566666666700002</v>
      </c>
      <c r="C7" s="40">
        <v>0.84375</v>
      </c>
      <c r="D7" s="40">
        <v>0.29751528420399997</v>
      </c>
      <c r="E7" s="40">
        <v>54</v>
      </c>
      <c r="F7" s="40">
        <v>48</v>
      </c>
      <c r="G7" s="6">
        <f t="shared" si="0"/>
        <v>2592</v>
      </c>
      <c r="H7" s="6">
        <f t="shared" si="1"/>
        <v>8.8524590163934427</v>
      </c>
      <c r="I7" s="6">
        <f t="shared" si="2"/>
        <v>7.8688524590163942</v>
      </c>
      <c r="J7" s="14">
        <v>630</v>
      </c>
      <c r="K7" s="14">
        <v>360</v>
      </c>
      <c r="L7" s="14">
        <f t="shared" si="3"/>
        <v>226800</v>
      </c>
      <c r="M7" s="6">
        <f t="shared" si="4"/>
        <v>1.1428571428571428</v>
      </c>
      <c r="N7" s="6">
        <f t="shared" si="5"/>
        <v>2134.000000002</v>
      </c>
      <c r="O7" s="6">
        <f t="shared" si="6"/>
        <v>0.40298366537664049</v>
      </c>
      <c r="P7" s="6"/>
      <c r="Q7" s="6"/>
    </row>
    <row r="8" spans="1:17" x14ac:dyDescent="0.25">
      <c r="A8" s="58" t="s">
        <v>70</v>
      </c>
      <c r="B8" s="40">
        <v>4.5666666666699998</v>
      </c>
      <c r="C8" s="40">
        <v>1.3359375</v>
      </c>
      <c r="D8" s="40">
        <v>6.0483621117000001E-2</v>
      </c>
      <c r="E8" s="40">
        <v>76</v>
      </c>
      <c r="F8" s="40">
        <v>54</v>
      </c>
      <c r="G8" s="6">
        <f t="shared" si="0"/>
        <v>4104</v>
      </c>
      <c r="H8" s="6">
        <f t="shared" si="1"/>
        <v>12.459016393442624</v>
      </c>
      <c r="I8" s="6">
        <f t="shared" si="2"/>
        <v>8.8524590163934427</v>
      </c>
      <c r="J8" s="14">
        <v>630</v>
      </c>
      <c r="K8" s="14">
        <v>360</v>
      </c>
      <c r="L8" s="14">
        <f t="shared" ref="L8:L18" si="7">J8*K8</f>
        <v>226800</v>
      </c>
      <c r="M8" s="6">
        <f t="shared" si="4"/>
        <v>1.8095238095238095</v>
      </c>
      <c r="N8" s="6">
        <f t="shared" si="5"/>
        <v>274.00000000019998</v>
      </c>
      <c r="O8" s="6">
        <f t="shared" si="6"/>
        <v>8.1924904793437822E-2</v>
      </c>
      <c r="P8" s="6"/>
      <c r="Q8" s="6"/>
    </row>
    <row r="9" spans="1:17" x14ac:dyDescent="0.25">
      <c r="A9" s="58" t="s">
        <v>69</v>
      </c>
      <c r="B9" s="40">
        <v>64.981216666700007</v>
      </c>
      <c r="C9" s="40">
        <v>0.5859375</v>
      </c>
      <c r="D9" s="40">
        <v>0.37747784177799998</v>
      </c>
      <c r="E9" s="40">
        <v>40</v>
      </c>
      <c r="F9" s="40">
        <v>45</v>
      </c>
      <c r="G9" s="6">
        <f t="shared" si="0"/>
        <v>1800</v>
      </c>
      <c r="H9" s="6">
        <f t="shared" si="1"/>
        <v>6.557377049180328</v>
      </c>
      <c r="I9" s="6">
        <f t="shared" si="2"/>
        <v>7.3770491803278695</v>
      </c>
      <c r="J9" s="14">
        <v>630</v>
      </c>
      <c r="K9" s="14">
        <v>360</v>
      </c>
      <c r="L9" s="14">
        <f t="shared" si="7"/>
        <v>226800</v>
      </c>
      <c r="M9" s="6">
        <f t="shared" si="4"/>
        <v>0.79365079365079361</v>
      </c>
      <c r="N9" s="6">
        <f t="shared" si="5"/>
        <v>3898.8730000020005</v>
      </c>
      <c r="O9" s="6">
        <f t="shared" si="6"/>
        <v>0.51129273806927267</v>
      </c>
      <c r="P9" s="6"/>
      <c r="Q9" s="6"/>
    </row>
    <row r="10" spans="1:17" x14ac:dyDescent="0.25">
      <c r="A10" s="58" t="s">
        <v>68</v>
      </c>
      <c r="B10" s="40">
        <v>61.366666666699999</v>
      </c>
      <c r="C10" s="40">
        <v>1.8251953125</v>
      </c>
      <c r="D10" s="40">
        <v>1.1104377297800001</v>
      </c>
      <c r="E10" s="40">
        <v>63</v>
      </c>
      <c r="F10" s="40">
        <v>89</v>
      </c>
      <c r="G10" s="6">
        <f t="shared" si="0"/>
        <v>5607</v>
      </c>
      <c r="H10" s="6">
        <f t="shared" si="1"/>
        <v>10.327868852459018</v>
      </c>
      <c r="I10" s="6">
        <f t="shared" si="2"/>
        <v>14.590163934426231</v>
      </c>
      <c r="J10" s="14">
        <v>630</v>
      </c>
      <c r="K10" s="14">
        <v>360</v>
      </c>
      <c r="L10" s="14">
        <f t="shared" si="7"/>
        <v>226800</v>
      </c>
      <c r="M10" s="6">
        <f t="shared" si="4"/>
        <v>2.4722222222222223</v>
      </c>
      <c r="N10" s="6">
        <f t="shared" si="5"/>
        <v>3682.000000002</v>
      </c>
      <c r="O10" s="6">
        <f t="shared" si="6"/>
        <v>1.5040849673210783</v>
      </c>
      <c r="P10" s="6"/>
      <c r="Q10" s="6"/>
    </row>
    <row r="11" spans="1:17" x14ac:dyDescent="0.25">
      <c r="A11" s="58" t="s">
        <v>67</v>
      </c>
      <c r="B11" s="40">
        <v>26.7166666667</v>
      </c>
      <c r="C11" s="40">
        <v>0.1953125</v>
      </c>
      <c r="D11" s="40">
        <v>5.1732640036399997E-2</v>
      </c>
      <c r="E11" s="40">
        <v>24</v>
      </c>
      <c r="F11" s="40">
        <v>25</v>
      </c>
      <c r="G11" s="6">
        <f t="shared" si="0"/>
        <v>600</v>
      </c>
      <c r="H11" s="6">
        <f t="shared" si="1"/>
        <v>3.9344262295081971</v>
      </c>
      <c r="I11" s="6">
        <f t="shared" si="2"/>
        <v>4.0983606557377055</v>
      </c>
      <c r="J11" s="14">
        <v>630</v>
      </c>
      <c r="K11" s="14">
        <v>360</v>
      </c>
      <c r="L11" s="14">
        <f t="shared" si="7"/>
        <v>226800</v>
      </c>
      <c r="M11" s="6">
        <f t="shared" si="4"/>
        <v>0.26455026455026454</v>
      </c>
      <c r="N11" s="6">
        <f t="shared" si="5"/>
        <v>1603.000000002</v>
      </c>
      <c r="O11" s="6">
        <f t="shared" si="6"/>
        <v>7.0071724070489616E-2</v>
      </c>
      <c r="P11" s="6"/>
      <c r="Q11" s="6"/>
    </row>
    <row r="12" spans="1:17" x14ac:dyDescent="0.25">
      <c r="A12" s="58" t="s">
        <v>66</v>
      </c>
      <c r="B12" s="40">
        <v>57.916666666700003</v>
      </c>
      <c r="C12" s="40">
        <v>1.4977213541700001</v>
      </c>
      <c r="D12" s="40">
        <v>0.85997714899699995</v>
      </c>
      <c r="E12" s="40">
        <v>43</v>
      </c>
      <c r="F12" s="40">
        <v>107</v>
      </c>
      <c r="G12" s="6">
        <f t="shared" si="0"/>
        <v>4601</v>
      </c>
      <c r="H12" s="6">
        <f t="shared" si="1"/>
        <v>7.0491803278688527</v>
      </c>
      <c r="I12" s="6">
        <f t="shared" si="2"/>
        <v>17.540983606557379</v>
      </c>
      <c r="J12" s="14">
        <v>630</v>
      </c>
      <c r="K12" s="14">
        <v>360</v>
      </c>
      <c r="L12" s="14">
        <f t="shared" si="7"/>
        <v>226800</v>
      </c>
      <c r="M12" s="6">
        <f t="shared" si="4"/>
        <v>2.0286596119929454</v>
      </c>
      <c r="N12" s="6">
        <f t="shared" si="5"/>
        <v>3475.000000002</v>
      </c>
      <c r="O12" s="6">
        <f t="shared" si="6"/>
        <v>1.1648367732451326</v>
      </c>
      <c r="P12" s="6"/>
      <c r="Q12" s="6"/>
    </row>
    <row r="13" spans="1:17" x14ac:dyDescent="0.25">
      <c r="A13" s="58" t="s">
        <v>65</v>
      </c>
      <c r="B13" s="40">
        <v>39.2166666667</v>
      </c>
      <c r="C13" s="40">
        <v>0.24609375</v>
      </c>
      <c r="D13" s="40">
        <v>9.5680534327499997E-2</v>
      </c>
      <c r="E13" s="40">
        <v>21</v>
      </c>
      <c r="F13" s="40">
        <v>36</v>
      </c>
      <c r="G13" s="6">
        <f t="shared" si="0"/>
        <v>756</v>
      </c>
      <c r="H13" s="6">
        <f t="shared" si="1"/>
        <v>3.4426229508196724</v>
      </c>
      <c r="I13" s="6">
        <f t="shared" si="2"/>
        <v>5.9016393442622954</v>
      </c>
      <c r="J13" s="14">
        <v>630</v>
      </c>
      <c r="K13" s="14">
        <v>360</v>
      </c>
      <c r="L13" s="14">
        <f t="shared" si="7"/>
        <v>226800</v>
      </c>
      <c r="M13" s="6">
        <f t="shared" si="4"/>
        <v>0.33333333333333337</v>
      </c>
      <c r="N13" s="6">
        <f t="shared" si="5"/>
        <v>2353.000000002</v>
      </c>
      <c r="O13" s="6">
        <f t="shared" si="6"/>
        <v>0.12959903062359551</v>
      </c>
      <c r="P13" s="6"/>
      <c r="Q13" s="6"/>
    </row>
    <row r="14" spans="1:17" x14ac:dyDescent="0.25">
      <c r="A14" s="58" t="s">
        <v>64</v>
      </c>
      <c r="B14" s="40">
        <v>55.564616666699997</v>
      </c>
      <c r="C14" s="40">
        <v>0.35546875</v>
      </c>
      <c r="D14" s="40">
        <v>0.19581776104500001</v>
      </c>
      <c r="E14" s="40">
        <v>12</v>
      </c>
      <c r="F14" s="40">
        <v>91</v>
      </c>
      <c r="G14" s="6">
        <f t="shared" si="0"/>
        <v>1092</v>
      </c>
      <c r="H14" s="6">
        <f t="shared" si="1"/>
        <v>1.9672131147540985</v>
      </c>
      <c r="I14" s="6">
        <f t="shared" si="2"/>
        <v>14.918032786885247</v>
      </c>
      <c r="J14" s="14">
        <v>630</v>
      </c>
      <c r="K14" s="14">
        <v>360</v>
      </c>
      <c r="L14" s="14">
        <f t="shared" si="7"/>
        <v>226800</v>
      </c>
      <c r="M14" s="6">
        <f t="shared" si="4"/>
        <v>0.48148148148148151</v>
      </c>
      <c r="N14" s="6">
        <f t="shared" si="5"/>
        <v>3333.8770000019999</v>
      </c>
      <c r="O14" s="6">
        <f t="shared" si="6"/>
        <v>0.2652346392990747</v>
      </c>
      <c r="P14" s="6"/>
      <c r="Q14" s="6"/>
    </row>
    <row r="15" spans="1:17" x14ac:dyDescent="0.25">
      <c r="A15" s="58" t="s">
        <v>63</v>
      </c>
      <c r="B15" s="40">
        <v>17.7166666667</v>
      </c>
      <c r="C15" s="40">
        <v>1.1015625</v>
      </c>
      <c r="D15" s="40">
        <v>0.19348330097499999</v>
      </c>
      <c r="E15" s="40">
        <v>72</v>
      </c>
      <c r="F15" s="40">
        <v>47</v>
      </c>
      <c r="G15" s="6">
        <f t="shared" si="0"/>
        <v>3384</v>
      </c>
      <c r="H15" s="6">
        <f t="shared" si="1"/>
        <v>11.803278688524591</v>
      </c>
      <c r="I15" s="6">
        <f t="shared" si="2"/>
        <v>7.7049180327868854</v>
      </c>
      <c r="J15" s="14">
        <v>630</v>
      </c>
      <c r="K15" s="14">
        <v>360</v>
      </c>
      <c r="L15" s="14">
        <f t="shared" si="7"/>
        <v>226800</v>
      </c>
      <c r="M15" s="6">
        <f t="shared" si="4"/>
        <v>1.4920634920634921</v>
      </c>
      <c r="N15" s="6">
        <f t="shared" si="5"/>
        <v>1063.000000002</v>
      </c>
      <c r="O15" s="6">
        <f t="shared" si="6"/>
        <v>0.26207261931038933</v>
      </c>
      <c r="P15" s="6"/>
      <c r="Q15" s="6"/>
    </row>
    <row r="16" spans="1:17" x14ac:dyDescent="0.25">
      <c r="A16" s="58" t="s">
        <v>62</v>
      </c>
      <c r="B16" s="40">
        <v>3.8333333333300001</v>
      </c>
      <c r="C16" s="40">
        <v>0.94856770833299997</v>
      </c>
      <c r="D16" s="40">
        <v>3.60493345864E-2</v>
      </c>
      <c r="E16" s="40">
        <v>94</v>
      </c>
      <c r="F16" s="40">
        <v>31</v>
      </c>
      <c r="G16" s="6">
        <f t="shared" si="0"/>
        <v>2914</v>
      </c>
      <c r="H16" s="6">
        <f t="shared" si="1"/>
        <v>15.409836065573771</v>
      </c>
      <c r="I16" s="6">
        <f t="shared" si="2"/>
        <v>5.081967213114754</v>
      </c>
      <c r="J16" s="14">
        <v>630</v>
      </c>
      <c r="K16" s="14">
        <v>360</v>
      </c>
      <c r="L16" s="14">
        <f t="shared" si="7"/>
        <v>226800</v>
      </c>
      <c r="M16" s="6">
        <f t="shared" si="4"/>
        <v>1.2848324514991181</v>
      </c>
      <c r="N16" s="6">
        <f t="shared" si="5"/>
        <v>229.9999999998</v>
      </c>
      <c r="O16" s="6">
        <f t="shared" si="6"/>
        <v>4.8828728328575703E-2</v>
      </c>
      <c r="P16" s="6"/>
      <c r="Q16" s="6"/>
    </row>
    <row r="17" spans="1:17" x14ac:dyDescent="0.25">
      <c r="A17" s="58" t="s">
        <v>61</v>
      </c>
      <c r="B17" s="40">
        <v>6.5666666666699998</v>
      </c>
      <c r="C17" s="40">
        <v>0.29296875</v>
      </c>
      <c r="D17" s="40">
        <v>1.9072982071999998E-2</v>
      </c>
      <c r="E17" s="40">
        <v>75</v>
      </c>
      <c r="F17" s="40">
        <v>12</v>
      </c>
      <c r="G17" s="6">
        <f t="shared" si="0"/>
        <v>900</v>
      </c>
      <c r="H17" s="6">
        <f t="shared" si="1"/>
        <v>12.295081967213115</v>
      </c>
      <c r="I17" s="6">
        <f t="shared" si="2"/>
        <v>1.9672131147540985</v>
      </c>
      <c r="J17" s="14">
        <v>630</v>
      </c>
      <c r="K17" s="14">
        <v>360</v>
      </c>
      <c r="L17" s="14">
        <f t="shared" si="7"/>
        <v>226800</v>
      </c>
      <c r="M17" s="6">
        <f t="shared" si="4"/>
        <v>0.3968253968253968</v>
      </c>
      <c r="N17" s="6">
        <f t="shared" si="5"/>
        <v>394.00000000019998</v>
      </c>
      <c r="O17" s="6">
        <f t="shared" si="6"/>
        <v>2.5834303758969879E-2</v>
      </c>
      <c r="P17" s="6"/>
      <c r="Q17" s="6"/>
    </row>
    <row r="18" spans="1:17" x14ac:dyDescent="0.25">
      <c r="A18" s="58" t="s">
        <v>101</v>
      </c>
      <c r="B18" s="70">
        <v>47.955907291700001</v>
      </c>
      <c r="C18" s="88">
        <f>AVERAGE(C2:C17)</f>
        <v>1.1013997395839374</v>
      </c>
      <c r="D18" s="63">
        <f>SUM(D2:D17)</f>
        <v>9.9604735816182988</v>
      </c>
      <c r="E18" s="63">
        <v>59</v>
      </c>
      <c r="F18" s="63">
        <v>59</v>
      </c>
      <c r="G18" s="98">
        <f t="shared" si="0"/>
        <v>3481</v>
      </c>
      <c r="H18" s="6">
        <f t="shared" si="1"/>
        <v>9.6721311475409841</v>
      </c>
      <c r="I18" s="6">
        <f t="shared" si="2"/>
        <v>9.6721311475409841</v>
      </c>
      <c r="J18" s="97">
        <v>630</v>
      </c>
      <c r="K18" s="97">
        <v>360</v>
      </c>
      <c r="L18" s="97">
        <f t="shared" si="7"/>
        <v>226800</v>
      </c>
      <c r="M18" s="98">
        <f>AVERAGE(M2:M17)</f>
        <v>1.4918430335097002</v>
      </c>
      <c r="N18" s="98">
        <f t="shared" si="5"/>
        <v>2877.3544375020001</v>
      </c>
      <c r="O18" s="102">
        <f>SUM(O2:O17)</f>
        <v>13.491435115850129</v>
      </c>
      <c r="P18" s="69"/>
      <c r="Q18" s="69"/>
    </row>
    <row r="19" spans="1:17" x14ac:dyDescent="0.25">
      <c r="A19" s="59" t="s">
        <v>109</v>
      </c>
      <c r="B19" s="70"/>
      <c r="C19" s="114"/>
      <c r="D19" s="68"/>
      <c r="E19" s="68"/>
      <c r="F19" s="68"/>
      <c r="G19" s="76">
        <f t="shared" si="0"/>
        <v>0</v>
      </c>
      <c r="H19" s="76"/>
      <c r="I19" s="76"/>
      <c r="J19" s="76"/>
      <c r="K19" s="76"/>
      <c r="L19" s="76"/>
      <c r="M19" s="76"/>
      <c r="N19" s="76">
        <f t="shared" si="5"/>
        <v>0</v>
      </c>
      <c r="O19" s="75"/>
      <c r="P19" s="69"/>
      <c r="Q19" s="69"/>
    </row>
    <row r="21" spans="1:17" x14ac:dyDescent="0.25">
      <c r="A21" s="110" t="s">
        <v>119</v>
      </c>
    </row>
    <row r="22" spans="1:17" x14ac:dyDescent="0.25">
      <c r="A22">
        <v>6052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90" zoomScaleNormal="90" workbookViewId="0">
      <selection activeCell="B31" sqref="B31"/>
    </sheetView>
  </sheetViews>
  <sheetFormatPr baseColWidth="10" defaultRowHeight="15" x14ac:dyDescent="0.25"/>
  <cols>
    <col min="1" max="1" width="14.42578125" customWidth="1"/>
    <col min="2" max="2" width="23" customWidth="1"/>
    <col min="3" max="3" width="14.42578125" customWidth="1"/>
    <col min="4" max="4" width="18.28515625" customWidth="1"/>
    <col min="5" max="5" width="9.5703125" customWidth="1"/>
    <col min="6" max="6" width="10.42578125" customWidth="1"/>
  </cols>
  <sheetData>
    <row r="1" spans="1:12" x14ac:dyDescent="0.25">
      <c r="A1" s="42" t="s">
        <v>58</v>
      </c>
      <c r="B1" s="54" t="s">
        <v>0</v>
      </c>
      <c r="C1" s="29" t="s">
        <v>1</v>
      </c>
      <c r="D1" s="29" t="s">
        <v>60</v>
      </c>
      <c r="E1" s="29" t="s">
        <v>2</v>
      </c>
      <c r="F1" s="34" t="s">
        <v>3</v>
      </c>
      <c r="G1" s="43" t="s">
        <v>122</v>
      </c>
      <c r="H1" s="43" t="s">
        <v>106</v>
      </c>
      <c r="I1" s="43" t="s">
        <v>107</v>
      </c>
      <c r="J1" s="43" t="s">
        <v>123</v>
      </c>
      <c r="K1" s="43" t="s">
        <v>120</v>
      </c>
      <c r="L1" s="43" t="s">
        <v>121</v>
      </c>
    </row>
    <row r="2" spans="1:12" x14ac:dyDescent="0.25">
      <c r="A2" s="55" t="s">
        <v>76</v>
      </c>
      <c r="B2" s="51">
        <v>17.833333333300001</v>
      </c>
      <c r="C2" s="40">
        <v>2.53515625</v>
      </c>
      <c r="D2" s="40">
        <v>0.52448128141899997</v>
      </c>
      <c r="E2" s="40">
        <v>118</v>
      </c>
      <c r="F2" s="52">
        <v>66</v>
      </c>
      <c r="G2">
        <f>E2*F2</f>
        <v>7788</v>
      </c>
      <c r="H2">
        <f>E2/6.1</f>
        <v>19.344262295081968</v>
      </c>
      <c r="I2">
        <f>F2/6.1</f>
        <v>10.819672131147541</v>
      </c>
      <c r="J2">
        <f t="shared" ref="J2:J24" si="0">G2/226800 *100</f>
        <v>3.4338624338624344</v>
      </c>
      <c r="K2">
        <f>B2*60</f>
        <v>1069.999999998</v>
      </c>
      <c r="L2">
        <f>J2*K2/5172</f>
        <v>0.71040850816433432</v>
      </c>
    </row>
    <row r="3" spans="1:12" x14ac:dyDescent="0.25">
      <c r="A3" s="55" t="s">
        <v>31</v>
      </c>
      <c r="B3" s="51">
        <v>7.7766666666699997</v>
      </c>
      <c r="C3" s="40">
        <v>2.845703125</v>
      </c>
      <c r="D3" s="40">
        <v>0.25672952013200001</v>
      </c>
      <c r="E3" s="40">
        <v>94</v>
      </c>
      <c r="F3" s="52">
        <v>93</v>
      </c>
      <c r="G3">
        <f t="shared" ref="G3:G26" si="1">E3*F3</f>
        <v>8742</v>
      </c>
      <c r="H3">
        <f t="shared" ref="H3:H26" si="2">E3/6.1</f>
        <v>15.409836065573771</v>
      </c>
      <c r="I3">
        <f t="shared" ref="I3:I26" si="3">F3/6.1</f>
        <v>15.245901639344263</v>
      </c>
      <c r="J3">
        <f t="shared" si="0"/>
        <v>3.854497354497354</v>
      </c>
      <c r="K3">
        <f t="shared" ref="K3:K26" si="4">B3*60</f>
        <v>466.6000000002</v>
      </c>
      <c r="L3">
        <f t="shared" ref="L3:L24" si="5">J3*K3/5172</f>
        <v>0.34773945584091964</v>
      </c>
    </row>
    <row r="4" spans="1:12" x14ac:dyDescent="0.25">
      <c r="A4" s="55" t="s">
        <v>32</v>
      </c>
      <c r="B4" s="51">
        <v>15.3833333333</v>
      </c>
      <c r="C4" s="40">
        <v>0.57389322916700003</v>
      </c>
      <c r="D4" s="40">
        <v>0.10241752716999999</v>
      </c>
      <c r="E4" s="40">
        <v>43</v>
      </c>
      <c r="F4" s="52">
        <v>41</v>
      </c>
      <c r="G4">
        <f t="shared" si="1"/>
        <v>1763</v>
      </c>
      <c r="H4">
        <f t="shared" si="2"/>
        <v>7.0491803278688527</v>
      </c>
      <c r="I4">
        <f t="shared" si="3"/>
        <v>6.7213114754098369</v>
      </c>
      <c r="J4">
        <f t="shared" si="0"/>
        <v>0.77733686067019392</v>
      </c>
      <c r="K4">
        <f t="shared" si="4"/>
        <v>922.99999999800002</v>
      </c>
      <c r="L4">
        <f t="shared" si="5"/>
        <v>0.13872426960499504</v>
      </c>
    </row>
    <row r="5" spans="1:12" x14ac:dyDescent="0.25">
      <c r="A5" s="55" t="s">
        <v>64</v>
      </c>
      <c r="B5" s="51">
        <v>4.5333333333299999</v>
      </c>
      <c r="C5" s="40">
        <v>0.38736979166699997</v>
      </c>
      <c r="D5" s="40">
        <v>2.0372115880399999E-2</v>
      </c>
      <c r="E5" s="40">
        <v>85</v>
      </c>
      <c r="F5" s="52">
        <v>14</v>
      </c>
      <c r="G5">
        <f t="shared" si="1"/>
        <v>1190</v>
      </c>
      <c r="H5">
        <f t="shared" si="2"/>
        <v>13.934426229508198</v>
      </c>
      <c r="I5">
        <f t="shared" si="3"/>
        <v>2.2950819672131151</v>
      </c>
      <c r="J5">
        <f t="shared" si="0"/>
        <v>0.52469135802469136</v>
      </c>
      <c r="K5">
        <f t="shared" si="4"/>
        <v>271.99999999979997</v>
      </c>
      <c r="L5">
        <f t="shared" si="5"/>
        <v>2.7593977065470048E-2</v>
      </c>
    </row>
    <row r="6" spans="1:12" x14ac:dyDescent="0.25">
      <c r="A6" s="55" t="s">
        <v>77</v>
      </c>
      <c r="B6" s="51">
        <v>21.366666666699999</v>
      </c>
      <c r="C6" s="40">
        <v>3.2760416666699999</v>
      </c>
      <c r="D6" s="40">
        <v>0.81204281064700001</v>
      </c>
      <c r="E6" s="40">
        <v>136</v>
      </c>
      <c r="F6" s="52">
        <v>74</v>
      </c>
      <c r="G6">
        <f t="shared" si="1"/>
        <v>10064</v>
      </c>
      <c r="H6">
        <f t="shared" si="2"/>
        <v>22.295081967213115</v>
      </c>
      <c r="I6">
        <f t="shared" si="3"/>
        <v>12.131147540983607</v>
      </c>
      <c r="J6">
        <f t="shared" si="0"/>
        <v>4.4373897707231036</v>
      </c>
      <c r="K6">
        <f t="shared" si="4"/>
        <v>1282.000000002</v>
      </c>
      <c r="L6">
        <f t="shared" si="5"/>
        <v>1.0999098387617736</v>
      </c>
    </row>
    <row r="7" spans="1:12" x14ac:dyDescent="0.25">
      <c r="A7" s="55" t="s">
        <v>78</v>
      </c>
      <c r="B7" s="51">
        <v>9.4499999999999993</v>
      </c>
      <c r="C7" s="40">
        <v>1.3723958333299999</v>
      </c>
      <c r="D7" s="40">
        <v>0.15045406757499999</v>
      </c>
      <c r="E7" s="40">
        <v>124</v>
      </c>
      <c r="F7" s="52">
        <v>34</v>
      </c>
      <c r="G7">
        <f t="shared" si="1"/>
        <v>4216</v>
      </c>
      <c r="H7">
        <f t="shared" si="2"/>
        <v>20.327868852459016</v>
      </c>
      <c r="I7">
        <f t="shared" si="3"/>
        <v>5.5737704918032787</v>
      </c>
      <c r="J7">
        <f t="shared" si="0"/>
        <v>1.8589065255731922</v>
      </c>
      <c r="K7">
        <f t="shared" si="4"/>
        <v>567</v>
      </c>
      <c r="L7">
        <f t="shared" si="5"/>
        <v>0.20378963650425366</v>
      </c>
    </row>
    <row r="8" spans="1:12" x14ac:dyDescent="0.25">
      <c r="A8" s="55" t="s">
        <v>79</v>
      </c>
      <c r="B8" s="51">
        <v>33.066666666700002</v>
      </c>
      <c r="C8" s="40">
        <v>0.54720052083299997</v>
      </c>
      <c r="D8" s="40">
        <v>0.20990832044300001</v>
      </c>
      <c r="E8" s="40">
        <v>41</v>
      </c>
      <c r="F8" s="52">
        <v>41</v>
      </c>
      <c r="G8">
        <f t="shared" si="1"/>
        <v>1681</v>
      </c>
      <c r="H8">
        <f t="shared" si="2"/>
        <v>6.7213114754098369</v>
      </c>
      <c r="I8">
        <f t="shared" si="3"/>
        <v>6.7213114754098369</v>
      </c>
      <c r="J8">
        <f t="shared" si="0"/>
        <v>0.74118165784832457</v>
      </c>
      <c r="K8">
        <f t="shared" si="4"/>
        <v>1984.000000002</v>
      </c>
      <c r="L8">
        <f t="shared" si="5"/>
        <v>0.28432026472787286</v>
      </c>
    </row>
    <row r="9" spans="1:12" x14ac:dyDescent="0.25">
      <c r="A9" s="55" t="s">
        <v>80</v>
      </c>
      <c r="B9" s="51">
        <v>51.766666666699997</v>
      </c>
      <c r="C9" s="40">
        <v>0.45670572916699997</v>
      </c>
      <c r="D9" s="40">
        <v>0.27427068731499998</v>
      </c>
      <c r="E9" s="40">
        <v>23</v>
      </c>
      <c r="F9" s="52">
        <v>61</v>
      </c>
      <c r="G9">
        <f t="shared" si="1"/>
        <v>1403</v>
      </c>
      <c r="H9">
        <f t="shared" si="2"/>
        <v>3.7704918032786887</v>
      </c>
      <c r="I9">
        <f t="shared" si="3"/>
        <v>10</v>
      </c>
      <c r="J9">
        <f t="shared" si="0"/>
        <v>0.61860670194003531</v>
      </c>
      <c r="K9">
        <f t="shared" si="4"/>
        <v>3106.000000002</v>
      </c>
      <c r="L9">
        <f t="shared" si="5"/>
        <v>0.37149892038418153</v>
      </c>
    </row>
    <row r="10" spans="1:12" x14ac:dyDescent="0.25">
      <c r="A10" s="55" t="s">
        <v>45</v>
      </c>
      <c r="B10" s="51">
        <v>33.75</v>
      </c>
      <c r="C10" s="40">
        <v>0.587890625</v>
      </c>
      <c r="D10" s="40">
        <v>0.230177593895</v>
      </c>
      <c r="E10" s="40">
        <v>42</v>
      </c>
      <c r="F10" s="52">
        <v>43</v>
      </c>
      <c r="G10">
        <f t="shared" si="1"/>
        <v>1806</v>
      </c>
      <c r="H10">
        <f t="shared" si="2"/>
        <v>6.8852459016393448</v>
      </c>
      <c r="I10">
        <f t="shared" si="3"/>
        <v>7.0491803278688527</v>
      </c>
      <c r="J10">
        <f t="shared" si="0"/>
        <v>0.79629629629629628</v>
      </c>
      <c r="K10">
        <f t="shared" si="4"/>
        <v>2025</v>
      </c>
      <c r="L10">
        <f t="shared" si="5"/>
        <v>0.31177494199535966</v>
      </c>
    </row>
    <row r="11" spans="1:12" x14ac:dyDescent="0.25">
      <c r="A11" s="55" t="s">
        <v>81</v>
      </c>
      <c r="B11" s="51">
        <v>3.2833333333299999</v>
      </c>
      <c r="C11" s="40">
        <v>1.7076822916700001</v>
      </c>
      <c r="D11" s="40">
        <v>6.5045129825700002E-2</v>
      </c>
      <c r="E11" s="40">
        <v>43</v>
      </c>
      <c r="F11" s="52">
        <v>122</v>
      </c>
      <c r="G11">
        <f t="shared" si="1"/>
        <v>5246</v>
      </c>
      <c r="H11">
        <f t="shared" si="2"/>
        <v>7.0491803278688527</v>
      </c>
      <c r="I11">
        <f t="shared" si="3"/>
        <v>20</v>
      </c>
      <c r="J11">
        <f t="shared" si="0"/>
        <v>2.3130511463844798</v>
      </c>
      <c r="K11">
        <f t="shared" si="4"/>
        <v>196.9999999998</v>
      </c>
      <c r="L11">
        <f t="shared" si="5"/>
        <v>8.810345627170918E-2</v>
      </c>
    </row>
    <row r="12" spans="1:12" x14ac:dyDescent="0.25">
      <c r="A12" s="55" t="s">
        <v>82</v>
      </c>
      <c r="B12" s="51">
        <v>12.9333333333</v>
      </c>
      <c r="C12" s="40">
        <v>0.46875</v>
      </c>
      <c r="D12" s="40">
        <v>7.0330626450100006E-2</v>
      </c>
      <c r="E12" s="40">
        <v>20</v>
      </c>
      <c r="F12" s="52">
        <v>72</v>
      </c>
      <c r="G12">
        <f t="shared" si="1"/>
        <v>1440</v>
      </c>
      <c r="H12">
        <f t="shared" si="2"/>
        <v>3.278688524590164</v>
      </c>
      <c r="I12">
        <f t="shared" si="3"/>
        <v>11.803278688524591</v>
      </c>
      <c r="J12">
        <f t="shared" si="0"/>
        <v>0.63492063492063489</v>
      </c>
      <c r="K12">
        <f t="shared" si="4"/>
        <v>775.99999999800002</v>
      </c>
      <c r="L12">
        <f t="shared" si="5"/>
        <v>9.5262647466578268E-2</v>
      </c>
    </row>
    <row r="13" spans="1:12" x14ac:dyDescent="0.25">
      <c r="A13" s="55" t="s">
        <v>83</v>
      </c>
      <c r="B13" s="51">
        <v>0.53333333333300004</v>
      </c>
      <c r="C13" s="40">
        <v>0.736328125</v>
      </c>
      <c r="D13" s="40">
        <v>4.5557811291599996E-3</v>
      </c>
      <c r="E13" s="40">
        <v>87</v>
      </c>
      <c r="F13" s="52">
        <v>26</v>
      </c>
      <c r="G13">
        <f t="shared" si="1"/>
        <v>2262</v>
      </c>
      <c r="H13">
        <f t="shared" si="2"/>
        <v>14.262295081967213</v>
      </c>
      <c r="I13">
        <f t="shared" si="3"/>
        <v>4.2622950819672134</v>
      </c>
      <c r="J13">
        <f t="shared" si="0"/>
        <v>0.99735449735449733</v>
      </c>
      <c r="K13">
        <f t="shared" si="4"/>
        <v>31.999999999980002</v>
      </c>
      <c r="L13">
        <f t="shared" si="5"/>
        <v>6.1707934871082695E-3</v>
      </c>
    </row>
    <row r="14" spans="1:12" x14ac:dyDescent="0.25">
      <c r="A14" s="55" t="s">
        <v>84</v>
      </c>
      <c r="B14" s="51">
        <v>12.625783333299999</v>
      </c>
      <c r="C14" s="40">
        <v>3.3160807291699999</v>
      </c>
      <c r="D14" s="40">
        <v>0.48570901162800001</v>
      </c>
      <c r="E14" s="40">
        <v>167</v>
      </c>
      <c r="F14" s="52">
        <v>61</v>
      </c>
      <c r="G14">
        <f t="shared" si="1"/>
        <v>10187</v>
      </c>
      <c r="H14">
        <f t="shared" si="2"/>
        <v>27.377049180327869</v>
      </c>
      <c r="I14">
        <f t="shared" si="3"/>
        <v>10</v>
      </c>
      <c r="J14">
        <f t="shared" si="0"/>
        <v>4.4916225749559082</v>
      </c>
      <c r="K14">
        <f t="shared" si="4"/>
        <v>757.54699999799993</v>
      </c>
      <c r="L14">
        <f t="shared" si="5"/>
        <v>0.65789157130339138</v>
      </c>
    </row>
    <row r="15" spans="1:12" x14ac:dyDescent="0.25">
      <c r="A15" s="55" t="s">
        <v>61</v>
      </c>
      <c r="B15" s="51">
        <v>4.3666666666699996</v>
      </c>
      <c r="C15" s="40">
        <v>0.34635416666699997</v>
      </c>
      <c r="D15" s="40">
        <v>1.7545396687299999E-2</v>
      </c>
      <c r="E15" s="40">
        <v>14</v>
      </c>
      <c r="F15" s="52">
        <v>76</v>
      </c>
      <c r="G15">
        <f t="shared" si="1"/>
        <v>1064</v>
      </c>
      <c r="H15">
        <f t="shared" si="2"/>
        <v>2.2950819672131151</v>
      </c>
      <c r="I15">
        <f t="shared" si="3"/>
        <v>12.459016393442624</v>
      </c>
      <c r="J15">
        <f t="shared" si="0"/>
        <v>0.46913580246913578</v>
      </c>
      <c r="K15">
        <f t="shared" si="4"/>
        <v>262.00000000019998</v>
      </c>
      <c r="L15">
        <f t="shared" si="5"/>
        <v>2.376519339655982E-2</v>
      </c>
    </row>
    <row r="16" spans="1:12" x14ac:dyDescent="0.25">
      <c r="A16" s="55" t="s">
        <v>85</v>
      </c>
      <c r="B16" s="51">
        <v>18.766666666700001</v>
      </c>
      <c r="C16" s="40">
        <v>1.521484375</v>
      </c>
      <c r="D16" s="40">
        <v>0.33124350468899999</v>
      </c>
      <c r="E16" s="40">
        <v>82</v>
      </c>
      <c r="F16" s="52">
        <v>57</v>
      </c>
      <c r="G16">
        <f t="shared" si="1"/>
        <v>4674</v>
      </c>
      <c r="H16">
        <f t="shared" si="2"/>
        <v>13.442622950819674</v>
      </c>
      <c r="I16">
        <f t="shared" si="3"/>
        <v>9.3442622950819683</v>
      </c>
      <c r="J16">
        <f t="shared" si="0"/>
        <v>2.0608465608465609</v>
      </c>
      <c r="K16">
        <f t="shared" si="4"/>
        <v>1126.000000002</v>
      </c>
      <c r="L16">
        <f t="shared" si="5"/>
        <v>0.44866845079608453</v>
      </c>
    </row>
    <row r="17" spans="1:12" x14ac:dyDescent="0.25">
      <c r="A17" s="55" t="s">
        <v>56</v>
      </c>
      <c r="B17" s="51">
        <v>18.4371166667</v>
      </c>
      <c r="C17" s="40">
        <v>4.7005208333299997</v>
      </c>
      <c r="D17" s="40">
        <v>1.00538342225</v>
      </c>
      <c r="E17" s="40">
        <v>152</v>
      </c>
      <c r="F17" s="52">
        <v>95</v>
      </c>
      <c r="G17">
        <f t="shared" si="1"/>
        <v>14440</v>
      </c>
      <c r="H17">
        <f t="shared" si="2"/>
        <v>24.918032786885249</v>
      </c>
      <c r="I17">
        <f t="shared" si="3"/>
        <v>15.57377049180328</v>
      </c>
      <c r="J17">
        <f t="shared" si="0"/>
        <v>6.3668430335097002</v>
      </c>
      <c r="K17">
        <f t="shared" si="4"/>
        <v>1106.2270000020001</v>
      </c>
      <c r="L17">
        <f t="shared" si="5"/>
        <v>1.361789185700516</v>
      </c>
    </row>
    <row r="18" spans="1:12" x14ac:dyDescent="0.25">
      <c r="A18" s="55" t="s">
        <v>86</v>
      </c>
      <c r="B18" s="51">
        <v>14.4150833333</v>
      </c>
      <c r="C18" s="40">
        <v>2.7890625</v>
      </c>
      <c r="D18" s="40">
        <v>0.46641030579300002</v>
      </c>
      <c r="E18" s="40">
        <v>126</v>
      </c>
      <c r="F18" s="52">
        <v>68</v>
      </c>
      <c r="G18">
        <f t="shared" si="1"/>
        <v>8568</v>
      </c>
      <c r="H18">
        <f t="shared" si="2"/>
        <v>20.655737704918035</v>
      </c>
      <c r="I18">
        <f t="shared" si="3"/>
        <v>11.147540983606557</v>
      </c>
      <c r="J18">
        <f t="shared" si="0"/>
        <v>3.7777777777777777</v>
      </c>
      <c r="K18">
        <f t="shared" si="4"/>
        <v>864.90499999799999</v>
      </c>
      <c r="L18">
        <f t="shared" si="5"/>
        <v>0.63175152530574885</v>
      </c>
    </row>
    <row r="19" spans="1:12" x14ac:dyDescent="0.25">
      <c r="A19" s="55" t="s">
        <v>87</v>
      </c>
      <c r="B19" s="51">
        <v>10.8084833333</v>
      </c>
      <c r="C19" s="40">
        <v>1.6901041666700001</v>
      </c>
      <c r="D19" s="40">
        <v>0.211919521079</v>
      </c>
      <c r="E19" s="40">
        <v>88</v>
      </c>
      <c r="F19" s="52">
        <v>59</v>
      </c>
      <c r="G19">
        <f t="shared" si="1"/>
        <v>5192</v>
      </c>
      <c r="H19">
        <f t="shared" si="2"/>
        <v>14.426229508196721</v>
      </c>
      <c r="I19">
        <f t="shared" si="3"/>
        <v>9.6721311475409841</v>
      </c>
      <c r="J19">
        <f t="shared" si="0"/>
        <v>2.2892416225749561</v>
      </c>
      <c r="K19">
        <f t="shared" si="4"/>
        <v>648.50899999800004</v>
      </c>
      <c r="L19">
        <f t="shared" si="5"/>
        <v>0.28704443066703089</v>
      </c>
    </row>
    <row r="20" spans="1:12" x14ac:dyDescent="0.25">
      <c r="A20" s="55" t="s">
        <v>88</v>
      </c>
      <c r="B20" s="51">
        <v>3.1</v>
      </c>
      <c r="C20" s="40">
        <v>0.1796875</v>
      </c>
      <c r="D20" s="40">
        <v>6.46207946636E-3</v>
      </c>
      <c r="E20" s="40">
        <v>23</v>
      </c>
      <c r="F20" s="52">
        <v>24</v>
      </c>
      <c r="G20">
        <f t="shared" si="1"/>
        <v>552</v>
      </c>
      <c r="H20">
        <f t="shared" si="2"/>
        <v>3.7704918032786887</v>
      </c>
      <c r="I20">
        <f t="shared" si="3"/>
        <v>3.9344262295081971</v>
      </c>
      <c r="J20">
        <f t="shared" si="0"/>
        <v>0.2433862433862434</v>
      </c>
      <c r="K20">
        <f t="shared" si="4"/>
        <v>186</v>
      </c>
      <c r="L20">
        <f t="shared" si="5"/>
        <v>8.7528695417326517E-3</v>
      </c>
    </row>
    <row r="21" spans="1:12" x14ac:dyDescent="0.25">
      <c r="A21" s="55" t="s">
        <v>89</v>
      </c>
      <c r="B21" s="51">
        <v>2.15</v>
      </c>
      <c r="C21" s="40">
        <v>1.3102213541700001</v>
      </c>
      <c r="D21" s="40">
        <v>3.26795349357E-2</v>
      </c>
      <c r="E21" s="40">
        <v>161</v>
      </c>
      <c r="F21" s="52">
        <v>25</v>
      </c>
      <c r="G21">
        <f t="shared" si="1"/>
        <v>4025</v>
      </c>
      <c r="H21">
        <f t="shared" si="2"/>
        <v>26.393442622950822</v>
      </c>
      <c r="I21">
        <f t="shared" si="3"/>
        <v>4.0983606557377055</v>
      </c>
      <c r="J21">
        <f t="shared" si="0"/>
        <v>1.7746913580246912</v>
      </c>
      <c r="K21">
        <f t="shared" si="4"/>
        <v>129</v>
      </c>
      <c r="L21">
        <f t="shared" si="5"/>
        <v>4.4264343616625131E-2</v>
      </c>
    </row>
    <row r="22" spans="1:12" x14ac:dyDescent="0.25">
      <c r="A22" s="55" t="s">
        <v>90</v>
      </c>
      <c r="B22" s="51">
        <v>5.68166666667</v>
      </c>
      <c r="C22" s="40">
        <v>1.3304036458299999</v>
      </c>
      <c r="D22" s="40">
        <v>8.7690371783599994E-2</v>
      </c>
      <c r="E22" s="40">
        <v>61</v>
      </c>
      <c r="F22" s="52">
        <v>67</v>
      </c>
      <c r="G22">
        <f t="shared" si="1"/>
        <v>4087</v>
      </c>
      <c r="H22">
        <f t="shared" si="2"/>
        <v>10</v>
      </c>
      <c r="I22">
        <f t="shared" si="3"/>
        <v>10.983606557377049</v>
      </c>
      <c r="J22">
        <f t="shared" si="0"/>
        <v>1.8020282186948855</v>
      </c>
      <c r="K22">
        <f t="shared" si="4"/>
        <v>340.90000000020001</v>
      </c>
      <c r="L22">
        <f t="shared" si="5"/>
        <v>0.11877637659579407</v>
      </c>
    </row>
    <row r="23" spans="1:12" x14ac:dyDescent="0.25">
      <c r="A23" s="55" t="s">
        <v>91</v>
      </c>
      <c r="B23" s="51">
        <v>0.166666666667</v>
      </c>
      <c r="C23" s="40">
        <v>0.875</v>
      </c>
      <c r="D23" s="40">
        <v>1.6918020108299999E-3</v>
      </c>
      <c r="E23" s="40">
        <v>24</v>
      </c>
      <c r="F23" s="52">
        <v>112</v>
      </c>
      <c r="G23">
        <f t="shared" si="1"/>
        <v>2688</v>
      </c>
      <c r="H23">
        <f t="shared" si="2"/>
        <v>3.9344262295081971</v>
      </c>
      <c r="I23">
        <f t="shared" si="3"/>
        <v>18.360655737704921</v>
      </c>
      <c r="J23">
        <f t="shared" si="0"/>
        <v>1.1851851851851851</v>
      </c>
      <c r="K23">
        <f t="shared" si="4"/>
        <v>10.00000000002</v>
      </c>
      <c r="L23">
        <f t="shared" si="5"/>
        <v>2.291541348003781E-3</v>
      </c>
    </row>
    <row r="24" spans="1:12" x14ac:dyDescent="0.25">
      <c r="A24" s="55" t="s">
        <v>92</v>
      </c>
      <c r="B24" s="51">
        <v>4.2133833333300004</v>
      </c>
      <c r="C24" s="40">
        <v>1.3046875</v>
      </c>
      <c r="D24" s="40">
        <v>6.3772025147400005E-2</v>
      </c>
      <c r="E24" s="40">
        <v>24</v>
      </c>
      <c r="F24" s="52">
        <v>167</v>
      </c>
      <c r="G24">
        <f t="shared" si="1"/>
        <v>4008</v>
      </c>
      <c r="H24">
        <f t="shared" si="2"/>
        <v>3.9344262295081971</v>
      </c>
      <c r="I24">
        <f t="shared" si="3"/>
        <v>27.377049180327869</v>
      </c>
      <c r="J24">
        <f t="shared" si="0"/>
        <v>1.7671957671957672</v>
      </c>
      <c r="K24">
        <f t="shared" si="4"/>
        <v>252.80299999980002</v>
      </c>
      <c r="L24">
        <f t="shared" si="5"/>
        <v>8.6379039353062279E-2</v>
      </c>
    </row>
    <row r="25" spans="1:12" x14ac:dyDescent="0.25">
      <c r="A25" s="80" t="s">
        <v>101</v>
      </c>
      <c r="B25" s="88">
        <v>13.3661657407</v>
      </c>
      <c r="C25" s="63">
        <v>1.22951027199</v>
      </c>
      <c r="D25" s="63">
        <f>SUM(D3:D5,D8:D16,D19:D21,D23:D24)</f>
        <v>2.3848301778839498</v>
      </c>
      <c r="E25" s="63">
        <v>62</v>
      </c>
      <c r="F25" s="64">
        <v>64</v>
      </c>
      <c r="G25" s="98">
        <f t="shared" si="1"/>
        <v>3968</v>
      </c>
      <c r="H25">
        <f t="shared" si="2"/>
        <v>10.163934426229508</v>
      </c>
      <c r="I25">
        <f t="shared" si="3"/>
        <v>10.491803278688526</v>
      </c>
      <c r="J25" s="98">
        <f>AVERAGE(J3:J5,J8:J15,J16,J19:J21,J23:J24)</f>
        <v>1.5023083307397029</v>
      </c>
      <c r="K25" s="98">
        <f t="shared" si="4"/>
        <v>801.96994444199993</v>
      </c>
      <c r="L25" s="102">
        <f>SUM(L3,L4,L5,L8,L9,L10,L11,L12,L13,L14,L15,L16,L19,L20,L21,L23,L24)</f>
        <v>3.2302461668666846</v>
      </c>
    </row>
    <row r="26" spans="1:12" x14ac:dyDescent="0.25">
      <c r="A26" s="56" t="s">
        <v>74</v>
      </c>
      <c r="B26" s="114">
        <v>14.5306444444</v>
      </c>
      <c r="C26" s="68">
        <v>2.66726345486</v>
      </c>
      <c r="D26" s="68">
        <f>SUM(D22,D17:D18,D6:D7,D2)</f>
        <v>3.0464622594675999</v>
      </c>
      <c r="E26" s="68">
        <v>119</v>
      </c>
      <c r="F26" s="113">
        <v>67</v>
      </c>
      <c r="G26" s="76">
        <f t="shared" si="1"/>
        <v>7973</v>
      </c>
      <c r="H26">
        <f t="shared" si="2"/>
        <v>19.508196721311478</v>
      </c>
      <c r="I26">
        <f t="shared" si="3"/>
        <v>10.983606557377049</v>
      </c>
      <c r="J26" s="76">
        <f>AVERAGE(J2,J6,J7,J17,J18,J22)</f>
        <v>3.6128012933568492</v>
      </c>
      <c r="K26" s="76">
        <f t="shared" si="4"/>
        <v>871.83866666400002</v>
      </c>
      <c r="L26" s="75">
        <f>SUM(L2,L6,L7,L17,L18,L22)</f>
        <v>4.1264250710324202</v>
      </c>
    </row>
    <row r="27" spans="1:12" x14ac:dyDescent="0.25">
      <c r="D27" s="127"/>
    </row>
    <row r="28" spans="1:12" x14ac:dyDescent="0.25">
      <c r="A28" s="111" t="s">
        <v>119</v>
      </c>
    </row>
    <row r="29" spans="1:12" x14ac:dyDescent="0.25">
      <c r="A29">
        <v>5172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14" sqref="G14"/>
    </sheetView>
  </sheetViews>
  <sheetFormatPr baseColWidth="10" defaultRowHeight="15" x14ac:dyDescent="0.25"/>
  <cols>
    <col min="1" max="1" width="17" customWidth="1"/>
    <col min="2" max="2" width="20" customWidth="1"/>
    <col min="3" max="3" width="12.42578125" customWidth="1"/>
    <col min="4" max="4" width="18" customWidth="1"/>
  </cols>
  <sheetData>
    <row r="1" spans="1:13" x14ac:dyDescent="0.25">
      <c r="A1" s="65" t="s">
        <v>58</v>
      </c>
      <c r="B1" s="29" t="s">
        <v>0</v>
      </c>
      <c r="C1" s="29" t="s">
        <v>1</v>
      </c>
      <c r="D1" s="29" t="s">
        <v>60</v>
      </c>
      <c r="E1" s="29" t="s">
        <v>2</v>
      </c>
      <c r="F1" s="34" t="s">
        <v>3</v>
      </c>
      <c r="G1" s="43" t="s">
        <v>122</v>
      </c>
      <c r="H1" s="43" t="s">
        <v>106</v>
      </c>
      <c r="I1" s="43" t="s">
        <v>107</v>
      </c>
      <c r="J1" s="43" t="s">
        <v>123</v>
      </c>
      <c r="K1" s="43" t="s">
        <v>121</v>
      </c>
      <c r="M1" s="132" t="s">
        <v>120</v>
      </c>
    </row>
    <row r="2" spans="1:13" x14ac:dyDescent="0.25">
      <c r="A2" s="61" t="s">
        <v>84</v>
      </c>
      <c r="B2" s="40">
        <v>22.9</v>
      </c>
      <c r="C2" s="40">
        <v>3.40234375</v>
      </c>
      <c r="D2" s="40">
        <v>2.4398853405500001</v>
      </c>
      <c r="E2" s="40">
        <v>156</v>
      </c>
      <c r="F2" s="52">
        <v>67</v>
      </c>
      <c r="G2">
        <f>E2*F2</f>
        <v>10452</v>
      </c>
      <c r="H2">
        <f>E2/6.1</f>
        <v>25.57377049180328</v>
      </c>
      <c r="I2">
        <f>F2/6.1</f>
        <v>10.983606557377049</v>
      </c>
      <c r="J2">
        <f>G2/226800 *100</f>
        <v>4.6084656084656084</v>
      </c>
      <c r="K2">
        <f t="shared" ref="K2:K14" si="0">J2*M2 /1916</f>
        <v>3.3048182390562348</v>
      </c>
      <c r="M2" s="108">
        <f t="shared" ref="M2:M16" si="1">B2*60</f>
        <v>1374</v>
      </c>
    </row>
    <row r="3" spans="1:13" x14ac:dyDescent="0.25">
      <c r="A3" s="61" t="s">
        <v>32</v>
      </c>
      <c r="B3" s="40">
        <v>31.9</v>
      </c>
      <c r="C3" s="40">
        <v>0.56966145833299997</v>
      </c>
      <c r="D3" s="40">
        <v>0.56906682215600002</v>
      </c>
      <c r="E3" s="40">
        <v>35</v>
      </c>
      <c r="F3" s="52">
        <v>50</v>
      </c>
      <c r="G3">
        <f t="shared" ref="G3:G16" si="2">E3*F3</f>
        <v>1750</v>
      </c>
      <c r="H3">
        <f t="shared" ref="H3:H16" si="3">E3/6.1</f>
        <v>5.7377049180327875</v>
      </c>
      <c r="I3">
        <f t="shared" ref="I3:I16" si="4">F3/6.1</f>
        <v>8.1967213114754109</v>
      </c>
      <c r="J3">
        <f t="shared" ref="J3:J14" si="5">G3/226800 *100</f>
        <v>0.77160493827160492</v>
      </c>
      <c r="K3">
        <f t="shared" si="0"/>
        <v>0.770799505141885</v>
      </c>
      <c r="M3" s="108">
        <f t="shared" si="1"/>
        <v>1914</v>
      </c>
    </row>
    <row r="4" spans="1:13" x14ac:dyDescent="0.25">
      <c r="A4" s="61" t="s">
        <v>31</v>
      </c>
      <c r="B4" s="40">
        <v>22.566666666700002</v>
      </c>
      <c r="C4" s="40">
        <v>1.3330078125</v>
      </c>
      <c r="D4" s="40">
        <v>0.94201074014899999</v>
      </c>
      <c r="E4" s="40">
        <v>65</v>
      </c>
      <c r="F4" s="52">
        <v>63</v>
      </c>
      <c r="G4">
        <f t="shared" si="2"/>
        <v>4095</v>
      </c>
      <c r="H4">
        <f t="shared" si="3"/>
        <v>10.655737704918034</v>
      </c>
      <c r="I4">
        <f t="shared" si="4"/>
        <v>10.327868852459018</v>
      </c>
      <c r="J4">
        <f t="shared" si="5"/>
        <v>1.8055555555555554</v>
      </c>
      <c r="K4">
        <f t="shared" si="0"/>
        <v>1.2759510554414577</v>
      </c>
      <c r="M4" s="108">
        <f t="shared" si="1"/>
        <v>1354.000000002</v>
      </c>
    </row>
    <row r="5" spans="1:13" x14ac:dyDescent="0.25">
      <c r="A5" s="61" t="s">
        <v>100</v>
      </c>
      <c r="B5" s="40">
        <v>5.5</v>
      </c>
      <c r="C5" s="40">
        <v>0.83170572916700003</v>
      </c>
      <c r="D5" s="40">
        <v>0.14324785523200001</v>
      </c>
      <c r="E5" s="40">
        <v>35</v>
      </c>
      <c r="F5" s="52">
        <v>73</v>
      </c>
      <c r="G5">
        <f t="shared" si="2"/>
        <v>2555</v>
      </c>
      <c r="H5">
        <f t="shared" si="3"/>
        <v>5.7377049180327875</v>
      </c>
      <c r="I5">
        <f t="shared" si="4"/>
        <v>11.967213114754099</v>
      </c>
      <c r="J5">
        <f t="shared" si="5"/>
        <v>1.1265432098765431</v>
      </c>
      <c r="K5">
        <f t="shared" si="0"/>
        <v>0.19402884094950901</v>
      </c>
      <c r="M5" s="108">
        <f t="shared" si="1"/>
        <v>330</v>
      </c>
    </row>
    <row r="6" spans="1:13" x14ac:dyDescent="0.25">
      <c r="A6" s="61" t="s">
        <v>56</v>
      </c>
      <c r="B6" s="40">
        <v>28.537199999999999</v>
      </c>
      <c r="C6" s="40">
        <v>3.40234375</v>
      </c>
      <c r="D6" s="40">
        <v>3.0405020061300001</v>
      </c>
      <c r="E6" s="40">
        <v>134</v>
      </c>
      <c r="F6" s="52">
        <v>78</v>
      </c>
      <c r="G6">
        <f t="shared" si="2"/>
        <v>10452</v>
      </c>
      <c r="H6">
        <f t="shared" si="3"/>
        <v>21.967213114754099</v>
      </c>
      <c r="I6">
        <f t="shared" si="4"/>
        <v>12.78688524590164</v>
      </c>
      <c r="J6">
        <f t="shared" si="5"/>
        <v>4.6084656084656084</v>
      </c>
      <c r="K6">
        <f t="shared" si="0"/>
        <v>4.1183519236504615</v>
      </c>
      <c r="M6" s="108">
        <f t="shared" si="1"/>
        <v>1712.232</v>
      </c>
    </row>
    <row r="7" spans="1:13" x14ac:dyDescent="0.25">
      <c r="A7" s="61" t="s">
        <v>76</v>
      </c>
      <c r="B7" s="40">
        <v>17.916666666699999</v>
      </c>
      <c r="C7" s="40">
        <v>2.513671875</v>
      </c>
      <c r="D7" s="40">
        <v>1.4103326021</v>
      </c>
      <c r="E7" s="40">
        <v>117</v>
      </c>
      <c r="F7" s="52">
        <v>66</v>
      </c>
      <c r="G7">
        <f t="shared" si="2"/>
        <v>7722</v>
      </c>
      <c r="H7">
        <f t="shared" si="3"/>
        <v>19.180327868852459</v>
      </c>
      <c r="I7">
        <f t="shared" si="4"/>
        <v>10.819672131147541</v>
      </c>
      <c r="J7">
        <f t="shared" si="5"/>
        <v>3.4047619047619051</v>
      </c>
      <c r="K7">
        <f t="shared" si="0"/>
        <v>1.9102917785103641</v>
      </c>
      <c r="M7" s="108">
        <f t="shared" si="1"/>
        <v>1075.000000002</v>
      </c>
    </row>
    <row r="8" spans="1:13" x14ac:dyDescent="0.25">
      <c r="A8" s="61" t="s">
        <v>99</v>
      </c>
      <c r="B8" s="40">
        <v>0.33333333333300003</v>
      </c>
      <c r="C8" s="40">
        <v>1.841796875</v>
      </c>
      <c r="D8" s="40">
        <v>1.9225437108599999E-2</v>
      </c>
      <c r="E8" s="40">
        <v>69</v>
      </c>
      <c r="F8" s="52">
        <v>82</v>
      </c>
      <c r="G8">
        <f t="shared" si="2"/>
        <v>5658</v>
      </c>
      <c r="H8">
        <f t="shared" si="3"/>
        <v>11.311475409836067</v>
      </c>
      <c r="I8">
        <f t="shared" si="4"/>
        <v>13.442622950819674</v>
      </c>
      <c r="J8">
        <f t="shared" si="5"/>
        <v>2.4947089947089949</v>
      </c>
      <c r="K8">
        <f t="shared" si="0"/>
        <v>2.604080370257307E-2</v>
      </c>
      <c r="M8" s="108">
        <f t="shared" si="1"/>
        <v>19.999999999980002</v>
      </c>
    </row>
    <row r="9" spans="1:13" x14ac:dyDescent="0.25">
      <c r="A9" s="61" t="s">
        <v>98</v>
      </c>
      <c r="B9" s="40">
        <v>15.016666666700001</v>
      </c>
      <c r="C9" s="40">
        <v>0.55208333333299997</v>
      </c>
      <c r="D9" s="40">
        <v>0.25961747564400001</v>
      </c>
      <c r="E9" s="40">
        <v>16</v>
      </c>
      <c r="F9" s="52">
        <v>106</v>
      </c>
      <c r="G9">
        <f t="shared" si="2"/>
        <v>1696</v>
      </c>
      <c r="H9">
        <f t="shared" si="3"/>
        <v>2.6229508196721314</v>
      </c>
      <c r="I9">
        <f t="shared" si="4"/>
        <v>17.377049180327869</v>
      </c>
      <c r="J9">
        <f t="shared" si="5"/>
        <v>0.74779541446208109</v>
      </c>
      <c r="K9">
        <f t="shared" si="0"/>
        <v>0.35165118394145656</v>
      </c>
      <c r="M9" s="108">
        <f t="shared" si="1"/>
        <v>901.00000000200009</v>
      </c>
    </row>
    <row r="10" spans="1:13" x14ac:dyDescent="0.25">
      <c r="A10" s="61" t="s">
        <v>97</v>
      </c>
      <c r="B10" s="40">
        <v>7.4733999999999998</v>
      </c>
      <c r="C10" s="40">
        <v>18.748697916699999</v>
      </c>
      <c r="D10" s="40">
        <v>4.3877824324799999</v>
      </c>
      <c r="E10" s="40">
        <v>238</v>
      </c>
      <c r="F10" s="52">
        <v>242</v>
      </c>
      <c r="G10">
        <f t="shared" si="2"/>
        <v>57596</v>
      </c>
      <c r="H10">
        <f t="shared" si="3"/>
        <v>39.016393442622956</v>
      </c>
      <c r="I10">
        <f t="shared" si="4"/>
        <v>39.672131147540988</v>
      </c>
      <c r="J10">
        <f t="shared" si="5"/>
        <v>25.395061728395063</v>
      </c>
      <c r="K10">
        <f t="shared" si="0"/>
        <v>5.943239696899405</v>
      </c>
      <c r="M10" s="108">
        <f t="shared" si="1"/>
        <v>448.404</v>
      </c>
    </row>
    <row r="11" spans="1:13" x14ac:dyDescent="0.25">
      <c r="A11" s="61" t="s">
        <v>96</v>
      </c>
      <c r="B11" s="40">
        <v>0.7</v>
      </c>
      <c r="C11" s="40">
        <v>10.598958333300001</v>
      </c>
      <c r="D11" s="40">
        <v>0.23233624739</v>
      </c>
      <c r="E11" s="40">
        <v>220</v>
      </c>
      <c r="F11" s="52">
        <v>148</v>
      </c>
      <c r="G11">
        <f t="shared" si="2"/>
        <v>32560</v>
      </c>
      <c r="H11">
        <f t="shared" si="3"/>
        <v>36.065573770491802</v>
      </c>
      <c r="I11">
        <f t="shared" si="4"/>
        <v>24.262295081967213</v>
      </c>
      <c r="J11">
        <f t="shared" si="5"/>
        <v>14.356261022927688</v>
      </c>
      <c r="K11">
        <f t="shared" si="0"/>
        <v>0.31469883244413516</v>
      </c>
      <c r="M11" s="108">
        <f t="shared" si="1"/>
        <v>42</v>
      </c>
    </row>
    <row r="12" spans="1:13" x14ac:dyDescent="0.25">
      <c r="A12" s="61" t="s">
        <v>95</v>
      </c>
      <c r="B12" s="40">
        <v>6.9</v>
      </c>
      <c r="C12" s="40">
        <v>3.8831380208300001</v>
      </c>
      <c r="D12" s="40">
        <v>0.83904965585900004</v>
      </c>
      <c r="E12" s="40">
        <v>79</v>
      </c>
      <c r="F12" s="52">
        <v>151</v>
      </c>
      <c r="G12">
        <f t="shared" si="2"/>
        <v>11929</v>
      </c>
      <c r="H12">
        <f t="shared" si="3"/>
        <v>12.950819672131148</v>
      </c>
      <c r="I12">
        <f t="shared" si="4"/>
        <v>24.754098360655739</v>
      </c>
      <c r="J12">
        <f t="shared" si="5"/>
        <v>5.2597001763668434</v>
      </c>
      <c r="K12">
        <f t="shared" si="0"/>
        <v>1.1364905391523348</v>
      </c>
      <c r="M12" s="108">
        <f t="shared" si="1"/>
        <v>414</v>
      </c>
    </row>
    <row r="13" spans="1:13" x14ac:dyDescent="0.25">
      <c r="A13" s="61" t="s">
        <v>94</v>
      </c>
      <c r="B13" s="40">
        <v>4.7333333333300001</v>
      </c>
      <c r="C13" s="40">
        <v>3.7356770833300001</v>
      </c>
      <c r="D13" s="40">
        <v>0.55372249043099997</v>
      </c>
      <c r="E13" s="40">
        <v>151</v>
      </c>
      <c r="F13" s="52">
        <v>76</v>
      </c>
      <c r="G13">
        <f t="shared" si="2"/>
        <v>11476</v>
      </c>
      <c r="H13">
        <f t="shared" si="3"/>
        <v>24.754098360655739</v>
      </c>
      <c r="I13">
        <f t="shared" si="4"/>
        <v>12.459016393442624</v>
      </c>
      <c r="J13">
        <f t="shared" si="5"/>
        <v>5.0599647266313932</v>
      </c>
      <c r="K13">
        <f t="shared" si="0"/>
        <v>0.75001564841456358</v>
      </c>
      <c r="M13" s="108">
        <f t="shared" si="1"/>
        <v>283.99999999980002</v>
      </c>
    </row>
    <row r="14" spans="1:13" x14ac:dyDescent="0.25">
      <c r="A14" s="61" t="s">
        <v>93</v>
      </c>
      <c r="B14" s="40">
        <v>1.95</v>
      </c>
      <c r="C14" s="40">
        <v>12.4453125</v>
      </c>
      <c r="D14" s="40">
        <v>0.75996950026099996</v>
      </c>
      <c r="E14" s="40">
        <v>162</v>
      </c>
      <c r="F14" s="52">
        <v>236</v>
      </c>
      <c r="G14">
        <f t="shared" si="2"/>
        <v>38232</v>
      </c>
      <c r="H14">
        <f t="shared" si="3"/>
        <v>26.557377049180328</v>
      </c>
      <c r="I14">
        <f t="shared" si="4"/>
        <v>38.688524590163937</v>
      </c>
      <c r="J14">
        <f t="shared" si="5"/>
        <v>16.857142857142858</v>
      </c>
      <c r="K14">
        <f t="shared" si="0"/>
        <v>1.0293766776021473</v>
      </c>
      <c r="M14" s="108">
        <f t="shared" si="1"/>
        <v>117</v>
      </c>
    </row>
    <row r="15" spans="1:13" x14ac:dyDescent="0.25">
      <c r="A15" s="61" t="s">
        <v>101</v>
      </c>
      <c r="B15" s="70">
        <v>11.9640066667</v>
      </c>
      <c r="C15" s="70">
        <v>5.6100585937499998</v>
      </c>
      <c r="D15" s="70">
        <v>11.1266885602</v>
      </c>
      <c r="E15" s="70">
        <v>115</v>
      </c>
      <c r="F15" s="112">
        <v>121</v>
      </c>
      <c r="G15">
        <f t="shared" si="2"/>
        <v>13915</v>
      </c>
      <c r="H15" s="107">
        <f t="shared" si="3"/>
        <v>18.852459016393443</v>
      </c>
      <c r="I15" s="102">
        <f t="shared" si="4"/>
        <v>19.836065573770494</v>
      </c>
      <c r="J15" s="98">
        <f>AVERAGE(J2:J5,J9:J14)</f>
        <v>7.5988095238095239</v>
      </c>
      <c r="K15" s="102">
        <f>SUM(K2:K5,K9:K14)</f>
        <v>15.071070219043129</v>
      </c>
      <c r="M15" s="80">
        <f t="shared" si="1"/>
        <v>717.84040000200002</v>
      </c>
    </row>
    <row r="16" spans="1:13" x14ac:dyDescent="0.25">
      <c r="A16" s="62" t="s">
        <v>74</v>
      </c>
      <c r="B16" s="68">
        <v>15.5957333333</v>
      </c>
      <c r="C16" s="68">
        <v>2.5859375</v>
      </c>
      <c r="D16" s="68">
        <v>4.4700600453400003</v>
      </c>
      <c r="E16" s="68">
        <v>106</v>
      </c>
      <c r="F16" s="113">
        <v>75</v>
      </c>
      <c r="G16">
        <f t="shared" si="2"/>
        <v>7950</v>
      </c>
      <c r="H16" s="74">
        <f t="shared" si="3"/>
        <v>17.377049180327869</v>
      </c>
      <c r="I16" s="75">
        <f t="shared" si="4"/>
        <v>12.295081967213115</v>
      </c>
      <c r="J16" s="76">
        <f>AVERAGE(J6:J8)</f>
        <v>3.5026455026455028</v>
      </c>
      <c r="K16" s="75">
        <f>SUM(K6,K7,K8)</f>
        <v>6.0546845058633991</v>
      </c>
      <c r="M16" s="56">
        <f t="shared" si="1"/>
        <v>935.74399999800005</v>
      </c>
    </row>
    <row r="18" spans="1:1" x14ac:dyDescent="0.25">
      <c r="A18" s="110" t="s">
        <v>119</v>
      </c>
    </row>
    <row r="19" spans="1:1" x14ac:dyDescent="0.25">
      <c r="A19">
        <v>1916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69" zoomScale="80" zoomScaleNormal="80" workbookViewId="0">
      <selection activeCell="L104" sqref="L104"/>
    </sheetView>
  </sheetViews>
  <sheetFormatPr baseColWidth="10" defaultRowHeight="15" x14ac:dyDescent="0.25"/>
  <cols>
    <col min="1" max="1" width="25.140625" style="35" customWidth="1"/>
    <col min="2" max="2" width="16.42578125" style="36" customWidth="1"/>
    <col min="3" max="3" width="16.7109375" style="2" customWidth="1"/>
    <col min="4" max="4" width="15" style="2" customWidth="1"/>
    <col min="5" max="5" width="15.28515625" style="2" customWidth="1"/>
    <col min="6" max="6" width="14.85546875" style="2" customWidth="1"/>
    <col min="7" max="7" width="17.42578125" style="2" customWidth="1"/>
    <col min="8" max="8" width="3" style="2" customWidth="1"/>
    <col min="9" max="9" width="19.42578125" style="2" customWidth="1"/>
    <col min="10" max="10" width="16.85546875" style="2" customWidth="1"/>
    <col min="11" max="12" width="15.5703125" style="2" customWidth="1"/>
    <col min="13" max="13" width="15.42578125" style="2" customWidth="1"/>
    <col min="14" max="14" width="17.28515625" style="2" customWidth="1"/>
    <col min="15" max="15" width="17.140625" customWidth="1"/>
    <col min="16" max="16" width="15.42578125" customWidth="1"/>
    <col min="17" max="17" width="14.28515625" customWidth="1"/>
  </cols>
  <sheetData>
    <row r="1" spans="1:17" x14ac:dyDescent="0.25">
      <c r="A1" s="81" t="s">
        <v>103</v>
      </c>
      <c r="B1" s="29" t="s">
        <v>101</v>
      </c>
      <c r="C1" s="29" t="s">
        <v>74</v>
      </c>
      <c r="D1" s="34" t="s">
        <v>103</v>
      </c>
      <c r="E1" s="29" t="s">
        <v>101</v>
      </c>
      <c r="F1" s="29" t="s">
        <v>74</v>
      </c>
      <c r="I1" s="128"/>
      <c r="J1" s="81" t="s">
        <v>142</v>
      </c>
      <c r="K1" s="38"/>
      <c r="L1" s="57" t="s">
        <v>144</v>
      </c>
      <c r="M1" s="38"/>
      <c r="N1" s="38" t="s">
        <v>141</v>
      </c>
      <c r="O1" s="130"/>
    </row>
    <row r="2" spans="1:17" x14ac:dyDescent="0.25">
      <c r="A2" s="60" t="s">
        <v>136</v>
      </c>
      <c r="B2" s="128">
        <v>8</v>
      </c>
      <c r="C2" s="38">
        <v>2</v>
      </c>
      <c r="D2" s="50">
        <f>(B2+C2)</f>
        <v>10</v>
      </c>
      <c r="E2" s="139">
        <f>(B2/D2)*100 %</f>
        <v>0.8</v>
      </c>
      <c r="F2" s="140">
        <f>(C2/D2)*100 %</f>
        <v>0.2</v>
      </c>
      <c r="I2" s="51"/>
      <c r="J2" s="29" t="s">
        <v>143</v>
      </c>
      <c r="K2" s="29" t="s">
        <v>145</v>
      </c>
      <c r="L2" s="29" t="s">
        <v>143</v>
      </c>
      <c r="M2" s="29" t="s">
        <v>145</v>
      </c>
      <c r="N2" s="29" t="s">
        <v>143</v>
      </c>
      <c r="O2" s="34" t="s">
        <v>145</v>
      </c>
    </row>
    <row r="3" spans="1:17" x14ac:dyDescent="0.25">
      <c r="A3" s="61" t="s">
        <v>137</v>
      </c>
      <c r="B3" s="51">
        <v>27</v>
      </c>
      <c r="C3" s="40">
        <v>1</v>
      </c>
      <c r="D3" s="52">
        <f t="shared" ref="D3:D6" si="0">(B3+C3)</f>
        <v>28</v>
      </c>
      <c r="E3" s="137">
        <f t="shared" ref="E3:E7" si="1">(B3/D3)*100 %</f>
        <v>0.9642857142857143</v>
      </c>
      <c r="F3" s="138">
        <f t="shared" ref="F3:F7" si="2">(C3/D3)*100 %</f>
        <v>3.5714285714285712E-2</v>
      </c>
      <c r="I3" s="60" t="s">
        <v>136</v>
      </c>
      <c r="J3" s="139">
        <f>E2</f>
        <v>0.8</v>
      </c>
      <c r="K3" s="139">
        <f>F2</f>
        <v>0.2</v>
      </c>
      <c r="L3" s="134">
        <f>E10</f>
        <v>0.70125786163576409</v>
      </c>
      <c r="M3" s="134">
        <f>F10</f>
        <v>0.29874213836423585</v>
      </c>
      <c r="N3" s="143">
        <f>VAR(J3,L3)</f>
        <v>4.8750049443709587E-3</v>
      </c>
      <c r="O3" s="144">
        <f>VAR(K3,M3)</f>
        <v>4.8750049443709448E-3</v>
      </c>
    </row>
    <row r="4" spans="1:17" x14ac:dyDescent="0.25">
      <c r="A4" s="61" t="s">
        <v>138</v>
      </c>
      <c r="B4" s="51">
        <v>16</v>
      </c>
      <c r="C4" s="40">
        <v>0</v>
      </c>
      <c r="D4" s="52">
        <f t="shared" si="0"/>
        <v>16</v>
      </c>
      <c r="E4" s="137">
        <f t="shared" si="1"/>
        <v>1</v>
      </c>
      <c r="F4" s="138">
        <f t="shared" si="2"/>
        <v>0</v>
      </c>
      <c r="I4" s="61" t="s">
        <v>137</v>
      </c>
      <c r="J4" s="139">
        <f>E3</f>
        <v>0.9642857142857143</v>
      </c>
      <c r="K4" s="139">
        <f>F3</f>
        <v>3.5714285714285712E-2</v>
      </c>
      <c r="L4" s="134">
        <f>E11</f>
        <v>0.99772554965902327</v>
      </c>
      <c r="M4" s="134">
        <f>F11</f>
        <v>2.2744503411712765E-3</v>
      </c>
      <c r="N4" s="143">
        <f t="shared" ref="N4:N8" si="3">VAR(J4,L4)</f>
        <v>5.5911129489700292E-4</v>
      </c>
      <c r="O4" s="144">
        <f t="shared" ref="O4:O8" si="4">VAR(K4,M4)</f>
        <v>5.591112948904977E-4</v>
      </c>
    </row>
    <row r="5" spans="1:17" x14ac:dyDescent="0.25">
      <c r="A5" s="61" t="s">
        <v>139</v>
      </c>
      <c r="B5" s="51">
        <v>18</v>
      </c>
      <c r="C5" s="40">
        <v>6</v>
      </c>
      <c r="D5" s="52">
        <f t="shared" si="0"/>
        <v>24</v>
      </c>
      <c r="E5" s="137">
        <f t="shared" si="1"/>
        <v>0.75</v>
      </c>
      <c r="F5" s="138">
        <f t="shared" si="2"/>
        <v>0.25</v>
      </c>
      <c r="I5" s="61" t="s">
        <v>138</v>
      </c>
      <c r="J5" s="139">
        <f>E4</f>
        <v>1</v>
      </c>
      <c r="K5" s="139">
        <f>F4</f>
        <v>0</v>
      </c>
      <c r="L5" s="134">
        <f>E12</f>
        <v>1</v>
      </c>
      <c r="M5" s="134">
        <f>F12</f>
        <v>0</v>
      </c>
      <c r="N5" s="143">
        <f t="shared" si="3"/>
        <v>0</v>
      </c>
      <c r="O5" s="144">
        <f t="shared" si="4"/>
        <v>0</v>
      </c>
    </row>
    <row r="6" spans="1:17" x14ac:dyDescent="0.25">
      <c r="A6" s="62" t="s">
        <v>140</v>
      </c>
      <c r="B6" s="129">
        <v>10</v>
      </c>
      <c r="C6" s="41">
        <v>3</v>
      </c>
      <c r="D6" s="53">
        <f t="shared" si="0"/>
        <v>13</v>
      </c>
      <c r="E6" s="137">
        <f t="shared" si="1"/>
        <v>0.76923076923076927</v>
      </c>
      <c r="F6" s="138">
        <f t="shared" si="2"/>
        <v>0.23076923076923078</v>
      </c>
      <c r="I6" s="61" t="s">
        <v>139</v>
      </c>
      <c r="J6" s="139">
        <f>E5</f>
        <v>0.75</v>
      </c>
      <c r="K6" s="139">
        <f>F5</f>
        <v>0.25</v>
      </c>
      <c r="L6" s="134">
        <f>E13</f>
        <v>0.7082152974503334</v>
      </c>
      <c r="M6" s="134">
        <f>F13</f>
        <v>0.29178470254907957</v>
      </c>
      <c r="N6" s="143">
        <f t="shared" si="3"/>
        <v>8.7298068358205704E-4</v>
      </c>
      <c r="O6" s="144">
        <f t="shared" si="4"/>
        <v>8.7298068355752827E-4</v>
      </c>
    </row>
    <row r="7" spans="1:17" x14ac:dyDescent="0.25">
      <c r="A7" s="62" t="s">
        <v>118</v>
      </c>
      <c r="B7" s="129">
        <f>AVERAGE(B2:B6)</f>
        <v>15.8</v>
      </c>
      <c r="C7" s="41">
        <f>AVERAGE(C2:C6)</f>
        <v>2.4</v>
      </c>
      <c r="D7" s="53">
        <f t="shared" ref="D7" si="5">AVERAGE(D2:D6)</f>
        <v>18.2</v>
      </c>
      <c r="E7" s="141">
        <f t="shared" si="1"/>
        <v>0.86813186813186816</v>
      </c>
      <c r="F7" s="142">
        <f t="shared" si="2"/>
        <v>0.13186813186813187</v>
      </c>
      <c r="I7" s="62" t="s">
        <v>140</v>
      </c>
      <c r="J7" s="139">
        <f>E6</f>
        <v>0.76923076923076927</v>
      </c>
      <c r="K7" s="139">
        <f>F6</f>
        <v>0.23076923076923078</v>
      </c>
      <c r="L7" s="134">
        <f>E14</f>
        <v>0.71856287425149701</v>
      </c>
      <c r="M7" s="134">
        <f>F14</f>
        <v>0.28143712574850299</v>
      </c>
      <c r="N7" s="143">
        <f t="shared" si="3"/>
        <v>1.2836177908152819E-3</v>
      </c>
      <c r="O7" s="144">
        <f t="shared" si="4"/>
        <v>1.2836177908152791E-3</v>
      </c>
    </row>
    <row r="8" spans="1:17" x14ac:dyDescent="0.25">
      <c r="A8" s="66"/>
      <c r="I8" s="62" t="s">
        <v>118</v>
      </c>
      <c r="J8" s="145">
        <f>E7</f>
        <v>0.86813186813186816</v>
      </c>
      <c r="K8" s="145">
        <f>F7</f>
        <v>0.13186813186813187</v>
      </c>
      <c r="L8" s="146">
        <f>E15</f>
        <v>0.86800526696903879</v>
      </c>
      <c r="M8" s="146">
        <f>F15</f>
        <v>0.13199473303094678</v>
      </c>
      <c r="N8" s="147">
        <f t="shared" si="3"/>
        <v>8.0139272148737031E-9</v>
      </c>
      <c r="O8" s="148">
        <f t="shared" si="4"/>
        <v>8.0139272130429671E-9</v>
      </c>
    </row>
    <row r="9" spans="1:17" x14ac:dyDescent="0.25">
      <c r="A9" s="57" t="s">
        <v>104</v>
      </c>
      <c r="B9" s="63" t="s">
        <v>101</v>
      </c>
      <c r="C9" s="63" t="s">
        <v>74</v>
      </c>
      <c r="D9" s="64" t="s">
        <v>102</v>
      </c>
      <c r="E9" s="87" t="s">
        <v>101</v>
      </c>
      <c r="F9" s="87" t="s">
        <v>74</v>
      </c>
    </row>
    <row r="10" spans="1:17" x14ac:dyDescent="0.25">
      <c r="A10" s="60" t="s">
        <v>136</v>
      </c>
      <c r="B10" s="38">
        <v>2.7970353477800001</v>
      </c>
      <c r="C10" s="38">
        <v>1.1915621436699999</v>
      </c>
      <c r="D10" s="50">
        <v>3.9885974914500002</v>
      </c>
      <c r="E10" s="134">
        <f>B10/D10 *100 %</f>
        <v>0.70125786163576409</v>
      </c>
      <c r="F10" s="135">
        <f>(C10/D10)*100 %</f>
        <v>0.29874213836423585</v>
      </c>
      <c r="I10" s="57" t="s">
        <v>105</v>
      </c>
      <c r="J10" s="63" t="s">
        <v>101</v>
      </c>
      <c r="K10" s="63" t="s">
        <v>74</v>
      </c>
      <c r="L10" s="64" t="s">
        <v>102</v>
      </c>
      <c r="N10" s="57" t="s">
        <v>108</v>
      </c>
      <c r="O10" s="63" t="s">
        <v>101</v>
      </c>
      <c r="P10" s="63" t="s">
        <v>74</v>
      </c>
      <c r="Q10" s="64" t="s">
        <v>102</v>
      </c>
    </row>
    <row r="11" spans="1:17" x14ac:dyDescent="0.25">
      <c r="A11" s="61" t="s">
        <v>137</v>
      </c>
      <c r="B11" s="40">
        <v>8.20341207349</v>
      </c>
      <c r="C11" s="40">
        <v>1.87007874016E-2</v>
      </c>
      <c r="D11" s="52">
        <v>8.2221128608900003</v>
      </c>
      <c r="E11" s="134">
        <f t="shared" ref="E11:E14" si="6">B11/D11 *100 %</f>
        <v>0.99772554965902327</v>
      </c>
      <c r="F11" s="135">
        <f t="shared" ref="F11:F14" si="7">(C11/D11)*100 %</f>
        <v>2.2744503411712765E-3</v>
      </c>
      <c r="I11" s="60" t="s">
        <v>136</v>
      </c>
      <c r="J11" s="40">
        <v>3065.2137499999999</v>
      </c>
      <c r="K11" s="40">
        <v>5223.4290000000001</v>
      </c>
      <c r="L11" s="52">
        <f>AVERAGE(J11:K11)</f>
        <v>4144.3213749999995</v>
      </c>
      <c r="N11" s="60" t="s">
        <v>136</v>
      </c>
      <c r="O11" s="38">
        <f t="shared" ref="O11:Q12" si="8">(J11)/60</f>
        <v>51.08689583333333</v>
      </c>
      <c r="P11" s="38">
        <f t="shared" si="8"/>
        <v>87.057150000000007</v>
      </c>
      <c r="Q11" s="50">
        <f t="shared" si="8"/>
        <v>69.072022916666654</v>
      </c>
    </row>
    <row r="12" spans="1:17" x14ac:dyDescent="0.25">
      <c r="A12" s="61" t="s">
        <v>138</v>
      </c>
      <c r="B12" s="40">
        <v>6.9917491749199998</v>
      </c>
      <c r="C12" s="40"/>
      <c r="D12" s="52">
        <v>6.9917491749199998</v>
      </c>
      <c r="E12" s="134">
        <f t="shared" si="6"/>
        <v>1</v>
      </c>
      <c r="F12" s="135">
        <f t="shared" si="7"/>
        <v>0</v>
      </c>
      <c r="I12" s="61" t="s">
        <v>137</v>
      </c>
      <c r="J12" s="40">
        <v>9290.4492222200006</v>
      </c>
      <c r="K12" s="40">
        <v>965</v>
      </c>
      <c r="L12" s="52">
        <f t="shared" ref="L12:L15" si="9">AVERAGE(J12:K12)</f>
        <v>5127.7246111100003</v>
      </c>
      <c r="N12" s="61" t="s">
        <v>137</v>
      </c>
      <c r="O12" s="40">
        <f t="shared" si="8"/>
        <v>154.84082037033335</v>
      </c>
      <c r="P12" s="40">
        <f t="shared" si="8"/>
        <v>16.083333333333332</v>
      </c>
      <c r="Q12" s="52">
        <f t="shared" si="8"/>
        <v>85.462076851833345</v>
      </c>
    </row>
    <row r="13" spans="1:17" x14ac:dyDescent="0.25">
      <c r="A13" s="61" t="s">
        <v>139</v>
      </c>
      <c r="B13" s="40">
        <v>2.4131274131299998</v>
      </c>
      <c r="C13" s="40">
        <v>0.99420849420799995</v>
      </c>
      <c r="D13" s="52">
        <v>3.4073359073399998</v>
      </c>
      <c r="E13" s="134">
        <f t="shared" si="6"/>
        <v>0.7082152974503334</v>
      </c>
      <c r="F13" s="135">
        <f t="shared" si="7"/>
        <v>0.29178470254907957</v>
      </c>
      <c r="I13" s="61" t="s">
        <v>138</v>
      </c>
      <c r="J13" s="40">
        <v>2877.3544375000001</v>
      </c>
      <c r="K13" s="40"/>
      <c r="L13" s="52">
        <f t="shared" si="9"/>
        <v>2877.3544375000001</v>
      </c>
      <c r="N13" s="61" t="s">
        <v>138</v>
      </c>
      <c r="O13" s="40">
        <f>(J13)/60</f>
        <v>47.955907291666669</v>
      </c>
      <c r="P13" s="40"/>
      <c r="Q13" s="52">
        <f>(L13)/60</f>
        <v>47.955907291666669</v>
      </c>
    </row>
    <row r="14" spans="1:17" x14ac:dyDescent="0.25">
      <c r="A14" s="62" t="s">
        <v>140</v>
      </c>
      <c r="B14" s="41">
        <v>3.75</v>
      </c>
      <c r="C14" s="41">
        <v>1.46875</v>
      </c>
      <c r="D14" s="53">
        <v>5.21875</v>
      </c>
      <c r="E14" s="134">
        <f t="shared" si="6"/>
        <v>0.71856287425149701</v>
      </c>
      <c r="F14" s="135">
        <f t="shared" si="7"/>
        <v>0.28143712574850299</v>
      </c>
      <c r="I14" s="61" t="s">
        <v>139</v>
      </c>
      <c r="J14" s="40">
        <v>801.96994444400002</v>
      </c>
      <c r="K14" s="40">
        <v>872.83866666699998</v>
      </c>
      <c r="L14" s="52">
        <f t="shared" si="9"/>
        <v>837.40430555550006</v>
      </c>
      <c r="N14" s="61" t="s">
        <v>139</v>
      </c>
      <c r="O14" s="40">
        <f>(J14)/60</f>
        <v>13.366165740733333</v>
      </c>
      <c r="P14" s="40">
        <f>(K14)/60</f>
        <v>14.547311111116667</v>
      </c>
      <c r="Q14" s="52">
        <f>(L14)/60</f>
        <v>13.956738425925002</v>
      </c>
    </row>
    <row r="15" spans="1:17" x14ac:dyDescent="0.25">
      <c r="A15" s="59" t="s">
        <v>110</v>
      </c>
      <c r="B15" s="41">
        <f>SUM(B10:B14)/5</f>
        <v>4.8310648018639997</v>
      </c>
      <c r="C15" s="41">
        <f>SUM(C10:C14)/5</f>
        <v>0.73464428505591994</v>
      </c>
      <c r="D15" s="53">
        <f>AVERAGE(D10:D14)</f>
        <v>5.5657090869200001</v>
      </c>
      <c r="E15" s="133">
        <f>B15/D15 *100 %</f>
        <v>0.86800526696903879</v>
      </c>
      <c r="F15" s="136">
        <f>(C15/D15)*100 %</f>
        <v>0.13199473303094678</v>
      </c>
      <c r="I15" s="62" t="s">
        <v>140</v>
      </c>
      <c r="J15" s="40">
        <v>717.84040000000005</v>
      </c>
      <c r="K15" s="40">
        <v>935.74400000000003</v>
      </c>
      <c r="L15" s="52">
        <f t="shared" si="9"/>
        <v>826.79220000000009</v>
      </c>
      <c r="N15" s="62" t="s">
        <v>140</v>
      </c>
      <c r="O15" s="41">
        <f>(J15)/60</f>
        <v>11.964006666666668</v>
      </c>
      <c r="P15" s="41">
        <f>(K15)/60</f>
        <v>15.595733333333333</v>
      </c>
      <c r="Q15" s="53">
        <f>(L15)/60</f>
        <v>13.779870000000001</v>
      </c>
    </row>
    <row r="16" spans="1:17" x14ac:dyDescent="0.25">
      <c r="I16" s="59" t="s">
        <v>110</v>
      </c>
      <c r="J16" s="41">
        <f>AVERAGE(J11:J15)</f>
        <v>3350.5655508328005</v>
      </c>
      <c r="K16" s="41">
        <f>AVERAGE(K11:K15)</f>
        <v>1999.25291666675</v>
      </c>
      <c r="L16" s="53">
        <f t="shared" ref="L16" si="10">AVERAGE(L11:L15)</f>
        <v>2762.7193858330998</v>
      </c>
      <c r="N16" s="59" t="s">
        <v>110</v>
      </c>
      <c r="O16" s="41">
        <f>(J16)/60</f>
        <v>55.842759180546672</v>
      </c>
      <c r="P16" s="41">
        <f>(K16)/60</f>
        <v>33.320881944445837</v>
      </c>
      <c r="Q16" s="53">
        <f>(L16)/60</f>
        <v>46.045323097218329</v>
      </c>
    </row>
    <row r="17" spans="1:17" x14ac:dyDescent="0.25">
      <c r="H17" s="66"/>
      <c r="I17" s="66"/>
      <c r="J17" s="36"/>
      <c r="O17" s="2"/>
      <c r="Q17" s="131"/>
    </row>
    <row r="18" spans="1:17" x14ac:dyDescent="0.25">
      <c r="A18" s="57" t="s">
        <v>124</v>
      </c>
      <c r="B18" s="88" t="s">
        <v>101</v>
      </c>
      <c r="C18" s="63"/>
      <c r="D18" s="63" t="s">
        <v>74</v>
      </c>
      <c r="E18" s="63"/>
      <c r="F18" s="63" t="s">
        <v>102</v>
      </c>
      <c r="G18" s="64"/>
      <c r="I18" s="57" t="s">
        <v>115</v>
      </c>
      <c r="J18" s="63" t="s">
        <v>101</v>
      </c>
      <c r="K18" s="63" t="s">
        <v>74</v>
      </c>
      <c r="L18" s="64" t="s">
        <v>102</v>
      </c>
      <c r="N18" s="57" t="s">
        <v>112</v>
      </c>
      <c r="O18" s="63" t="s">
        <v>114</v>
      </c>
      <c r="P18" s="64" t="s">
        <v>113</v>
      </c>
      <c r="Q18" s="82" t="s">
        <v>146</v>
      </c>
    </row>
    <row r="19" spans="1:17" x14ac:dyDescent="0.25">
      <c r="A19" s="74"/>
      <c r="B19" s="114" t="s">
        <v>125</v>
      </c>
      <c r="C19" s="68" t="s">
        <v>126</v>
      </c>
      <c r="D19" s="68" t="s">
        <v>125</v>
      </c>
      <c r="E19" s="68" t="s">
        <v>126</v>
      </c>
      <c r="F19" s="68" t="s">
        <v>125</v>
      </c>
      <c r="G19" s="113" t="s">
        <v>126</v>
      </c>
      <c r="I19" s="60" t="s">
        <v>136</v>
      </c>
      <c r="J19" s="40">
        <f>(J11/O19)*100</f>
        <v>34.979045418235764</v>
      </c>
      <c r="K19" s="40">
        <f>(K11/O19) *100</f>
        <v>59.607771311194803</v>
      </c>
      <c r="L19" s="52">
        <f>(L11/O19) * 100</f>
        <v>47.293408364715276</v>
      </c>
      <c r="N19" s="60" t="s">
        <v>136</v>
      </c>
      <c r="O19" s="40">
        <v>8763</v>
      </c>
      <c r="P19" s="52">
        <f>O19/60</f>
        <v>146.05000000000001</v>
      </c>
      <c r="Q19" s="83">
        <f>ROUND(P19,0)</f>
        <v>146</v>
      </c>
    </row>
    <row r="20" spans="1:17" x14ac:dyDescent="0.25">
      <c r="A20" s="60" t="s">
        <v>136</v>
      </c>
      <c r="B20" s="118">
        <v>94</v>
      </c>
      <c r="C20" s="117">
        <v>88</v>
      </c>
      <c r="D20" s="117">
        <v>133</v>
      </c>
      <c r="E20" s="117">
        <v>84</v>
      </c>
      <c r="F20" s="38">
        <f>AVERAGE(B20,D20)</f>
        <v>113.5</v>
      </c>
      <c r="G20" s="50">
        <f>AVERAGE(C20,E20)</f>
        <v>86</v>
      </c>
      <c r="I20" s="61" t="s">
        <v>137</v>
      </c>
      <c r="J20" s="40">
        <f>(J12/O20)*100</f>
        <v>30.488478676227359</v>
      </c>
      <c r="K20" s="40">
        <f>(K12/O20) *100</f>
        <v>3.1668416907324755</v>
      </c>
      <c r="L20" s="52">
        <f>(L12/O20) * 100</f>
        <v>16.827660183479917</v>
      </c>
      <c r="N20" s="61" t="s">
        <v>137</v>
      </c>
      <c r="O20" s="40">
        <v>30472</v>
      </c>
      <c r="P20" s="52">
        <f t="shared" ref="P20:P25" si="11">O20/60</f>
        <v>507.86666666666667</v>
      </c>
      <c r="Q20" s="83">
        <f t="shared" ref="Q20:Q25" si="12">ROUND(P20,0)</f>
        <v>508</v>
      </c>
    </row>
    <row r="21" spans="1:17" x14ac:dyDescent="0.25">
      <c r="A21" s="61" t="s">
        <v>137</v>
      </c>
      <c r="B21" s="119">
        <v>69</v>
      </c>
      <c r="C21" s="17">
        <v>59</v>
      </c>
      <c r="D21" s="17">
        <v>180</v>
      </c>
      <c r="E21" s="17">
        <v>107</v>
      </c>
      <c r="F21" s="40">
        <f t="shared" ref="F21:F24" si="13">AVERAGE(B21,D21)</f>
        <v>124.5</v>
      </c>
      <c r="G21" s="52">
        <f t="shared" ref="G21:G24" si="14">AVERAGE(C21,E21)</f>
        <v>83</v>
      </c>
      <c r="I21" s="61" t="s">
        <v>138</v>
      </c>
      <c r="J21" s="40">
        <f>(J13/O21)*100</f>
        <v>47.543860500660941</v>
      </c>
      <c r="K21" s="40">
        <f>(K13/O21) *100</f>
        <v>0</v>
      </c>
      <c r="L21" s="52">
        <f>(L13/O21) * 100</f>
        <v>47.543860500660941</v>
      </c>
      <c r="N21" s="61" t="s">
        <v>138</v>
      </c>
      <c r="O21" s="40">
        <v>6052</v>
      </c>
      <c r="P21" s="52">
        <f t="shared" si="11"/>
        <v>100.86666666666666</v>
      </c>
      <c r="Q21" s="83">
        <f t="shared" si="12"/>
        <v>101</v>
      </c>
    </row>
    <row r="22" spans="1:17" x14ac:dyDescent="0.25">
      <c r="A22" s="61" t="s">
        <v>138</v>
      </c>
      <c r="B22" s="120">
        <v>59</v>
      </c>
      <c r="C22" s="115">
        <v>59</v>
      </c>
      <c r="D22" s="115"/>
      <c r="E22" s="115"/>
      <c r="F22" s="40">
        <f t="shared" si="13"/>
        <v>59</v>
      </c>
      <c r="G22" s="52">
        <f t="shared" si="14"/>
        <v>59</v>
      </c>
      <c r="I22" s="61" t="s">
        <v>139</v>
      </c>
      <c r="J22" s="40">
        <f>(J14/O22)*100</f>
        <v>15.505992738669761</v>
      </c>
      <c r="K22" s="40">
        <f>(K14/O22) *100</f>
        <v>16.876230987374321</v>
      </c>
      <c r="L22" s="52">
        <f>(L14/O22) * 100</f>
        <v>16.191111863022041</v>
      </c>
      <c r="N22" s="61" t="s">
        <v>139</v>
      </c>
      <c r="O22" s="40">
        <v>5172</v>
      </c>
      <c r="P22" s="52">
        <f t="shared" si="11"/>
        <v>86.2</v>
      </c>
      <c r="Q22" s="83">
        <f t="shared" si="12"/>
        <v>86</v>
      </c>
    </row>
    <row r="23" spans="1:17" x14ac:dyDescent="0.25">
      <c r="A23" s="61" t="s">
        <v>139</v>
      </c>
      <c r="B23" s="120">
        <v>62</v>
      </c>
      <c r="C23" s="115">
        <v>64</v>
      </c>
      <c r="D23" s="115">
        <v>119</v>
      </c>
      <c r="E23" s="115">
        <v>67</v>
      </c>
      <c r="F23" s="40">
        <f t="shared" si="13"/>
        <v>90.5</v>
      </c>
      <c r="G23" s="52">
        <f t="shared" si="14"/>
        <v>65.5</v>
      </c>
      <c r="I23" s="62" t="s">
        <v>140</v>
      </c>
      <c r="J23" s="40">
        <f>(J15/O23)*100</f>
        <v>37.46557411273487</v>
      </c>
      <c r="K23" s="40">
        <f>(K15/O23) *100</f>
        <v>48.838413361169103</v>
      </c>
      <c r="L23" s="52">
        <f>(L15/O23) * 100</f>
        <v>43.151993736951987</v>
      </c>
      <c r="N23" s="62" t="s">
        <v>140</v>
      </c>
      <c r="O23" s="40">
        <v>1916</v>
      </c>
      <c r="P23" s="52">
        <f t="shared" si="11"/>
        <v>31.933333333333334</v>
      </c>
      <c r="Q23" s="83">
        <f t="shared" si="12"/>
        <v>32</v>
      </c>
    </row>
    <row r="24" spans="1:17" x14ac:dyDescent="0.25">
      <c r="A24" s="62" t="s">
        <v>140</v>
      </c>
      <c r="B24" s="121">
        <v>115</v>
      </c>
      <c r="C24" s="116">
        <v>121</v>
      </c>
      <c r="D24" s="116">
        <v>106</v>
      </c>
      <c r="E24" s="116">
        <v>75</v>
      </c>
      <c r="F24" s="41">
        <f t="shared" si="13"/>
        <v>110.5</v>
      </c>
      <c r="G24" s="53">
        <f t="shared" si="14"/>
        <v>98</v>
      </c>
      <c r="I24" s="59" t="s">
        <v>118</v>
      </c>
      <c r="J24" s="41">
        <f>AVERAGE(J19:J23)</f>
        <v>33.196590289305746</v>
      </c>
      <c r="K24" s="41">
        <f>AVERAGE(K19,K20,21,K23)</f>
        <v>33.153256590774092</v>
      </c>
      <c r="L24" s="53">
        <f>AVERAGE(J24,K24)</f>
        <v>33.174923440039919</v>
      </c>
      <c r="N24" s="59" t="s">
        <v>117</v>
      </c>
      <c r="O24" s="41">
        <f>AVERAGE(O19:O23)</f>
        <v>10475</v>
      </c>
      <c r="P24" s="53">
        <f t="shared" si="11"/>
        <v>174.58333333333334</v>
      </c>
      <c r="Q24" s="84">
        <f t="shared" si="12"/>
        <v>175</v>
      </c>
    </row>
    <row r="25" spans="1:17" x14ac:dyDescent="0.25">
      <c r="A25" s="59" t="s">
        <v>110</v>
      </c>
      <c r="B25" s="121">
        <f>AVERAGE(B20:B24)</f>
        <v>79.8</v>
      </c>
      <c r="C25" s="116">
        <f>AVERAGE(C20:C24)</f>
        <v>78.2</v>
      </c>
      <c r="D25" s="116">
        <f t="shared" ref="D25:E25" si="15">AVERAGE(D20:D24)</f>
        <v>134.5</v>
      </c>
      <c r="E25" s="116">
        <f t="shared" si="15"/>
        <v>83.25</v>
      </c>
      <c r="F25" s="116">
        <f t="shared" ref="F25" si="16">AVERAGE(F20:F24)</f>
        <v>99.6</v>
      </c>
      <c r="G25" s="122">
        <f t="shared" ref="G25" si="17">AVERAGE(G20:G24)</f>
        <v>78.3</v>
      </c>
      <c r="N25" s="81" t="s">
        <v>116</v>
      </c>
      <c r="O25" s="85">
        <f>SUM(O19:O23)</f>
        <v>52375</v>
      </c>
      <c r="P25" s="86">
        <f t="shared" si="11"/>
        <v>872.91666666666663</v>
      </c>
      <c r="Q25" s="84">
        <f t="shared" si="12"/>
        <v>873</v>
      </c>
    </row>
    <row r="27" spans="1:17" x14ac:dyDescent="0.25">
      <c r="A27" s="57" t="s">
        <v>124</v>
      </c>
      <c r="B27" s="88" t="s">
        <v>101</v>
      </c>
      <c r="C27" s="63"/>
      <c r="D27" s="63" t="s">
        <v>74</v>
      </c>
      <c r="E27" s="63"/>
      <c r="F27" s="63" t="s">
        <v>102</v>
      </c>
      <c r="G27" s="64"/>
      <c r="I27" s="57" t="s">
        <v>130</v>
      </c>
      <c r="J27" s="63" t="s">
        <v>134</v>
      </c>
      <c r="K27" s="63" t="s">
        <v>135</v>
      </c>
      <c r="L27" s="64" t="s">
        <v>147</v>
      </c>
      <c r="N27" s="57" t="s">
        <v>133</v>
      </c>
      <c r="O27" s="63" t="s">
        <v>101</v>
      </c>
      <c r="P27" s="63" t="s">
        <v>74</v>
      </c>
      <c r="Q27" s="64" t="s">
        <v>102</v>
      </c>
    </row>
    <row r="28" spans="1:17" x14ac:dyDescent="0.25">
      <c r="A28" s="74"/>
      <c r="B28" s="123" t="s">
        <v>128</v>
      </c>
      <c r="C28" s="70" t="s">
        <v>127</v>
      </c>
      <c r="D28" s="70" t="s">
        <v>128</v>
      </c>
      <c r="E28" s="70" t="s">
        <v>127</v>
      </c>
      <c r="F28" s="70" t="s">
        <v>128</v>
      </c>
      <c r="G28" s="112" t="s">
        <v>127</v>
      </c>
      <c r="I28" s="60" t="s">
        <v>136</v>
      </c>
      <c r="J28" s="149">
        <f>'Video 1'!L27 %</f>
        <v>3.5871915162701669E-2</v>
      </c>
      <c r="K28" s="149">
        <f>'Video 1'!L28 %</f>
        <v>5.0267466502597759E-2</v>
      </c>
      <c r="L28" s="152">
        <f>AVERAGE(J28:K28)</f>
        <v>4.3069690832649714E-2</v>
      </c>
      <c r="N28" s="60" t="s">
        <v>136</v>
      </c>
      <c r="O28" s="154">
        <f>'Video 1'!M27 %</f>
        <v>8.8586712696720513E-2</v>
      </c>
      <c r="P28" s="155">
        <f>'Video 1'!M28 %</f>
        <v>7.0795152686312438E-2</v>
      </c>
      <c r="Q28" s="160">
        <f>SUM(O28,P28)</f>
        <v>0.15938186538303295</v>
      </c>
    </row>
    <row r="29" spans="1:17" x14ac:dyDescent="0.25">
      <c r="A29" s="60" t="s">
        <v>136</v>
      </c>
      <c r="B29" s="118">
        <f>'Video 1'!E27</f>
        <v>15.409836065573771</v>
      </c>
      <c r="C29" s="117">
        <f>'Video 1'!F27</f>
        <v>14.426229508196721</v>
      </c>
      <c r="D29" s="117">
        <f>'Video 1'!E28</f>
        <v>21.803278688524593</v>
      </c>
      <c r="E29" s="117">
        <f>'Video 1'!F28</f>
        <v>13.77049180327869</v>
      </c>
      <c r="F29" s="38">
        <f>AVERAGE(B29,D29)</f>
        <v>18.606557377049182</v>
      </c>
      <c r="G29" s="50">
        <f>AVERAGE(C29,E29)</f>
        <v>14.098360655737705</v>
      </c>
      <c r="I29" s="61" t="s">
        <v>137</v>
      </c>
      <c r="J29" s="150">
        <f>'Video 2'!N29 %</f>
        <v>1.8584316917650244E-2</v>
      </c>
      <c r="K29" s="150">
        <f>'Video 2'!N30 %</f>
        <v>8.4920634920634924E-2</v>
      </c>
      <c r="L29" s="135">
        <f>AVERAGE(J29:K29)</f>
        <v>5.1752475919142588E-2</v>
      </c>
      <c r="N29" s="61" t="s">
        <v>137</v>
      </c>
      <c r="O29" s="156">
        <f>'Video 2'!P29 %</f>
        <v>0.19246792804093876</v>
      </c>
      <c r="P29" s="157">
        <f>'Video 2'!P30 %</f>
        <v>2.6893020706958148E-3</v>
      </c>
      <c r="Q29" s="161">
        <f t="shared" ref="Q29:Q32" si="18">SUM(O29,P29)</f>
        <v>0.19515723011163458</v>
      </c>
    </row>
    <row r="30" spans="1:17" x14ac:dyDescent="0.25">
      <c r="A30" s="61" t="s">
        <v>137</v>
      </c>
      <c r="B30" s="119">
        <f>'Video 2'!H29</f>
        <v>11.311475409836067</v>
      </c>
      <c r="C30" s="17">
        <f>'Video 2'!I29</f>
        <v>9.6721311475409841</v>
      </c>
      <c r="D30" s="17">
        <f>'Video 2'!H30</f>
        <v>29.508196721311478</v>
      </c>
      <c r="E30" s="17">
        <f>'Video 2'!I30</f>
        <v>17.540983606557379</v>
      </c>
      <c r="F30" s="40">
        <f t="shared" ref="F30:F33" si="19">AVERAGE(B30,D30)</f>
        <v>20.409836065573771</v>
      </c>
      <c r="G30" s="52">
        <f t="shared" ref="G30:G33" si="20">AVERAGE(C30,E30)</f>
        <v>13.606557377049182</v>
      </c>
      <c r="I30" s="61" t="s">
        <v>138</v>
      </c>
      <c r="J30" s="150">
        <f>'Video 3'!M18 %</f>
        <v>1.4918430335097002E-2</v>
      </c>
      <c r="K30" s="150"/>
      <c r="L30" s="135">
        <f>AVERAGE(J30:K30)</f>
        <v>1.4918430335097002E-2</v>
      </c>
      <c r="N30" s="61" t="s">
        <v>138</v>
      </c>
      <c r="O30" s="156">
        <f>'Video 3'!O18 %</f>
        <v>0.13491435115850128</v>
      </c>
      <c r="P30" s="157"/>
      <c r="Q30" s="161">
        <f t="shared" si="18"/>
        <v>0.13491435115850128</v>
      </c>
    </row>
    <row r="31" spans="1:17" x14ac:dyDescent="0.25">
      <c r="A31" s="61" t="s">
        <v>138</v>
      </c>
      <c r="B31" s="120">
        <f>'Video 3'!H18</f>
        <v>9.6721311475409841</v>
      </c>
      <c r="C31" s="115">
        <f>'Video 3'!I18</f>
        <v>9.6721311475409841</v>
      </c>
      <c r="D31" s="115"/>
      <c r="E31" s="115"/>
      <c r="F31" s="40">
        <f t="shared" si="19"/>
        <v>9.6721311475409841</v>
      </c>
      <c r="G31" s="52">
        <f t="shared" si="20"/>
        <v>9.6721311475409841</v>
      </c>
      <c r="I31" s="61" t="s">
        <v>139</v>
      </c>
      <c r="J31" s="150">
        <f>'Video 4'!J25 %</f>
        <v>1.5023083307397029E-2</v>
      </c>
      <c r="K31" s="150">
        <f>'Video 4'!J26 %</f>
        <v>3.6128012933568494E-2</v>
      </c>
      <c r="L31" s="135">
        <f>AVERAGE(J31:K31)</f>
        <v>2.5575548120482763E-2</v>
      </c>
      <c r="N31" s="61" t="s">
        <v>139</v>
      </c>
      <c r="O31" s="156">
        <f>'Video 4'!L25 %</f>
        <v>3.2302461668666849E-2</v>
      </c>
      <c r="P31" s="157">
        <f>'Video 4'!L26 %</f>
        <v>4.1264250710324205E-2</v>
      </c>
      <c r="Q31" s="161">
        <f t="shared" si="18"/>
        <v>7.3566712378991053E-2</v>
      </c>
    </row>
    <row r="32" spans="1:17" x14ac:dyDescent="0.25">
      <c r="A32" s="61" t="s">
        <v>139</v>
      </c>
      <c r="B32" s="120">
        <f>'Video 4'!H25</f>
        <v>10.163934426229508</v>
      </c>
      <c r="C32" s="115">
        <f>'Video 4'!I25</f>
        <v>10.491803278688526</v>
      </c>
      <c r="D32" s="115">
        <f>'Video 4'!H26</f>
        <v>19.508196721311478</v>
      </c>
      <c r="E32" s="115">
        <f>'Video 4'!I26</f>
        <v>10.983606557377049</v>
      </c>
      <c r="F32" s="40">
        <f t="shared" si="19"/>
        <v>14.836065573770494</v>
      </c>
      <c r="G32" s="52">
        <f t="shared" si="20"/>
        <v>10.737704918032787</v>
      </c>
      <c r="I32" s="62" t="s">
        <v>140</v>
      </c>
      <c r="J32" s="151">
        <f>'Video 5'!J15 %</f>
        <v>7.5988095238095243E-2</v>
      </c>
      <c r="K32" s="151">
        <f>'Video 5'!J16 %</f>
        <v>3.5026455026455031E-2</v>
      </c>
      <c r="L32" s="153">
        <f>AVERAGE(J32:K32)</f>
        <v>5.5507275132275137E-2</v>
      </c>
      <c r="N32" s="62" t="s">
        <v>140</v>
      </c>
      <c r="O32" s="156">
        <f>'Video 5'!K15 %</f>
        <v>0.15071070219043128</v>
      </c>
      <c r="P32" s="157">
        <f>'Video 5'!K16 %</f>
        <v>6.0546845058633988E-2</v>
      </c>
      <c r="Q32" s="161">
        <f t="shared" si="18"/>
        <v>0.21125754724906526</v>
      </c>
    </row>
    <row r="33" spans="1:17" x14ac:dyDescent="0.25">
      <c r="A33" s="62" t="s">
        <v>140</v>
      </c>
      <c r="B33" s="120">
        <f>'Video 5'!H15</f>
        <v>18.852459016393443</v>
      </c>
      <c r="C33" s="115">
        <f>'Video 5'!I15</f>
        <v>19.836065573770494</v>
      </c>
      <c r="D33" s="115">
        <f>'Video 5'!H16</f>
        <v>17.377049180327869</v>
      </c>
      <c r="E33" s="115">
        <f>'Video 5'!I16</f>
        <v>12.295081967213115</v>
      </c>
      <c r="F33" s="40">
        <f t="shared" si="19"/>
        <v>18.114754098360656</v>
      </c>
      <c r="G33" s="52">
        <f t="shared" si="20"/>
        <v>16.065573770491802</v>
      </c>
      <c r="I33" s="59" t="s">
        <v>148</v>
      </c>
      <c r="J33" s="151">
        <f>AVERAGE(J28:J32)</f>
        <v>3.2077168192188241E-2</v>
      </c>
      <c r="K33" s="151">
        <f>AVERAGE(K28,K29,K31,K32)</f>
        <v>5.1585642345814045E-2</v>
      </c>
      <c r="L33" s="153">
        <f>AVERAGE(L28:L32)</f>
        <v>3.8164684067929437E-2</v>
      </c>
      <c r="N33" s="81" t="s">
        <v>149</v>
      </c>
      <c r="O33" s="158">
        <f>AVERAGE(O28:O32)</f>
        <v>0.11979643115105174</v>
      </c>
      <c r="P33" s="159">
        <f t="shared" ref="P33:Q33" si="21">AVERAGE(P28:P32)</f>
        <v>4.3823887631491615E-2</v>
      </c>
      <c r="Q33" s="162">
        <f t="shared" si="21"/>
        <v>0.15485554125624504</v>
      </c>
    </row>
    <row r="34" spans="1:17" x14ac:dyDescent="0.25">
      <c r="A34" s="59" t="s">
        <v>110</v>
      </c>
      <c r="B34" s="124">
        <f>AVERAGE(B29:B33)</f>
        <v>13.081967213114755</v>
      </c>
      <c r="C34" s="125">
        <f t="shared" ref="C34:E34" si="22">AVERAGE(C29:C33)</f>
        <v>12.819672131147541</v>
      </c>
      <c r="D34" s="125">
        <f t="shared" si="22"/>
        <v>22.049180327868854</v>
      </c>
      <c r="E34" s="125">
        <f t="shared" si="22"/>
        <v>13.647540983606559</v>
      </c>
      <c r="F34" s="125">
        <f>AVERAGE(B34,D34)</f>
        <v>17.565573770491802</v>
      </c>
      <c r="G34" s="126">
        <f>AVERAGE(C34,E34)</f>
        <v>13.233606557377051</v>
      </c>
      <c r="H34" s="66"/>
    </row>
    <row r="36" spans="1:17" x14ac:dyDescent="0.25">
      <c r="I36" s="57" t="s">
        <v>129</v>
      </c>
      <c r="J36" s="63" t="s">
        <v>134</v>
      </c>
      <c r="K36" s="63" t="s">
        <v>135</v>
      </c>
      <c r="L36" s="64" t="s">
        <v>132</v>
      </c>
      <c r="N36" s="57" t="s">
        <v>131</v>
      </c>
      <c r="O36" s="63" t="s">
        <v>101</v>
      </c>
      <c r="P36" s="63" t="s">
        <v>74</v>
      </c>
      <c r="Q36" s="64" t="s">
        <v>102</v>
      </c>
    </row>
    <row r="37" spans="1:17" x14ac:dyDescent="0.25">
      <c r="I37" s="60" t="s">
        <v>136</v>
      </c>
      <c r="J37" s="128">
        <f>'Video 1'!L12</f>
        <v>2.7329915364583335</v>
      </c>
      <c r="K37" s="38">
        <f>'Video 1'!L13</f>
        <v>3.829752604166667</v>
      </c>
      <c r="L37" s="50">
        <f>AVERAGE(J37:K37)</f>
        <v>3.2813720703125</v>
      </c>
      <c r="N37" s="60" t="s">
        <v>136</v>
      </c>
      <c r="O37" s="128">
        <f>'Video 1'!M12</f>
        <v>6.7492001735813938</v>
      </c>
      <c r="P37" s="38">
        <f>'Video 1'!M13</f>
        <v>5.3937056952884292</v>
      </c>
      <c r="Q37" s="50">
        <f>SUM(O37,P37)</f>
        <v>12.142905868869823</v>
      </c>
    </row>
    <row r="38" spans="1:17" x14ac:dyDescent="0.25">
      <c r="I38" s="61" t="s">
        <v>137</v>
      </c>
      <c r="J38" s="51">
        <f>'Video 2'!C29</f>
        <v>1.372045272436154</v>
      </c>
      <c r="K38" s="40">
        <f>'Video 2'!C30</f>
        <v>6.26953125</v>
      </c>
      <c r="L38" s="52">
        <f t="shared" ref="L38:L41" si="23">AVERAGE(J38:K38)</f>
        <v>3.8207882612180768</v>
      </c>
      <c r="N38" s="61" t="s">
        <v>137</v>
      </c>
      <c r="O38" s="51">
        <f>'Video 2'!D29</f>
        <v>14.209546249881214</v>
      </c>
      <c r="P38" s="40">
        <f>'Video 2'!D30</f>
        <v>0.19854612943899999</v>
      </c>
      <c r="Q38" s="52">
        <f>SUM(O38,P38)</f>
        <v>14.408092379320214</v>
      </c>
    </row>
    <row r="39" spans="1:17" x14ac:dyDescent="0.25">
      <c r="I39" s="61" t="s">
        <v>138</v>
      </c>
      <c r="J39" s="51">
        <f>'Video 3'!C18</f>
        <v>1.1013997395839374</v>
      </c>
      <c r="K39" s="40"/>
      <c r="L39" s="52">
        <f t="shared" si="23"/>
        <v>1.1013997395839374</v>
      </c>
      <c r="N39" s="61" t="s">
        <v>138</v>
      </c>
      <c r="O39" s="51">
        <f>'Video 3'!D18</f>
        <v>9.9604735816182988</v>
      </c>
      <c r="P39" s="40"/>
      <c r="Q39" s="52">
        <f>SUM(O39,P39)</f>
        <v>9.9604735816182988</v>
      </c>
    </row>
    <row r="40" spans="1:17" x14ac:dyDescent="0.25">
      <c r="I40" s="61" t="s">
        <v>139</v>
      </c>
      <c r="J40" s="51">
        <f>'Video 4'!C25</f>
        <v>1.22951027199</v>
      </c>
      <c r="K40" s="40">
        <f>'Video 4'!C26</f>
        <v>2.66726345486</v>
      </c>
      <c r="L40" s="52">
        <f t="shared" si="23"/>
        <v>1.9483868634250001</v>
      </c>
      <c r="N40" s="61" t="s">
        <v>139</v>
      </c>
      <c r="O40" s="51">
        <f>'Video 4'!D25</f>
        <v>2.3848301778839498</v>
      </c>
      <c r="P40" s="40">
        <f>'Video 4'!D26</f>
        <v>3.0464622594675999</v>
      </c>
      <c r="Q40" s="52">
        <f>SUM(O40,P40)</f>
        <v>5.4312924373515497</v>
      </c>
    </row>
    <row r="41" spans="1:17" x14ac:dyDescent="0.25">
      <c r="I41" s="62" t="s">
        <v>140</v>
      </c>
      <c r="J41" s="51">
        <f>'Video 5'!C15</f>
        <v>5.6100585937499998</v>
      </c>
      <c r="K41" s="40">
        <f>'Video 5'!C16</f>
        <v>2.5859375</v>
      </c>
      <c r="L41" s="52">
        <f t="shared" si="23"/>
        <v>4.0979980468750004</v>
      </c>
      <c r="N41" s="62" t="s">
        <v>140</v>
      </c>
      <c r="O41" s="51">
        <f>'Video 5'!D15</f>
        <v>11.1266885602</v>
      </c>
      <c r="P41" s="40">
        <f>'Video 5'!D16</f>
        <v>4.4700600453400003</v>
      </c>
      <c r="Q41" s="52">
        <f>SUM(O41,P41)</f>
        <v>15.59674860554</v>
      </c>
    </row>
    <row r="42" spans="1:17" x14ac:dyDescent="0.25">
      <c r="I42" s="81" t="s">
        <v>118</v>
      </c>
      <c r="J42" s="89">
        <f>AVERAGE(J37:J41)</f>
        <v>2.4092010828436847</v>
      </c>
      <c r="K42" s="85">
        <f>AVERAGE(K37:K41)</f>
        <v>3.8381212022566671</v>
      </c>
      <c r="L42" s="86">
        <f>AVERAGE(L37:L41)</f>
        <v>2.849988996282903</v>
      </c>
      <c r="N42" s="81" t="s">
        <v>118</v>
      </c>
      <c r="O42" s="89">
        <f>AVERAGE(O37:O41)</f>
        <v>8.8861477486329719</v>
      </c>
      <c r="P42" s="85">
        <f>AVERAGE(P37:P41)</f>
        <v>3.2771935323837575</v>
      </c>
      <c r="Q42" s="86">
        <f>AVERAGE(Q37:Q41)</f>
        <v>11.507902574539978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Video 1</vt:lpstr>
      <vt:lpstr>Video 2</vt:lpstr>
      <vt:lpstr>Video 3</vt:lpstr>
      <vt:lpstr>Video 4</vt:lpstr>
      <vt:lpstr>Video 5</vt:lpstr>
      <vt:lpstr>Stats</vt:lpstr>
      <vt:lpstr>'Video 1'!output_1</vt:lpstr>
      <vt:lpstr>'Video 2'!output_2</vt:lpstr>
      <vt:lpstr>'Video 3'!output_3_tab</vt:lpstr>
      <vt:lpstr>'Video 4'!output_4_tab</vt:lpstr>
      <vt:lpstr>'Video 5'!output_5_tab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2012-08-15T13:22:47Z</dcterms:created>
  <dcterms:modified xsi:type="dcterms:W3CDTF">2012-08-20T19:15:41Z</dcterms:modified>
</cp:coreProperties>
</file>