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<sst xmlns="http://schemas.openxmlformats.org/spreadsheetml/2006/main" count="2670" uniqueCount="509">
  <si>
    <t>-</t>
  </si>
  <si>
    <t>date</t>
  </si>
  <si>
    <t>payment amount</t>
  </si>
  <si>
    <t xml:space="preserve">reference </t>
  </si>
  <si>
    <t>source</t>
  </si>
  <si>
    <t>interest</t>
  </si>
  <si>
    <t>remaining amout</t>
  </si>
  <si>
    <t>t-mobile</t>
  </si>
  <si>
    <t>chase</t>
  </si>
  <si>
    <t>oge</t>
  </si>
  <si>
    <t>best buy</t>
  </si>
  <si>
    <t>BOA</t>
  </si>
  <si>
    <t>rent april</t>
  </si>
  <si>
    <t>att</t>
  </si>
  <si>
    <t>4N97MYW9R04QPJB</t>
  </si>
  <si>
    <t>american expre</t>
  </si>
  <si>
    <t>BOA credit card</t>
  </si>
  <si>
    <t>chase 9057</t>
  </si>
  <si>
    <t>chase 7965</t>
  </si>
  <si>
    <t>paypal</t>
  </si>
  <si>
    <t>boa</t>
  </si>
  <si>
    <t>citicards</t>
  </si>
  <si>
    <t>4P97MYW9K03R5Z5</t>
  </si>
  <si>
    <t>boa credit card</t>
  </si>
  <si>
    <t>american express</t>
  </si>
  <si>
    <t>W7224</t>
  </si>
  <si>
    <t>og&amp;e</t>
  </si>
  <si>
    <t>chase credit (700)</t>
  </si>
  <si>
    <t>chase credit (2500)</t>
  </si>
  <si>
    <t>BOA credit</t>
  </si>
  <si>
    <t>Car</t>
  </si>
  <si>
    <t>ready</t>
  </si>
  <si>
    <t>citi</t>
  </si>
  <si>
    <t>discover</t>
  </si>
  <si>
    <t>58RB-CG38-M2ND</t>
  </si>
  <si>
    <t>valero</t>
  </si>
  <si>
    <t>capitalone</t>
  </si>
  <si>
    <t>B1B21SBBB8</t>
  </si>
  <si>
    <t>tmobile</t>
  </si>
  <si>
    <t>bestbuy</t>
  </si>
  <si>
    <t>allstate</t>
  </si>
  <si>
    <t>total</t>
  </si>
  <si>
    <t>Auguest</t>
  </si>
  <si>
    <t>4Q77MYW9O01PV5C</t>
  </si>
  <si>
    <t>W5794</t>
  </si>
  <si>
    <t>4QM6-238N-8G9D</t>
  </si>
  <si>
    <t>735N4JG</t>
  </si>
  <si>
    <t>B1B21SBBB9</t>
  </si>
  <si>
    <t>rent</t>
  </si>
  <si>
    <t>CHASE</t>
  </si>
  <si>
    <t>BAO</t>
  </si>
  <si>
    <t>4QM6-2C1Q-97C4</t>
  </si>
  <si>
    <t>D4GGZBH</t>
  </si>
  <si>
    <t>B1B21SBBCB</t>
  </si>
  <si>
    <t>4S27MYW9D01WJDM</t>
  </si>
  <si>
    <t>Auguest 2015</t>
  </si>
  <si>
    <t>4QM6-2NQC-PYR5</t>
  </si>
  <si>
    <t>chse</t>
  </si>
  <si>
    <t>MPGMSZH</t>
  </si>
  <si>
    <t>B1B21SBBCC</t>
  </si>
  <si>
    <t>4SV7MYW9P022T01</t>
  </si>
  <si>
    <t>septemer 2015</t>
  </si>
  <si>
    <t>JMHGQ-2W8P3</t>
  </si>
  <si>
    <t>4QM6-2ZCC-8JZH</t>
  </si>
  <si>
    <t>FSDSMPJ</t>
  </si>
  <si>
    <t>B1B21SBBCD</t>
  </si>
  <si>
    <t>4TT7MYW9T03FL3L</t>
  </si>
  <si>
    <t>W5092</t>
  </si>
  <si>
    <t>W3368</t>
  </si>
  <si>
    <t>Chase</t>
  </si>
  <si>
    <t>JQHXY-L0BGR</t>
  </si>
  <si>
    <t>58RB-DXP5-NR90</t>
  </si>
  <si>
    <t>JMX6CLK</t>
  </si>
  <si>
    <t>B1B21SBBCF</t>
  </si>
  <si>
    <t>chasae</t>
  </si>
  <si>
    <t>4VQ7MYW9V044Q32</t>
  </si>
  <si>
    <t>W1676</t>
  </si>
  <si>
    <t>4QM6-3MG7-1CQR</t>
  </si>
  <si>
    <t>B1B21SBBCG</t>
  </si>
  <si>
    <t>4X17MYW9W04WN36</t>
  </si>
  <si>
    <t>W0770</t>
  </si>
  <si>
    <t>W0964</t>
  </si>
  <si>
    <t>JYLVQ-4912B</t>
  </si>
  <si>
    <t>4QM6-3VVH-38RQ</t>
  </si>
  <si>
    <t>laxmi</t>
  </si>
  <si>
    <t>4Y07MYW9O04Q6S3</t>
  </si>
  <si>
    <t>Laxmi</t>
  </si>
  <si>
    <t>K1JQD-NZ4V3</t>
  </si>
  <si>
    <t>4QM6-0NDV-277M</t>
  </si>
  <si>
    <t>chsae</t>
  </si>
  <si>
    <t>cox</t>
  </si>
  <si>
    <t>205/2016</t>
  </si>
  <si>
    <t>001­6111045342915</t>
  </si>
  <si>
    <t>feb,2016</t>
  </si>
  <si>
    <t>1/23/0206</t>
  </si>
  <si>
    <t>W7484</t>
  </si>
  <si>
    <t>laxmi's BOA credit</t>
  </si>
  <si>
    <t>K46D4-3DZG6</t>
  </si>
  <si>
    <t>58RB-BCL6-31CH</t>
  </si>
  <si>
    <t>oec pament:</t>
  </si>
  <si>
    <t>car</t>
  </si>
  <si>
    <t>Discover</t>
  </si>
  <si>
    <t>n/a</t>
  </si>
  <si>
    <t>March,2016</t>
  </si>
  <si>
    <t xml:space="preserve"> </t>
  </si>
  <si>
    <t>K5PSK-WZGFN</t>
  </si>
  <si>
    <t>Car/OEC</t>
  </si>
  <si>
    <t>geico</t>
  </si>
  <si>
    <t>58RB-BLR8-7QVV</t>
  </si>
  <si>
    <t>58RB-BRZB-D5HH</t>
  </si>
  <si>
    <t>traffic ticket/norman</t>
  </si>
  <si>
    <t>tag renew</t>
  </si>
  <si>
    <t>April,2016</t>
  </si>
  <si>
    <t>W9598</t>
  </si>
  <si>
    <t>KB1VP-DP681</t>
  </si>
  <si>
    <t>Navient</t>
  </si>
  <si>
    <t>Accepted fafsa</t>
  </si>
  <si>
    <t>subsidized</t>
  </si>
  <si>
    <t>2014fall-2015spring</t>
  </si>
  <si>
    <t>58RB-C59H-R7NW</t>
  </si>
  <si>
    <t>unsubsidized</t>
  </si>
  <si>
    <t>sub loan</t>
  </si>
  <si>
    <t>6QBQF4D</t>
  </si>
  <si>
    <t>unsub</t>
  </si>
  <si>
    <t>2015fall-2016spring</t>
  </si>
  <si>
    <t>unloan</t>
  </si>
  <si>
    <t>4/29/2016(ready)</t>
  </si>
  <si>
    <t>May,2016</t>
  </si>
  <si>
    <t>spring2015</t>
  </si>
  <si>
    <t>fall2015</t>
  </si>
  <si>
    <t>KDWTT-S3D6G</t>
  </si>
  <si>
    <t>4/29/2016/5/14/2016</t>
  </si>
  <si>
    <t>143.25/70.39</t>
  </si>
  <si>
    <t>2610354722628740443</t>
  </si>
  <si>
    <t>CHASE/CHASE</t>
  </si>
  <si>
    <t>0/0</t>
  </si>
  <si>
    <t>spring2016</t>
  </si>
  <si>
    <t>KDWSG-7KD21</t>
  </si>
  <si>
    <t>toal</t>
  </si>
  <si>
    <t>4QM6-1VJL-7P33</t>
  </si>
  <si>
    <t>4/23/2016,5/14/2016/5/23/2016</t>
  </si>
  <si>
    <t>48.08/297.81/169</t>
  </si>
  <si>
    <t>B1B21SBBCL,B1B21SBBCM/B1B21SBBCN</t>
  </si>
  <si>
    <t>BOA/BOA/Chase</t>
  </si>
  <si>
    <t>0/0/0</t>
  </si>
  <si>
    <t>0/0/110</t>
  </si>
  <si>
    <t>1483866511/207033</t>
  </si>
  <si>
    <t>AE</t>
  </si>
  <si>
    <t>June,2016</t>
  </si>
  <si>
    <t>KHWR3-BCSBZ</t>
  </si>
  <si>
    <t>4QM6-2377-NBN4</t>
  </si>
  <si>
    <t>B1B21SBBCP</t>
  </si>
  <si>
    <t>AmExpress</t>
  </si>
  <si>
    <t>W8140</t>
  </si>
  <si>
    <t>KMFK7-7HZBQ</t>
  </si>
  <si>
    <t>KMFKC-G4JLY</t>
  </si>
  <si>
    <t>citi(17th)</t>
  </si>
  <si>
    <t>4QM6-289J-JRY9</t>
  </si>
  <si>
    <t>B1B21SBBCQ</t>
  </si>
  <si>
    <t>tmobile (22nd)</t>
  </si>
  <si>
    <t>AME</t>
  </si>
  <si>
    <t>cox (27th)</t>
  </si>
  <si>
    <t>Auguest, 2016</t>
  </si>
  <si>
    <t>OECU (7th)</t>
  </si>
  <si>
    <t>KPSNT-G5HVT</t>
  </si>
  <si>
    <t>iphone6</t>
  </si>
  <si>
    <t>ref#1535708504</t>
  </si>
  <si>
    <t>imei#359306060836531</t>
  </si>
  <si>
    <t>s6 laxmi</t>
  </si>
  <si>
    <t>58RB-D6QW-178Y</t>
  </si>
  <si>
    <t>ref#1535709401</t>
  </si>
  <si>
    <t>imei#353753071676446</t>
  </si>
  <si>
    <t>1534193893 cose:184777</t>
  </si>
  <si>
    <t>Americanexpress</t>
  </si>
  <si>
    <t>s6 suraj</t>
  </si>
  <si>
    <t>ref#1535709845</t>
  </si>
  <si>
    <t>paid</t>
  </si>
  <si>
    <t>imei#353753071795899</t>
  </si>
  <si>
    <t>remining#425.31</t>
  </si>
  <si>
    <t>citi (2nd)</t>
  </si>
  <si>
    <t>8/28/2016;9/9/2016;9/17/2016</t>
  </si>
  <si>
    <t>100;1500;600</t>
  </si>
  <si>
    <t>KTBWH-XNGGN;KVLZS-32C3G;KWBL0-SNRGQ</t>
  </si>
  <si>
    <t>BOA;BOA;BOA</t>
  </si>
  <si>
    <t>3137.5;1637;1037.50</t>
  </si>
  <si>
    <t>KTTFK-9P0M7</t>
  </si>
  <si>
    <t>58RB-DHDH-CXNN</t>
  </si>
  <si>
    <t>RDCMQJJ</t>
  </si>
  <si>
    <t>American express</t>
  </si>
  <si>
    <t>citi (2nd)(1564)</t>
  </si>
  <si>
    <t>40/221.17</t>
  </si>
  <si>
    <t>10/1/2016/10/16/2016</t>
  </si>
  <si>
    <t>W8238</t>
  </si>
  <si>
    <t>BOA/chase</t>
  </si>
  <si>
    <t>56.41/0</t>
  </si>
  <si>
    <t>339.77/196</t>
  </si>
  <si>
    <t>10/1/2016/0/16/2016</t>
  </si>
  <si>
    <t>45175547/45254333</t>
  </si>
  <si>
    <t>chase/BOA</t>
  </si>
  <si>
    <t>chase credit (2500)(9057)</t>
  </si>
  <si>
    <t>citi(7977)</t>
  </si>
  <si>
    <t>58RB-G05R-XY3W</t>
  </si>
  <si>
    <t>citi (2nd)simplicity</t>
  </si>
  <si>
    <t>L0MX3-116N6</t>
  </si>
  <si>
    <t>4QM6-3J2D-2HVQ/58RB-G5J1-ZQN2</t>
  </si>
  <si>
    <t>L3KM4-G8X3H</t>
  </si>
  <si>
    <t>58RB-GG6Q-BGRX</t>
  </si>
  <si>
    <t>americanexpress</t>
  </si>
  <si>
    <t>12/25/2016/01/08/2017</t>
  </si>
  <si>
    <t>131.84/200</t>
  </si>
  <si>
    <t>W7116/W6186</t>
  </si>
  <si>
    <t>25.53/~107</t>
  </si>
  <si>
    <t>12/25/2016/1/5/2017/1/15/2017</t>
  </si>
  <si>
    <t>123.77+25+167.69</t>
  </si>
  <si>
    <t>190368153/190728346/191081927</t>
  </si>
  <si>
    <t>L6M2K-D23RY</t>
  </si>
  <si>
    <t>L6M3L-SC2Q9</t>
  </si>
  <si>
    <t>4QM6-0L2N-YDGG</t>
  </si>
  <si>
    <t>Febuary,2017</t>
  </si>
  <si>
    <t>W4202</t>
  </si>
  <si>
    <t>L9N3Q-LFS04</t>
  </si>
  <si>
    <t>1/24/2017/2/12/2017</t>
  </si>
  <si>
    <t>BOA/Chase</t>
  </si>
  <si>
    <t>1/24/2017/2/04/2017/2/19/2017</t>
  </si>
  <si>
    <t>58RB-BCLY-37QN/58RB-BH68-CHRX4QM6-11RJ-RBC9</t>
  </si>
  <si>
    <t>BOA/BOA/BOA</t>
  </si>
  <si>
    <t>Capitalone(22nd)</t>
  </si>
  <si>
    <t>B1B21SBBCR</t>
  </si>
  <si>
    <t>CHASE SLATE</t>
  </si>
  <si>
    <t>2/172017</t>
  </si>
  <si>
    <t>total rim amt</t>
  </si>
  <si>
    <t>citi (2nd)simplicity(1564)</t>
  </si>
  <si>
    <t>898+269</t>
  </si>
  <si>
    <t>58RB-BXLD-QJ6P</t>
  </si>
  <si>
    <t>B1B21SBBCS</t>
  </si>
  <si>
    <t>discover(laxmi)(23)</t>
  </si>
  <si>
    <t>3/9/2017/</t>
  </si>
  <si>
    <t>89QJ-HNBZ-C355</t>
  </si>
  <si>
    <t>america express(laxmi)</t>
  </si>
  <si>
    <t>bestbuy(28)</t>
  </si>
  <si>
    <t>W3380</t>
  </si>
  <si>
    <t>3/21/2017/4/14/2017</t>
  </si>
  <si>
    <t>285.66/400</t>
  </si>
  <si>
    <t>BOA/BOA</t>
  </si>
  <si>
    <t>41.34/68.10</t>
  </si>
  <si>
    <t>3/21/2017/3/23/2017/4/01/2017</t>
  </si>
  <si>
    <t>58RB-C00Z-HH70/58RB-C02B-4L7H/58RB-C2MB-11NN</t>
  </si>
  <si>
    <t>ZSWRBZD</t>
  </si>
  <si>
    <t>B1B21SBBCT</t>
  </si>
  <si>
    <t>1683713940/020356</t>
  </si>
  <si>
    <t>okc employee</t>
  </si>
  <si>
    <t>8XXP-XLBC-502V</t>
  </si>
  <si>
    <t>752.64/125.00</t>
  </si>
  <si>
    <t>W4786/W6478</t>
  </si>
  <si>
    <t>OECU</t>
  </si>
  <si>
    <t>american express(6th)</t>
  </si>
  <si>
    <t>W1044</t>
  </si>
  <si>
    <t>LM9XB-2GNCN</t>
  </si>
  <si>
    <t>geico(19th)</t>
  </si>
  <si>
    <t>5/2/2017/5/12/2017</t>
  </si>
  <si>
    <t>58RB-CBC3-WNGY/58RB-CG2L-V49C</t>
  </si>
  <si>
    <t>RR8YSPF</t>
  </si>
  <si>
    <t>in use</t>
  </si>
  <si>
    <t>B1B21SBBCV</t>
  </si>
  <si>
    <t>groceries</t>
  </si>
  <si>
    <t>chase+BOA</t>
  </si>
  <si>
    <t>OGE</t>
  </si>
  <si>
    <t>June.2017</t>
  </si>
  <si>
    <t>insurance</t>
  </si>
  <si>
    <t>(ou summer fee)</t>
  </si>
  <si>
    <t>W7236.</t>
  </si>
  <si>
    <t>5/28/2017/06/19/2017</t>
  </si>
  <si>
    <t>50/506.80</t>
  </si>
  <si>
    <t>LQMD3-QK52R/LSVL1-358B3</t>
  </si>
  <si>
    <t>6//11/2017</t>
  </si>
  <si>
    <t>5/28/2017/6/11/2017</t>
  </si>
  <si>
    <t>300/417.04</t>
  </si>
  <si>
    <t>LQMD3-QK52R/1334286836</t>
  </si>
  <si>
    <t>net total</t>
  </si>
  <si>
    <t>B1B21SBBCW</t>
  </si>
  <si>
    <t>1723840230+161695</t>
  </si>
  <si>
    <t>americaexpress</t>
  </si>
  <si>
    <t>rent(for july)</t>
  </si>
  <si>
    <t>July.2017</t>
  </si>
  <si>
    <t>W5218.</t>
  </si>
  <si>
    <t>check</t>
  </si>
  <si>
    <t>discover(18th)</t>
  </si>
  <si>
    <t>B1B21SBBCX</t>
  </si>
  <si>
    <t>okc credit union</t>
  </si>
  <si>
    <t>rent(for august)</t>
  </si>
  <si>
    <t>Augest,2017</t>
  </si>
  <si>
    <t>W0492</t>
  </si>
  <si>
    <t>mobile</t>
  </si>
  <si>
    <t>internet</t>
  </si>
  <si>
    <t xml:space="preserve">electric </t>
  </si>
  <si>
    <t>suraj's gas</t>
  </si>
  <si>
    <t>58RB-D6NQ-L510/58RB-DCVD-3R8R/4QM6-2R9V-692B</t>
  </si>
  <si>
    <t>B1B21SBBCZ</t>
  </si>
  <si>
    <t>tution for fall,2017</t>
  </si>
  <si>
    <t>8/17/20179/2/2017</t>
  </si>
  <si>
    <t>2700+99.05</t>
  </si>
  <si>
    <t xml:space="preserve">132410938049748/122424927366091
                                                </t>
  </si>
  <si>
    <t>W3092</t>
  </si>
  <si>
    <t>M1KBB-9WKCY</t>
  </si>
  <si>
    <t>Ready</t>
  </si>
  <si>
    <t>58RB-DHDH-D3W24QM6-2WZX-HMPM</t>
  </si>
  <si>
    <t>B1B21SBBC0</t>
  </si>
  <si>
    <t>W8874</t>
  </si>
  <si>
    <t>58RB-DV68-7VB4</t>
  </si>
  <si>
    <t>10/03/2017/10/13/2017</t>
  </si>
  <si>
    <t>B1B21SBBC3/B1B21SBBC4</t>
  </si>
  <si>
    <t>Amexpress</t>
  </si>
  <si>
    <t>W8756</t>
  </si>
  <si>
    <t>58RB-G2VX-66J4/58RB-G5J1-ZWCR</t>
  </si>
  <si>
    <t>B1B21SBBC5</t>
  </si>
  <si>
    <t>ameri express</t>
  </si>
  <si>
    <t>11/25/2017+12/09/2017</t>
  </si>
  <si>
    <t>W2632</t>
  </si>
  <si>
    <t>12/09/2017/12/29/2017</t>
  </si>
  <si>
    <t>204280349\ 204892163</t>
  </si>
  <si>
    <t>BOA\BOA</t>
  </si>
  <si>
    <t>BOA+CHASE</t>
  </si>
  <si>
    <t>12/092017</t>
  </si>
  <si>
    <t>58RB-GBHJ-M154</t>
  </si>
  <si>
    <t>B1B21SBBC6</t>
  </si>
  <si>
    <t>American blue</t>
  </si>
  <si>
    <t>12/22/0217</t>
  </si>
  <si>
    <t>/</t>
  </si>
  <si>
    <t>12/29/2017/1/6/2018</t>
  </si>
  <si>
    <t>350/974.66</t>
  </si>
  <si>
    <t>W5056/W3192</t>
  </si>
  <si>
    <t>~29</t>
  </si>
  <si>
    <t>adress chase</t>
  </si>
  <si>
    <t>800-272-9741</t>
  </si>
  <si>
    <t>58RB-B6GY-5MYN</t>
  </si>
  <si>
    <t>B1B21SBBC7</t>
  </si>
  <si>
    <t>delta(Ame Exp)(23rd)</t>
  </si>
  <si>
    <t>W9876</t>
  </si>
  <si>
    <t>oge(lindsey A) 26th</t>
  </si>
  <si>
    <t>ameri delta</t>
  </si>
  <si>
    <t>fab,2018</t>
  </si>
  <si>
    <t>W5344</t>
  </si>
  <si>
    <t>og&amp;e(9th)</t>
  </si>
  <si>
    <t>done</t>
  </si>
  <si>
    <t>2/2/2018-2/18/2018-2/18/2018</t>
  </si>
  <si>
    <t>188.44+124+105.31</t>
  </si>
  <si>
    <t>BOA-Chase-BOA</t>
  </si>
  <si>
    <t>2/2/2018/2/5/2018</t>
  </si>
  <si>
    <t>500+400</t>
  </si>
  <si>
    <t>58RB-BH5L-LDP0/4QM6-0WRB-97CD</t>
  </si>
  <si>
    <t>B1B21SBBC8</t>
  </si>
  <si>
    <t>AME express</t>
  </si>
  <si>
    <t>M4252</t>
  </si>
  <si>
    <t>001-6111-045405721</t>
  </si>
  <si>
    <t>Ame express</t>
  </si>
  <si>
    <t>rent(for March)</t>
  </si>
  <si>
    <t>car tag</t>
  </si>
  <si>
    <t>58RB-BPCB-R6X4</t>
  </si>
  <si>
    <t>Amerexpress</t>
  </si>
  <si>
    <t>W9158</t>
  </si>
  <si>
    <t>rent(for April)</t>
  </si>
  <si>
    <t>W9892</t>
  </si>
  <si>
    <t>phone best buy</t>
  </si>
  <si>
    <t>Order #</t>
  </si>
  <si>
    <t>citi(17th) 7977</t>
  </si>
  <si>
    <t>BBYTX-805539424361</t>
  </si>
  <si>
    <t>4QM6-1HW6-215N</t>
  </si>
  <si>
    <t>W1816</t>
  </si>
  <si>
    <t>W0198</t>
  </si>
  <si>
    <t>electric</t>
  </si>
  <si>
    <t>phone</t>
  </si>
  <si>
    <t>disover</t>
  </si>
  <si>
    <t>58RB-C7YY-7MXP</t>
  </si>
  <si>
    <t>gas</t>
  </si>
  <si>
    <t>delta</t>
  </si>
  <si>
    <t>geroceries</t>
  </si>
  <si>
    <t>student loan</t>
  </si>
  <si>
    <t>W0888</t>
  </si>
  <si>
    <t>4QM6-2355-684N</t>
  </si>
  <si>
    <t>Am Ex</t>
  </si>
  <si>
    <t>cox (22th)</t>
  </si>
  <si>
    <t>Am Delta</t>
  </si>
  <si>
    <t>W2132</t>
  </si>
  <si>
    <t>6/23/2018/7/7/2018</t>
  </si>
  <si>
    <t>23.99/16</t>
  </si>
  <si>
    <t>W0324</t>
  </si>
  <si>
    <t>car payment</t>
  </si>
  <si>
    <t>safty deposite</t>
  </si>
  <si>
    <t>dsicover</t>
  </si>
  <si>
    <t>4QM6-28JV-Y69H</t>
  </si>
  <si>
    <t>Ameri express</t>
  </si>
  <si>
    <t>Ameri Delta</t>
  </si>
  <si>
    <t>6/23/2018,7/24/2018</t>
  </si>
  <si>
    <t>133,0</t>
  </si>
  <si>
    <t>address change</t>
  </si>
  <si>
    <t>7/21/2018/8/17/2018</t>
  </si>
  <si>
    <t>Chase/BOA</t>
  </si>
  <si>
    <t>213324418/213324423</t>
  </si>
  <si>
    <t>week</t>
  </si>
  <si>
    <t>month</t>
  </si>
  <si>
    <t>car insurance</t>
  </si>
  <si>
    <t>net after tax</t>
  </si>
  <si>
    <t>student loam</t>
  </si>
  <si>
    <t>58RB-DCPM-W8WM</t>
  </si>
  <si>
    <t>oecu</t>
  </si>
  <si>
    <t xml:space="preserve">OECU </t>
  </si>
  <si>
    <t>rent(for september)</t>
  </si>
  <si>
    <t>Sep</t>
  </si>
  <si>
    <t>oct</t>
  </si>
  <si>
    <t>Nov</t>
  </si>
  <si>
    <t>Dec</t>
  </si>
  <si>
    <t>Septermber</t>
  </si>
  <si>
    <t>Paypal credit</t>
  </si>
  <si>
    <t xml:space="preserve">ready </t>
  </si>
  <si>
    <t>og&amp;e(17th)</t>
  </si>
  <si>
    <t>58RB-DM2L-Q7M7</t>
  </si>
  <si>
    <t>Amexpress blue</t>
  </si>
  <si>
    <t>account num</t>
  </si>
  <si>
    <t>W4184</t>
  </si>
  <si>
    <t>rent(for November)</t>
  </si>
  <si>
    <t>October</t>
  </si>
  <si>
    <t>pocket</t>
  </si>
  <si>
    <t>income</t>
  </si>
  <si>
    <t>saving</t>
  </si>
  <si>
    <t xml:space="preserve">rent </t>
  </si>
  <si>
    <t>Paypal credit(13th)</t>
  </si>
  <si>
    <t>navient</t>
  </si>
  <si>
    <t>paypal(17)</t>
  </si>
  <si>
    <t>November</t>
  </si>
  <si>
    <t>cricket(2nd)</t>
  </si>
  <si>
    <t>autopay</t>
  </si>
  <si>
    <t>simplicity citi card</t>
  </si>
  <si>
    <t>W1428</t>
  </si>
  <si>
    <t xml:space="preserve">navient </t>
  </si>
  <si>
    <t>1st pay due</t>
  </si>
  <si>
    <t>amount</t>
  </si>
  <si>
    <t xml:space="preserve">BOA </t>
  </si>
  <si>
    <t>58RB-G5DZ-HN3Y</t>
  </si>
  <si>
    <t>bestbuyciti</t>
  </si>
  <si>
    <t>29..99</t>
  </si>
  <si>
    <t>December</t>
  </si>
  <si>
    <t>auto</t>
  </si>
  <si>
    <t>expenses/month</t>
  </si>
  <si>
    <t>net</t>
  </si>
  <si>
    <t>paypal(17)(8396)</t>
  </si>
  <si>
    <t>58RB-GG4M-Y936</t>
  </si>
  <si>
    <t>good</t>
  </si>
  <si>
    <t>D7JFBGB</t>
  </si>
  <si>
    <t>B1B21SBBC9</t>
  </si>
  <si>
    <t>student</t>
  </si>
  <si>
    <t>paypal mastercard(17)(8396)</t>
  </si>
  <si>
    <t>jan</t>
  </si>
  <si>
    <t>ZB3CTHC</t>
  </si>
  <si>
    <t>cox (52th)</t>
  </si>
  <si>
    <t>P0BW6-4P08Y</t>
  </si>
  <si>
    <t>58RB-C57D-9282</t>
  </si>
  <si>
    <t>W0640</t>
  </si>
  <si>
    <t>549(chase)</t>
  </si>
  <si>
    <t>58RB-CG0H-9W6L</t>
  </si>
  <si>
    <t>W3220</t>
  </si>
  <si>
    <t>P4NT2-9WMHD</t>
  </si>
  <si>
    <t>rent(for July)</t>
  </si>
  <si>
    <t>P71MY-SBS9W</t>
  </si>
  <si>
    <t>W7162</t>
  </si>
  <si>
    <t>rent(for auguest)</t>
  </si>
  <si>
    <t>58RB-D9B6-HJVD</t>
  </si>
  <si>
    <t>W2900</t>
  </si>
  <si>
    <t>58RB-DM2L-Q8Q5</t>
  </si>
  <si>
    <t>B1B21SBBDB</t>
  </si>
  <si>
    <t>credit card payment</t>
  </si>
  <si>
    <t>rent(for October)</t>
  </si>
  <si>
    <t>M0136</t>
  </si>
  <si>
    <t>58RB-DXVN-R328</t>
  </si>
  <si>
    <t>rent(novemer)</t>
  </si>
  <si>
    <t>creditcard payment</t>
  </si>
  <si>
    <t>student(7th)</t>
  </si>
  <si>
    <t>58RB-G5D7-PM8J</t>
  </si>
  <si>
    <t>rent(for December)</t>
  </si>
  <si>
    <t>3.99 APT till8/1/2020</t>
  </si>
  <si>
    <t>W9592</t>
  </si>
  <si>
    <t>58RB-GG59-QCMN</t>
  </si>
  <si>
    <t>rent(for January)</t>
  </si>
  <si>
    <t>W7016</t>
  </si>
  <si>
    <t>OECU saving</t>
  </si>
  <si>
    <t>58RB-B6GY-5M2H</t>
  </si>
  <si>
    <t>rent(for Feburary)</t>
  </si>
  <si>
    <t>W6808</t>
  </si>
  <si>
    <t>58RB-BLWB-PPZ1</t>
  </si>
  <si>
    <t>W4854</t>
  </si>
  <si>
    <t>2/11/2020//2/16/2020</t>
  </si>
  <si>
    <t>180//550</t>
  </si>
  <si>
    <t>BOA credit 9185</t>
  </si>
  <si>
    <t>Q6STM-2Z30K</t>
  </si>
  <si>
    <t>58RB-C561-P1HC</t>
  </si>
  <si>
    <t>Q8QMK-NX7Y8</t>
  </si>
  <si>
    <t>4QM6-1PX3-98RD</t>
  </si>
  <si>
    <t>expire:6/19/2020</t>
  </si>
  <si>
    <t>rent(for june)</t>
  </si>
  <si>
    <t>1-01 Direct Loan - Subsidized</t>
  </si>
  <si>
    <t>1-02 Direct Loan - Unsubsidized</t>
  </si>
  <si>
    <t>5/29/2020/06/11/2020</t>
  </si>
  <si>
    <t>50/758</t>
  </si>
  <si>
    <t>QCRZ9-YC59K/QF3VY-ZTRR4</t>
  </si>
  <si>
    <t>1-03 Direct Loan - Subsidized</t>
  </si>
  <si>
    <t>1-04 Direct Loan - Unsubsidized</t>
  </si>
  <si>
    <t>1-05 Direct Loan - Subsidized</t>
  </si>
  <si>
    <t>1-06 Direct Loan - Unsubsidized</t>
  </si>
  <si>
    <t>1-07 Direct Loan - Subsidized</t>
  </si>
  <si>
    <t>1-08 Direct Loan - Unsubsidized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</si>
</sst>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/d/yyyy"/>
    <numFmt numFmtId="165" formatCode="mmmm,yyyy"/>
    <numFmt numFmtId="166" formatCode="mm/dd/yyyy"/>
    <numFmt numFmtId="167" formatCode="0.0"/>
    <numFmt numFmtId="168" formatCode="mmmm, yyyy"/>
    <numFmt numFmtId="169" formatCode="mm/dd"/>
    <numFmt numFmtId="170" formatCode="m/d"/>
    <numFmt numFmtId="171" formatCode="&quot;$&quot;#,##0.00"/>
    <numFmt numFmtId="172" formatCode="M/d/yyyy"/>
    <numFmt numFmtId="173" formatCode="_(&quot;$&quot;* #,##0.00_);_(&quot;$&quot;* \(#,##0.00\);_(&quot;$&quot;* &quot;-&quot;??_);_(@_)"/>
    <numFmt numFmtId="174" formatCode="m/yyyy"/>
  </numFmts>
  <fonts count="54">
    <font>
      <sz val="10.0"/>
      <color rgb="FF000000"/>
      <name val="Arial"/>
    </font>
    <font/>
    <font>
      <sz val="10.0"/>
      <color rgb="FF6A6A6A"/>
    </font>
    <font>
      <sz val="11.0"/>
      <color rgb="FF4D4E53"/>
    </font>
    <font>
      <sz val="10.0"/>
      <color rgb="FF333333"/>
    </font>
    <font>
      <sz val="8.0"/>
      <color rgb="FF333333"/>
    </font>
    <font>
      <sz val="9.0"/>
      <color rgb="FF333333"/>
    </font>
    <font>
      <sz val="11.0"/>
      <color rgb="FF303030"/>
    </font>
    <font>
      <b/>
      <sz val="9.0"/>
      <color rgb="FF50700F"/>
    </font>
    <font>
      <sz val="10.0"/>
    </font>
    <font>
      <sz val="8.0"/>
      <color rgb="FF222222"/>
    </font>
    <font>
      <sz val="11.0"/>
      <color rgb="FF080E5C"/>
    </font>
    <font>
      <sz val="9.0"/>
      <color rgb="FF333333"/>
      <name val="Arial"/>
    </font>
    <font>
      <sz val="11.0"/>
      <color rgb="FF4D4E53"/>
      <name val="Arial"/>
    </font>
    <font>
      <color rgb="FF6A6A6A"/>
      <name val="Arial"/>
    </font>
    <font>
      <b/>
    </font>
    <font>
      <sz val="9.0"/>
      <color rgb="FF50700F"/>
      <name val="Verdana"/>
    </font>
    <font>
      <sz val="8.0"/>
      <color rgb="FF222222"/>
      <name val="Arial"/>
    </font>
    <font>
      <color rgb="FF333333"/>
      <name val="BentonSans-Md"/>
    </font>
    <font>
      <color rgb="FF000000"/>
      <name val="Arial"/>
    </font>
    <font>
      <sz val="11.0"/>
      <color rgb="FF000000"/>
      <name val="Inconsolata"/>
    </font>
    <font>
      <color rgb="FF333333"/>
      <name val="HelveticaNeue"/>
    </font>
    <font>
      <color rgb="FF333333"/>
      <name val="Interstate_Light"/>
    </font>
    <font>
      <sz val="11.0"/>
      <color rgb="FF293033"/>
      <name val="Arial"/>
    </font>
    <font>
      <sz val="11.0"/>
      <color rgb="FF333333"/>
      <name val="Arial"/>
    </font>
    <font>
      <color rgb="FF4D4E53"/>
      <name val="Arial"/>
    </font>
    <font>
      <sz val="11.0"/>
      <color rgb="FF080E5C"/>
      <name val="Arial"/>
    </font>
    <font>
      <sz val="12.0"/>
      <color rgb="FF333333"/>
      <name val="Arial"/>
    </font>
    <font>
      <u/>
      <sz val="13.0"/>
      <color rgb="FFFFFFFF"/>
      <name val="Arial"/>
    </font>
    <font>
      <sz val="12.0"/>
      <color rgb="FF414042"/>
      <name val="Arial"/>
    </font>
    <font>
      <b/>
      <u/>
      <sz val="13.0"/>
      <color rgb="FFFFFFFF"/>
      <name val="Arial"/>
    </font>
    <font>
      <sz val="12.0"/>
      <color rgb="FF4D4E53"/>
      <name val="Arial"/>
    </font>
    <font>
      <sz val="15.0"/>
      <color rgb="FF00A300"/>
      <name val="ProxReg"/>
    </font>
    <font>
      <color rgb="FF00A300"/>
      <name val="ProxReg"/>
    </font>
    <font>
      <sz val="12.0"/>
      <color rgb="FF006699"/>
      <name val="Arial"/>
    </font>
    <font>
      <b/>
      <sz val="11.0"/>
      <color rgb="FF666666"/>
      <name val="Arial"/>
    </font>
    <font>
      <color rgb="FF080E5C"/>
    </font>
    <font>
      <sz val="11.0"/>
      <color rgb="FF333333"/>
      <name val="BentonSans"/>
    </font>
    <font>
      <name val="Arial"/>
    </font>
    <font>
      <sz val="8.0"/>
      <color rgb="FF4D4E53"/>
      <name val="Arial"/>
    </font>
    <font>
      <sz val="11.0"/>
      <color rgb="FF293033"/>
      <name val="Meta-Norm"/>
    </font>
    <font>
      <sz val="8.0"/>
      <color rgb="FF5A5A5A"/>
      <name val="Arial"/>
    </font>
    <font>
      <sz val="8.0"/>
      <color rgb="FF000000"/>
      <name val="Arial"/>
    </font>
    <font>
      <b/>
      <sz val="9.0"/>
      <color rgb="FF333333"/>
      <name val="Interstate_Bold"/>
    </font>
    <font>
      <sz val="9.0"/>
      <color rgb="FF252525"/>
      <name val="Open_sansregular"/>
    </font>
    <font>
      <sz val="11.0"/>
      <color rgb="FF1155CC"/>
      <name val="Inconsolata"/>
    </font>
    <font>
      <sz val="11.0"/>
      <color rgb="FF000000"/>
      <name val="Arial"/>
    </font>
    <font>
      <sz val="1.0"/>
      <color rgb="FF080E5C"/>
    </font>
    <font>
      <sz val="14.0"/>
      <color rgb="FF333333"/>
      <name val="Interstate_Bold"/>
    </font>
    <font>
      <sz val="11.0"/>
      <color rgb="FF333333"/>
      <name val="Foundation-sansregular"/>
    </font>
    <font>
      <sz val="12.0"/>
      <color rgb="FF333333"/>
      <name val="Interstate_Light"/>
    </font>
    <font>
      <u/>
      <sz val="12.0"/>
      <color rgb="FF006FBA"/>
      <name val="Latobold"/>
    </font>
    <font>
      <sz val="12.0"/>
      <color rgb="FF414042"/>
      <name val="Latoregular"/>
    </font>
    <font>
      <u/>
      <sz val="12.0"/>
      <color rgb="FF414042"/>
      <name val="Latoregula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CDC"/>
        <bgColor rgb="FFFFFCDC"/>
      </patternFill>
    </fill>
    <fill>
      <patternFill patternType="solid">
        <fgColor rgb="FFF2F2F2"/>
        <bgColor rgb="FFF2F2F2"/>
      </patternFill>
    </fill>
    <fill>
      <patternFill patternType="solid">
        <fgColor rgb="FF39AA9C"/>
        <bgColor rgb="FF39AA9C"/>
      </patternFill>
    </fill>
    <fill>
      <patternFill patternType="solid">
        <fgColor rgb="FFE8E4E7"/>
        <bgColor rgb="FFE8E4E7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9" numFmtId="14" xfId="0" applyAlignment="1" applyFont="1" applyNumberForma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" numFmtId="14" xfId="0" applyAlignment="1" applyFont="1" applyNumberFormat="1">
      <alignment readingOrder="0" shrinkToFit="0" wrapText="0"/>
    </xf>
    <xf borderId="0" fillId="2" fontId="2" numFmtId="0" xfId="0" applyFont="1"/>
    <xf borderId="0" fillId="2" fontId="6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0" fontId="1" numFmtId="1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12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2" fontId="19" numFmtId="0" xfId="0" applyAlignment="1" applyFont="1">
      <alignment horizontal="left" readingOrder="0"/>
    </xf>
    <xf borderId="0" fillId="0" fontId="1" numFmtId="2" xfId="0" applyAlignment="1" applyFont="1" applyNumberFormat="1">
      <alignment readingOrder="0"/>
    </xf>
    <xf borderId="0" fillId="2" fontId="20" numFmtId="0" xfId="0" applyFont="1"/>
    <xf borderId="0" fillId="0" fontId="1" numFmtId="0" xfId="0" applyAlignment="1" applyFont="1">
      <alignment horizontal="left" readingOrder="0"/>
    </xf>
    <xf borderId="0" fillId="2" fontId="19" numFmtId="14" xfId="0" applyAlignment="1" applyFont="1" applyNumberFormat="1">
      <alignment horizontal="right" readingOrder="0"/>
    </xf>
    <xf borderId="0" fillId="2" fontId="19" numFmtId="0" xfId="0" applyAlignment="1" applyFont="1">
      <alignment horizontal="right" readingOrder="0"/>
    </xf>
    <xf borderId="0" fillId="2" fontId="19" numFmtId="0" xfId="0" applyAlignment="1" applyFont="1">
      <alignment horizontal="right" readingOrder="0"/>
    </xf>
    <xf borderId="0" fillId="3" fontId="13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21" numFmtId="0" xfId="0" applyAlignment="1" applyFont="1">
      <alignment horizontal="left" readingOrder="0"/>
    </xf>
    <xf borderId="0" fillId="2" fontId="22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24" numFmtId="0" xfId="0" applyAlignment="1" applyFont="1">
      <alignment horizontal="left" readingOrder="0"/>
    </xf>
    <xf borderId="0" fillId="0" fontId="1" numFmtId="167" xfId="0" applyFont="1" applyNumberFormat="1"/>
    <xf borderId="0" fillId="0" fontId="1" numFmtId="168" xfId="0" applyAlignment="1" applyFont="1" applyNumberFormat="1">
      <alignment readingOrder="0"/>
    </xf>
    <xf borderId="0" fillId="3" fontId="25" numFmtId="0" xfId="0" applyAlignment="1" applyFont="1">
      <alignment readingOrder="0"/>
    </xf>
    <xf borderId="0" fillId="2" fontId="26" numFmtId="0" xfId="0" applyAlignment="1" applyFont="1">
      <alignment horizontal="left" readingOrder="0"/>
    </xf>
    <xf borderId="0" fillId="4" fontId="27" numFmtId="0" xfId="0" applyAlignment="1" applyFill="1" applyFont="1">
      <alignment readingOrder="0"/>
    </xf>
    <xf borderId="0" fillId="5" fontId="28" numFmtId="0" xfId="0" applyAlignment="1" applyFill="1" applyFont="1">
      <alignment horizontal="left" readingOrder="0"/>
    </xf>
    <xf borderId="0" fillId="2" fontId="29" numFmtId="0" xfId="0" applyAlignment="1" applyFont="1">
      <alignment readingOrder="0"/>
    </xf>
    <xf borderId="0" fillId="5" fontId="30" numFmtId="0" xfId="0" applyAlignment="1" applyFont="1">
      <alignment horizontal="left" readingOrder="0"/>
    </xf>
    <xf borderId="0" fillId="0" fontId="1" numFmtId="0" xfId="0" applyFont="1"/>
    <xf borderId="0" fillId="2" fontId="31" numFmtId="0" xfId="0" applyAlignment="1" applyFont="1">
      <alignment horizontal="left" readingOrder="0"/>
    </xf>
    <xf borderId="0" fillId="0" fontId="1" numFmtId="169" xfId="0" applyAlignment="1" applyFont="1" applyNumberFormat="1">
      <alignment readingOrder="0"/>
    </xf>
    <xf borderId="0" fillId="6" fontId="32" numFmtId="0" xfId="0" applyAlignment="1" applyFill="1" applyFont="1">
      <alignment horizontal="center" readingOrder="0"/>
    </xf>
    <xf borderId="0" fillId="0" fontId="1" numFmtId="165" xfId="0" applyAlignment="1" applyFont="1" applyNumberFormat="1">
      <alignment horizontal="left" readingOrder="0"/>
    </xf>
    <xf borderId="0" fillId="0" fontId="33" numFmtId="0" xfId="0" applyAlignment="1" applyFont="1">
      <alignment horizontal="center" readingOrder="0"/>
    </xf>
    <xf borderId="0" fillId="0" fontId="24" numFmtId="0" xfId="0" applyAlignment="1" applyFont="1">
      <alignment horizontal="left" readingOrder="0" shrinkToFit="0" wrapText="1"/>
    </xf>
    <xf borderId="0" fillId="2" fontId="34" numFmtId="0" xfId="0" applyAlignment="1" applyFont="1">
      <alignment horizontal="right" readingOrder="0"/>
    </xf>
    <xf borderId="0" fillId="4" fontId="35" numFmtId="0" xfId="0" applyAlignment="1" applyFont="1">
      <alignment horizontal="left" readingOrder="0"/>
    </xf>
    <xf borderId="0" fillId="0" fontId="36" numFmtId="0" xfId="0" applyAlignment="1" applyFont="1">
      <alignment horizontal="left" readingOrder="0"/>
    </xf>
    <xf borderId="0" fillId="0" fontId="1" numFmtId="170" xfId="0" applyAlignment="1" applyFont="1" applyNumberFormat="1">
      <alignment readingOrder="0"/>
    </xf>
    <xf borderId="0" fillId="2" fontId="37" numFmtId="0" xfId="0" applyAlignment="1" applyFont="1">
      <alignment readingOrder="0"/>
    </xf>
    <xf borderId="0" fillId="7" fontId="1" numFmtId="0" xfId="0" applyFill="1" applyFont="1"/>
    <xf borderId="0" fillId="0" fontId="15" numFmtId="0" xfId="0" applyAlignment="1" applyFont="1">
      <alignment horizontal="center" readingOrder="0"/>
    </xf>
    <xf borderId="0" fillId="0" fontId="1" numFmtId="171" xfId="0" applyFont="1" applyNumberFormat="1"/>
    <xf borderId="0" fillId="0" fontId="38" numFmtId="0" xfId="0" applyAlignment="1" applyFont="1">
      <alignment horizontal="right" readingOrder="0" vertical="bottom"/>
    </xf>
    <xf borderId="0" fillId="3" fontId="39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8" fontId="1" numFmtId="0" xfId="0" applyFill="1" applyFont="1"/>
    <xf borderId="0" fillId="9" fontId="1" numFmtId="0" xfId="0" applyAlignment="1" applyFill="1" applyFont="1">
      <alignment readingOrder="0"/>
    </xf>
    <xf borderId="0" fillId="0" fontId="1" numFmtId="172" xfId="0" applyAlignment="1" applyFont="1" applyNumberFormat="1">
      <alignment readingOrder="0"/>
    </xf>
    <xf borderId="0" fillId="8" fontId="1" numFmtId="0" xfId="0" applyAlignment="1" applyFont="1">
      <alignment readingOrder="0"/>
    </xf>
    <xf borderId="0" fillId="0" fontId="1" numFmtId="172" xfId="0" applyFont="1" applyNumberFormat="1"/>
    <xf borderId="0" fillId="2" fontId="40" numFmtId="0" xfId="0" applyAlignment="1" applyFont="1">
      <alignment readingOrder="0"/>
    </xf>
    <xf borderId="0" fillId="0" fontId="1" numFmtId="173" xfId="0" applyFont="1" applyNumberFormat="1"/>
    <xf borderId="0" fillId="0" fontId="1" numFmtId="174" xfId="0" applyAlignment="1" applyFont="1" applyNumberFormat="1">
      <alignment readingOrder="0"/>
    </xf>
    <xf borderId="0" fillId="2" fontId="41" numFmtId="0" xfId="0" applyAlignment="1" applyFont="1">
      <alignment readingOrder="0"/>
    </xf>
    <xf borderId="0" fillId="2" fontId="42" numFmtId="0" xfId="0" applyAlignment="1" applyFont="1">
      <alignment horizontal="center" readingOrder="0"/>
    </xf>
    <xf borderId="0" fillId="0" fontId="1" numFmtId="171" xfId="0" applyAlignment="1" applyFont="1" applyNumberFormat="1">
      <alignment readingOrder="0"/>
    </xf>
    <xf borderId="0" fillId="2" fontId="43" numFmtId="0" xfId="0" applyAlignment="1" applyFont="1">
      <alignment readingOrder="0"/>
    </xf>
    <xf borderId="0" fillId="0" fontId="1" numFmtId="171" xfId="0" applyAlignment="1" applyFont="1" applyNumberFormat="1">
      <alignment readingOrder="0"/>
    </xf>
    <xf borderId="0" fillId="2" fontId="44" numFmtId="0" xfId="0" applyAlignment="1" applyFont="1">
      <alignment horizontal="left" readingOrder="0"/>
    </xf>
    <xf borderId="0" fillId="2" fontId="24" numFmtId="0" xfId="0" applyAlignment="1" applyFont="1">
      <alignment horizontal="left" readingOrder="0"/>
    </xf>
    <xf borderId="0" fillId="2" fontId="26" numFmtId="0" xfId="0" applyAlignment="1" applyFont="1">
      <alignment horizontal="center" readingOrder="0"/>
    </xf>
    <xf borderId="0" fillId="10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2" fontId="45" numFmtId="0" xfId="0" applyFont="1"/>
    <xf borderId="0" fillId="2" fontId="46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2" fontId="24" numFmtId="0" xfId="0" applyAlignment="1" applyFont="1">
      <alignment horizontal="left" readingOrder="0"/>
    </xf>
    <xf borderId="0" fillId="0" fontId="47" numFmtId="0" xfId="0" applyAlignment="1" applyFont="1">
      <alignment horizontal="left" readingOrder="0"/>
    </xf>
    <xf borderId="0" fillId="2" fontId="48" numFmtId="0" xfId="0" applyAlignment="1" applyFont="1">
      <alignment horizontal="center" readingOrder="0"/>
    </xf>
    <xf borderId="0" fillId="0" fontId="49" numFmtId="0" xfId="0" applyAlignment="1" applyFont="1">
      <alignment horizontal="left" readingOrder="0"/>
    </xf>
    <xf borderId="0" fillId="2" fontId="50" numFmtId="0" xfId="0" applyAlignment="1" applyFont="1">
      <alignment readingOrder="0"/>
    </xf>
    <xf borderId="0" fillId="0" fontId="38" numFmtId="0" xfId="0" applyAlignment="1" applyFont="1">
      <alignment vertical="bottom"/>
    </xf>
    <xf borderId="1" fillId="0" fontId="38" numFmtId="0" xfId="0" applyAlignment="1" applyBorder="1" applyFont="1">
      <alignment shrinkToFit="0" vertical="bottom" wrapText="0"/>
    </xf>
    <xf borderId="0" fillId="2" fontId="51" numFmtId="0" xfId="0" applyAlignment="1" applyFont="1">
      <alignment readingOrder="0" shrinkToFit="0" vertical="top" wrapText="0"/>
    </xf>
    <xf borderId="0" fillId="2" fontId="52" numFmtId="171" xfId="0" applyAlignment="1" applyFont="1" applyNumberFormat="1">
      <alignment horizontal="right" readingOrder="0" shrinkToFit="0" wrapText="0"/>
    </xf>
    <xf borderId="0" fillId="2" fontId="52" numFmtId="10" xfId="0" applyAlignment="1" applyFont="1" applyNumberFormat="1">
      <alignment readingOrder="0" shrinkToFit="0" wrapText="0"/>
    </xf>
    <xf borderId="0" fillId="2" fontId="52" numFmtId="166" xfId="0" applyAlignment="1" applyFont="1" applyNumberFormat="1">
      <alignment readingOrder="0" shrinkToFit="0" wrapText="0"/>
    </xf>
    <xf borderId="0" fillId="2" fontId="53" numFmtId="0" xfId="0" applyAlignment="1" applyFont="1">
      <alignment readingOrder="0" shrinkToFit="0" vertical="top" wrapText="0"/>
    </xf>
    <xf borderId="0" fillId="0" fontId="1" numFmtId="171" xfId="0" applyFont="1" applyNumberFormat="1"/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account.navient.com/Loans/LoanDetails?loanId=1&amp;requestedFrom=AllLoanDetails" TargetMode="External"/><Relationship Id="rId2" Type="http://schemas.openxmlformats.org/officeDocument/2006/relationships/hyperlink" Target="https://myaccount.navient.com/Loans/LoanDetails?loanId=2&amp;requestedFrom=AllLoanDetails" TargetMode="External"/><Relationship Id="rId3" Type="http://schemas.openxmlformats.org/officeDocument/2006/relationships/hyperlink" Target="https://myaccount.navient.com/Loans/LoanDetails?loanId=3&amp;requestedFrom=AllLoanDetails" TargetMode="External"/><Relationship Id="rId4" Type="http://schemas.openxmlformats.org/officeDocument/2006/relationships/hyperlink" Target="https://myaccount.navient.com/Loans/LoanDetails?loanId=4&amp;requestedFrom=AllLoanDetail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myaccount.navient.com/Loans/LoanDetails?loanId=5&amp;requestedFrom=AllLoanDetails" TargetMode="External"/><Relationship Id="rId6" Type="http://schemas.openxmlformats.org/officeDocument/2006/relationships/hyperlink" Target="https://myaccount.navient.com/Loans/LoanDetails?loanId=6&amp;requestedFrom=AllLoanDetails" TargetMode="External"/><Relationship Id="rId7" Type="http://schemas.openxmlformats.org/officeDocument/2006/relationships/hyperlink" Target="https://myaccount.navient.com/Loans/LoanDetails?loanId=7&amp;requestedFrom=AllLoanDetails" TargetMode="External"/><Relationship Id="rId8" Type="http://schemas.openxmlformats.org/officeDocument/2006/relationships/hyperlink" Target="https://myaccount.navient.com/Loans/LoanDetails?loanId=8&amp;requestedFrom=AllLoan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0"/>
    <col customWidth="1" min="3" max="3" width="14.86"/>
    <col customWidth="1" min="4" max="4" width="22.57"/>
    <col customWidth="1" min="10" max="10" width="20.43"/>
    <col customWidth="1" min="11" max="1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42083.0</v>
      </c>
      <c r="C2" s="1">
        <v>190.04</v>
      </c>
      <c r="D2" s="3">
        <v>1.271171708E9</v>
      </c>
      <c r="E2" s="1" t="s">
        <v>8</v>
      </c>
    </row>
    <row r="3">
      <c r="A3" s="1" t="s">
        <v>9</v>
      </c>
      <c r="B3" s="2">
        <v>42083.0</v>
      </c>
      <c r="C3" s="1">
        <v>200.95</v>
      </c>
      <c r="D3" s="4">
        <v>1.64895254E8</v>
      </c>
      <c r="E3" s="1" t="s">
        <v>8</v>
      </c>
    </row>
    <row r="4">
      <c r="A4" s="1" t="s">
        <v>10</v>
      </c>
      <c r="B4" s="2">
        <v>42083.0</v>
      </c>
      <c r="C4" s="1">
        <v>50.0</v>
      </c>
      <c r="D4" s="5">
        <v>1.21648917311455E14</v>
      </c>
      <c r="E4" s="1" t="s">
        <v>11</v>
      </c>
    </row>
    <row r="5">
      <c r="A5" s="1" t="s">
        <v>12</v>
      </c>
      <c r="B5" s="2">
        <v>42062.0</v>
      </c>
      <c r="C5" s="1">
        <v>485.0</v>
      </c>
    </row>
    <row r="6">
      <c r="A6" s="1" t="s">
        <v>13</v>
      </c>
      <c r="B6" s="2">
        <v>42095.0</v>
      </c>
      <c r="C6" s="1">
        <v>127.43</v>
      </c>
      <c r="D6" s="2" t="s">
        <v>14</v>
      </c>
    </row>
    <row r="7">
      <c r="A7" s="1" t="s">
        <v>15</v>
      </c>
      <c r="B7" s="2">
        <v>42098.0</v>
      </c>
      <c r="C7" s="1">
        <v>50.0</v>
      </c>
      <c r="D7" s="1" t="s">
        <v>8</v>
      </c>
    </row>
    <row r="8">
      <c r="A8" s="1" t="s">
        <v>16</v>
      </c>
      <c r="B8" s="2">
        <v>42098.0</v>
      </c>
      <c r="C8" s="1">
        <v>50.0</v>
      </c>
      <c r="D8" s="6">
        <v>3.715999693E9</v>
      </c>
    </row>
    <row r="9">
      <c r="A9" s="1" t="s">
        <v>17</v>
      </c>
      <c r="B9" s="2">
        <v>42098.0</v>
      </c>
      <c r="C9" s="1">
        <v>50.0</v>
      </c>
      <c r="D9" s="2"/>
    </row>
    <row r="10">
      <c r="A10" s="1" t="s">
        <v>18</v>
      </c>
      <c r="B10" s="2">
        <v>42098.0</v>
      </c>
      <c r="C10" s="1">
        <v>50.0</v>
      </c>
      <c r="D10" s="2"/>
    </row>
    <row r="11">
      <c r="A11" s="1" t="s">
        <v>19</v>
      </c>
      <c r="B11" s="2">
        <v>42098.0</v>
      </c>
      <c r="C11" s="1">
        <v>50.0</v>
      </c>
      <c r="D11" s="1" t="s">
        <v>20</v>
      </c>
    </row>
    <row r="12">
      <c r="A12" s="1" t="s">
        <v>21</v>
      </c>
      <c r="B12" s="2">
        <v>42098.0</v>
      </c>
      <c r="C12" s="1">
        <v>7.99</v>
      </c>
      <c r="D12" s="1" t="s">
        <v>20</v>
      </c>
    </row>
    <row r="13">
      <c r="A13" s="2">
        <v>42125.0</v>
      </c>
      <c r="D13" s="2"/>
    </row>
    <row r="14">
      <c r="A14" s="1" t="s">
        <v>13</v>
      </c>
      <c r="B14" s="2">
        <v>42126.0</v>
      </c>
      <c r="C14" s="1">
        <v>47.54</v>
      </c>
      <c r="D14" s="7" t="s">
        <v>22</v>
      </c>
      <c r="E14" s="1" t="s">
        <v>23</v>
      </c>
    </row>
    <row r="15">
      <c r="A15" s="1" t="s">
        <v>24</v>
      </c>
      <c r="B15" s="2">
        <v>42126.0</v>
      </c>
      <c r="C15" s="1">
        <v>66.0</v>
      </c>
      <c r="D15" s="8" t="s">
        <v>25</v>
      </c>
      <c r="E15" s="1" t="s">
        <v>8</v>
      </c>
      <c r="F15" s="1">
        <v>25.62</v>
      </c>
    </row>
    <row r="16">
      <c r="A16" s="1" t="s">
        <v>26</v>
      </c>
      <c r="B16" s="2">
        <v>42126.0</v>
      </c>
      <c r="C16" s="1">
        <v>86.98</v>
      </c>
      <c r="D16" s="4">
        <v>1.6650774E8</v>
      </c>
      <c r="E16" s="1" t="s">
        <v>8</v>
      </c>
    </row>
    <row r="17">
      <c r="A17" s="1" t="s">
        <v>27</v>
      </c>
      <c r="B17" s="2">
        <v>42126.0</v>
      </c>
      <c r="C17" s="1">
        <v>80.0</v>
      </c>
      <c r="D17" s="9">
        <v>2.210455725E9</v>
      </c>
      <c r="E17" s="1" t="s">
        <v>8</v>
      </c>
      <c r="F17" s="1">
        <v>12.15</v>
      </c>
    </row>
    <row r="18">
      <c r="A18" s="1" t="s">
        <v>28</v>
      </c>
      <c r="B18" s="2">
        <v>42126.0</v>
      </c>
      <c r="C18" s="1">
        <v>100.0</v>
      </c>
      <c r="D18" s="9">
        <v>2.210457569E9</v>
      </c>
      <c r="E18" s="1" t="s">
        <v>8</v>
      </c>
      <c r="F18" s="1">
        <v>26.94</v>
      </c>
    </row>
    <row r="19">
      <c r="A19" s="1" t="s">
        <v>29</v>
      </c>
      <c r="B19" s="2">
        <v>42126.0</v>
      </c>
      <c r="C19" s="1">
        <v>250.0</v>
      </c>
      <c r="D19" s="6">
        <v>1.760097356E9</v>
      </c>
      <c r="E19" s="1" t="s">
        <v>11</v>
      </c>
      <c r="F19" s="1">
        <v>49.89</v>
      </c>
    </row>
    <row r="20">
      <c r="A20" s="1" t="s">
        <v>30</v>
      </c>
      <c r="B20" s="2">
        <v>42138.0</v>
      </c>
      <c r="C20" s="1">
        <v>394.31</v>
      </c>
      <c r="D20" s="1" t="s">
        <v>31</v>
      </c>
      <c r="E20" s="1" t="s">
        <v>11</v>
      </c>
    </row>
    <row r="21">
      <c r="A21" s="1" t="s">
        <v>32</v>
      </c>
      <c r="B21" s="10">
        <v>42141.0</v>
      </c>
      <c r="C21" s="1">
        <v>50.0</v>
      </c>
      <c r="E21" s="1" t="s">
        <v>11</v>
      </c>
    </row>
    <row r="22">
      <c r="A22" s="1" t="s">
        <v>19</v>
      </c>
      <c r="B22" s="2">
        <v>42141.0</v>
      </c>
      <c r="C22" s="1">
        <v>30.0</v>
      </c>
      <c r="E22" s="1" t="s">
        <v>11</v>
      </c>
    </row>
    <row r="23">
      <c r="A23" s="1" t="s">
        <v>33</v>
      </c>
      <c r="B23" s="2">
        <v>42141.0</v>
      </c>
      <c r="C23" s="1">
        <v>75.0</v>
      </c>
      <c r="D23" s="1" t="s">
        <v>34</v>
      </c>
      <c r="E23" s="1" t="s">
        <v>11</v>
      </c>
      <c r="F23" s="1">
        <v>30.95</v>
      </c>
    </row>
    <row r="24">
      <c r="A24" s="1" t="s">
        <v>35</v>
      </c>
      <c r="B24" s="2">
        <v>42141.0</v>
      </c>
      <c r="C24" s="1">
        <v>75.0</v>
      </c>
    </row>
    <row r="25">
      <c r="A25" s="1" t="s">
        <v>36</v>
      </c>
      <c r="B25" s="2">
        <v>42141.0</v>
      </c>
      <c r="C25" s="1">
        <v>50.0</v>
      </c>
      <c r="D25" s="5" t="s">
        <v>37</v>
      </c>
      <c r="E25" s="1" t="s">
        <v>11</v>
      </c>
    </row>
    <row r="26">
      <c r="A26" s="1" t="s">
        <v>38</v>
      </c>
      <c r="B26" s="2">
        <v>42141.0</v>
      </c>
      <c r="C26" s="1">
        <v>185.06</v>
      </c>
      <c r="D26" s="1">
        <v>1.297662674E9</v>
      </c>
      <c r="E26" s="1" t="s">
        <v>11</v>
      </c>
    </row>
    <row r="27">
      <c r="A27" s="1" t="s">
        <v>39</v>
      </c>
      <c r="B27" s="2">
        <v>42141.0</v>
      </c>
      <c r="C27" s="1">
        <v>50.0</v>
      </c>
      <c r="D27" s="5">
        <v>1.31698998931019E14</v>
      </c>
      <c r="E27" s="1" t="s">
        <v>11</v>
      </c>
    </row>
    <row r="28">
      <c r="A28" s="1" t="s">
        <v>40</v>
      </c>
      <c r="B28" s="2"/>
      <c r="C28" s="1">
        <v>127.0</v>
      </c>
      <c r="D28" s="5"/>
      <c r="E28" s="1"/>
    </row>
    <row r="29">
      <c r="A29" s="1" t="s">
        <v>41</v>
      </c>
      <c r="C29">
        <f>sum(C14:C28)</f>
        <v>1666.89</v>
      </c>
      <c r="F29">
        <f>sum(F15:F27)</f>
        <v>145.55</v>
      </c>
    </row>
    <row r="32">
      <c r="A32" s="1" t="s">
        <v>42</v>
      </c>
    </row>
    <row r="33">
      <c r="A33" s="1" t="s">
        <v>13</v>
      </c>
      <c r="B33" s="2">
        <v>42155.0</v>
      </c>
      <c r="C33" s="1">
        <v>56.54</v>
      </c>
      <c r="D33" s="7" t="s">
        <v>43</v>
      </c>
      <c r="E33" s="1" t="s">
        <v>8</v>
      </c>
    </row>
    <row r="34">
      <c r="A34" s="1" t="s">
        <v>24</v>
      </c>
      <c r="B34" s="2">
        <v>42155.0</v>
      </c>
      <c r="C34" s="1">
        <v>50.0</v>
      </c>
      <c r="D34" s="8" t="s">
        <v>44</v>
      </c>
      <c r="E34" s="1" t="s">
        <v>11</v>
      </c>
      <c r="F34" s="1">
        <v>27.76</v>
      </c>
    </row>
    <row r="35">
      <c r="A35" s="1" t="s">
        <v>26</v>
      </c>
      <c r="B35" s="2">
        <v>42155.0</v>
      </c>
      <c r="C35" s="1">
        <v>70.37</v>
      </c>
      <c r="D35" s="4">
        <v>1.67550883E8</v>
      </c>
      <c r="E35" s="1" t="s">
        <v>8</v>
      </c>
    </row>
    <row r="36">
      <c r="A36" s="1" t="s">
        <v>27</v>
      </c>
      <c r="B36" s="2">
        <v>42168.0</v>
      </c>
      <c r="C36" s="1">
        <v>60.0</v>
      </c>
      <c r="D36" s="9">
        <v>2.254100466E9</v>
      </c>
      <c r="E36" s="1" t="s">
        <v>8</v>
      </c>
      <c r="F36" s="1">
        <v>10.64</v>
      </c>
      <c r="G36" s="1">
        <v>525.06</v>
      </c>
    </row>
    <row r="37">
      <c r="A37" s="1" t="s">
        <v>28</v>
      </c>
      <c r="B37" s="2">
        <v>42168.0</v>
      </c>
      <c r="C37" s="1">
        <v>100.0</v>
      </c>
      <c r="D37" s="9">
        <v>2.2541032E9</v>
      </c>
      <c r="E37" s="1" t="s">
        <v>8</v>
      </c>
      <c r="F37" s="1">
        <v>25.48</v>
      </c>
      <c r="G37" s="1">
        <v>2308.82</v>
      </c>
    </row>
    <row r="38">
      <c r="A38" s="1" t="s">
        <v>29</v>
      </c>
      <c r="B38" s="2">
        <v>42168.0</v>
      </c>
      <c r="C38" s="1">
        <v>100.0</v>
      </c>
      <c r="D38" s="6">
        <v>1.20300141E8</v>
      </c>
      <c r="E38" s="1" t="s">
        <v>11</v>
      </c>
      <c r="F38" s="1">
        <v>48.89</v>
      </c>
      <c r="G38" s="1">
        <v>4884.64</v>
      </c>
    </row>
    <row r="39">
      <c r="A39" s="1" t="s">
        <v>30</v>
      </c>
      <c r="B39" s="2">
        <v>42168.0</v>
      </c>
      <c r="C39" s="1">
        <v>394.0</v>
      </c>
      <c r="E39" s="1" t="s">
        <v>11</v>
      </c>
    </row>
    <row r="40">
      <c r="A40" s="1" t="s">
        <v>32</v>
      </c>
      <c r="B40" s="2">
        <v>42168.0</v>
      </c>
      <c r="C40" s="1">
        <v>100.0</v>
      </c>
      <c r="D40" s="11">
        <v>1.31722275996464E14</v>
      </c>
      <c r="E40" s="1" t="s">
        <v>11</v>
      </c>
      <c r="G40" s="1">
        <v>428.38</v>
      </c>
    </row>
    <row r="41">
      <c r="A41" s="1" t="s">
        <v>19</v>
      </c>
      <c r="B41" s="2">
        <v>42168.0</v>
      </c>
      <c r="C41" s="1">
        <v>36.0</v>
      </c>
      <c r="E41" s="1" t="s">
        <v>11</v>
      </c>
      <c r="G41" s="1">
        <v>36.01</v>
      </c>
    </row>
    <row r="42">
      <c r="A42" s="1" t="s">
        <v>33</v>
      </c>
      <c r="B42" s="2">
        <v>42168.0</v>
      </c>
      <c r="C42" s="1">
        <v>100.0</v>
      </c>
      <c r="D42" s="11" t="s">
        <v>45</v>
      </c>
      <c r="E42" s="1" t="s">
        <v>8</v>
      </c>
      <c r="F42" s="1">
        <v>30.4</v>
      </c>
      <c r="G42" s="1">
        <v>3631.1</v>
      </c>
    </row>
    <row r="43">
      <c r="A43" s="1" t="s">
        <v>35</v>
      </c>
      <c r="B43" s="2">
        <v>42168.0</v>
      </c>
      <c r="C43" s="1">
        <v>100.0</v>
      </c>
      <c r="D43" s="12" t="s">
        <v>46</v>
      </c>
      <c r="E43" s="1" t="s">
        <v>8</v>
      </c>
      <c r="G43" s="1">
        <v>248.38</v>
      </c>
    </row>
    <row r="44">
      <c r="A44" s="1" t="s">
        <v>36</v>
      </c>
      <c r="B44" s="2">
        <v>42168.0</v>
      </c>
      <c r="C44" s="1">
        <v>100.0</v>
      </c>
      <c r="D44" s="5" t="s">
        <v>47</v>
      </c>
      <c r="E44" s="1" t="s">
        <v>8</v>
      </c>
      <c r="F44" s="1">
        <v>4.64</v>
      </c>
      <c r="G44" s="1">
        <v>1080.9</v>
      </c>
    </row>
    <row r="45">
      <c r="A45" s="1" t="s">
        <v>38</v>
      </c>
      <c r="C45" s="1">
        <v>167.0</v>
      </c>
      <c r="E45" s="1" t="s">
        <v>36</v>
      </c>
    </row>
    <row r="46">
      <c r="A46" s="1" t="s">
        <v>39</v>
      </c>
      <c r="B46" s="2">
        <v>42168.0</v>
      </c>
      <c r="C46" s="1">
        <v>25.0</v>
      </c>
      <c r="D46" s="5">
        <v>1.31722332171382E14</v>
      </c>
      <c r="E46" s="1" t="s">
        <v>8</v>
      </c>
      <c r="G46" s="1">
        <v>179.3</v>
      </c>
    </row>
    <row r="47">
      <c r="A47" s="1" t="s">
        <v>40</v>
      </c>
      <c r="B47" s="2">
        <v>42168.0</v>
      </c>
      <c r="C47" s="1">
        <v>126.0</v>
      </c>
    </row>
    <row r="48">
      <c r="A48" s="1" t="s">
        <v>13</v>
      </c>
      <c r="B48" s="2">
        <v>42181.0</v>
      </c>
      <c r="C48" s="1">
        <v>56.54</v>
      </c>
      <c r="D48" s="1">
        <v>1.244501774E9</v>
      </c>
    </row>
    <row r="49">
      <c r="A49" s="1" t="s">
        <v>48</v>
      </c>
      <c r="B49" s="2">
        <v>42185.0</v>
      </c>
      <c r="C49" s="1">
        <v>485.0</v>
      </c>
    </row>
    <row r="50">
      <c r="B50" s="1" t="s">
        <v>41</v>
      </c>
      <c r="C50">
        <f>sum(C33:C49)</f>
        <v>2126.45</v>
      </c>
      <c r="F50">
        <f>sum(F33:F48)</f>
        <v>147.81</v>
      </c>
    </row>
    <row r="52">
      <c r="A52" s="2">
        <v>42186.0</v>
      </c>
    </row>
    <row r="53">
      <c r="A53" s="1" t="s">
        <v>24</v>
      </c>
      <c r="B53" s="2">
        <v>42189.0</v>
      </c>
      <c r="C53" s="1">
        <v>43.0</v>
      </c>
      <c r="F53" s="1">
        <v>25.5</v>
      </c>
      <c r="G53" s="1">
        <v>1784.0</v>
      </c>
    </row>
    <row r="54">
      <c r="A54" s="1" t="s">
        <v>26</v>
      </c>
      <c r="B54" s="2">
        <v>42189.0</v>
      </c>
      <c r="C54" s="1">
        <v>114.0</v>
      </c>
    </row>
    <row r="55">
      <c r="A55" s="1" t="s">
        <v>27</v>
      </c>
      <c r="B55" s="2">
        <v>42198.0</v>
      </c>
      <c r="C55" s="2">
        <v>50.0</v>
      </c>
      <c r="D55" s="2">
        <v>2.285083428E9</v>
      </c>
      <c r="E55" s="2" t="s">
        <v>49</v>
      </c>
      <c r="F55" s="1">
        <v>10.27</v>
      </c>
      <c r="G55" s="1">
        <v>475.33</v>
      </c>
    </row>
    <row r="56">
      <c r="A56" s="1" t="s">
        <v>28</v>
      </c>
      <c r="B56" s="2">
        <v>42198.0</v>
      </c>
      <c r="C56" s="2">
        <v>50.0</v>
      </c>
      <c r="D56" s="2">
        <v>2.28508683E9</v>
      </c>
      <c r="E56" s="2" t="s">
        <v>49</v>
      </c>
      <c r="F56" s="1">
        <v>25.91</v>
      </c>
      <c r="G56" s="1">
        <v>2234.21</v>
      </c>
    </row>
    <row r="57">
      <c r="A57" s="1" t="s">
        <v>29</v>
      </c>
      <c r="B57" s="2">
        <v>42198.0</v>
      </c>
      <c r="C57" s="2">
        <v>100.0</v>
      </c>
      <c r="D57" s="2">
        <v>1.479369504E9</v>
      </c>
      <c r="E57" s="2" t="s">
        <v>50</v>
      </c>
      <c r="F57" s="1">
        <v>52.78</v>
      </c>
      <c r="G57" s="1">
        <v>4357.0</v>
      </c>
    </row>
    <row r="58">
      <c r="A58" s="1" t="s">
        <v>30</v>
      </c>
      <c r="B58" s="2">
        <v>42198.0</v>
      </c>
      <c r="C58" s="2">
        <f>394+127</f>
        <v>521</v>
      </c>
      <c r="D58" s="2"/>
      <c r="E58" s="2" t="s">
        <v>50</v>
      </c>
    </row>
    <row r="59">
      <c r="A59" s="1" t="s">
        <v>32</v>
      </c>
      <c r="B59" s="2">
        <v>42198.0</v>
      </c>
      <c r="C59" s="2">
        <v>50.0</v>
      </c>
      <c r="D59" s="2">
        <v>1.11748180271268E14</v>
      </c>
      <c r="E59" s="2" t="s">
        <v>50</v>
      </c>
      <c r="F59" s="1">
        <v>4.22</v>
      </c>
      <c r="G59" s="1">
        <v>592.52</v>
      </c>
    </row>
    <row r="60">
      <c r="A60" s="1" t="s">
        <v>19</v>
      </c>
      <c r="B60" s="2">
        <v>42198.0</v>
      </c>
      <c r="C60" s="2">
        <v>30.0</v>
      </c>
      <c r="D60" s="2"/>
      <c r="E60" s="2" t="s">
        <v>50</v>
      </c>
      <c r="G60" s="1">
        <v>48.99</v>
      </c>
    </row>
    <row r="61">
      <c r="A61" s="1" t="s">
        <v>33</v>
      </c>
      <c r="B61" s="2">
        <v>42198.0</v>
      </c>
      <c r="C61" s="2">
        <v>80.0</v>
      </c>
      <c r="D61" s="13" t="s">
        <v>51</v>
      </c>
      <c r="E61" s="2" t="s">
        <v>8</v>
      </c>
      <c r="F61" s="1">
        <v>31.78</v>
      </c>
      <c r="G61" s="1">
        <v>3631.1</v>
      </c>
    </row>
    <row r="62">
      <c r="A62" s="1" t="s">
        <v>35</v>
      </c>
      <c r="B62" s="2">
        <v>42198.0</v>
      </c>
      <c r="C62" s="2">
        <v>100.0</v>
      </c>
      <c r="D62" s="2" t="s">
        <v>52</v>
      </c>
      <c r="E62" s="2" t="s">
        <v>50</v>
      </c>
      <c r="G62" s="1">
        <v>236.0</v>
      </c>
    </row>
    <row r="63">
      <c r="A63" s="1" t="s">
        <v>36</v>
      </c>
      <c r="B63" s="2">
        <v>42198.0</v>
      </c>
      <c r="C63" s="2">
        <v>50.0</v>
      </c>
      <c r="D63" s="2" t="s">
        <v>53</v>
      </c>
      <c r="E63" s="2" t="s">
        <v>8</v>
      </c>
      <c r="F63" s="1">
        <v>14.44</v>
      </c>
      <c r="G63" s="1">
        <v>1296.76</v>
      </c>
    </row>
    <row r="64">
      <c r="A64" s="1" t="s">
        <v>38</v>
      </c>
      <c r="B64" s="2">
        <v>42205.0</v>
      </c>
      <c r="C64" s="1">
        <v>129.79</v>
      </c>
      <c r="D64" s="3">
        <v>1.328097293E9</v>
      </c>
      <c r="E64" s="1" t="s">
        <v>50</v>
      </c>
    </row>
    <row r="65">
      <c r="A65" s="1" t="s">
        <v>39</v>
      </c>
      <c r="B65" s="2">
        <v>42205.0</v>
      </c>
      <c r="C65" s="1">
        <v>45.0</v>
      </c>
      <c r="D65" s="2">
        <v>42205.0</v>
      </c>
      <c r="E65" s="1" t="s">
        <v>8</v>
      </c>
      <c r="G65" s="1">
        <v>217.0</v>
      </c>
    </row>
    <row r="66">
      <c r="A66" s="1" t="s">
        <v>40</v>
      </c>
      <c r="C66" s="1">
        <v>127.0</v>
      </c>
      <c r="D66" s="14"/>
    </row>
    <row r="67">
      <c r="A67" s="1" t="s">
        <v>13</v>
      </c>
      <c r="B67" s="2">
        <v>42212.0</v>
      </c>
      <c r="C67" s="1">
        <v>47.52</v>
      </c>
      <c r="D67" s="7" t="s">
        <v>54</v>
      </c>
    </row>
    <row r="68">
      <c r="A68" s="1" t="s">
        <v>48</v>
      </c>
      <c r="B68" s="2">
        <v>42213.0</v>
      </c>
      <c r="C68" s="1">
        <v>485.0</v>
      </c>
    </row>
    <row r="69">
      <c r="F69">
        <f>sum(F53:F63)</f>
        <v>164.9</v>
      </c>
    </row>
    <row r="70">
      <c r="A70" s="1" t="s">
        <v>55</v>
      </c>
    </row>
    <row r="71">
      <c r="A71" s="1" t="s">
        <v>24</v>
      </c>
      <c r="B71" s="2">
        <v>42212.0</v>
      </c>
      <c r="C71" s="1">
        <v>50.0</v>
      </c>
      <c r="E71" s="1" t="s">
        <v>8</v>
      </c>
      <c r="F71" s="1">
        <v>26.11</v>
      </c>
      <c r="G71" s="1">
        <v>1767.14</v>
      </c>
    </row>
    <row r="72">
      <c r="A72" s="1" t="s">
        <v>26</v>
      </c>
      <c r="B72" s="2">
        <v>42212.0</v>
      </c>
      <c r="C72" s="1">
        <v>155.41</v>
      </c>
      <c r="D72" s="4">
        <v>1.69812204E8</v>
      </c>
      <c r="E72" s="1" t="s">
        <v>8</v>
      </c>
    </row>
    <row r="73">
      <c r="A73" s="1" t="s">
        <v>27</v>
      </c>
      <c r="B73" s="2">
        <v>42225.0</v>
      </c>
      <c r="C73" s="1">
        <v>40.0</v>
      </c>
      <c r="D73" s="9">
        <v>2.31437281E9</v>
      </c>
      <c r="E73" s="1" t="s">
        <v>8</v>
      </c>
      <c r="F73" s="1">
        <v>9.0</v>
      </c>
      <c r="G73" s="1">
        <v>434.33</v>
      </c>
    </row>
    <row r="74">
      <c r="A74" s="1" t="s">
        <v>28</v>
      </c>
      <c r="B74" s="2">
        <v>42225.0</v>
      </c>
      <c r="C74" s="1">
        <v>50.0</v>
      </c>
      <c r="D74" s="9">
        <v>2.314373501E9</v>
      </c>
      <c r="E74" s="1" t="s">
        <v>8</v>
      </c>
      <c r="F74" s="1">
        <v>24.35</v>
      </c>
      <c r="G74" s="1">
        <v>2208.0</v>
      </c>
    </row>
    <row r="75">
      <c r="A75" s="1" t="s">
        <v>29</v>
      </c>
      <c r="B75" s="2">
        <v>42225.0</v>
      </c>
      <c r="C75" s="1">
        <v>104.0</v>
      </c>
      <c r="D75" s="6">
        <v>1.17119218E8</v>
      </c>
      <c r="E75" s="1" t="s">
        <v>11</v>
      </c>
      <c r="F75" s="1">
        <v>52.24</v>
      </c>
      <c r="G75" s="1">
        <v>4290.0</v>
      </c>
    </row>
    <row r="76">
      <c r="A76" s="1" t="s">
        <v>30</v>
      </c>
      <c r="B76" s="2">
        <v>42230.0</v>
      </c>
      <c r="C76" s="1">
        <v>394.0</v>
      </c>
    </row>
    <row r="77">
      <c r="A77" s="1" t="s">
        <v>32</v>
      </c>
      <c r="B77" s="2">
        <v>42225.0</v>
      </c>
      <c r="C77" s="1">
        <v>50.0</v>
      </c>
      <c r="D77" s="11">
        <v>1.11771974414008E14</v>
      </c>
      <c r="E77" s="1" t="s">
        <v>8</v>
      </c>
      <c r="F77" s="1">
        <v>11.04</v>
      </c>
      <c r="G77" s="1">
        <v>1042.0</v>
      </c>
    </row>
    <row r="78">
      <c r="A78" s="1" t="s">
        <v>19</v>
      </c>
      <c r="B78" s="2">
        <v>42225.0</v>
      </c>
      <c r="C78" s="1">
        <v>29.99</v>
      </c>
      <c r="E78" s="1" t="s">
        <v>11</v>
      </c>
    </row>
    <row r="79">
      <c r="A79" s="1" t="s">
        <v>33</v>
      </c>
      <c r="B79" s="2">
        <v>42225.0</v>
      </c>
      <c r="C79" s="1">
        <v>71.0</v>
      </c>
      <c r="D79" s="1" t="s">
        <v>56</v>
      </c>
      <c r="E79" s="1" t="s">
        <v>57</v>
      </c>
      <c r="F79" s="1">
        <v>30.89</v>
      </c>
      <c r="G79" s="1">
        <v>3513.77</v>
      </c>
    </row>
    <row r="80">
      <c r="A80" s="1" t="s">
        <v>35</v>
      </c>
      <c r="B80" s="2">
        <v>42225.0</v>
      </c>
      <c r="C80" s="1">
        <v>100.0</v>
      </c>
      <c r="D80" s="12" t="s">
        <v>58</v>
      </c>
      <c r="E80" s="1" t="s">
        <v>8</v>
      </c>
      <c r="G80" s="1">
        <v>143.0</v>
      </c>
    </row>
    <row r="81">
      <c r="A81" s="1" t="s">
        <v>36</v>
      </c>
      <c r="B81" s="2">
        <v>42225.0</v>
      </c>
      <c r="C81" s="1">
        <v>60.0</v>
      </c>
      <c r="D81" s="5" t="s">
        <v>59</v>
      </c>
      <c r="E81" s="1" t="s">
        <v>8</v>
      </c>
      <c r="F81" s="1">
        <v>21.83</v>
      </c>
      <c r="G81" s="1">
        <v>1715.19</v>
      </c>
    </row>
    <row r="82">
      <c r="A82" s="1" t="s">
        <v>38</v>
      </c>
      <c r="B82" s="2">
        <v>42238.0</v>
      </c>
      <c r="C82" s="1">
        <v>122.37</v>
      </c>
      <c r="D82" s="3">
        <v>1.344026055E9</v>
      </c>
      <c r="E82" s="1" t="s">
        <v>8</v>
      </c>
    </row>
    <row r="83">
      <c r="A83" s="1" t="s">
        <v>39</v>
      </c>
      <c r="B83" s="2">
        <v>42239.0</v>
      </c>
      <c r="C83" s="1">
        <v>50.0</v>
      </c>
      <c r="D83" s="5">
        <v>1.21783604566433E14</v>
      </c>
      <c r="E83" s="1" t="s">
        <v>8</v>
      </c>
      <c r="G83" s="1">
        <v>200.0</v>
      </c>
    </row>
    <row r="84">
      <c r="A84" s="1" t="s">
        <v>40</v>
      </c>
      <c r="B84" s="2">
        <v>42233.0</v>
      </c>
      <c r="C84" s="1">
        <v>133.0</v>
      </c>
      <c r="D84" s="1" t="s">
        <v>31</v>
      </c>
    </row>
    <row r="85">
      <c r="A85" s="1" t="s">
        <v>13</v>
      </c>
      <c r="B85" s="2">
        <v>42238.0</v>
      </c>
      <c r="C85" s="1">
        <v>47.54</v>
      </c>
      <c r="D85" s="7" t="s">
        <v>60</v>
      </c>
    </row>
    <row r="86">
      <c r="A86" s="1" t="s">
        <v>48</v>
      </c>
      <c r="B86" s="1" t="s">
        <v>31</v>
      </c>
      <c r="C86" s="1">
        <v>485.0</v>
      </c>
    </row>
    <row r="87">
      <c r="A87" s="1" t="s">
        <v>41</v>
      </c>
      <c r="C87">
        <f>sum(C71:C86)</f>
        <v>1942.31</v>
      </c>
      <c r="F87">
        <f>sum(F71:F86)</f>
        <v>175.46</v>
      </c>
    </row>
    <row r="89">
      <c r="A89" s="1" t="s">
        <v>61</v>
      </c>
    </row>
    <row r="90">
      <c r="A90" s="1" t="s">
        <v>24</v>
      </c>
      <c r="B90" s="2">
        <v>42239.0</v>
      </c>
      <c r="C90" s="1">
        <v>86.0</v>
      </c>
      <c r="E90" s="1" t="s">
        <v>8</v>
      </c>
      <c r="F90" s="1">
        <v>25.66</v>
      </c>
      <c r="G90" s="1">
        <v>1744.4</v>
      </c>
    </row>
    <row r="91">
      <c r="A91" s="1" t="s">
        <v>26</v>
      </c>
      <c r="B91" s="2">
        <v>42252.0</v>
      </c>
      <c r="C91" s="1">
        <v>162.45</v>
      </c>
      <c r="D91" s="4">
        <v>1.71701744E8</v>
      </c>
      <c r="E91" s="1" t="s">
        <v>8</v>
      </c>
    </row>
    <row r="92">
      <c r="A92" s="1" t="s">
        <v>27</v>
      </c>
      <c r="B92" s="2">
        <v>42252.0</v>
      </c>
      <c r="C92" s="1">
        <v>80.0</v>
      </c>
      <c r="D92" s="9">
        <v>2.343382371E9</v>
      </c>
      <c r="E92" s="1" t="s">
        <v>8</v>
      </c>
      <c r="F92" s="1">
        <v>8.45</v>
      </c>
      <c r="G92" s="1">
        <v>402.78</v>
      </c>
    </row>
    <row r="93">
      <c r="A93" s="1" t="s">
        <v>28</v>
      </c>
      <c r="B93" s="2">
        <v>42252.0</v>
      </c>
      <c r="C93" s="1">
        <v>50.0</v>
      </c>
      <c r="D93" s="9">
        <v>2.343384805E9</v>
      </c>
      <c r="E93" s="1" t="s">
        <v>8</v>
      </c>
      <c r="F93" s="1">
        <v>24.82</v>
      </c>
      <c r="G93" s="1">
        <v>2183.38</v>
      </c>
    </row>
    <row r="94">
      <c r="A94" s="1" t="s">
        <v>29</v>
      </c>
      <c r="B94" s="2">
        <v>42252.0</v>
      </c>
      <c r="C94" s="1">
        <v>100.0</v>
      </c>
      <c r="D94" s="15" t="s">
        <v>62</v>
      </c>
      <c r="E94" s="1" t="s">
        <v>11</v>
      </c>
      <c r="F94" s="1">
        <v>53.28</v>
      </c>
      <c r="G94" s="1">
        <v>4348.31</v>
      </c>
    </row>
    <row r="95">
      <c r="A95" s="1" t="s">
        <v>30</v>
      </c>
      <c r="B95" s="1" t="s">
        <v>31</v>
      </c>
      <c r="C95" s="1">
        <v>485.0</v>
      </c>
    </row>
    <row r="96">
      <c r="A96" s="1" t="s">
        <v>32</v>
      </c>
      <c r="B96" s="2">
        <v>42252.0</v>
      </c>
      <c r="C96" s="1">
        <v>24.0</v>
      </c>
      <c r="E96" s="1" t="s">
        <v>11</v>
      </c>
      <c r="G96" s="1">
        <v>0.0</v>
      </c>
    </row>
    <row r="97">
      <c r="A97" s="1" t="s">
        <v>19</v>
      </c>
      <c r="B97" s="2">
        <v>42252.0</v>
      </c>
      <c r="C97" s="1">
        <v>18.03</v>
      </c>
      <c r="E97" s="1" t="s">
        <v>11</v>
      </c>
    </row>
    <row r="98">
      <c r="A98" s="1" t="s">
        <v>33</v>
      </c>
      <c r="B98" s="2">
        <v>42252.0</v>
      </c>
      <c r="C98" s="1">
        <v>80.0</v>
      </c>
      <c r="D98" s="1" t="s">
        <v>63</v>
      </c>
      <c r="E98" s="1" t="s">
        <v>11</v>
      </c>
      <c r="F98" s="1">
        <v>34.75</v>
      </c>
      <c r="G98" s="1">
        <v>3575.08</v>
      </c>
    </row>
    <row r="99">
      <c r="A99" s="1" t="s">
        <v>35</v>
      </c>
      <c r="B99" s="2">
        <v>42252.0</v>
      </c>
      <c r="C99" s="1">
        <v>150.0</v>
      </c>
      <c r="D99" s="12" t="s">
        <v>64</v>
      </c>
      <c r="E99" s="1" t="s">
        <v>11</v>
      </c>
      <c r="F99" s="1">
        <v>2.87</v>
      </c>
      <c r="G99" s="1">
        <v>301.71</v>
      </c>
    </row>
    <row r="100">
      <c r="A100" s="1" t="s">
        <v>36</v>
      </c>
      <c r="B100" s="2">
        <v>42252.0</v>
      </c>
      <c r="C100" s="1">
        <v>50.0</v>
      </c>
      <c r="D100" s="5" t="s">
        <v>65</v>
      </c>
      <c r="E100" s="1" t="s">
        <v>8</v>
      </c>
      <c r="F100" s="1">
        <v>29.4</v>
      </c>
      <c r="G100" s="1">
        <v>2076.0</v>
      </c>
    </row>
    <row r="101">
      <c r="A101" s="1" t="s">
        <v>38</v>
      </c>
      <c r="B101" s="2">
        <v>42266.0</v>
      </c>
      <c r="C101" s="1">
        <v>118.13</v>
      </c>
      <c r="D101" s="3">
        <v>1.357762448E9</v>
      </c>
      <c r="E101" s="1" t="s">
        <v>11</v>
      </c>
    </row>
    <row r="102">
      <c r="A102" s="1" t="s">
        <v>39</v>
      </c>
      <c r="B102" s="2">
        <v>42266.0</v>
      </c>
      <c r="C102" s="1">
        <v>25.0</v>
      </c>
      <c r="D102" s="5">
        <v>1.21807086814515E14</v>
      </c>
      <c r="E102" s="1" t="s">
        <v>8</v>
      </c>
      <c r="F102" s="1">
        <v>4.35</v>
      </c>
      <c r="G102" s="1">
        <v>180.0</v>
      </c>
    </row>
    <row r="103">
      <c r="A103" s="1" t="s">
        <v>40</v>
      </c>
      <c r="B103" s="2">
        <v>42266.0</v>
      </c>
      <c r="C103" s="1">
        <v>133.41</v>
      </c>
    </row>
    <row r="104">
      <c r="A104" s="1" t="s">
        <v>13</v>
      </c>
      <c r="B104" s="2">
        <v>42266.0</v>
      </c>
      <c r="C104" s="1">
        <v>47.19</v>
      </c>
      <c r="D104" s="7" t="s">
        <v>66</v>
      </c>
      <c r="E104" s="1" t="s">
        <v>11</v>
      </c>
    </row>
    <row r="105">
      <c r="A105" s="1" t="s">
        <v>48</v>
      </c>
      <c r="B105" s="2">
        <v>42276.0</v>
      </c>
      <c r="C105" s="1">
        <v>485.0</v>
      </c>
    </row>
    <row r="106">
      <c r="A106" s="1" t="s">
        <v>41</v>
      </c>
      <c r="C106">
        <f>sum(C71:C86)</f>
        <v>1942.31</v>
      </c>
      <c r="F106">
        <f>sum(F90:F102)</f>
        <v>183.58</v>
      </c>
    </row>
    <row r="108">
      <c r="A108" s="2">
        <v>42278.0</v>
      </c>
    </row>
    <row r="109">
      <c r="A109" s="1" t="s">
        <v>24</v>
      </c>
      <c r="B109" s="2">
        <v>42281.0</v>
      </c>
      <c r="C109" s="1">
        <v>50.0</v>
      </c>
      <c r="D109" s="16" t="s">
        <v>67</v>
      </c>
      <c r="E109" s="1" t="s">
        <v>50</v>
      </c>
      <c r="F109" s="1">
        <v>24.06</v>
      </c>
      <c r="G109" s="1">
        <v>1682.46</v>
      </c>
    </row>
    <row r="110">
      <c r="A110" s="1" t="s">
        <v>24</v>
      </c>
      <c r="B110" s="2">
        <v>42288.0</v>
      </c>
      <c r="C110" s="1">
        <v>300.0</v>
      </c>
      <c r="D110" s="16" t="s">
        <v>68</v>
      </c>
      <c r="E110" s="1" t="s">
        <v>11</v>
      </c>
      <c r="F110" s="1"/>
      <c r="G110" s="1">
        <v>1382.46</v>
      </c>
    </row>
    <row r="111">
      <c r="A111" s="1" t="s">
        <v>26</v>
      </c>
      <c r="B111" s="2">
        <v>42281.0</v>
      </c>
      <c r="C111" s="1">
        <v>121.0</v>
      </c>
      <c r="D111" s="4">
        <v>1.72934267E8</v>
      </c>
      <c r="E111" s="1" t="s">
        <v>69</v>
      </c>
    </row>
    <row r="112">
      <c r="A112" s="1" t="s">
        <v>27</v>
      </c>
      <c r="B112" s="2">
        <v>42281.0</v>
      </c>
      <c r="C112" s="1">
        <v>50.0</v>
      </c>
      <c r="D112" s="9">
        <v>2.374005014E9</v>
      </c>
      <c r="E112" s="1" t="s">
        <v>69</v>
      </c>
      <c r="F112" s="1">
        <v>8.25</v>
      </c>
      <c r="G112" s="1">
        <v>402.78</v>
      </c>
    </row>
    <row r="113">
      <c r="A113" s="1" t="s">
        <v>27</v>
      </c>
      <c r="B113" s="2">
        <v>42288.0</v>
      </c>
      <c r="C113" s="1">
        <v>358.0</v>
      </c>
      <c r="D113" s="9">
        <v>2.381941149E9</v>
      </c>
      <c r="E113" s="1" t="s">
        <v>69</v>
      </c>
      <c r="F113" s="1">
        <v>0.0</v>
      </c>
      <c r="G113" s="1">
        <v>0.0</v>
      </c>
    </row>
    <row r="114">
      <c r="A114" s="1" t="s">
        <v>28</v>
      </c>
      <c r="B114" s="2">
        <v>42281.0</v>
      </c>
      <c r="C114" s="1">
        <v>50.0</v>
      </c>
      <c r="D114" s="2"/>
      <c r="E114" s="1" t="s">
        <v>69</v>
      </c>
      <c r="F114" s="1">
        <v>24.55</v>
      </c>
      <c r="G114" s="1">
        <v>2157.0</v>
      </c>
    </row>
    <row r="115">
      <c r="A115" s="1" t="s">
        <v>29</v>
      </c>
      <c r="B115" s="2">
        <v>42281.0</v>
      </c>
      <c r="C115" s="1">
        <v>100.0</v>
      </c>
      <c r="D115" s="15" t="s">
        <v>70</v>
      </c>
      <c r="E115" s="1" t="s">
        <v>50</v>
      </c>
      <c r="F115" s="1">
        <v>52.23</v>
      </c>
      <c r="G115" s="1">
        <v>4343.0</v>
      </c>
    </row>
    <row r="116">
      <c r="A116" s="1" t="s">
        <v>30</v>
      </c>
      <c r="C116" s="1">
        <v>395.0</v>
      </c>
    </row>
    <row r="117">
      <c r="A117" s="1" t="s">
        <v>32</v>
      </c>
      <c r="B117" s="2">
        <v>42286.0</v>
      </c>
      <c r="C117" s="1">
        <v>7.99</v>
      </c>
      <c r="D117" s="11">
        <v>1.21824249255911E14</v>
      </c>
      <c r="E117" s="1" t="s">
        <v>69</v>
      </c>
      <c r="F117" s="1">
        <v>0.0</v>
      </c>
      <c r="G117" s="1">
        <v>0.0</v>
      </c>
    </row>
    <row r="118">
      <c r="A118" s="1" t="s">
        <v>19</v>
      </c>
      <c r="B118" s="2">
        <v>42286.0</v>
      </c>
      <c r="C118" s="1">
        <v>282.42</v>
      </c>
      <c r="E118" s="1" t="s">
        <v>11</v>
      </c>
      <c r="F118" s="1">
        <v>0.0</v>
      </c>
      <c r="G118" s="1">
        <v>0.0</v>
      </c>
    </row>
    <row r="119">
      <c r="A119" s="1" t="s">
        <v>33</v>
      </c>
      <c r="B119" s="2">
        <v>42286.0</v>
      </c>
      <c r="C119" s="1">
        <v>80.0</v>
      </c>
      <c r="D119" s="1" t="s">
        <v>71</v>
      </c>
      <c r="E119" s="1" t="s">
        <v>11</v>
      </c>
      <c r="F119" s="1">
        <v>32.73</v>
      </c>
      <c r="G119" s="1">
        <v>3475.0</v>
      </c>
    </row>
    <row r="120">
      <c r="A120" s="1" t="s">
        <v>35</v>
      </c>
      <c r="B120" s="2">
        <v>42286.0</v>
      </c>
      <c r="C120" s="1">
        <v>283.53</v>
      </c>
      <c r="D120" s="1" t="s">
        <v>72</v>
      </c>
      <c r="E120" s="1" t="s">
        <v>8</v>
      </c>
      <c r="F120" s="1">
        <v>4.35</v>
      </c>
      <c r="G120" s="1">
        <v>0.0</v>
      </c>
    </row>
    <row r="121">
      <c r="A121" s="1" t="s">
        <v>36</v>
      </c>
      <c r="B121" s="2">
        <v>42294.0</v>
      </c>
      <c r="C121" s="1">
        <v>200.0</v>
      </c>
      <c r="D121" s="5" t="s">
        <v>73</v>
      </c>
      <c r="E121" s="1" t="s">
        <v>11</v>
      </c>
      <c r="F121" s="1">
        <v>36.71</v>
      </c>
      <c r="G121" s="1">
        <v>2684.0</v>
      </c>
    </row>
    <row r="122">
      <c r="A122" s="1" t="s">
        <v>38</v>
      </c>
      <c r="B122" s="2">
        <v>42294.0</v>
      </c>
      <c r="C122" s="1">
        <v>118.12</v>
      </c>
      <c r="D122" s="3">
        <v>1.372801024E9</v>
      </c>
      <c r="E122" s="1" t="s">
        <v>74</v>
      </c>
    </row>
    <row r="123">
      <c r="A123" s="1" t="s">
        <v>39</v>
      </c>
      <c r="B123" s="2">
        <v>42288.0</v>
      </c>
      <c r="C123" s="1">
        <v>183.96</v>
      </c>
      <c r="D123" s="2">
        <v>1.31826092391591E14</v>
      </c>
      <c r="E123" s="1" t="s">
        <v>8</v>
      </c>
      <c r="F123" s="1">
        <v>3.91</v>
      </c>
      <c r="G123" s="1">
        <v>0.0</v>
      </c>
    </row>
    <row r="124">
      <c r="A124" s="1" t="s">
        <v>40</v>
      </c>
      <c r="C124" s="1">
        <v>133.0</v>
      </c>
      <c r="D124" s="2"/>
    </row>
    <row r="125">
      <c r="A125" s="1" t="s">
        <v>13</v>
      </c>
      <c r="B125" s="2">
        <v>42294.0</v>
      </c>
      <c r="C125" s="1">
        <v>47.54</v>
      </c>
      <c r="D125" s="2" t="s">
        <v>75</v>
      </c>
      <c r="E125" s="1" t="s">
        <v>8</v>
      </c>
    </row>
    <row r="126">
      <c r="A126" s="1" t="s">
        <v>48</v>
      </c>
      <c r="B126" s="2">
        <v>42308.0</v>
      </c>
      <c r="C126" s="1">
        <v>485.0</v>
      </c>
      <c r="D126" s="2"/>
    </row>
    <row r="127">
      <c r="A127" s="1" t="s">
        <v>41</v>
      </c>
      <c r="C127">
        <f>sum(C109:C126)</f>
        <v>3245.56</v>
      </c>
      <c r="D127" s="2"/>
      <c r="F127">
        <f>sum(F109:F125)</f>
        <v>186.79</v>
      </c>
      <c r="G127">
        <f>sum(G110,G113,G114,G115,G119,G121)</f>
        <v>14041.46</v>
      </c>
    </row>
    <row r="128">
      <c r="D128" s="2"/>
    </row>
    <row r="129">
      <c r="A129" s="2">
        <v>42309.0</v>
      </c>
      <c r="D129" s="2"/>
    </row>
    <row r="130">
      <c r="A130" s="1" t="s">
        <v>32</v>
      </c>
      <c r="B130" s="17">
        <v>42308.0</v>
      </c>
      <c r="C130" s="18">
        <v>20.0</v>
      </c>
      <c r="D130" s="17">
        <v>1.11843263531744E14</v>
      </c>
      <c r="E130" s="18" t="s">
        <v>11</v>
      </c>
      <c r="F130" s="18">
        <v>0.0</v>
      </c>
      <c r="G130" s="18">
        <v>913.0</v>
      </c>
    </row>
    <row r="131">
      <c r="A131" s="1" t="s">
        <v>24</v>
      </c>
      <c r="B131" s="17">
        <v>42308.0</v>
      </c>
      <c r="C131" s="18">
        <v>50.0</v>
      </c>
      <c r="D131" s="17" t="s">
        <v>76</v>
      </c>
      <c r="E131" s="18" t="s">
        <v>8</v>
      </c>
      <c r="F131" s="18">
        <v>24.54</v>
      </c>
      <c r="G131" s="18">
        <v>1485.0</v>
      </c>
    </row>
    <row r="132">
      <c r="A132" s="1" t="s">
        <v>26</v>
      </c>
      <c r="B132" s="17">
        <v>42308.0</v>
      </c>
      <c r="C132" s="18">
        <v>75.47</v>
      </c>
      <c r="D132" s="17">
        <v>1.74138104E8</v>
      </c>
      <c r="E132" s="18" t="s">
        <v>8</v>
      </c>
      <c r="F132" s="19"/>
      <c r="G132" s="19"/>
    </row>
    <row r="133">
      <c r="A133" s="1" t="s">
        <v>27</v>
      </c>
      <c r="B133" s="18">
        <v>0.0</v>
      </c>
      <c r="C133" s="18">
        <v>0.0</v>
      </c>
      <c r="D133" s="17">
        <v>0.0</v>
      </c>
      <c r="E133" s="18">
        <v>0.0</v>
      </c>
      <c r="F133" s="18">
        <v>0.0</v>
      </c>
      <c r="G133" s="18">
        <v>0.0</v>
      </c>
    </row>
    <row r="134">
      <c r="A134" s="1" t="s">
        <v>28</v>
      </c>
      <c r="B134" s="17">
        <v>42322.0</v>
      </c>
      <c r="C134" s="18">
        <v>50.0</v>
      </c>
      <c r="D134" s="17">
        <v>2.419302982E9</v>
      </c>
      <c r="E134" s="18" t="s">
        <v>8</v>
      </c>
      <c r="F134" s="18">
        <v>23.45</v>
      </c>
      <c r="G134" s="18">
        <v>2152.83</v>
      </c>
    </row>
    <row r="135">
      <c r="A135" s="1" t="s">
        <v>29</v>
      </c>
      <c r="B135" s="17">
        <v>42322.0</v>
      </c>
      <c r="C135" s="18">
        <v>100.0</v>
      </c>
      <c r="D135" s="17">
        <v>1.754817368E9</v>
      </c>
      <c r="E135" s="18" t="s">
        <v>50</v>
      </c>
      <c r="F135" s="18">
        <v>50.04</v>
      </c>
      <c r="G135" s="18">
        <v>4151.0</v>
      </c>
    </row>
    <row r="136">
      <c r="A136" s="1" t="s">
        <v>30</v>
      </c>
      <c r="B136" s="17">
        <v>42320.0</v>
      </c>
      <c r="C136" s="18">
        <v>394.0</v>
      </c>
      <c r="D136" s="17"/>
      <c r="E136" s="19"/>
      <c r="F136" s="19"/>
      <c r="G136" s="18">
        <v>6595.0</v>
      </c>
    </row>
    <row r="137">
      <c r="A137" s="1" t="s">
        <v>32</v>
      </c>
      <c r="B137" s="18">
        <v>0.0</v>
      </c>
      <c r="C137" s="18">
        <v>0.0</v>
      </c>
      <c r="D137" s="17">
        <v>0.0</v>
      </c>
      <c r="E137" s="18">
        <v>0.0</v>
      </c>
      <c r="F137" s="18">
        <v>0.0</v>
      </c>
      <c r="G137" s="18">
        <v>0.0</v>
      </c>
    </row>
    <row r="138">
      <c r="A138" s="1" t="s">
        <v>19</v>
      </c>
      <c r="B138" s="18">
        <v>0.0</v>
      </c>
      <c r="C138" s="18">
        <v>0.0</v>
      </c>
      <c r="D138" s="17">
        <v>0.0</v>
      </c>
      <c r="E138" s="18">
        <v>0.0</v>
      </c>
      <c r="F138" s="18">
        <v>0.0</v>
      </c>
      <c r="G138" s="18">
        <v>0.0</v>
      </c>
    </row>
    <row r="139">
      <c r="A139" s="1" t="s">
        <v>33</v>
      </c>
      <c r="B139" s="17">
        <v>42322.0</v>
      </c>
      <c r="C139" s="18">
        <v>80.0</v>
      </c>
      <c r="D139" s="17" t="s">
        <v>77</v>
      </c>
      <c r="E139" s="18" t="s">
        <v>8</v>
      </c>
      <c r="F139" s="18">
        <v>32.02</v>
      </c>
      <c r="G139" s="18">
        <v>3379.82</v>
      </c>
    </row>
    <row r="140">
      <c r="A140" s="1" t="s">
        <v>35</v>
      </c>
      <c r="B140" s="18">
        <v>0.0</v>
      </c>
      <c r="C140" s="18">
        <v>0.0</v>
      </c>
      <c r="D140" s="17">
        <v>0.0</v>
      </c>
      <c r="E140" s="18">
        <v>0.0</v>
      </c>
      <c r="F140" s="18">
        <v>0.0</v>
      </c>
      <c r="G140" s="18">
        <v>0.0</v>
      </c>
    </row>
    <row r="141">
      <c r="A141" s="1" t="s">
        <v>36</v>
      </c>
      <c r="B141" s="17">
        <v>42322.0</v>
      </c>
      <c r="C141" s="18">
        <v>280.0</v>
      </c>
      <c r="D141" s="17" t="s">
        <v>78</v>
      </c>
      <c r="E141" s="18" t="s">
        <v>8</v>
      </c>
      <c r="F141" s="18">
        <v>41.85</v>
      </c>
      <c r="G141" s="18">
        <v>2462.0</v>
      </c>
    </row>
    <row r="142">
      <c r="A142" s="1" t="s">
        <v>38</v>
      </c>
      <c r="B142" s="17">
        <v>42322.0</v>
      </c>
      <c r="C142" s="18">
        <v>118.0</v>
      </c>
      <c r="D142" s="17"/>
      <c r="E142" s="18" t="s">
        <v>8</v>
      </c>
      <c r="F142" s="18"/>
      <c r="G142" s="19"/>
    </row>
    <row r="143">
      <c r="A143" s="1" t="s">
        <v>39</v>
      </c>
      <c r="B143" s="18">
        <v>0.0</v>
      </c>
      <c r="C143" s="18">
        <v>0.0</v>
      </c>
      <c r="D143" s="17">
        <v>0.0</v>
      </c>
      <c r="E143" s="18">
        <v>0.0</v>
      </c>
      <c r="F143" s="18">
        <v>0.0</v>
      </c>
      <c r="G143" s="19"/>
    </row>
    <row r="144">
      <c r="A144" s="1" t="s">
        <v>40</v>
      </c>
      <c r="B144" s="18" t="s">
        <v>31</v>
      </c>
      <c r="C144" s="18">
        <v>133.0</v>
      </c>
      <c r="D144" s="17"/>
      <c r="E144" s="18" t="s">
        <v>8</v>
      </c>
      <c r="F144" s="18"/>
      <c r="G144" s="19"/>
    </row>
    <row r="145">
      <c r="A145" s="1" t="s">
        <v>13</v>
      </c>
      <c r="B145" s="17">
        <v>42335.0</v>
      </c>
      <c r="C145" s="18">
        <v>47.54</v>
      </c>
      <c r="D145" s="20" t="s">
        <v>79</v>
      </c>
      <c r="E145" s="18" t="s">
        <v>11</v>
      </c>
      <c r="F145" s="19"/>
      <c r="G145" s="19"/>
    </row>
    <row r="146">
      <c r="A146" s="1" t="s">
        <v>48</v>
      </c>
      <c r="B146" s="17">
        <v>42338.0</v>
      </c>
      <c r="C146" s="18">
        <v>485.0</v>
      </c>
      <c r="D146" s="19"/>
      <c r="E146" s="19"/>
      <c r="F146" s="19"/>
      <c r="G146" s="19"/>
    </row>
    <row r="147">
      <c r="A147" s="1" t="s">
        <v>41</v>
      </c>
      <c r="B147" s="19"/>
      <c r="C147" s="19">
        <f>sum(C130:C146)</f>
        <v>1833.01</v>
      </c>
      <c r="D147" s="19"/>
      <c r="E147" s="19"/>
      <c r="F147" s="19">
        <f>sum(F130:F146)</f>
        <v>171.9</v>
      </c>
      <c r="G147" s="19"/>
    </row>
    <row r="150">
      <c r="A150" s="2">
        <v>42339.0</v>
      </c>
    </row>
    <row r="151">
      <c r="A151" s="1" t="s">
        <v>32</v>
      </c>
      <c r="B151" s="2">
        <v>42338.0</v>
      </c>
      <c r="C151" s="1">
        <v>20.0</v>
      </c>
      <c r="D151" s="1">
        <v>1.31868598825171E14</v>
      </c>
      <c r="E151" s="1" t="s">
        <v>11</v>
      </c>
      <c r="F151" s="1">
        <v>0.0</v>
      </c>
      <c r="G151" s="1">
        <v>920.0</v>
      </c>
    </row>
    <row r="152">
      <c r="A152" s="1" t="s">
        <v>24</v>
      </c>
      <c r="B152" s="2">
        <v>42338.0</v>
      </c>
      <c r="C152" s="1">
        <v>50.0</v>
      </c>
      <c r="D152" s="2" t="s">
        <v>80</v>
      </c>
      <c r="E152" s="1" t="s">
        <v>69</v>
      </c>
      <c r="F152" s="1">
        <v>23.08</v>
      </c>
      <c r="G152" s="1">
        <v>1769.0</v>
      </c>
    </row>
    <row r="153">
      <c r="A153" s="1" t="s">
        <v>24</v>
      </c>
      <c r="B153" s="2">
        <v>42350.0</v>
      </c>
      <c r="C153" s="1">
        <v>375.0</v>
      </c>
      <c r="D153" s="2" t="s">
        <v>81</v>
      </c>
      <c r="E153" s="1" t="s">
        <v>8</v>
      </c>
      <c r="F153" s="1"/>
      <c r="G153" s="1">
        <v>1621.0</v>
      </c>
    </row>
    <row r="154">
      <c r="A154" s="1" t="s">
        <v>26</v>
      </c>
      <c r="B154" s="2">
        <v>42338.0</v>
      </c>
      <c r="C154" s="1">
        <v>77.34</v>
      </c>
      <c r="D154" s="2">
        <v>1.75226209E8</v>
      </c>
      <c r="E154" s="1" t="s">
        <v>69</v>
      </c>
    </row>
    <row r="155">
      <c r="A155" s="1" t="s">
        <v>27</v>
      </c>
      <c r="B155" s="1">
        <v>0.0</v>
      </c>
      <c r="D155" s="2"/>
    </row>
    <row r="156">
      <c r="A156" s="1" t="s">
        <v>28</v>
      </c>
      <c r="B156" s="2">
        <v>42350.0</v>
      </c>
      <c r="C156" s="1">
        <v>250.0</v>
      </c>
      <c r="D156" s="2">
        <v>2.450233367E9</v>
      </c>
      <c r="E156" s="1" t="s">
        <v>8</v>
      </c>
      <c r="F156" s="1">
        <v>24.02</v>
      </c>
      <c r="G156" s="1">
        <v>2019.0</v>
      </c>
    </row>
    <row r="157">
      <c r="A157" s="1" t="s">
        <v>29</v>
      </c>
      <c r="B157" s="2">
        <v>42350.0</v>
      </c>
      <c r="C157" s="1">
        <v>100.0</v>
      </c>
      <c r="D157" s="2" t="s">
        <v>82</v>
      </c>
      <c r="E157" s="1" t="s">
        <v>11</v>
      </c>
      <c r="F157" s="1">
        <v>51.52</v>
      </c>
      <c r="G157" s="1">
        <v>4102.0</v>
      </c>
    </row>
    <row r="158">
      <c r="A158" s="1" t="s">
        <v>30</v>
      </c>
      <c r="B158" s="2">
        <v>42350.0</v>
      </c>
      <c r="C158" s="1">
        <v>394.0</v>
      </c>
      <c r="D158" s="2"/>
      <c r="E158" s="1" t="s">
        <v>11</v>
      </c>
    </row>
    <row r="159">
      <c r="A159" s="1" t="s">
        <v>32</v>
      </c>
      <c r="B159" s="2">
        <v>42350.0</v>
      </c>
      <c r="C159" s="1">
        <v>7.99</v>
      </c>
      <c r="D159" s="2">
        <v>1.21879601159187E14</v>
      </c>
      <c r="E159" s="1" t="s">
        <v>11</v>
      </c>
    </row>
    <row r="160">
      <c r="A160" s="1" t="s">
        <v>19</v>
      </c>
      <c r="B160" s="1">
        <v>0.0</v>
      </c>
      <c r="D160" s="2"/>
    </row>
    <row r="161">
      <c r="A161" s="1" t="s">
        <v>33</v>
      </c>
      <c r="B161" s="2">
        <v>42350.0</v>
      </c>
      <c r="C161" s="1">
        <v>70.0</v>
      </c>
      <c r="D161" s="2" t="s">
        <v>83</v>
      </c>
      <c r="E161" s="1" t="s">
        <v>8</v>
      </c>
      <c r="F161" s="1">
        <v>33.45</v>
      </c>
      <c r="G161" s="1">
        <v>3263.0</v>
      </c>
    </row>
    <row r="162">
      <c r="A162" s="1" t="s">
        <v>35</v>
      </c>
      <c r="B162" s="2">
        <v>42350.0</v>
      </c>
      <c r="D162" s="2"/>
    </row>
    <row r="163">
      <c r="A163" s="1" t="s">
        <v>36</v>
      </c>
      <c r="B163" s="2">
        <v>42336.0</v>
      </c>
      <c r="C163" s="1">
        <v>2592.49</v>
      </c>
      <c r="D163" s="2">
        <v>42309.0</v>
      </c>
      <c r="E163" s="1" t="s">
        <v>11</v>
      </c>
      <c r="F163" s="1">
        <v>44.69</v>
      </c>
      <c r="G163" s="1">
        <v>0.0</v>
      </c>
    </row>
    <row r="164">
      <c r="A164" s="1" t="s">
        <v>38</v>
      </c>
      <c r="B164" s="2">
        <v>42357.0</v>
      </c>
      <c r="C164" s="1">
        <v>112.18</v>
      </c>
      <c r="D164" s="2"/>
      <c r="E164" s="1" t="s">
        <v>84</v>
      </c>
    </row>
    <row r="165">
      <c r="A165" s="1" t="s">
        <v>39</v>
      </c>
      <c r="B165" s="2">
        <v>42365.0</v>
      </c>
      <c r="C165" s="1">
        <v>37.86</v>
      </c>
      <c r="D165" s="2">
        <v>1.11892817889095E14</v>
      </c>
      <c r="E165" s="1" t="s">
        <v>8</v>
      </c>
      <c r="F165" s="1">
        <v>0.0</v>
      </c>
      <c r="G165" s="1">
        <v>0.0</v>
      </c>
    </row>
    <row r="166">
      <c r="A166" s="1" t="s">
        <v>40</v>
      </c>
      <c r="B166" s="2">
        <v>42350.0</v>
      </c>
      <c r="C166" s="1">
        <v>133.0</v>
      </c>
      <c r="D166" s="2" t="s">
        <v>31</v>
      </c>
    </row>
    <row r="167">
      <c r="A167" s="1" t="s">
        <v>13</v>
      </c>
      <c r="B167" s="2">
        <v>42365.0</v>
      </c>
      <c r="C167" s="1">
        <v>64.02</v>
      </c>
      <c r="D167" s="2" t="s">
        <v>85</v>
      </c>
      <c r="E167" s="1" t="s">
        <v>8</v>
      </c>
    </row>
    <row r="168">
      <c r="A168" s="1" t="s">
        <v>48</v>
      </c>
      <c r="B168" s="2">
        <v>42366.0</v>
      </c>
      <c r="C168" s="1">
        <v>485.0</v>
      </c>
      <c r="D168" s="1" t="s">
        <v>31</v>
      </c>
      <c r="E168" s="1" t="s">
        <v>11</v>
      </c>
    </row>
    <row r="169">
      <c r="A169" s="1" t="s">
        <v>41</v>
      </c>
      <c r="D169" s="1"/>
    </row>
    <row r="170">
      <c r="D170" s="1"/>
    </row>
    <row r="171">
      <c r="D171" s="1"/>
    </row>
    <row r="172">
      <c r="A172" s="2">
        <v>42370.0</v>
      </c>
      <c r="D172" s="1"/>
    </row>
    <row r="173">
      <c r="A173" s="1" t="s">
        <v>32</v>
      </c>
      <c r="B173" s="2">
        <v>42366.0</v>
      </c>
      <c r="C173" s="1">
        <v>40.0</v>
      </c>
      <c r="D173" s="1"/>
      <c r="E173" s="1" t="s">
        <v>11</v>
      </c>
      <c r="F173" s="1">
        <v>0.0</v>
      </c>
      <c r="G173" s="1">
        <v>880.0</v>
      </c>
    </row>
    <row r="174">
      <c r="A174" s="1" t="s">
        <v>24</v>
      </c>
      <c r="B174" s="1">
        <v>0.0</v>
      </c>
      <c r="C174" s="1">
        <v>1630.0</v>
      </c>
      <c r="D174" s="1">
        <v>0.0</v>
      </c>
      <c r="E174" s="1" t="s">
        <v>86</v>
      </c>
      <c r="F174" s="1">
        <v>27.11</v>
      </c>
      <c r="G174" s="1">
        <v>0.0</v>
      </c>
    </row>
    <row r="175">
      <c r="A175" s="1" t="s">
        <v>26</v>
      </c>
      <c r="B175" s="2">
        <v>42366.0</v>
      </c>
      <c r="C175" s="1">
        <v>125.83</v>
      </c>
      <c r="D175" s="21">
        <v>1.76205885E8</v>
      </c>
      <c r="E175" s="1" t="s">
        <v>11</v>
      </c>
    </row>
    <row r="176">
      <c r="A176" s="1" t="s">
        <v>27</v>
      </c>
      <c r="B176" s="1"/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</row>
    <row r="177">
      <c r="A177" s="1" t="s">
        <v>28</v>
      </c>
      <c r="C177" s="1">
        <v>2020.0</v>
      </c>
      <c r="D177" s="1"/>
      <c r="E177" s="1" t="s">
        <v>86</v>
      </c>
      <c r="G177" s="1">
        <v>22.33</v>
      </c>
    </row>
    <row r="178">
      <c r="A178" s="1" t="s">
        <v>29</v>
      </c>
      <c r="B178" s="2">
        <v>42379.0</v>
      </c>
      <c r="C178" s="1">
        <v>80.0</v>
      </c>
      <c r="D178" s="22" t="s">
        <v>87</v>
      </c>
      <c r="E178" s="1" t="s">
        <v>11</v>
      </c>
      <c r="F178" s="1">
        <v>49.19</v>
      </c>
      <c r="G178" s="1">
        <v>4469.29</v>
      </c>
    </row>
    <row r="179">
      <c r="A179" s="1" t="s">
        <v>30</v>
      </c>
      <c r="B179" s="1" t="s">
        <v>31</v>
      </c>
      <c r="C179" s="1">
        <v>394.0</v>
      </c>
      <c r="D179" s="1"/>
    </row>
    <row r="180">
      <c r="A180" s="1" t="s">
        <v>32</v>
      </c>
      <c r="B180" s="1">
        <v>0.0</v>
      </c>
      <c r="D180" s="1"/>
    </row>
    <row r="181">
      <c r="A181" s="1" t="s">
        <v>19</v>
      </c>
      <c r="B181" s="2">
        <v>42379.0</v>
      </c>
      <c r="C181" s="1">
        <v>31.93</v>
      </c>
      <c r="E181" s="1" t="s">
        <v>11</v>
      </c>
      <c r="F181" s="1">
        <v>0.0</v>
      </c>
      <c r="G181" s="1">
        <v>0.0</v>
      </c>
    </row>
    <row r="182">
      <c r="A182" s="1" t="s">
        <v>33</v>
      </c>
      <c r="B182" s="2">
        <v>42379.0</v>
      </c>
      <c r="C182" s="1">
        <v>80.0</v>
      </c>
      <c r="D182" s="22" t="s">
        <v>88</v>
      </c>
      <c r="E182" s="1" t="s">
        <v>89</v>
      </c>
      <c r="F182" s="1">
        <v>33.21</v>
      </c>
      <c r="G182" s="1">
        <v>3475.0</v>
      </c>
    </row>
    <row r="183">
      <c r="A183" s="1" t="s">
        <v>35</v>
      </c>
      <c r="B183" s="1">
        <v>0.0</v>
      </c>
      <c r="C183" s="1">
        <v>0.0</v>
      </c>
      <c r="D183" s="1">
        <v>0.0</v>
      </c>
      <c r="E183" s="1">
        <v>0.0</v>
      </c>
      <c r="F183" s="1">
        <v>0.0</v>
      </c>
      <c r="G183" s="1">
        <v>0.0</v>
      </c>
    </row>
    <row r="184">
      <c r="A184" s="1" t="s">
        <v>36</v>
      </c>
      <c r="B184" s="1">
        <v>2.84</v>
      </c>
      <c r="E184" s="1" t="s">
        <v>11</v>
      </c>
      <c r="F184" s="1">
        <v>0.0</v>
      </c>
      <c r="G184" s="1">
        <v>0.0</v>
      </c>
    </row>
    <row r="185">
      <c r="A185" s="1" t="s">
        <v>38</v>
      </c>
      <c r="B185" s="2">
        <v>42390.0</v>
      </c>
      <c r="C185" s="1">
        <v>118.67</v>
      </c>
      <c r="D185" s="23">
        <v>1.422067771E9</v>
      </c>
      <c r="E185" s="1" t="s">
        <v>11</v>
      </c>
    </row>
    <row r="186">
      <c r="A186" s="1" t="s">
        <v>39</v>
      </c>
      <c r="B186" s="1">
        <v>0.0</v>
      </c>
    </row>
    <row r="187">
      <c r="A187" s="1" t="s">
        <v>40</v>
      </c>
      <c r="B187" s="1" t="s">
        <v>31</v>
      </c>
      <c r="C187" s="1">
        <v>133.0</v>
      </c>
      <c r="E187" s="1" t="s">
        <v>8</v>
      </c>
    </row>
    <row r="188">
      <c r="A188" s="1" t="s">
        <v>13</v>
      </c>
      <c r="B188" s="1">
        <v>0.0</v>
      </c>
      <c r="C188" s="1">
        <v>0.0</v>
      </c>
      <c r="D188" s="1">
        <v>0.0</v>
      </c>
      <c r="E188" s="1">
        <v>0.0</v>
      </c>
      <c r="F188" s="1">
        <v>0.0</v>
      </c>
      <c r="G188" s="1">
        <v>0.0</v>
      </c>
    </row>
    <row r="189">
      <c r="A189" s="1" t="s">
        <v>90</v>
      </c>
      <c r="B189" s="1" t="s">
        <v>91</v>
      </c>
      <c r="C189" s="1">
        <v>101.0</v>
      </c>
      <c r="D189" s="1" t="s">
        <v>92</v>
      </c>
      <c r="E189" s="1" t="s">
        <v>11</v>
      </c>
      <c r="F189" s="1"/>
      <c r="G189" s="1"/>
    </row>
    <row r="190">
      <c r="A190" s="1" t="s">
        <v>48</v>
      </c>
      <c r="C190" s="1">
        <v>485.0</v>
      </c>
      <c r="D190" s="2"/>
    </row>
    <row r="191">
      <c r="A191" s="1" t="s">
        <v>41</v>
      </c>
      <c r="C191" s="1">
        <f>sum(C173:C190)</f>
        <v>5239.43</v>
      </c>
      <c r="D191" s="2"/>
      <c r="F191">
        <f>sum(F173:F190)</f>
        <v>109.51</v>
      </c>
    </row>
    <row r="192">
      <c r="D192" s="2"/>
    </row>
    <row r="193">
      <c r="D193" s="2"/>
    </row>
    <row r="194">
      <c r="A194" s="24" t="s">
        <v>93</v>
      </c>
      <c r="D194" s="2"/>
    </row>
    <row r="195">
      <c r="A195" s="1" t="s">
        <v>32</v>
      </c>
      <c r="B195" s="2" t="s">
        <v>94</v>
      </c>
      <c r="C195" s="1">
        <v>100.0</v>
      </c>
      <c r="D195" s="2"/>
      <c r="E195" s="1" t="s">
        <v>20</v>
      </c>
      <c r="F195" s="1">
        <v>0.0</v>
      </c>
      <c r="G195" s="1">
        <v>780.0</v>
      </c>
    </row>
    <row r="196">
      <c r="A196" s="1" t="s">
        <v>24</v>
      </c>
      <c r="B196" s="2" t="s">
        <v>94</v>
      </c>
      <c r="C196" s="1">
        <v>89.07</v>
      </c>
      <c r="D196" s="17" t="s">
        <v>95</v>
      </c>
      <c r="E196" s="1" t="s">
        <v>8</v>
      </c>
      <c r="F196" s="1">
        <v>13.63</v>
      </c>
      <c r="G196" s="1">
        <v>0.0</v>
      </c>
    </row>
    <row r="197">
      <c r="A197" s="1" t="s">
        <v>26</v>
      </c>
      <c r="B197" s="2" t="s">
        <v>94</v>
      </c>
      <c r="C197" s="1">
        <v>119.13</v>
      </c>
      <c r="D197" s="2">
        <v>1.77153091E8</v>
      </c>
      <c r="E197" s="1" t="s">
        <v>8</v>
      </c>
      <c r="F197" s="1">
        <v>0.0</v>
      </c>
      <c r="G197" s="1">
        <v>0.0</v>
      </c>
    </row>
    <row r="198">
      <c r="A198" s="1" t="s">
        <v>96</v>
      </c>
      <c r="B198" s="2">
        <v>42405.0</v>
      </c>
      <c r="C198" s="1">
        <v>50.0</v>
      </c>
      <c r="D198" s="2"/>
      <c r="E198" s="1" t="s">
        <v>11</v>
      </c>
      <c r="F198" s="1">
        <v>0.0</v>
      </c>
      <c r="G198" s="1">
        <v>3759.5</v>
      </c>
    </row>
    <row r="199">
      <c r="A199" s="1" t="s">
        <v>27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J199" s="1" t="s">
        <v>11</v>
      </c>
      <c r="K199" s="1" t="s">
        <v>8</v>
      </c>
    </row>
    <row r="200">
      <c r="A200" s="1" t="s">
        <v>28</v>
      </c>
      <c r="B200" s="2">
        <v>42405.0</v>
      </c>
      <c r="C200" s="1">
        <v>7.89</v>
      </c>
      <c r="D200" s="25">
        <v>2.513922654E9</v>
      </c>
      <c r="E200" s="1" t="s">
        <v>8</v>
      </c>
      <c r="J200">
        <f>4081.5-7.99-100-300-2500</f>
        <v>1173.51</v>
      </c>
      <c r="K200">
        <f>1441.38-700-485-89.07-119.13</f>
        <v>48.18</v>
      </c>
    </row>
    <row r="201">
      <c r="A201" s="1" t="s">
        <v>29</v>
      </c>
      <c r="B201" s="2">
        <v>42405.0</v>
      </c>
      <c r="C201" s="1">
        <v>100.0</v>
      </c>
      <c r="D201" s="22" t="s">
        <v>97</v>
      </c>
      <c r="E201" s="1" t="s">
        <v>11</v>
      </c>
      <c r="F201" s="1">
        <v>54.19</v>
      </c>
      <c r="G201" s="1">
        <v>4443.8</v>
      </c>
    </row>
    <row r="202">
      <c r="A202" s="1" t="s">
        <v>30</v>
      </c>
      <c r="B202" s="1" t="s">
        <v>31</v>
      </c>
      <c r="C202" s="1">
        <v>395.0</v>
      </c>
      <c r="D202" s="2"/>
      <c r="I202" s="2">
        <v>42405.0</v>
      </c>
      <c r="J202" s="1" t="s">
        <v>11</v>
      </c>
      <c r="K202" s="1" t="s">
        <v>8</v>
      </c>
    </row>
    <row r="203">
      <c r="A203" s="1" t="s">
        <v>32</v>
      </c>
      <c r="B203" s="2">
        <v>42405.0</v>
      </c>
      <c r="C203" s="1">
        <v>7.99</v>
      </c>
      <c r="D203" s="2">
        <v>42405.0</v>
      </c>
      <c r="E203" s="1" t="s">
        <v>11</v>
      </c>
      <c r="F203" s="1">
        <v>0.0</v>
      </c>
      <c r="G203" s="1">
        <v>0.0</v>
      </c>
      <c r="J203">
        <f>1087.98-101-100-395-7.99-11-50</f>
        <v>422.99</v>
      </c>
      <c r="K203">
        <f>429.67-7.89-143-118.67</f>
        <v>160.11</v>
      </c>
    </row>
    <row r="204">
      <c r="A204" s="1" t="s">
        <v>19</v>
      </c>
      <c r="B204" s="2">
        <v>42405.0</v>
      </c>
      <c r="C204" s="1">
        <v>11.0</v>
      </c>
      <c r="D204" s="2"/>
      <c r="F204" s="1">
        <v>0.0</v>
      </c>
      <c r="G204" s="1">
        <v>0.0</v>
      </c>
    </row>
    <row r="205">
      <c r="A205" s="1" t="s">
        <v>33</v>
      </c>
      <c r="B205" s="2" t="s">
        <v>94</v>
      </c>
      <c r="C205" s="1">
        <v>300.0</v>
      </c>
      <c r="D205" s="2" t="s">
        <v>98</v>
      </c>
      <c r="E205" s="1" t="s">
        <v>20</v>
      </c>
      <c r="F205" s="1">
        <v>40.11</v>
      </c>
      <c r="G205" s="1">
        <v>3479.0</v>
      </c>
      <c r="I205" s="1" t="s">
        <v>99</v>
      </c>
    </row>
    <row r="206">
      <c r="A206" s="1" t="s">
        <v>35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I206" s="1" t="s">
        <v>100</v>
      </c>
      <c r="J206" s="1">
        <v>3000.0</v>
      </c>
    </row>
    <row r="207">
      <c r="A207" s="1" t="s">
        <v>36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I207" s="1" t="s">
        <v>29</v>
      </c>
      <c r="J207" s="1">
        <v>4343.48</v>
      </c>
    </row>
    <row r="208">
      <c r="A208" s="1" t="s">
        <v>38</v>
      </c>
      <c r="B208" s="2">
        <v>42406.0</v>
      </c>
      <c r="C208" s="1">
        <v>118.67</v>
      </c>
      <c r="D208" s="23">
        <v>1.430136676E9</v>
      </c>
      <c r="E208" s="1" t="s">
        <v>8</v>
      </c>
      <c r="F208" s="1">
        <v>0.0</v>
      </c>
      <c r="G208" s="1">
        <v>0.0</v>
      </c>
      <c r="I208" s="1" t="s">
        <v>101</v>
      </c>
      <c r="J208" s="1">
        <v>3156.52</v>
      </c>
    </row>
    <row r="209">
      <c r="A209" s="1" t="s">
        <v>39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</row>
    <row r="210">
      <c r="A210" s="1" t="s">
        <v>40</v>
      </c>
      <c r="B210" s="1" t="s">
        <v>31</v>
      </c>
      <c r="C210" s="1">
        <v>143.0</v>
      </c>
    </row>
    <row r="211">
      <c r="A211" s="1" t="s">
        <v>90</v>
      </c>
      <c r="B211" s="2">
        <v>42420.0</v>
      </c>
      <c r="C211" s="1">
        <v>47.59</v>
      </c>
      <c r="D211" s="1" t="s">
        <v>102</v>
      </c>
      <c r="E211" s="1" t="s">
        <v>11</v>
      </c>
      <c r="F211" s="1">
        <v>0.0</v>
      </c>
      <c r="G211" s="1">
        <v>0.0</v>
      </c>
    </row>
    <row r="212">
      <c r="A212" s="1" t="s">
        <v>48</v>
      </c>
      <c r="B212" s="1" t="s">
        <v>31</v>
      </c>
      <c r="C212" s="1">
        <v>485.0</v>
      </c>
    </row>
    <row r="213">
      <c r="A213" s="1" t="s">
        <v>41</v>
      </c>
      <c r="C213">
        <f>sum(C195:C212)</f>
        <v>1974.34</v>
      </c>
    </row>
    <row r="216">
      <c r="A216" s="24" t="s">
        <v>103</v>
      </c>
      <c r="I216" s="1" t="s">
        <v>11</v>
      </c>
      <c r="K216" s="1" t="s">
        <v>8</v>
      </c>
    </row>
    <row r="217">
      <c r="A217" s="1" t="s">
        <v>32</v>
      </c>
      <c r="B217" s="2">
        <v>42420.0</v>
      </c>
      <c r="C217" s="1">
        <v>75.0</v>
      </c>
      <c r="D217" s="1">
        <v>1.31940982651644E14</v>
      </c>
      <c r="E217" s="1" t="s">
        <v>11</v>
      </c>
      <c r="F217" s="1">
        <v>0.0</v>
      </c>
      <c r="G217" s="1">
        <v>705.0</v>
      </c>
      <c r="I217">
        <f>870-53.25-47.59-75-485-182</f>
        <v>27.16</v>
      </c>
      <c r="K217" s="1">
        <f>412.18-218-122.24</f>
        <v>71.94</v>
      </c>
    </row>
    <row r="218">
      <c r="A218" s="1" t="s">
        <v>24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K218" s="1" t="s">
        <v>104</v>
      </c>
    </row>
    <row r="219">
      <c r="A219" s="1" t="s">
        <v>26</v>
      </c>
      <c r="B219" s="2">
        <v>42421.0</v>
      </c>
      <c r="C219" s="1">
        <v>122.24</v>
      </c>
      <c r="D219" s="21">
        <v>1.78153093E8</v>
      </c>
      <c r="E219" s="1" t="s">
        <v>49</v>
      </c>
      <c r="F219" s="1">
        <v>0.0</v>
      </c>
      <c r="G219" s="1">
        <v>0.0</v>
      </c>
      <c r="I219" s="1">
        <f>627-286.8-190</f>
        <v>150.2</v>
      </c>
      <c r="K219" s="1">
        <v>353.0</v>
      </c>
    </row>
    <row r="220">
      <c r="A220" s="1" t="s">
        <v>96</v>
      </c>
      <c r="C220" s="1">
        <v>0.0</v>
      </c>
      <c r="D220" s="1">
        <v>0.0</v>
      </c>
      <c r="E220" s="1">
        <v>0.0</v>
      </c>
    </row>
    <row r="221">
      <c r="A221" s="1" t="s">
        <v>27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</row>
    <row r="222">
      <c r="A222" s="1" t="s">
        <v>28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</row>
    <row r="223">
      <c r="A223" s="1" t="s">
        <v>29</v>
      </c>
      <c r="B223" s="2">
        <v>42420.0</v>
      </c>
      <c r="C223" s="1">
        <v>53.25</v>
      </c>
      <c r="D223" s="22" t="s">
        <v>105</v>
      </c>
      <c r="E223" s="1" t="s">
        <v>11</v>
      </c>
      <c r="F223" s="1">
        <v>54.45</v>
      </c>
      <c r="G223" s="1">
        <v>0.0</v>
      </c>
    </row>
    <row r="224">
      <c r="A224" s="1" t="s">
        <v>106</v>
      </c>
      <c r="B224" s="1" t="s">
        <v>31</v>
      </c>
      <c r="C224" s="1">
        <v>190.0</v>
      </c>
    </row>
    <row r="225">
      <c r="A225" s="1" t="s">
        <v>32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</row>
    <row r="226">
      <c r="A226" s="1" t="s">
        <v>19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</row>
    <row r="227">
      <c r="A227" s="1" t="s">
        <v>107</v>
      </c>
      <c r="B227" s="2">
        <v>42449.0</v>
      </c>
      <c r="C227" s="1">
        <v>112.39</v>
      </c>
      <c r="D227" s="1">
        <v>0.0</v>
      </c>
      <c r="E227" s="1" t="s">
        <v>33</v>
      </c>
      <c r="F227" s="1">
        <v>0.0</v>
      </c>
      <c r="G227" s="1">
        <v>0.0</v>
      </c>
    </row>
    <row r="228">
      <c r="A228" s="1" t="s">
        <v>33</v>
      </c>
      <c r="B228" s="2">
        <v>42413.0</v>
      </c>
      <c r="C228" s="1">
        <v>575.07</v>
      </c>
      <c r="D228" s="1" t="s">
        <v>108</v>
      </c>
      <c r="E228" s="1" t="s">
        <v>11</v>
      </c>
      <c r="G228" s="1">
        <v>3156.52</v>
      </c>
      <c r="H228" s="1">
        <v>42434.0</v>
      </c>
      <c r="I228" s="1" t="s">
        <v>109</v>
      </c>
      <c r="J228" s="1"/>
      <c r="K228" s="1">
        <v>286.8</v>
      </c>
    </row>
    <row r="229">
      <c r="A229" s="1" t="s">
        <v>35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</row>
    <row r="230">
      <c r="A230" s="1" t="s">
        <v>36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I230" s="1" t="s">
        <v>11</v>
      </c>
      <c r="J230" s="1" t="s">
        <v>8</v>
      </c>
    </row>
    <row r="231">
      <c r="A231" s="1" t="s">
        <v>38</v>
      </c>
      <c r="B231" s="2">
        <v>42447.0</v>
      </c>
      <c r="C231" s="1">
        <v>118.67</v>
      </c>
      <c r="D231" s="23">
        <v>1.452973382E9</v>
      </c>
      <c r="E231" s="1" t="s">
        <v>49</v>
      </c>
      <c r="F231" s="1">
        <v>0.0</v>
      </c>
      <c r="G231" s="1">
        <v>0.0</v>
      </c>
      <c r="I231">
        <f>778.8-84-124</f>
        <v>570.8</v>
      </c>
      <c r="J231">
        <f>303.72-118.67-124.77</f>
        <v>60.28</v>
      </c>
    </row>
    <row r="232">
      <c r="A232" s="1" t="s">
        <v>90</v>
      </c>
      <c r="B232" s="2">
        <v>42444.0</v>
      </c>
      <c r="C232" s="1">
        <v>47.59</v>
      </c>
      <c r="D232" s="1" t="s">
        <v>102</v>
      </c>
      <c r="E232" s="1" t="s">
        <v>11</v>
      </c>
      <c r="F232" s="1">
        <v>0.0</v>
      </c>
      <c r="G232" s="1">
        <v>0.0</v>
      </c>
    </row>
    <row r="233">
      <c r="A233" s="1" t="s">
        <v>39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I233" s="1" t="s">
        <v>110</v>
      </c>
      <c r="J233" s="1">
        <v>124.0</v>
      </c>
    </row>
    <row r="234">
      <c r="A234" s="1" t="s">
        <v>48</v>
      </c>
      <c r="I234" s="1" t="s">
        <v>111</v>
      </c>
      <c r="J234" s="1">
        <v>84.0</v>
      </c>
    </row>
    <row r="237">
      <c r="A237" s="24" t="s">
        <v>112</v>
      </c>
    </row>
    <row r="238">
      <c r="A238" s="1" t="s">
        <v>32</v>
      </c>
      <c r="B238" s="2">
        <v>42460.0</v>
      </c>
      <c r="C238" s="1">
        <v>70.0</v>
      </c>
      <c r="D238" s="26">
        <v>1.31975185806239E14</v>
      </c>
      <c r="E238" s="1" t="s">
        <v>11</v>
      </c>
      <c r="F238" s="1">
        <v>0.0</v>
      </c>
      <c r="G238" s="1">
        <v>635.0</v>
      </c>
    </row>
    <row r="239">
      <c r="A239" s="1" t="s">
        <v>24</v>
      </c>
      <c r="B239" s="2">
        <v>42460.0</v>
      </c>
      <c r="C239" s="1">
        <v>18.04</v>
      </c>
      <c r="D239" s="27" t="s">
        <v>113</v>
      </c>
      <c r="E239" s="1" t="s">
        <v>11</v>
      </c>
      <c r="F239" s="1">
        <v>0.0</v>
      </c>
      <c r="G239" s="1">
        <v>0.0</v>
      </c>
    </row>
    <row r="240">
      <c r="A240" s="1" t="s">
        <v>26</v>
      </c>
      <c r="B240" s="2">
        <v>42461.0</v>
      </c>
      <c r="C240" s="1">
        <v>80.94</v>
      </c>
      <c r="D240" s="21">
        <v>1.79888188E8</v>
      </c>
      <c r="E240" s="1" t="s">
        <v>11</v>
      </c>
      <c r="F240" s="1">
        <v>0.0</v>
      </c>
    </row>
    <row r="241">
      <c r="A241" s="1" t="s">
        <v>96</v>
      </c>
      <c r="B241" s="22" t="s">
        <v>114</v>
      </c>
      <c r="C241" s="1">
        <v>100.0</v>
      </c>
      <c r="D241" s="22" t="s">
        <v>114</v>
      </c>
      <c r="E241" s="1" t="s">
        <v>11</v>
      </c>
      <c r="F241" s="1">
        <v>0.0</v>
      </c>
      <c r="G241" s="1">
        <v>3557.0</v>
      </c>
      <c r="I241" s="1" t="s">
        <v>11</v>
      </c>
      <c r="J241" s="1" t="s">
        <v>8</v>
      </c>
    </row>
    <row r="242">
      <c r="A242" s="1" t="s">
        <v>27</v>
      </c>
      <c r="B242" s="2">
        <v>42477.0</v>
      </c>
      <c r="C242" s="1">
        <v>14.4</v>
      </c>
      <c r="D242" s="25">
        <v>2.597269257E9</v>
      </c>
      <c r="E242" s="1" t="s">
        <v>8</v>
      </c>
      <c r="F242" s="1">
        <v>0.0</v>
      </c>
      <c r="G242" s="1">
        <v>0.0</v>
      </c>
      <c r="I242">
        <f>790-480-80.94-100+70</f>
        <v>199.06</v>
      </c>
      <c r="J242" s="1">
        <f>529-70-450</f>
        <v>9</v>
      </c>
    </row>
    <row r="243">
      <c r="A243" s="1" t="s">
        <v>28</v>
      </c>
      <c r="B243" s="2">
        <v>42476.0</v>
      </c>
      <c r="C243" s="1">
        <v>97.61</v>
      </c>
      <c r="D243" s="25">
        <v>2.596126305E9</v>
      </c>
      <c r="E243" s="1" t="s">
        <v>8</v>
      </c>
      <c r="I243" s="1">
        <f>794.78-199-131.49-151.38-47.59</f>
        <v>265.32</v>
      </c>
      <c r="J243">
        <f>258.33-97.61-10.09-118.74-14.4</f>
        <v>17.49</v>
      </c>
    </row>
    <row r="244">
      <c r="A244" s="1" t="s">
        <v>29</v>
      </c>
      <c r="B244" s="1">
        <v>0.0</v>
      </c>
      <c r="C244" s="1">
        <v>0.0</v>
      </c>
      <c r="D244" s="2">
        <v>0.0</v>
      </c>
      <c r="E244" s="1">
        <v>0.0</v>
      </c>
    </row>
    <row r="245">
      <c r="A245" s="1" t="s">
        <v>106</v>
      </c>
      <c r="B245" s="2">
        <v>42476.0</v>
      </c>
      <c r="C245" s="1">
        <v>190.0</v>
      </c>
      <c r="D245" s="1" t="s">
        <v>31</v>
      </c>
    </row>
    <row r="246">
      <c r="A246" s="1" t="s">
        <v>32</v>
      </c>
      <c r="B246" s="2">
        <v>42460.0</v>
      </c>
      <c r="C246" s="1">
        <v>7.99</v>
      </c>
      <c r="D246" s="2">
        <v>1.11975183818862E14</v>
      </c>
      <c r="E246" s="1" t="s">
        <v>11</v>
      </c>
      <c r="F246" s="1">
        <v>0.0</v>
      </c>
      <c r="G246" s="1">
        <v>0.0</v>
      </c>
    </row>
    <row r="247">
      <c r="A247" s="1" t="s">
        <v>19</v>
      </c>
      <c r="B247" s="1">
        <v>0.0</v>
      </c>
      <c r="C247" s="1">
        <v>0.0</v>
      </c>
      <c r="D247" s="2">
        <v>0.0</v>
      </c>
      <c r="E247" s="1">
        <v>0.0</v>
      </c>
      <c r="F247" s="1">
        <v>0.0</v>
      </c>
      <c r="G247" s="1">
        <v>10.3</v>
      </c>
      <c r="I247" s="1" t="s">
        <v>115</v>
      </c>
      <c r="K247" s="1" t="s">
        <v>116</v>
      </c>
    </row>
    <row r="248">
      <c r="A248" s="1" t="s">
        <v>107</v>
      </c>
      <c r="B248" s="2">
        <v>42479.0</v>
      </c>
      <c r="C248" s="1" t="s">
        <v>33</v>
      </c>
      <c r="D248" s="2"/>
      <c r="I248" s="1" t="s">
        <v>117</v>
      </c>
      <c r="J248">
        <f>5500+4555.27+5500</f>
        <v>15555.27</v>
      </c>
      <c r="K248" s="1" t="s">
        <v>118</v>
      </c>
    </row>
    <row r="249">
      <c r="A249" s="1" t="s">
        <v>33</v>
      </c>
      <c r="B249" s="2">
        <v>42476.0</v>
      </c>
      <c r="C249" s="28">
        <v>131.49</v>
      </c>
      <c r="D249" s="2" t="s">
        <v>119</v>
      </c>
      <c r="E249" s="1" t="s">
        <v>11</v>
      </c>
      <c r="F249" s="1">
        <v>0.0</v>
      </c>
      <c r="G249" s="1">
        <v>0.0</v>
      </c>
      <c r="I249" s="1" t="s">
        <v>120</v>
      </c>
      <c r="J249" s="1">
        <v>7140.58</v>
      </c>
      <c r="K249" s="1" t="s">
        <v>121</v>
      </c>
      <c r="L249" s="29">
        <v>5500.0</v>
      </c>
    </row>
    <row r="250">
      <c r="A250" s="1" t="s">
        <v>35</v>
      </c>
      <c r="B250" s="2">
        <v>42476.0</v>
      </c>
      <c r="C250" s="1">
        <v>10.09</v>
      </c>
      <c r="D250" s="2" t="s">
        <v>122</v>
      </c>
      <c r="E250" s="1" t="s">
        <v>8</v>
      </c>
      <c r="F250" s="1">
        <v>0.0</v>
      </c>
      <c r="G250" s="1">
        <v>0.0</v>
      </c>
      <c r="I250" s="1" t="s">
        <v>41</v>
      </c>
      <c r="J250">
        <f>sum(J248:J249)</f>
        <v>22695.85</v>
      </c>
      <c r="K250" s="1" t="s">
        <v>123</v>
      </c>
      <c r="L250" s="29">
        <v>4259.0</v>
      </c>
    </row>
    <row r="251">
      <c r="A251" s="1" t="s">
        <v>36</v>
      </c>
      <c r="B251" s="2">
        <v>42476.0</v>
      </c>
      <c r="C251" s="1">
        <v>151.38</v>
      </c>
      <c r="E251" s="1" t="s">
        <v>11</v>
      </c>
      <c r="F251" s="1">
        <v>0.0</v>
      </c>
      <c r="G251" s="1">
        <v>0.0</v>
      </c>
      <c r="K251" s="1" t="s">
        <v>124</v>
      </c>
    </row>
    <row r="252">
      <c r="A252" s="1" t="s">
        <v>38</v>
      </c>
      <c r="B252" s="2">
        <v>42476.0</v>
      </c>
      <c r="C252" s="1">
        <v>118.74</v>
      </c>
      <c r="D252" s="23">
        <v>1.468226109E9</v>
      </c>
      <c r="E252" s="1" t="s">
        <v>69</v>
      </c>
      <c r="F252" s="1">
        <v>0.0</v>
      </c>
      <c r="G252" s="1">
        <v>0.0</v>
      </c>
      <c r="K252" s="1" t="s">
        <v>121</v>
      </c>
      <c r="L252" s="29">
        <v>5500.0</v>
      </c>
    </row>
    <row r="253">
      <c r="A253" s="1" t="s">
        <v>90</v>
      </c>
      <c r="B253" s="2">
        <v>42476.0</v>
      </c>
      <c r="C253" s="1">
        <v>47.59</v>
      </c>
      <c r="E253" s="1" t="s">
        <v>11</v>
      </c>
      <c r="F253" s="1">
        <v>0.0</v>
      </c>
      <c r="G253" s="1">
        <v>0.0</v>
      </c>
      <c r="K253" s="1" t="s">
        <v>125</v>
      </c>
      <c r="L253" s="29">
        <v>7000.0</v>
      </c>
    </row>
    <row r="254">
      <c r="A254" s="1" t="s">
        <v>39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</row>
    <row r="255">
      <c r="A255" s="1" t="s">
        <v>48</v>
      </c>
      <c r="B255" s="1" t="s">
        <v>126</v>
      </c>
      <c r="C255" s="1">
        <v>485.0</v>
      </c>
      <c r="E255" s="1" t="s">
        <v>11</v>
      </c>
      <c r="F255" s="1">
        <v>0.0</v>
      </c>
      <c r="G255" s="1">
        <v>0.0</v>
      </c>
    </row>
    <row r="256">
      <c r="B256" s="1" t="s">
        <v>41</v>
      </c>
      <c r="C256" s="30">
        <f>sum(C238:C254)+485+400</f>
        <v>1923.27</v>
      </c>
      <c r="K256" s="1" t="s">
        <v>41</v>
      </c>
      <c r="L256" s="29">
        <f>sum(L252+L250+L253)</f>
        <v>16759</v>
      </c>
    </row>
    <row r="257">
      <c r="D257" s="17"/>
    </row>
    <row r="258">
      <c r="D258" s="17"/>
    </row>
    <row r="259">
      <c r="A259" s="24" t="s">
        <v>127</v>
      </c>
      <c r="D259" s="17"/>
      <c r="J259" s="1" t="s">
        <v>128</v>
      </c>
      <c r="K259" s="1" t="s">
        <v>121</v>
      </c>
      <c r="L259" s="1">
        <v>2721.0</v>
      </c>
    </row>
    <row r="260">
      <c r="A260" s="31" t="s">
        <v>32</v>
      </c>
      <c r="B260" s="17">
        <v>42483.0</v>
      </c>
      <c r="C260" s="18">
        <v>70.0</v>
      </c>
      <c r="D260" s="17">
        <v>1.31995662003132E14</v>
      </c>
      <c r="E260" s="18" t="s">
        <v>11</v>
      </c>
      <c r="F260" s="18">
        <v>0.0</v>
      </c>
      <c r="G260" s="18">
        <v>565.0</v>
      </c>
      <c r="H260" s="18" t="s">
        <v>11</v>
      </c>
      <c r="I260" s="18" t="s">
        <v>69</v>
      </c>
      <c r="J260" s="19"/>
      <c r="K260" s="18" t="s">
        <v>123</v>
      </c>
      <c r="L260" s="1">
        <v>3463.0</v>
      </c>
    </row>
    <row r="261">
      <c r="A261" s="31" t="s">
        <v>24</v>
      </c>
      <c r="B261" s="18">
        <v>0.0</v>
      </c>
      <c r="C261" s="18">
        <v>0.0</v>
      </c>
      <c r="D261" s="17">
        <v>0.0</v>
      </c>
      <c r="E261" s="18">
        <v>0.0</v>
      </c>
      <c r="F261" s="18">
        <v>0.0</v>
      </c>
      <c r="G261" s="18">
        <v>0.0</v>
      </c>
      <c r="H261" s="19">
        <f>274-70-80.37-48</f>
        <v>75.63</v>
      </c>
      <c r="I261" s="19"/>
      <c r="J261" s="19"/>
      <c r="K261" s="19"/>
    </row>
    <row r="262">
      <c r="A262" s="31" t="s">
        <v>26</v>
      </c>
      <c r="B262" s="17">
        <v>42483.0</v>
      </c>
      <c r="C262" s="18">
        <v>80.37</v>
      </c>
      <c r="D262" s="17">
        <v>1.80663876E8</v>
      </c>
      <c r="E262" s="18" t="s">
        <v>11</v>
      </c>
      <c r="F262" s="18">
        <v>0.0</v>
      </c>
      <c r="G262" s="18">
        <v>0.0</v>
      </c>
      <c r="H262" s="19">
        <f>675.87-15.85-485-100-9.82</f>
        <v>65.2</v>
      </c>
      <c r="I262" s="19">
        <f>632.62-143.25-400-30.5</f>
        <v>58.87</v>
      </c>
      <c r="J262" s="18" t="s">
        <v>129</v>
      </c>
      <c r="K262" s="18" t="s">
        <v>121</v>
      </c>
      <c r="L262" s="1">
        <v>2721.0</v>
      </c>
    </row>
    <row r="263">
      <c r="A263" s="31" t="s">
        <v>96</v>
      </c>
      <c r="B263" s="17">
        <v>42489.0</v>
      </c>
      <c r="C263" s="18">
        <v>100.0</v>
      </c>
      <c r="D263" s="17" t="s">
        <v>130</v>
      </c>
      <c r="E263" s="18" t="s">
        <v>11</v>
      </c>
      <c r="F263" s="18">
        <v>0.0</v>
      </c>
      <c r="G263" s="18">
        <v>3457.0</v>
      </c>
      <c r="H263" s="19"/>
      <c r="I263" s="19"/>
      <c r="J263" s="19"/>
      <c r="K263" s="18" t="s">
        <v>123</v>
      </c>
      <c r="L263" s="1">
        <v>3463.0</v>
      </c>
    </row>
    <row r="264">
      <c r="A264" s="31" t="s">
        <v>27</v>
      </c>
      <c r="B264" s="18" t="s">
        <v>131</v>
      </c>
      <c r="C264" s="18" t="s">
        <v>132</v>
      </c>
      <c r="D264" s="18" t="s">
        <v>133</v>
      </c>
      <c r="E264" s="18" t="s">
        <v>134</v>
      </c>
      <c r="F264" s="18" t="s">
        <v>135</v>
      </c>
      <c r="G264" s="18" t="s">
        <v>135</v>
      </c>
      <c r="H264" s="19">
        <f>665-190-15.98-10.13-297-55</f>
        <v>96.89</v>
      </c>
      <c r="I264" s="19">
        <f>372-107.59-70.39-169</f>
        <v>25.02</v>
      </c>
      <c r="J264" s="19"/>
      <c r="K264" s="19"/>
    </row>
    <row r="265">
      <c r="A265" s="31" t="s">
        <v>28</v>
      </c>
      <c r="B265" s="18">
        <v>0.0</v>
      </c>
      <c r="C265" s="18">
        <v>0.0</v>
      </c>
      <c r="D265" s="17">
        <v>0.0</v>
      </c>
      <c r="E265" s="18">
        <v>0.0</v>
      </c>
      <c r="F265" s="18">
        <v>0.0</v>
      </c>
      <c r="G265" s="18">
        <v>0.0</v>
      </c>
      <c r="H265" s="18"/>
      <c r="I265" s="19"/>
      <c r="J265" s="18" t="s">
        <v>136</v>
      </c>
      <c r="K265" s="18" t="s">
        <v>121</v>
      </c>
      <c r="L265" s="1">
        <v>5441.0</v>
      </c>
    </row>
    <row r="266">
      <c r="A266" s="31" t="s">
        <v>29</v>
      </c>
      <c r="B266" s="17">
        <v>42489.0</v>
      </c>
      <c r="C266" s="18">
        <v>15.85</v>
      </c>
      <c r="D266" s="17" t="s">
        <v>137</v>
      </c>
      <c r="E266" s="18" t="s">
        <v>11</v>
      </c>
      <c r="F266" s="18">
        <v>0.0</v>
      </c>
      <c r="G266" s="18">
        <v>0.0</v>
      </c>
      <c r="H266" s="19"/>
      <c r="I266" s="19"/>
      <c r="J266" s="19"/>
      <c r="K266" s="18" t="s">
        <v>123</v>
      </c>
      <c r="L266" s="1">
        <v>4251.0</v>
      </c>
    </row>
    <row r="267">
      <c r="A267" s="31" t="s">
        <v>106</v>
      </c>
      <c r="B267" s="18" t="s">
        <v>31</v>
      </c>
      <c r="C267" s="18">
        <v>190.0</v>
      </c>
      <c r="D267" s="17"/>
      <c r="E267" s="18" t="s">
        <v>11</v>
      </c>
      <c r="F267" s="19"/>
      <c r="G267" s="19"/>
      <c r="H267" s="19"/>
      <c r="I267" s="19"/>
      <c r="J267" s="19"/>
      <c r="K267" s="19"/>
    </row>
    <row r="268">
      <c r="A268" s="31" t="s">
        <v>32</v>
      </c>
      <c r="B268" s="17">
        <v>42504.0</v>
      </c>
      <c r="C268" s="18">
        <v>15.98</v>
      </c>
      <c r="D268" s="17">
        <v>1.12013467046249E14</v>
      </c>
      <c r="E268" s="18" t="s">
        <v>11</v>
      </c>
      <c r="F268" s="18">
        <v>0.0</v>
      </c>
      <c r="G268" s="18">
        <v>0.0</v>
      </c>
      <c r="H268" s="19"/>
      <c r="I268" s="19"/>
      <c r="J268" s="19"/>
      <c r="K268" s="19"/>
    </row>
    <row r="269">
      <c r="A269" s="31" t="s">
        <v>19</v>
      </c>
      <c r="B269" s="17">
        <v>42504.0</v>
      </c>
      <c r="C269" s="18">
        <v>10.13</v>
      </c>
      <c r="D269" s="17"/>
      <c r="E269" s="18" t="s">
        <v>11</v>
      </c>
      <c r="F269" s="18">
        <v>0.0</v>
      </c>
      <c r="G269" s="18">
        <v>0.0</v>
      </c>
      <c r="H269" s="19"/>
      <c r="I269" s="19"/>
      <c r="J269" s="18" t="s">
        <v>138</v>
      </c>
      <c r="K269" s="18">
        <f>sum(L259:L266)</f>
        <v>22060</v>
      </c>
    </row>
    <row r="270">
      <c r="A270" s="31" t="s">
        <v>107</v>
      </c>
      <c r="B270" s="18" t="s">
        <v>33</v>
      </c>
      <c r="C270" s="19"/>
      <c r="D270" s="17"/>
      <c r="E270" s="19"/>
      <c r="F270" s="19"/>
      <c r="G270" s="19"/>
      <c r="H270" s="19"/>
      <c r="I270" s="19"/>
      <c r="J270" s="18" t="s">
        <v>5</v>
      </c>
      <c r="K270" s="19">
        <f>J250-K269</f>
        <v>635.85</v>
      </c>
    </row>
    <row r="271">
      <c r="A271" s="31" t="s">
        <v>33</v>
      </c>
      <c r="B271" s="17">
        <v>42504.0</v>
      </c>
      <c r="C271" s="18">
        <v>107.59</v>
      </c>
      <c r="D271" s="17" t="s">
        <v>139</v>
      </c>
      <c r="E271" s="18" t="s">
        <v>69</v>
      </c>
      <c r="F271" s="19"/>
      <c r="G271" s="19"/>
      <c r="H271" s="19"/>
      <c r="I271" s="19"/>
      <c r="J271" s="19"/>
      <c r="K271" s="19"/>
    </row>
    <row r="272">
      <c r="A272" s="31" t="s">
        <v>35</v>
      </c>
      <c r="B272" s="18">
        <v>0.0</v>
      </c>
      <c r="C272" s="18">
        <v>0.0</v>
      </c>
      <c r="D272" s="17">
        <v>0.0</v>
      </c>
      <c r="E272" s="18">
        <v>0.0</v>
      </c>
      <c r="F272" s="18">
        <v>0.0</v>
      </c>
      <c r="G272" s="18">
        <v>0.0</v>
      </c>
      <c r="H272" s="19"/>
      <c r="I272" s="19"/>
      <c r="J272" s="19"/>
      <c r="K272" s="19"/>
    </row>
    <row r="273">
      <c r="A273" s="31" t="s">
        <v>36</v>
      </c>
      <c r="B273" s="18" t="s">
        <v>140</v>
      </c>
      <c r="C273" s="18" t="s">
        <v>141</v>
      </c>
      <c r="D273" s="18" t="s">
        <v>142</v>
      </c>
      <c r="E273" s="18" t="s">
        <v>143</v>
      </c>
      <c r="F273" s="18" t="s">
        <v>144</v>
      </c>
      <c r="G273" s="18" t="s">
        <v>145</v>
      </c>
      <c r="H273" s="18" t="s">
        <v>11</v>
      </c>
      <c r="I273" s="18" t="s">
        <v>8</v>
      </c>
      <c r="J273" s="19"/>
      <c r="K273" s="19"/>
    </row>
    <row r="274">
      <c r="A274" s="31" t="s">
        <v>38</v>
      </c>
      <c r="B274" s="32">
        <v>42506.0</v>
      </c>
      <c r="C274" s="18">
        <v>118.74</v>
      </c>
      <c r="D274" s="23" t="s">
        <v>146</v>
      </c>
      <c r="E274" s="18" t="s">
        <v>147</v>
      </c>
      <c r="F274" s="18">
        <v>0.0</v>
      </c>
      <c r="G274" s="18">
        <v>0.0</v>
      </c>
      <c r="H274" s="33">
        <f>697-485-50-61.29-70</f>
        <v>30.71</v>
      </c>
      <c r="I274" s="34">
        <f>386-350</f>
        <v>36</v>
      </c>
      <c r="J274" s="19"/>
      <c r="K274" s="19"/>
    </row>
    <row r="275">
      <c r="A275" s="31" t="s">
        <v>90</v>
      </c>
      <c r="B275" s="17">
        <v>42504.0</v>
      </c>
      <c r="C275" s="34">
        <v>47.59</v>
      </c>
      <c r="D275" s="17"/>
      <c r="E275" s="18" t="s">
        <v>147</v>
      </c>
      <c r="F275" s="18">
        <v>0.0</v>
      </c>
      <c r="G275" s="18">
        <v>0.0</v>
      </c>
      <c r="H275" s="19"/>
      <c r="I275" s="19"/>
      <c r="J275" s="19"/>
      <c r="K275" s="19"/>
    </row>
    <row r="276">
      <c r="A276" s="31" t="s">
        <v>39</v>
      </c>
      <c r="B276" s="18">
        <v>0.0</v>
      </c>
      <c r="C276" s="18">
        <v>0.0</v>
      </c>
      <c r="D276" s="18">
        <v>0.0</v>
      </c>
      <c r="E276" s="18">
        <v>0.0</v>
      </c>
      <c r="F276" s="18">
        <v>0.0</v>
      </c>
      <c r="G276" s="18">
        <v>0.0</v>
      </c>
      <c r="H276" s="19"/>
      <c r="I276" s="19"/>
      <c r="J276" s="19"/>
      <c r="K276" s="19"/>
    </row>
    <row r="277">
      <c r="A277" s="1" t="s">
        <v>48</v>
      </c>
      <c r="B277" s="2">
        <v>42518.0</v>
      </c>
      <c r="C277" s="1">
        <v>485.0</v>
      </c>
    </row>
    <row r="280">
      <c r="A280" s="24" t="s">
        <v>148</v>
      </c>
    </row>
    <row r="281">
      <c r="A281" s="1" t="s">
        <v>32</v>
      </c>
      <c r="B281" s="2">
        <v>42518.0</v>
      </c>
      <c r="C281" s="1">
        <v>70.0</v>
      </c>
      <c r="D281" s="26">
        <v>1.22025302622913E14</v>
      </c>
      <c r="E281" s="1" t="s">
        <v>11</v>
      </c>
      <c r="F281" s="1">
        <v>0.0</v>
      </c>
      <c r="G281" s="1">
        <v>495.0</v>
      </c>
      <c r="I281" s="1" t="s">
        <v>11</v>
      </c>
      <c r="J281" s="1" t="s">
        <v>8</v>
      </c>
    </row>
    <row r="282">
      <c r="A282" s="1" t="s">
        <v>24</v>
      </c>
      <c r="B282" s="1">
        <v>0.0</v>
      </c>
      <c r="C282" s="1">
        <v>0.0</v>
      </c>
      <c r="D282" s="1">
        <v>0.0</v>
      </c>
      <c r="E282" s="1">
        <v>0.0</v>
      </c>
      <c r="F282" s="1">
        <v>0.0</v>
      </c>
      <c r="G282" s="1">
        <v>0.0</v>
      </c>
      <c r="I282">
        <f>621.08-190-70-335</f>
        <v>26.08</v>
      </c>
      <c r="J282">
        <f>291.44-112-150</f>
        <v>29.44</v>
      </c>
    </row>
    <row r="283">
      <c r="A283" s="1" t="s">
        <v>26</v>
      </c>
      <c r="B283" s="2">
        <v>42518.0</v>
      </c>
      <c r="C283" s="1">
        <v>61.29</v>
      </c>
      <c r="D283" s="35">
        <v>1.81876375E8</v>
      </c>
      <c r="E283" s="1" t="s">
        <v>11</v>
      </c>
      <c r="F283" s="1">
        <v>0.0</v>
      </c>
      <c r="G283" s="1">
        <v>0.0</v>
      </c>
      <c r="I283">
        <f>626.08-485-7.99-70+646+100-457-100</f>
        <v>252.09</v>
      </c>
      <c r="J283">
        <f>331.54+3000-600-154.46-
53.98-646-100-207.14-319.54-415.38-112</f>
        <v>723.04</v>
      </c>
    </row>
    <row r="284">
      <c r="A284" s="1" t="s">
        <v>96</v>
      </c>
      <c r="B284" s="2">
        <v>42518.0</v>
      </c>
      <c r="C284" s="1">
        <v>70.0</v>
      </c>
      <c r="D284" s="22" t="s">
        <v>149</v>
      </c>
      <c r="E284" s="1" t="s">
        <v>11</v>
      </c>
      <c r="F284" s="1">
        <v>0.0</v>
      </c>
      <c r="G284" s="1">
        <v>3397.5</v>
      </c>
    </row>
    <row r="285">
      <c r="A285" s="1" t="s">
        <v>27</v>
      </c>
      <c r="B285" s="1">
        <v>0.0</v>
      </c>
      <c r="C285" s="1">
        <v>0.0</v>
      </c>
      <c r="D285" s="1">
        <v>0.0</v>
      </c>
      <c r="E285" s="1">
        <v>0.0</v>
      </c>
      <c r="F285" s="1">
        <v>0.0</v>
      </c>
      <c r="G285" s="1">
        <v>0.0</v>
      </c>
    </row>
    <row r="286">
      <c r="A286" s="1" t="s">
        <v>28</v>
      </c>
      <c r="B286" s="1">
        <v>0.0</v>
      </c>
      <c r="C286" s="1">
        <v>0.0</v>
      </c>
      <c r="D286" s="1">
        <v>0.0</v>
      </c>
      <c r="E286" s="1">
        <v>0.0</v>
      </c>
      <c r="F286" s="1">
        <v>0.0</v>
      </c>
      <c r="G286" s="1">
        <v>0.0</v>
      </c>
    </row>
    <row r="287">
      <c r="A287" s="1" t="s">
        <v>29</v>
      </c>
      <c r="B287" s="1">
        <v>0.0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</row>
    <row r="288">
      <c r="A288" s="1" t="s">
        <v>106</v>
      </c>
      <c r="B288" s="1" t="s">
        <v>31</v>
      </c>
      <c r="C288" s="1">
        <v>190.0</v>
      </c>
    </row>
    <row r="289">
      <c r="A289" s="1" t="s">
        <v>32</v>
      </c>
      <c r="B289" s="36">
        <v>42532.0</v>
      </c>
      <c r="C289" s="1">
        <v>70.0</v>
      </c>
      <c r="D289" s="1">
        <v>1.32037755055008E14</v>
      </c>
      <c r="E289" s="1" t="s">
        <v>11</v>
      </c>
      <c r="F289" s="1">
        <v>0.0</v>
      </c>
      <c r="G289" s="1">
        <v>425.0</v>
      </c>
    </row>
    <row r="290">
      <c r="A290" s="1" t="s">
        <v>19</v>
      </c>
      <c r="B290" s="36">
        <v>42532.0</v>
      </c>
      <c r="C290" s="1">
        <v>150.0</v>
      </c>
      <c r="E290" s="1" t="s">
        <v>8</v>
      </c>
      <c r="F290" s="1">
        <v>0.0</v>
      </c>
      <c r="G290" s="1">
        <v>87.0</v>
      </c>
    </row>
    <row r="291">
      <c r="A291" s="1" t="s">
        <v>107</v>
      </c>
      <c r="C291" s="1">
        <v>112.0</v>
      </c>
      <c r="E291" s="1" t="s">
        <v>33</v>
      </c>
    </row>
    <row r="292">
      <c r="A292" s="1" t="s">
        <v>33</v>
      </c>
      <c r="C292" s="1">
        <v>112.0</v>
      </c>
      <c r="D292" s="1" t="s">
        <v>150</v>
      </c>
      <c r="E292" s="1" t="s">
        <v>8</v>
      </c>
      <c r="F292" s="1">
        <v>0.0</v>
      </c>
      <c r="G292" s="1">
        <v>6180.0</v>
      </c>
    </row>
    <row r="293">
      <c r="A293" s="1" t="s">
        <v>35</v>
      </c>
      <c r="B293" s="1">
        <v>0.0</v>
      </c>
      <c r="C293" s="1">
        <v>0.0</v>
      </c>
      <c r="D293" s="1">
        <v>0.0</v>
      </c>
      <c r="E293" s="1">
        <v>0.0</v>
      </c>
      <c r="F293" s="1">
        <v>0.0</v>
      </c>
      <c r="G293" s="1">
        <v>0.0</v>
      </c>
    </row>
    <row r="294">
      <c r="A294" s="1" t="s">
        <v>36</v>
      </c>
      <c r="B294" s="36">
        <v>42532.0</v>
      </c>
      <c r="C294" s="1">
        <v>335.0</v>
      </c>
      <c r="D294" s="1" t="s">
        <v>151</v>
      </c>
      <c r="E294" s="1" t="s">
        <v>11</v>
      </c>
      <c r="F294" s="1">
        <v>0.0</v>
      </c>
      <c r="G294" s="1">
        <v>60.54</v>
      </c>
    </row>
    <row r="295">
      <c r="A295" s="1" t="s">
        <v>38</v>
      </c>
      <c r="B295" s="36">
        <v>42532.0</v>
      </c>
      <c r="C295" s="1">
        <v>118.74</v>
      </c>
      <c r="E295" s="1" t="s">
        <v>152</v>
      </c>
      <c r="F295" s="1">
        <v>0.0</v>
      </c>
      <c r="G295" s="1">
        <v>0.0</v>
      </c>
    </row>
    <row r="296">
      <c r="A296" s="1" t="s">
        <v>90</v>
      </c>
      <c r="B296" s="36">
        <v>42532.0</v>
      </c>
      <c r="C296" s="1">
        <v>47.59</v>
      </c>
      <c r="E296" s="1" t="s">
        <v>152</v>
      </c>
      <c r="F296" s="1">
        <v>0.0</v>
      </c>
      <c r="G296" s="1">
        <v>0.0</v>
      </c>
    </row>
    <row r="297">
      <c r="A297" s="1" t="s">
        <v>39</v>
      </c>
      <c r="B297" s="1">
        <v>0.0</v>
      </c>
      <c r="C297" s="1">
        <v>0.0</v>
      </c>
      <c r="D297" s="1">
        <v>0.0</v>
      </c>
      <c r="E297" s="1">
        <v>0.0</v>
      </c>
      <c r="F297" s="1">
        <v>0.0</v>
      </c>
      <c r="G297" s="1">
        <v>0.0</v>
      </c>
    </row>
    <row r="298">
      <c r="A298" s="1" t="s">
        <v>48</v>
      </c>
      <c r="B298" s="36">
        <v>42545.0</v>
      </c>
      <c r="C298" s="1">
        <v>485.0</v>
      </c>
    </row>
    <row r="302">
      <c r="A302" s="37">
        <v>42552.0</v>
      </c>
    </row>
    <row r="303">
      <c r="A303" s="1" t="s">
        <v>32</v>
      </c>
      <c r="B303" s="36">
        <v>42546.0</v>
      </c>
      <c r="C303" s="1">
        <v>70.0</v>
      </c>
      <c r="D303" s="26">
        <v>1.22049876048139E14</v>
      </c>
      <c r="E303" s="1" t="s">
        <v>11</v>
      </c>
      <c r="F303" s="1">
        <v>0.0</v>
      </c>
      <c r="G303" s="1">
        <v>355.0</v>
      </c>
    </row>
    <row r="304">
      <c r="A304" s="1" t="s">
        <v>24</v>
      </c>
      <c r="B304" s="36">
        <v>42546.0</v>
      </c>
      <c r="C304" s="1">
        <v>154.46</v>
      </c>
      <c r="D304" s="27" t="s">
        <v>153</v>
      </c>
      <c r="E304" s="1" t="s">
        <v>69</v>
      </c>
      <c r="F304" s="1">
        <v>0.0</v>
      </c>
      <c r="G304" s="1">
        <v>0.0</v>
      </c>
    </row>
    <row r="305">
      <c r="A305" s="1" t="s">
        <v>26</v>
      </c>
      <c r="B305" s="36">
        <v>42546.0</v>
      </c>
      <c r="C305" s="1">
        <v>53.98</v>
      </c>
      <c r="D305" s="35">
        <v>1.82872877E8</v>
      </c>
      <c r="E305" s="1" t="s">
        <v>69</v>
      </c>
      <c r="F305" s="1">
        <v>0.0</v>
      </c>
      <c r="G305" s="1">
        <v>0.0</v>
      </c>
    </row>
    <row r="306">
      <c r="A306" s="1" t="s">
        <v>96</v>
      </c>
      <c r="B306" s="38">
        <v>42552.0</v>
      </c>
      <c r="C306" s="22">
        <v>100.0</v>
      </c>
      <c r="D306" s="22" t="s">
        <v>154</v>
      </c>
      <c r="E306" s="1" t="s">
        <v>11</v>
      </c>
      <c r="F306" s="1">
        <v>0.0</v>
      </c>
      <c r="G306" s="1">
        <v>3287.0</v>
      </c>
    </row>
    <row r="307">
      <c r="A307" s="1" t="s">
        <v>27</v>
      </c>
      <c r="B307" s="1">
        <v>0.0</v>
      </c>
      <c r="C307" s="1">
        <v>0.0</v>
      </c>
      <c r="D307" s="1">
        <v>0.0</v>
      </c>
      <c r="E307" s="1">
        <v>0.0</v>
      </c>
      <c r="F307" s="1">
        <v>0.0</v>
      </c>
      <c r="G307" s="1">
        <v>0.0</v>
      </c>
    </row>
    <row r="308">
      <c r="A308" s="1" t="s">
        <v>28</v>
      </c>
      <c r="B308" s="1">
        <v>0.0</v>
      </c>
      <c r="C308" s="1">
        <v>0.0</v>
      </c>
      <c r="D308" s="1">
        <v>0.0</v>
      </c>
      <c r="E308" s="1">
        <v>0.0</v>
      </c>
      <c r="F308" s="1">
        <v>0.0</v>
      </c>
      <c r="G308" s="1">
        <v>0.0</v>
      </c>
    </row>
    <row r="309">
      <c r="A309" s="1" t="s">
        <v>29</v>
      </c>
      <c r="B309" s="38">
        <v>42552.0</v>
      </c>
      <c r="C309" s="1">
        <v>456.0</v>
      </c>
      <c r="D309" s="22" t="s">
        <v>155</v>
      </c>
      <c r="E309" s="1" t="s">
        <v>11</v>
      </c>
      <c r="F309" s="1">
        <v>0.0</v>
      </c>
      <c r="G309" s="1">
        <v>0.0</v>
      </c>
    </row>
    <row r="310">
      <c r="A310" s="1" t="s">
        <v>106</v>
      </c>
      <c r="B310" s="1" t="s">
        <v>31</v>
      </c>
      <c r="C310" s="1">
        <v>190.0</v>
      </c>
      <c r="E310" s="1" t="s">
        <v>11</v>
      </c>
    </row>
    <row r="311">
      <c r="A311" s="1" t="s">
        <v>156</v>
      </c>
      <c r="B311" s="36">
        <v>42546.0</v>
      </c>
      <c r="C311" s="1">
        <v>7.99</v>
      </c>
      <c r="D311" s="36">
        <v>1.22049875334002E14</v>
      </c>
      <c r="E311" s="36" t="s">
        <v>11</v>
      </c>
      <c r="F311" s="1">
        <v>0.0</v>
      </c>
      <c r="G311" s="1">
        <v>0.0</v>
      </c>
    </row>
    <row r="312">
      <c r="A312" s="1" t="s">
        <v>19</v>
      </c>
      <c r="B312" s="36">
        <v>42549.0</v>
      </c>
      <c r="C312" s="1">
        <f>319+112</f>
        <v>431</v>
      </c>
      <c r="E312" s="1" t="s">
        <v>49</v>
      </c>
      <c r="F312" s="1">
        <v>0.0</v>
      </c>
      <c r="G312" s="1">
        <v>112.0</v>
      </c>
    </row>
    <row r="313">
      <c r="A313" s="1" t="s">
        <v>107</v>
      </c>
      <c r="C313" s="1">
        <v>112.0</v>
      </c>
      <c r="E313" s="1" t="s">
        <v>33</v>
      </c>
    </row>
    <row r="314">
      <c r="A314" s="1" t="s">
        <v>33</v>
      </c>
      <c r="B314" s="36">
        <v>42549.0</v>
      </c>
      <c r="C314" s="1">
        <v>207.14</v>
      </c>
      <c r="D314" s="36" t="s">
        <v>157</v>
      </c>
      <c r="E314" s="1" t="s">
        <v>8</v>
      </c>
      <c r="F314" s="1">
        <v>1.75</v>
      </c>
      <c r="G314" s="1">
        <v>6000.0</v>
      </c>
    </row>
    <row r="315">
      <c r="A315" s="1" t="s">
        <v>35</v>
      </c>
      <c r="B315" s="1">
        <v>0.0</v>
      </c>
      <c r="C315" s="1">
        <v>0.0</v>
      </c>
      <c r="D315" s="1">
        <v>0.0</v>
      </c>
      <c r="E315" s="1">
        <v>0.0</v>
      </c>
      <c r="F315" s="1">
        <v>0.0</v>
      </c>
      <c r="G315" s="1">
        <v>0.0</v>
      </c>
    </row>
    <row r="316">
      <c r="A316" s="1" t="s">
        <v>36</v>
      </c>
      <c r="B316" s="36">
        <v>42549.0</v>
      </c>
      <c r="C316" s="1">
        <v>415.38</v>
      </c>
      <c r="D316" s="39" t="s">
        <v>158</v>
      </c>
      <c r="E316" s="1" t="s">
        <v>49</v>
      </c>
      <c r="F316" s="1">
        <v>0.0</v>
      </c>
      <c r="G316" s="1">
        <v>0.0</v>
      </c>
      <c r="I316" s="1" t="s">
        <v>11</v>
      </c>
      <c r="J316" s="1" t="s">
        <v>49</v>
      </c>
    </row>
    <row r="317">
      <c r="A317" s="1" t="s">
        <v>159</v>
      </c>
      <c r="B317" s="36">
        <v>42570.0</v>
      </c>
      <c r="C317" s="1">
        <v>178.25</v>
      </c>
      <c r="D317" s="23">
        <v>1.518754588E9</v>
      </c>
      <c r="E317" s="1" t="s">
        <v>160</v>
      </c>
      <c r="F317" s="1">
        <v>0.0</v>
      </c>
      <c r="G317" s="1">
        <v>0.0</v>
      </c>
      <c r="I317">
        <f>252.62+600</f>
        <v>852.62</v>
      </c>
      <c r="J317">
        <f>615.85+353.59</f>
        <v>969.44</v>
      </c>
      <c r="K317">
        <f t="shared" ref="K317:K318" si="1">I317+J317</f>
        <v>1822.06</v>
      </c>
    </row>
    <row r="318">
      <c r="A318" s="1" t="s">
        <v>161</v>
      </c>
      <c r="B318" s="36">
        <v>42576.0</v>
      </c>
      <c r="C318" s="1">
        <v>47.59</v>
      </c>
      <c r="E318" s="1" t="s">
        <v>160</v>
      </c>
      <c r="F318" s="1">
        <v>0.0</v>
      </c>
      <c r="G318" s="1">
        <v>0.0</v>
      </c>
      <c r="I318" s="1">
        <f> 1262-485-400-70-230.79-50</f>
        <v>26.21</v>
      </c>
      <c r="J318" s="1">
        <f>1047-332.71-99.49</f>
        <v>614.8</v>
      </c>
      <c r="K318">
        <f t="shared" si="1"/>
        <v>641.01</v>
      </c>
    </row>
    <row r="319">
      <c r="A319" s="1" t="s">
        <v>39</v>
      </c>
      <c r="B319" s="1">
        <v>0.0</v>
      </c>
      <c r="C319" s="1">
        <v>0.0</v>
      </c>
      <c r="D319" s="1">
        <v>0.0</v>
      </c>
      <c r="E319" s="1">
        <v>0.0</v>
      </c>
      <c r="F319" s="1">
        <v>0.0</v>
      </c>
      <c r="G319" s="1">
        <v>106.23</v>
      </c>
    </row>
    <row r="320">
      <c r="A320" s="1" t="s">
        <v>48</v>
      </c>
      <c r="B320" s="1" t="s">
        <v>31</v>
      </c>
    </row>
    <row r="323">
      <c r="A323" s="1" t="s">
        <v>162</v>
      </c>
    </row>
    <row r="324">
      <c r="A324" s="1" t="s">
        <v>32</v>
      </c>
      <c r="B324" s="36">
        <v>42575.0</v>
      </c>
      <c r="C324" s="1">
        <v>70.0</v>
      </c>
      <c r="D324" s="40">
        <v>1.22074755061473E14</v>
      </c>
      <c r="E324" s="1" t="s">
        <v>50</v>
      </c>
      <c r="F324" s="1">
        <v>0.0</v>
      </c>
      <c r="G324" s="1">
        <v>285.0</v>
      </c>
    </row>
    <row r="325">
      <c r="A325" s="1" t="s">
        <v>24</v>
      </c>
      <c r="B325" s="36">
        <v>42575.0</v>
      </c>
      <c r="C325" s="1">
        <v>332.71</v>
      </c>
      <c r="D325" s="27" t="s">
        <v>76</v>
      </c>
      <c r="E325" s="1" t="s">
        <v>49</v>
      </c>
      <c r="F325" s="1">
        <v>0.0</v>
      </c>
      <c r="G325" s="1">
        <v>0.0</v>
      </c>
    </row>
    <row r="326">
      <c r="A326" s="1" t="s">
        <v>163</v>
      </c>
      <c r="B326" s="36">
        <v>42575.0</v>
      </c>
      <c r="C326" s="1">
        <v>230.79</v>
      </c>
      <c r="D326" s="41">
        <v>4.4855958E7</v>
      </c>
      <c r="E326" s="1" t="s">
        <v>11</v>
      </c>
      <c r="G326" s="1">
        <v>0.0</v>
      </c>
    </row>
    <row r="327">
      <c r="A327" s="1" t="s">
        <v>26</v>
      </c>
      <c r="B327" s="36">
        <v>42575.0</v>
      </c>
      <c r="C327" s="1">
        <v>99.49</v>
      </c>
      <c r="D327" s="35">
        <v>1.84029065E8</v>
      </c>
      <c r="E327" s="1" t="s">
        <v>49</v>
      </c>
      <c r="F327" s="1">
        <v>0.0</v>
      </c>
      <c r="G327" s="1">
        <v>0.0</v>
      </c>
      <c r="I327" s="1" t="s">
        <v>11</v>
      </c>
      <c r="J327" s="1" t="s">
        <v>69</v>
      </c>
    </row>
    <row r="328">
      <c r="A328" s="1" t="s">
        <v>96</v>
      </c>
      <c r="B328" s="36">
        <v>42575.0</v>
      </c>
      <c r="C328" s="1">
        <v>50.0</v>
      </c>
      <c r="D328" s="22" t="s">
        <v>164</v>
      </c>
      <c r="E328" s="1" t="s">
        <v>11</v>
      </c>
      <c r="F328" s="1">
        <v>0.0</v>
      </c>
      <c r="G328" s="1">
        <v>3237.0</v>
      </c>
      <c r="I328">
        <f>705.49-190-23.64-202.44-4.14-200-40</f>
        <v>45.27</v>
      </c>
      <c r="J328">
        <f>1078.22+250-100-300</f>
        <v>928.22</v>
      </c>
    </row>
    <row r="329">
      <c r="A329" s="1" t="s">
        <v>27</v>
      </c>
      <c r="B329" s="1">
        <v>0.0</v>
      </c>
      <c r="C329" s="1">
        <v>0.0</v>
      </c>
      <c r="D329" s="1">
        <v>0.0</v>
      </c>
      <c r="E329" s="1">
        <v>0.0</v>
      </c>
      <c r="G329" s="1">
        <v>0.0</v>
      </c>
    </row>
    <row r="330">
      <c r="A330" s="1" t="s">
        <v>28</v>
      </c>
      <c r="B330" s="1">
        <v>0.0</v>
      </c>
      <c r="C330" s="1">
        <v>0.0</v>
      </c>
      <c r="D330" s="1">
        <v>0.0</v>
      </c>
      <c r="E330" s="1">
        <v>0.0</v>
      </c>
      <c r="F330" s="1">
        <v>0.0</v>
      </c>
      <c r="G330" s="1">
        <v>0.0</v>
      </c>
    </row>
    <row r="331">
      <c r="A331" s="1" t="s">
        <v>29</v>
      </c>
      <c r="B331" s="1">
        <v>0.0</v>
      </c>
      <c r="C331" s="1">
        <v>0.0</v>
      </c>
      <c r="D331" s="1">
        <v>0.0</v>
      </c>
      <c r="E331" s="1">
        <v>0.0</v>
      </c>
      <c r="F331" s="1">
        <v>0.0</v>
      </c>
      <c r="G331" s="1">
        <v>0.0</v>
      </c>
      <c r="I331" s="1" t="s">
        <v>7</v>
      </c>
      <c r="J331" s="1" t="s">
        <v>165</v>
      </c>
    </row>
    <row r="332">
      <c r="A332" s="1" t="s">
        <v>106</v>
      </c>
      <c r="B332" s="1" t="s">
        <v>31</v>
      </c>
      <c r="C332" s="1">
        <v>190.0</v>
      </c>
      <c r="E332" s="1" t="s">
        <v>11</v>
      </c>
      <c r="J332" s="42" t="s">
        <v>166</v>
      </c>
    </row>
    <row r="333">
      <c r="A333" s="1" t="s">
        <v>156</v>
      </c>
      <c r="J333" s="1" t="s">
        <v>167</v>
      </c>
    </row>
    <row r="334">
      <c r="A334" s="1" t="s">
        <v>19</v>
      </c>
      <c r="B334" s="38">
        <v>42587.0</v>
      </c>
      <c r="C334" s="1">
        <v>23.64</v>
      </c>
      <c r="E334" s="1" t="s">
        <v>11</v>
      </c>
      <c r="F334" s="1">
        <v>0.0</v>
      </c>
      <c r="G334" s="1">
        <v>0.0</v>
      </c>
    </row>
    <row r="335">
      <c r="A335" s="1" t="s">
        <v>107</v>
      </c>
      <c r="E335" s="1" t="s">
        <v>33</v>
      </c>
      <c r="J335" s="1" t="s">
        <v>168</v>
      </c>
    </row>
    <row r="336">
      <c r="A336" s="1" t="s">
        <v>33</v>
      </c>
      <c r="B336" s="38">
        <v>42587.0</v>
      </c>
      <c r="C336" s="1">
        <v>204.44</v>
      </c>
      <c r="D336" s="43" t="s">
        <v>169</v>
      </c>
      <c r="E336" s="1" t="s">
        <v>11</v>
      </c>
      <c r="F336" s="1">
        <v>2.68</v>
      </c>
      <c r="G336" s="1">
        <v>6000.0</v>
      </c>
      <c r="J336" s="1" t="s">
        <v>170</v>
      </c>
    </row>
    <row r="337">
      <c r="A337" s="1" t="s">
        <v>35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7.0</v>
      </c>
      <c r="J337" s="1" t="s">
        <v>171</v>
      </c>
    </row>
    <row r="338">
      <c r="A338" s="1" t="s">
        <v>36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</row>
    <row r="339">
      <c r="A339" s="1" t="s">
        <v>159</v>
      </c>
      <c r="B339" s="36">
        <v>42598.0</v>
      </c>
      <c r="C339" s="1">
        <v>173.31</v>
      </c>
      <c r="D339" s="23" t="s">
        <v>172</v>
      </c>
      <c r="E339" s="1" t="s">
        <v>173</v>
      </c>
      <c r="F339" s="1">
        <v>0.0</v>
      </c>
      <c r="G339" s="1">
        <v>0.0</v>
      </c>
    </row>
    <row r="340">
      <c r="A340" s="1" t="s">
        <v>161</v>
      </c>
      <c r="B340" s="36">
        <v>42601.0</v>
      </c>
      <c r="C340" s="1">
        <v>47.59</v>
      </c>
      <c r="E340" s="1" t="s">
        <v>173</v>
      </c>
      <c r="F340" s="1">
        <v>0.0</v>
      </c>
      <c r="G340" s="1">
        <v>0.0</v>
      </c>
      <c r="J340" s="1" t="s">
        <v>174</v>
      </c>
      <c r="K340" s="1" t="s">
        <v>11</v>
      </c>
      <c r="L340" s="1" t="s">
        <v>49</v>
      </c>
    </row>
    <row r="341">
      <c r="A341" s="1" t="s">
        <v>39</v>
      </c>
      <c r="B341" s="36">
        <v>42601.0</v>
      </c>
      <c r="C341" s="1">
        <v>27.0</v>
      </c>
      <c r="D341" s="44">
        <v>1.12097380282825E14</v>
      </c>
      <c r="E341" s="1" t="s">
        <v>8</v>
      </c>
      <c r="F341" s="1">
        <v>0.0</v>
      </c>
      <c r="G341" s="1">
        <v>0.0</v>
      </c>
      <c r="J341" s="1" t="s">
        <v>175</v>
      </c>
      <c r="K341">
        <f>655.27-485-100+2255.25-442.25+600-299.56-49-236-119.72-7.31</f>
        <v>1771.68</v>
      </c>
      <c r="L341" s="45">
        <f>1434.53-175-255-70-268.49-32.47+433.27</f>
        <v>1066.84</v>
      </c>
    </row>
    <row r="342">
      <c r="A342" s="1" t="s">
        <v>48</v>
      </c>
      <c r="B342" s="1" t="s">
        <v>176</v>
      </c>
      <c r="C342" s="1">
        <v>485.0</v>
      </c>
      <c r="J342" s="1" t="s">
        <v>177</v>
      </c>
    </row>
    <row r="343">
      <c r="C343">
        <f>sum(C324:C342)</f>
        <v>1933.97</v>
      </c>
      <c r="J343" s="1" t="s">
        <v>178</v>
      </c>
    </row>
    <row r="346">
      <c r="K346">
        <f>950+950-485-400-47-120</f>
        <v>848</v>
      </c>
    </row>
    <row r="347">
      <c r="A347" s="46">
        <v>42614.0</v>
      </c>
      <c r="K347">
        <f>1771+935+250</f>
        <v>2956</v>
      </c>
    </row>
    <row r="348">
      <c r="A348" s="1" t="s">
        <v>179</v>
      </c>
      <c r="B348" s="36">
        <v>42610.0</v>
      </c>
      <c r="C348" s="1">
        <v>70.0</v>
      </c>
      <c r="D348" s="40">
        <v>1.12105079497994E14</v>
      </c>
      <c r="E348" s="1" t="s">
        <v>8</v>
      </c>
      <c r="F348" s="1">
        <v>0.0</v>
      </c>
      <c r="G348" s="1">
        <v>215.0</v>
      </c>
      <c r="K348">
        <f>K346+K347</f>
        <v>3804</v>
      </c>
    </row>
    <row r="349">
      <c r="A349" s="1" t="s">
        <v>24</v>
      </c>
      <c r="B349" s="36">
        <v>42610.0</v>
      </c>
      <c r="C349" s="1">
        <v>268.49</v>
      </c>
      <c r="E349" s="1" t="s">
        <v>8</v>
      </c>
      <c r="F349" s="1">
        <v>0.0</v>
      </c>
      <c r="G349" s="1">
        <v>0.0</v>
      </c>
    </row>
    <row r="350">
      <c r="A350" s="1" t="s">
        <v>163</v>
      </c>
      <c r="B350" s="36">
        <v>42615.0</v>
      </c>
      <c r="C350" s="1">
        <v>7.31</v>
      </c>
      <c r="E350" s="1" t="s">
        <v>11</v>
      </c>
      <c r="F350" s="1">
        <v>0.0</v>
      </c>
      <c r="G350" s="1">
        <v>0.0</v>
      </c>
    </row>
    <row r="351">
      <c r="A351" s="1" t="s">
        <v>26</v>
      </c>
      <c r="B351" s="36">
        <v>42610.0</v>
      </c>
      <c r="C351" s="1">
        <v>104.98</v>
      </c>
      <c r="D351" s="47">
        <v>1.85748579E8</v>
      </c>
      <c r="E351" s="1" t="s">
        <v>8</v>
      </c>
      <c r="F351" s="1">
        <v>0.0</v>
      </c>
      <c r="G351" s="1">
        <v>0.0</v>
      </c>
    </row>
    <row r="352">
      <c r="A352" s="1" t="s">
        <v>96</v>
      </c>
      <c r="B352" s="1" t="s">
        <v>180</v>
      </c>
      <c r="C352" s="1" t="s">
        <v>181</v>
      </c>
      <c r="D352" s="22" t="s">
        <v>182</v>
      </c>
      <c r="E352" s="1" t="s">
        <v>183</v>
      </c>
      <c r="F352" s="1">
        <v>0.0</v>
      </c>
      <c r="G352" s="1" t="s">
        <v>184</v>
      </c>
    </row>
    <row r="353">
      <c r="A353" s="1" t="s">
        <v>27</v>
      </c>
      <c r="B353" s="1">
        <v>0.0</v>
      </c>
      <c r="C353" s="1">
        <v>0.0</v>
      </c>
    </row>
    <row r="354">
      <c r="A354" s="1" t="s">
        <v>28</v>
      </c>
      <c r="B354" s="1">
        <v>0.0</v>
      </c>
      <c r="C354" s="1">
        <v>0.0</v>
      </c>
    </row>
    <row r="355">
      <c r="A355" s="1" t="s">
        <v>29</v>
      </c>
      <c r="B355" s="36">
        <v>42615.0</v>
      </c>
      <c r="C355" s="36">
        <v>299.56</v>
      </c>
      <c r="D355" s="36" t="s">
        <v>185</v>
      </c>
      <c r="E355" s="1" t="s">
        <v>11</v>
      </c>
      <c r="F355" s="1">
        <v>0.0</v>
      </c>
      <c r="G355" s="1">
        <v>0.0</v>
      </c>
    </row>
    <row r="356">
      <c r="A356" s="1" t="s">
        <v>106</v>
      </c>
      <c r="B356" s="36">
        <v>42615.0</v>
      </c>
      <c r="C356" s="36">
        <v>7.31</v>
      </c>
      <c r="D356" s="36">
        <v>4.5036244E7</v>
      </c>
      <c r="E356" s="1" t="s">
        <v>11</v>
      </c>
      <c r="F356" s="1">
        <v>0.0</v>
      </c>
      <c r="G356" s="1">
        <v>0.0</v>
      </c>
    </row>
    <row r="357">
      <c r="A357" s="1" t="s">
        <v>156</v>
      </c>
      <c r="B357" s="36">
        <v>42615.0</v>
      </c>
      <c r="C357" s="1">
        <v>442.45</v>
      </c>
      <c r="D357" s="40">
        <v>1.12109086061253E14</v>
      </c>
      <c r="E357" s="1" t="s">
        <v>11</v>
      </c>
      <c r="F357" s="1">
        <v>0.0</v>
      </c>
      <c r="G357" s="1">
        <v>8.27</v>
      </c>
    </row>
    <row r="358">
      <c r="A358" s="1" t="s">
        <v>19</v>
      </c>
      <c r="B358" s="36">
        <v>42615.0</v>
      </c>
      <c r="C358" s="1">
        <v>236.0</v>
      </c>
      <c r="E358" s="1" t="s">
        <v>11</v>
      </c>
      <c r="F358" s="1">
        <v>0.0</v>
      </c>
      <c r="G358" s="1">
        <v>0.0</v>
      </c>
    </row>
    <row r="359">
      <c r="A359" s="1" t="s">
        <v>107</v>
      </c>
    </row>
    <row r="360">
      <c r="A360" s="1" t="s">
        <v>33</v>
      </c>
      <c r="B360" s="36">
        <v>42615.0</v>
      </c>
      <c r="C360" s="1">
        <v>19.72</v>
      </c>
      <c r="D360" s="43" t="s">
        <v>186</v>
      </c>
      <c r="E360" s="1" t="s">
        <v>11</v>
      </c>
      <c r="F360" s="1">
        <v>3.63</v>
      </c>
      <c r="G360" s="1">
        <v>6000.0</v>
      </c>
    </row>
    <row r="361">
      <c r="A361" s="1" t="s">
        <v>35</v>
      </c>
      <c r="B361" s="36">
        <v>42610.0</v>
      </c>
      <c r="C361" s="1">
        <v>32.47</v>
      </c>
      <c r="D361" s="48" t="s">
        <v>187</v>
      </c>
      <c r="E361" s="1" t="s">
        <v>8</v>
      </c>
      <c r="F361" s="1">
        <v>0.0</v>
      </c>
      <c r="G361" s="1">
        <v>0.0</v>
      </c>
    </row>
    <row r="362">
      <c r="A362" s="1" t="s">
        <v>36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</row>
    <row r="363">
      <c r="A363" s="1" t="s">
        <v>159</v>
      </c>
      <c r="B363" s="36">
        <v>42630.0</v>
      </c>
      <c r="C363" s="1">
        <v>114.46</v>
      </c>
      <c r="D363" s="23">
        <v>1.553032506E9</v>
      </c>
      <c r="E363" s="1" t="s">
        <v>188</v>
      </c>
      <c r="F363" s="1">
        <v>0.0</v>
      </c>
      <c r="G363" s="1">
        <v>0.0</v>
      </c>
    </row>
    <row r="364">
      <c r="A364" s="1" t="s">
        <v>161</v>
      </c>
      <c r="B364" s="36">
        <v>42637.0</v>
      </c>
      <c r="C364" s="28">
        <v>47.59</v>
      </c>
      <c r="E364" s="1" t="s">
        <v>188</v>
      </c>
      <c r="F364" s="1">
        <v>0.0</v>
      </c>
      <c r="G364" s="1">
        <v>0.0</v>
      </c>
    </row>
    <row r="365">
      <c r="A365" s="1" t="s">
        <v>39</v>
      </c>
      <c r="B365" s="36">
        <v>42630.0</v>
      </c>
      <c r="C365" s="1">
        <v>117.59</v>
      </c>
      <c r="D365" s="49">
        <v>1.22122065472154E14</v>
      </c>
      <c r="E365" s="1" t="s">
        <v>8</v>
      </c>
      <c r="F365" s="1">
        <v>0.0</v>
      </c>
      <c r="G365" s="1">
        <v>0.0</v>
      </c>
      <c r="J365" s="1" t="s">
        <v>11</v>
      </c>
      <c r="K365" s="1" t="s">
        <v>8</v>
      </c>
    </row>
    <row r="366">
      <c r="A366" s="1" t="s">
        <v>48</v>
      </c>
      <c r="B366" s="36">
        <v>42643.0</v>
      </c>
      <c r="C366" s="1">
        <v>485.0</v>
      </c>
      <c r="J366">
        <f>1711-1500</f>
        <v>211</v>
      </c>
      <c r="K366">
        <f>934.86</f>
        <v>934.86</v>
      </c>
    </row>
    <row r="367">
      <c r="C367">
        <f>sum(C348:C365)</f>
        <v>1767.93</v>
      </c>
      <c r="J367">
        <f>21.89</f>
        <v>21.89</v>
      </c>
      <c r="K367">
        <f>1200-C365</f>
        <v>1082.41</v>
      </c>
    </row>
    <row r="369">
      <c r="A369" s="46">
        <v>42644.0</v>
      </c>
    </row>
    <row r="370">
      <c r="A370" s="1" t="s">
        <v>189</v>
      </c>
      <c r="B370" s="1">
        <v>70.0</v>
      </c>
      <c r="C370" s="36">
        <v>42644.0</v>
      </c>
      <c r="D370" s="1">
        <v>1.22134575737847E14</v>
      </c>
      <c r="E370" s="1" t="s">
        <v>11</v>
      </c>
      <c r="F370" s="1">
        <v>0.0</v>
      </c>
      <c r="G370" s="1">
        <v>145.0</v>
      </c>
    </row>
    <row r="371">
      <c r="A371" s="1" t="s">
        <v>24</v>
      </c>
      <c r="B371" s="1" t="s">
        <v>190</v>
      </c>
      <c r="C371" s="1" t="s">
        <v>191</v>
      </c>
      <c r="D371" s="27" t="s">
        <v>192</v>
      </c>
      <c r="E371" s="1" t="s">
        <v>193</v>
      </c>
      <c r="F371" s="1" t="s">
        <v>135</v>
      </c>
      <c r="G371" s="1" t="s">
        <v>194</v>
      </c>
    </row>
    <row r="372">
      <c r="A372" s="1" t="s">
        <v>163</v>
      </c>
      <c r="B372" s="1" t="s">
        <v>195</v>
      </c>
      <c r="C372" s="1" t="s">
        <v>196</v>
      </c>
      <c r="D372" s="50" t="s">
        <v>197</v>
      </c>
      <c r="E372" s="1" t="s">
        <v>198</v>
      </c>
      <c r="F372" s="1" t="s">
        <v>135</v>
      </c>
      <c r="G372" s="1" t="s">
        <v>135</v>
      </c>
    </row>
    <row r="373">
      <c r="A373" s="1" t="s">
        <v>26</v>
      </c>
      <c r="B373" s="1">
        <v>105.0</v>
      </c>
      <c r="C373" s="38">
        <v>42650.0</v>
      </c>
      <c r="D373" s="35">
        <v>1.87516947E8</v>
      </c>
      <c r="E373" s="1" t="s">
        <v>8</v>
      </c>
      <c r="F373" s="1">
        <v>0.0</v>
      </c>
      <c r="G373" s="1">
        <v>0.0</v>
      </c>
    </row>
    <row r="374">
      <c r="A374" s="1" t="s">
        <v>96</v>
      </c>
      <c r="B374" s="1">
        <v>0.0</v>
      </c>
      <c r="F374" s="1">
        <v>0.0</v>
      </c>
      <c r="G374" s="1">
        <v>1037.0</v>
      </c>
      <c r="J374" s="1" t="s">
        <v>11</v>
      </c>
      <c r="K374" s="1" t="s">
        <v>49</v>
      </c>
    </row>
    <row r="375">
      <c r="A375" s="1" t="s">
        <v>27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/>
      <c r="J375">
        <f>880-650-70-54.64</f>
        <v>105.36</v>
      </c>
      <c r="K375">
        <f>1496.7-485-89.25-339.77-105</f>
        <v>477.68</v>
      </c>
    </row>
    <row r="376">
      <c r="A376" s="1" t="s">
        <v>199</v>
      </c>
      <c r="B376" s="36">
        <v>42644.0</v>
      </c>
      <c r="C376" s="1">
        <v>89.25</v>
      </c>
      <c r="D376" s="51">
        <v>2.79443067E9</v>
      </c>
      <c r="E376" s="1" t="s">
        <v>69</v>
      </c>
      <c r="F376" s="1">
        <v>0.0</v>
      </c>
      <c r="G376" s="1">
        <v>0.0</v>
      </c>
      <c r="J376">
        <f>720-190-70-47.59-196-150</f>
        <v>66.41</v>
      </c>
      <c r="K376">
        <f>750.96-221.17</f>
        <v>529.79</v>
      </c>
    </row>
    <row r="377">
      <c r="A377" s="1" t="s">
        <v>29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</row>
    <row r="378">
      <c r="A378" s="1" t="s">
        <v>106</v>
      </c>
      <c r="B378" s="36">
        <v>42657.0</v>
      </c>
      <c r="C378" s="1">
        <v>190.0</v>
      </c>
      <c r="D378" s="1" t="s">
        <v>31</v>
      </c>
    </row>
    <row r="379">
      <c r="A379" s="1" t="s">
        <v>156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</row>
    <row r="380">
      <c r="A380" s="1" t="s">
        <v>200</v>
      </c>
      <c r="B380" s="36">
        <v>42659.0</v>
      </c>
      <c r="C380" s="1">
        <v>70.0</v>
      </c>
      <c r="D380" s="1">
        <v>1.12147388509531E14</v>
      </c>
      <c r="E380" s="1" t="s">
        <v>11</v>
      </c>
      <c r="F380" s="1">
        <v>0.0</v>
      </c>
      <c r="G380" s="1">
        <v>74.05</v>
      </c>
    </row>
    <row r="381">
      <c r="A381" s="1" t="s">
        <v>19</v>
      </c>
      <c r="B381" s="36">
        <v>42659.0</v>
      </c>
      <c r="C381" s="1">
        <v>100.0</v>
      </c>
      <c r="E381" s="1" t="s">
        <v>11</v>
      </c>
      <c r="F381" s="1">
        <v>0.0</v>
      </c>
    </row>
    <row r="382">
      <c r="A382" s="1" t="s">
        <v>107</v>
      </c>
    </row>
    <row r="383">
      <c r="A383" s="1" t="s">
        <v>33</v>
      </c>
      <c r="B383" s="36">
        <v>42659.0</v>
      </c>
      <c r="C383" s="1">
        <v>150.0</v>
      </c>
      <c r="D383" s="43" t="s">
        <v>201</v>
      </c>
      <c r="E383" s="1" t="s">
        <v>11</v>
      </c>
      <c r="F383" s="1">
        <v>0.0</v>
      </c>
      <c r="G383" s="1">
        <v>6542.0</v>
      </c>
    </row>
    <row r="384">
      <c r="A384" s="1" t="s">
        <v>35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</row>
    <row r="385">
      <c r="A385" s="1" t="s">
        <v>36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</row>
    <row r="386">
      <c r="A386" s="1" t="s">
        <v>159</v>
      </c>
    </row>
    <row r="387">
      <c r="A387" s="1" t="s">
        <v>161</v>
      </c>
      <c r="B387" s="36">
        <v>42659.0</v>
      </c>
      <c r="C387" s="1">
        <v>47.59</v>
      </c>
      <c r="D387" s="1">
        <v>0.0</v>
      </c>
      <c r="E387" s="1" t="s">
        <v>11</v>
      </c>
      <c r="F387" s="1">
        <v>0.0</v>
      </c>
      <c r="G387" s="1">
        <v>0.0</v>
      </c>
    </row>
    <row r="388">
      <c r="A388" s="1" t="s">
        <v>39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</row>
    <row r="389">
      <c r="A389" s="1" t="s">
        <v>48</v>
      </c>
      <c r="C389" s="1">
        <v>485.0</v>
      </c>
      <c r="G389">
        <f>sum(G383,G380,G374)</f>
        <v>7653.05</v>
      </c>
    </row>
    <row r="392">
      <c r="A392" s="46">
        <v>42675.0</v>
      </c>
    </row>
    <row r="393">
      <c r="A393" s="1" t="s">
        <v>84</v>
      </c>
      <c r="C393" s="1">
        <v>400.0</v>
      </c>
    </row>
    <row r="394">
      <c r="A394" s="1" t="s">
        <v>202</v>
      </c>
      <c r="B394" s="36">
        <v>42671.0</v>
      </c>
      <c r="C394" s="1">
        <v>80.0</v>
      </c>
      <c r="D394" s="40">
        <v>1.12157889311099E14</v>
      </c>
      <c r="E394" s="1" t="s">
        <v>8</v>
      </c>
      <c r="F394" s="1">
        <v>0.0</v>
      </c>
      <c r="G394" s="28">
        <v>217.87</v>
      </c>
      <c r="I394" s="1" t="s">
        <v>11</v>
      </c>
      <c r="J394" s="1" t="s">
        <v>69</v>
      </c>
    </row>
    <row r="395">
      <c r="A395" s="1" t="s">
        <v>24</v>
      </c>
      <c r="B395" s="1">
        <v>0.0</v>
      </c>
      <c r="I395" s="1">
        <f>626.11-485-50.75-50</f>
        <v>40.36</v>
      </c>
      <c r="J395">
        <f>525.67-400-14.9-80</f>
        <v>30.77</v>
      </c>
    </row>
    <row r="396">
      <c r="A396" s="1" t="s">
        <v>163</v>
      </c>
      <c r="B396" s="36">
        <v>42671.0</v>
      </c>
      <c r="C396" s="1">
        <v>14.9</v>
      </c>
      <c r="D396" s="52">
        <v>4.531612E7</v>
      </c>
      <c r="E396" s="1" t="s">
        <v>69</v>
      </c>
      <c r="F396" s="1">
        <v>0.0</v>
      </c>
      <c r="G396" s="1">
        <v>0.0</v>
      </c>
    </row>
    <row r="397">
      <c r="A397" s="1" t="s">
        <v>26</v>
      </c>
      <c r="B397" s="36">
        <v>42671.0</v>
      </c>
      <c r="C397" s="1">
        <v>50.75</v>
      </c>
      <c r="D397" s="35">
        <v>1.88412806E8</v>
      </c>
      <c r="E397" s="1" t="s">
        <v>11</v>
      </c>
      <c r="F397" s="1">
        <v>0.0</v>
      </c>
      <c r="G397" s="1">
        <v>0.0</v>
      </c>
      <c r="I397">
        <f>640.36-190-30-47.56-56.05-50-150</f>
        <v>116.75</v>
      </c>
      <c r="J397">
        <f>324.74-85.16-112.78-100</f>
        <v>26.8</v>
      </c>
    </row>
    <row r="398">
      <c r="A398" s="1" t="s">
        <v>96</v>
      </c>
      <c r="B398" s="36">
        <v>42671.0</v>
      </c>
      <c r="C398" s="1">
        <v>50.0</v>
      </c>
      <c r="D398" s="22" t="s">
        <v>203</v>
      </c>
      <c r="E398" s="1" t="s">
        <v>11</v>
      </c>
      <c r="F398" s="1">
        <v>0.0</v>
      </c>
      <c r="G398" s="1">
        <v>987.0</v>
      </c>
    </row>
    <row r="399">
      <c r="A399" s="1" t="s">
        <v>27</v>
      </c>
      <c r="B399" s="1">
        <v>0.0</v>
      </c>
    </row>
    <row r="400">
      <c r="A400" s="1" t="s">
        <v>199</v>
      </c>
      <c r="B400" s="1">
        <v>0.0</v>
      </c>
    </row>
    <row r="401">
      <c r="A401" s="1" t="s">
        <v>29</v>
      </c>
      <c r="B401" s="1">
        <v>0.0</v>
      </c>
    </row>
    <row r="402">
      <c r="A402" s="1" t="s">
        <v>106</v>
      </c>
      <c r="B402" s="1" t="s">
        <v>31</v>
      </c>
      <c r="C402" s="1">
        <v>190.0</v>
      </c>
    </row>
    <row r="403">
      <c r="A403" s="1" t="s">
        <v>156</v>
      </c>
      <c r="B403" s="36">
        <v>42686.0</v>
      </c>
      <c r="C403" s="1">
        <v>85.16</v>
      </c>
      <c r="D403" s="40">
        <v>1.32170417514602E14</v>
      </c>
      <c r="E403" s="1" t="s">
        <v>8</v>
      </c>
      <c r="F403" s="1">
        <v>1.12</v>
      </c>
      <c r="G403" s="1">
        <v>0.0</v>
      </c>
    </row>
    <row r="404">
      <c r="A404" s="1" t="s">
        <v>19</v>
      </c>
      <c r="B404" s="36">
        <v>42686.0</v>
      </c>
      <c r="C404" s="1">
        <v>112.78</v>
      </c>
      <c r="E404" s="1" t="s">
        <v>8</v>
      </c>
      <c r="F404" s="1">
        <v>2.03</v>
      </c>
      <c r="G404" s="1">
        <v>0.0</v>
      </c>
    </row>
    <row r="405">
      <c r="A405" s="1" t="s">
        <v>107</v>
      </c>
      <c r="B405" s="1" t="s">
        <v>31</v>
      </c>
      <c r="C405" s="1">
        <v>102.54</v>
      </c>
    </row>
    <row r="406">
      <c r="A406" s="1" t="s">
        <v>33</v>
      </c>
      <c r="B406" s="36">
        <v>42686.0</v>
      </c>
      <c r="C406" s="1">
        <f>100+30</f>
        <v>130</v>
      </c>
      <c r="D406" s="43" t="s">
        <v>204</v>
      </c>
      <c r="E406" s="1" t="s">
        <v>198</v>
      </c>
      <c r="F406" s="1">
        <v>9.96</v>
      </c>
      <c r="G406" s="1">
        <v>6390.0</v>
      </c>
    </row>
    <row r="407">
      <c r="A407" s="1" t="s">
        <v>35</v>
      </c>
      <c r="B407" s="1">
        <v>0.0</v>
      </c>
    </row>
    <row r="408">
      <c r="A408" s="1" t="s">
        <v>36</v>
      </c>
      <c r="B408" s="1">
        <v>0.0</v>
      </c>
    </row>
    <row r="409">
      <c r="A409" s="1" t="s">
        <v>159</v>
      </c>
      <c r="B409" s="36">
        <v>42686.0</v>
      </c>
      <c r="C409" s="1">
        <v>55.0</v>
      </c>
    </row>
    <row r="410">
      <c r="A410" s="1" t="s">
        <v>161</v>
      </c>
      <c r="B410" s="36">
        <v>42686.0</v>
      </c>
      <c r="C410" s="1">
        <v>47.56</v>
      </c>
      <c r="E410" s="1" t="s">
        <v>11</v>
      </c>
      <c r="F410" s="1">
        <v>0.0</v>
      </c>
      <c r="G410" s="1">
        <v>0.0</v>
      </c>
    </row>
    <row r="411">
      <c r="A411" s="1" t="s">
        <v>39</v>
      </c>
      <c r="B411" s="1">
        <v>0.0</v>
      </c>
    </row>
    <row r="412">
      <c r="A412" s="1" t="s">
        <v>48</v>
      </c>
      <c r="B412" s="36">
        <v>42702.0</v>
      </c>
      <c r="C412" s="1">
        <v>485.0</v>
      </c>
    </row>
    <row r="413">
      <c r="B413" s="1" t="s">
        <v>41</v>
      </c>
      <c r="C413">
        <f>sum(C393:C412)</f>
        <v>1803.69</v>
      </c>
    </row>
    <row r="416">
      <c r="A416" s="46">
        <v>42705.0</v>
      </c>
    </row>
    <row r="417">
      <c r="A417" s="1" t="s">
        <v>84</v>
      </c>
      <c r="B417" s="36">
        <v>42700.0</v>
      </c>
      <c r="C417" s="1">
        <v>400.0</v>
      </c>
      <c r="I417" s="1" t="s">
        <v>11</v>
      </c>
      <c r="J417" s="1" t="s">
        <v>8</v>
      </c>
    </row>
    <row r="418">
      <c r="A418" s="1" t="s">
        <v>202</v>
      </c>
      <c r="B418" s="36">
        <v>42698.0</v>
      </c>
      <c r="C418" s="1">
        <v>75.0</v>
      </c>
      <c r="D418" s="1">
        <v>1.22181093727717E14</v>
      </c>
      <c r="E418" s="1" t="s">
        <v>20</v>
      </c>
      <c r="I418">
        <f>628.84-25-485</f>
        <v>118.84</v>
      </c>
      <c r="J418">
        <f>411.96-400</f>
        <v>11.96</v>
      </c>
    </row>
    <row r="419">
      <c r="A419" s="1" t="s">
        <v>24</v>
      </c>
      <c r="B419" s="1">
        <v>0.0</v>
      </c>
    </row>
    <row r="420">
      <c r="A420" s="1" t="s">
        <v>163</v>
      </c>
      <c r="B420" s="1">
        <v>0.0</v>
      </c>
    </row>
    <row r="421">
      <c r="A421" s="1" t="s">
        <v>26</v>
      </c>
      <c r="B421" s="36">
        <v>42686.0</v>
      </c>
      <c r="C421" s="1">
        <v>56.05</v>
      </c>
      <c r="D421" s="35">
        <v>1.89032604E8</v>
      </c>
      <c r="E421" s="1" t="s">
        <v>11</v>
      </c>
    </row>
    <row r="422">
      <c r="A422" s="1" t="s">
        <v>96</v>
      </c>
      <c r="B422" s="36">
        <v>42700.0</v>
      </c>
      <c r="C422" s="1">
        <v>25.0</v>
      </c>
      <c r="D422" s="22" t="s">
        <v>205</v>
      </c>
      <c r="E422" s="1" t="s">
        <v>11</v>
      </c>
      <c r="G422" s="1">
        <v>967.5</v>
      </c>
    </row>
    <row r="423">
      <c r="A423" s="1" t="s">
        <v>27</v>
      </c>
      <c r="B423" s="1">
        <v>0.0</v>
      </c>
    </row>
    <row r="424">
      <c r="A424" s="1" t="s">
        <v>199</v>
      </c>
      <c r="B424" s="1">
        <v>0.0</v>
      </c>
    </row>
    <row r="425">
      <c r="A425" s="1" t="s">
        <v>29</v>
      </c>
      <c r="B425" s="1">
        <v>0.0</v>
      </c>
    </row>
    <row r="426">
      <c r="A426" s="1" t="s">
        <v>106</v>
      </c>
      <c r="B426" s="36">
        <v>42714.0</v>
      </c>
      <c r="C426" s="1">
        <v>190.0</v>
      </c>
      <c r="D426" s="1" t="s">
        <v>31</v>
      </c>
      <c r="E426" s="1" t="s">
        <v>11</v>
      </c>
    </row>
    <row r="427">
      <c r="A427" s="1" t="s">
        <v>156</v>
      </c>
      <c r="B427" s="1">
        <v>0.0</v>
      </c>
      <c r="C427" s="1">
        <v>0.0</v>
      </c>
      <c r="D427" s="1">
        <v>0.0</v>
      </c>
      <c r="E427" s="1">
        <v>0.0</v>
      </c>
      <c r="F427" s="1">
        <v>0.0</v>
      </c>
    </row>
    <row r="428">
      <c r="A428" s="1" t="s">
        <v>19</v>
      </c>
      <c r="B428" s="1">
        <v>0.0</v>
      </c>
      <c r="C428" s="1">
        <v>0.0</v>
      </c>
      <c r="D428" s="1">
        <v>0.0</v>
      </c>
      <c r="E428" s="1">
        <v>0.0</v>
      </c>
      <c r="F428" s="1">
        <v>0.0</v>
      </c>
      <c r="G428" s="1">
        <v>25.95</v>
      </c>
    </row>
    <row r="429">
      <c r="A429" s="1" t="s">
        <v>107</v>
      </c>
      <c r="B429" s="36">
        <v>42693.0</v>
      </c>
      <c r="C429" s="1">
        <v>102.54</v>
      </c>
      <c r="E429" s="1" t="s">
        <v>33</v>
      </c>
      <c r="F429" s="1">
        <v>0.0</v>
      </c>
      <c r="G429" s="1">
        <v>0.0</v>
      </c>
    </row>
    <row r="430">
      <c r="A430" s="1" t="s">
        <v>33</v>
      </c>
      <c r="B430" s="36">
        <v>42714.0</v>
      </c>
      <c r="C430" s="1">
        <v>150.0</v>
      </c>
      <c r="D430" s="43" t="s">
        <v>206</v>
      </c>
      <c r="E430" s="1" t="s">
        <v>11</v>
      </c>
      <c r="F430" s="1">
        <v>14.84</v>
      </c>
      <c r="G430" s="1">
        <v>6353.0</v>
      </c>
      <c r="I430" s="1" t="s">
        <v>11</v>
      </c>
      <c r="J430" s="1" t="s">
        <v>8</v>
      </c>
    </row>
    <row r="431">
      <c r="A431" s="1" t="s">
        <v>35</v>
      </c>
      <c r="B431" s="1">
        <v>0.0</v>
      </c>
      <c r="C431" s="1">
        <v>0.0</v>
      </c>
      <c r="D431" s="1">
        <v>0.0</v>
      </c>
      <c r="E431" s="1">
        <v>0.0</v>
      </c>
      <c r="F431" s="1">
        <v>0.0</v>
      </c>
      <c r="G431" s="1">
        <v>0.0</v>
      </c>
      <c r="I431">
        <f>748.81-190-150-112.88-270</f>
        <v>25.93</v>
      </c>
      <c r="J431">
        <f>655.42-480-50-50</f>
        <v>75.42</v>
      </c>
    </row>
    <row r="432">
      <c r="A432" s="1" t="s">
        <v>36</v>
      </c>
      <c r="B432" s="1">
        <v>0.0</v>
      </c>
      <c r="C432" s="1">
        <v>0.0</v>
      </c>
      <c r="D432" s="1">
        <v>0.0</v>
      </c>
      <c r="E432" s="1">
        <v>0.0</v>
      </c>
      <c r="F432" s="1">
        <v>0.0</v>
      </c>
      <c r="G432" s="1">
        <v>0.0</v>
      </c>
    </row>
    <row r="433">
      <c r="A433" s="1" t="s">
        <v>159</v>
      </c>
      <c r="B433" s="36">
        <v>42714.0</v>
      </c>
      <c r="C433" s="1">
        <v>112.88</v>
      </c>
      <c r="D433" s="23">
        <v>1.604830935E9</v>
      </c>
      <c r="E433" s="1" t="s">
        <v>11</v>
      </c>
      <c r="F433" s="1">
        <v>0.0</v>
      </c>
      <c r="G433" s="1">
        <v>0.0</v>
      </c>
    </row>
    <row r="434">
      <c r="A434" s="1" t="s">
        <v>161</v>
      </c>
      <c r="B434" s="36">
        <v>42714.0</v>
      </c>
      <c r="C434" s="1">
        <v>47.59</v>
      </c>
      <c r="E434" s="1" t="s">
        <v>207</v>
      </c>
      <c r="F434" s="1">
        <v>0.0</v>
      </c>
      <c r="G434" s="1">
        <v>0.0</v>
      </c>
    </row>
    <row r="435">
      <c r="A435" s="1" t="s">
        <v>39</v>
      </c>
      <c r="B435" s="36">
        <v>42714.0</v>
      </c>
      <c r="C435" s="1">
        <v>50.0</v>
      </c>
      <c r="D435" s="49">
        <v>1.32195024870428E14</v>
      </c>
      <c r="E435" s="1" t="s">
        <v>8</v>
      </c>
      <c r="F435" s="1">
        <v>0.0</v>
      </c>
      <c r="G435" s="1">
        <v>228.37</v>
      </c>
    </row>
    <row r="436">
      <c r="A436" s="1" t="s">
        <v>48</v>
      </c>
    </row>
    <row r="440">
      <c r="A440" s="46">
        <v>42736.0</v>
      </c>
    </row>
    <row r="441">
      <c r="A441" s="1" t="s">
        <v>202</v>
      </c>
      <c r="B441" s="36">
        <v>42714.0</v>
      </c>
      <c r="C441" s="1">
        <v>270.0</v>
      </c>
      <c r="D441" s="40">
        <v>1.32195019436037E14</v>
      </c>
      <c r="E441" s="1" t="s">
        <v>11</v>
      </c>
      <c r="F441" s="1">
        <v>0.0</v>
      </c>
      <c r="G441" s="1">
        <v>293.3</v>
      </c>
      <c r="H441" s="1">
        <v>1.0</v>
      </c>
    </row>
    <row r="442">
      <c r="A442" s="1" t="s">
        <v>24</v>
      </c>
      <c r="B442" s="1" t="s">
        <v>208</v>
      </c>
      <c r="C442" s="1" t="s">
        <v>209</v>
      </c>
      <c r="D442" s="27" t="s">
        <v>210</v>
      </c>
      <c r="E442" s="1" t="s">
        <v>198</v>
      </c>
      <c r="F442" s="1">
        <v>0.0</v>
      </c>
      <c r="G442" s="1" t="s">
        <v>211</v>
      </c>
      <c r="H442" s="1">
        <v>1.0</v>
      </c>
    </row>
    <row r="443">
      <c r="A443" s="1" t="s">
        <v>163</v>
      </c>
      <c r="B443" s="1">
        <v>0.0</v>
      </c>
      <c r="C443" s="1">
        <v>0.0</v>
      </c>
      <c r="D443" s="53"/>
      <c r="E443" s="1">
        <v>0.0</v>
      </c>
      <c r="F443" s="1">
        <v>0.0</v>
      </c>
      <c r="G443" s="1">
        <v>0.0</v>
      </c>
      <c r="H443" s="1">
        <v>1.0</v>
      </c>
    </row>
    <row r="444">
      <c r="A444" s="1" t="s">
        <v>26</v>
      </c>
      <c r="B444" s="1" t="s">
        <v>212</v>
      </c>
      <c r="C444" s="1" t="s">
        <v>213</v>
      </c>
      <c r="D444" s="54" t="s">
        <v>214</v>
      </c>
      <c r="E444" s="1" t="s">
        <v>8</v>
      </c>
      <c r="F444" s="1">
        <v>0.0</v>
      </c>
      <c r="G444" s="1">
        <v>0.0</v>
      </c>
      <c r="H444" s="1">
        <v>1.0</v>
      </c>
    </row>
    <row r="445">
      <c r="A445" s="1" t="s">
        <v>96</v>
      </c>
      <c r="B445" s="36">
        <v>42729.0</v>
      </c>
      <c r="C445" s="1">
        <v>50.0</v>
      </c>
      <c r="D445" s="22" t="s">
        <v>215</v>
      </c>
      <c r="E445" s="1" t="s">
        <v>11</v>
      </c>
      <c r="F445" s="1">
        <v>0.29</v>
      </c>
      <c r="G445" s="1">
        <v>1012.0</v>
      </c>
      <c r="I445" s="1" t="s">
        <v>8</v>
      </c>
      <c r="J445" s="1" t="s">
        <v>11</v>
      </c>
    </row>
    <row r="446">
      <c r="A446" s="1" t="s">
        <v>27</v>
      </c>
      <c r="B446" s="1">
        <v>0.0</v>
      </c>
      <c r="C446" s="1">
        <v>0.0</v>
      </c>
      <c r="D446" s="1">
        <v>0.0</v>
      </c>
      <c r="E446" s="1">
        <v>0.0</v>
      </c>
      <c r="F446" s="1">
        <v>0.0</v>
      </c>
      <c r="G446" s="1">
        <v>0.0</v>
      </c>
      <c r="H446" s="1">
        <v>1.0</v>
      </c>
      <c r="I446" s="1">
        <f>145-37.5-25</f>
        <v>82.5</v>
      </c>
      <c r="J446" s="1">
        <f> 535</f>
        <v>535</v>
      </c>
    </row>
    <row r="447">
      <c r="A447" s="1" t="s">
        <v>199</v>
      </c>
      <c r="B447" s="1">
        <v>0.0</v>
      </c>
      <c r="C447" s="1">
        <v>0.0</v>
      </c>
      <c r="D447" s="1">
        <v>0.0</v>
      </c>
      <c r="E447" s="1">
        <v>0.0</v>
      </c>
      <c r="F447" s="1">
        <v>0.0</v>
      </c>
      <c r="G447" s="1">
        <v>0.0</v>
      </c>
      <c r="H447" s="1">
        <v>1.0</v>
      </c>
    </row>
    <row r="448">
      <c r="A448" s="1" t="s">
        <v>29</v>
      </c>
      <c r="B448" s="36">
        <v>42729.0</v>
      </c>
      <c r="C448" s="1">
        <v>183.53</v>
      </c>
      <c r="D448" s="22" t="s">
        <v>216</v>
      </c>
      <c r="E448" s="1" t="s">
        <v>8</v>
      </c>
      <c r="F448" s="1">
        <v>0.0</v>
      </c>
      <c r="G448" s="1">
        <v>0.0</v>
      </c>
      <c r="H448" s="1">
        <v>1.0</v>
      </c>
    </row>
    <row r="449">
      <c r="A449" s="1" t="s">
        <v>106</v>
      </c>
      <c r="B449" s="38">
        <v>42743.0</v>
      </c>
      <c r="C449" s="1">
        <v>190.0</v>
      </c>
      <c r="D449" s="1" t="s">
        <v>31</v>
      </c>
      <c r="I449" s="1" t="s">
        <v>69</v>
      </c>
      <c r="J449" s="1" t="s">
        <v>11</v>
      </c>
    </row>
    <row r="450">
      <c r="A450" s="1" t="s">
        <v>156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1.0</v>
      </c>
      <c r="I450">
        <f>242.86-150-67</f>
        <v>25.86</v>
      </c>
      <c r="J450">
        <f>609.61-190-112.61-200+2368-167.69</f>
        <v>2307.31</v>
      </c>
    </row>
    <row r="451">
      <c r="A451" s="1" t="s">
        <v>19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25.95</v>
      </c>
      <c r="H451" s="1">
        <v>1.0</v>
      </c>
    </row>
    <row r="452">
      <c r="A452" s="1" t="s">
        <v>107</v>
      </c>
      <c r="C452" s="1">
        <v>102.0</v>
      </c>
      <c r="E452" s="1" t="s">
        <v>101</v>
      </c>
      <c r="G452" s="1"/>
      <c r="H452" s="1">
        <v>1.0</v>
      </c>
    </row>
    <row r="453">
      <c r="A453" s="1" t="s">
        <v>33</v>
      </c>
      <c r="B453" s="36">
        <v>42743.0</v>
      </c>
      <c r="C453" s="1">
        <v>150.0</v>
      </c>
      <c r="D453" s="43" t="s">
        <v>217</v>
      </c>
      <c r="E453" s="1" t="s">
        <v>8</v>
      </c>
      <c r="F453" s="1">
        <v>15.96</v>
      </c>
      <c r="G453" s="1">
        <v>6321.0</v>
      </c>
      <c r="H453" s="1">
        <v>1.0</v>
      </c>
    </row>
    <row r="454">
      <c r="A454" s="1" t="s">
        <v>35</v>
      </c>
      <c r="B454" s="1">
        <v>0.0</v>
      </c>
      <c r="C454" s="1">
        <v>0.0</v>
      </c>
      <c r="D454" s="1">
        <v>0.0</v>
      </c>
      <c r="E454" s="1">
        <v>0.0</v>
      </c>
      <c r="F454" s="1">
        <v>0.0</v>
      </c>
      <c r="G454" s="1">
        <v>0.0</v>
      </c>
      <c r="H454" s="1">
        <v>1.0</v>
      </c>
    </row>
    <row r="455">
      <c r="A455" s="1" t="s">
        <v>36</v>
      </c>
      <c r="B455" s="1">
        <v>0.0</v>
      </c>
      <c r="C455" s="1">
        <v>0.0</v>
      </c>
      <c r="D455" s="1">
        <v>0.0</v>
      </c>
      <c r="E455" s="1">
        <v>0.0</v>
      </c>
      <c r="F455" s="1">
        <v>0.0</v>
      </c>
      <c r="G455" s="1">
        <v>1648.0</v>
      </c>
      <c r="H455" s="1">
        <v>1.0</v>
      </c>
      <c r="I455" s="1" t="s">
        <v>8</v>
      </c>
      <c r="J455" s="1" t="s">
        <v>11</v>
      </c>
    </row>
    <row r="456">
      <c r="A456" s="1" t="s">
        <v>159</v>
      </c>
      <c r="B456" s="38">
        <v>42743.0</v>
      </c>
      <c r="C456" s="1">
        <v>112.61</v>
      </c>
      <c r="D456" s="23">
        <v>1.621764788E9</v>
      </c>
      <c r="E456" s="1" t="s">
        <v>11</v>
      </c>
      <c r="F456" s="1">
        <v>0.0</v>
      </c>
      <c r="G456" s="1">
        <v>0.0</v>
      </c>
      <c r="H456" s="1">
        <v>1.0</v>
      </c>
      <c r="I456">
        <f>329.09-27.99-250</f>
        <v>51.1</v>
      </c>
      <c r="J456">
        <f>4005.06-150-541.94</f>
        <v>3313.12</v>
      </c>
    </row>
    <row r="457">
      <c r="A457" s="1" t="s">
        <v>161</v>
      </c>
      <c r="B457" s="36">
        <v>42755.0</v>
      </c>
      <c r="C457" s="1">
        <v>27.99</v>
      </c>
      <c r="D457" s="1"/>
      <c r="E457" s="1" t="s">
        <v>69</v>
      </c>
      <c r="F457" s="1"/>
      <c r="G457" s="1">
        <v>0.0</v>
      </c>
      <c r="H457" s="1">
        <v>1.0</v>
      </c>
    </row>
    <row r="458">
      <c r="A458" s="1" t="s">
        <v>39</v>
      </c>
      <c r="B458" s="38">
        <v>42743.0</v>
      </c>
      <c r="C458" s="1">
        <v>67.0</v>
      </c>
      <c r="D458" s="49">
        <v>1.32220167069803E14</v>
      </c>
      <c r="E458" s="1" t="s">
        <v>69</v>
      </c>
      <c r="F458" s="1">
        <v>0.0</v>
      </c>
      <c r="G458" s="1">
        <v>333.67</v>
      </c>
      <c r="H458" s="1">
        <v>1.0</v>
      </c>
    </row>
    <row r="459">
      <c r="A459" s="1" t="s">
        <v>84</v>
      </c>
      <c r="B459" s="36">
        <v>42755.0</v>
      </c>
      <c r="C459" s="1">
        <f>250+150</f>
        <v>400</v>
      </c>
      <c r="D459" s="1"/>
      <c r="E459" s="1" t="s">
        <v>198</v>
      </c>
    </row>
    <row r="460">
      <c r="A460" s="1" t="s">
        <v>48</v>
      </c>
      <c r="B460" s="1"/>
      <c r="C460" s="1">
        <v>541.94</v>
      </c>
      <c r="D460" s="1" t="s">
        <v>31</v>
      </c>
      <c r="F460" s="1"/>
    </row>
    <row r="463">
      <c r="A463" s="1" t="s">
        <v>218</v>
      </c>
    </row>
    <row r="464">
      <c r="A464" s="1" t="s">
        <v>202</v>
      </c>
      <c r="B464" s="36">
        <v>42759.0</v>
      </c>
      <c r="C464" s="1">
        <v>293.3</v>
      </c>
      <c r="D464" s="40">
        <v>1.1223356587573E14</v>
      </c>
      <c r="E464" s="1" t="s">
        <v>11</v>
      </c>
      <c r="F464" s="1">
        <v>0.0</v>
      </c>
      <c r="G464" s="1">
        <v>0.0</v>
      </c>
    </row>
    <row r="465">
      <c r="A465" s="1" t="s">
        <v>24</v>
      </c>
      <c r="B465" s="36">
        <v>42759.0</v>
      </c>
      <c r="C465" s="1">
        <v>127.05</v>
      </c>
      <c r="D465" s="27" t="s">
        <v>219</v>
      </c>
      <c r="E465" s="1" t="s">
        <v>11</v>
      </c>
      <c r="F465" s="1">
        <v>0.0</v>
      </c>
      <c r="G465" s="1">
        <v>0.0</v>
      </c>
    </row>
    <row r="466">
      <c r="A466" s="1" t="s">
        <v>163</v>
      </c>
      <c r="B466" s="36">
        <v>42759.0</v>
      </c>
      <c r="C466" s="1">
        <v>246.36</v>
      </c>
      <c r="D466" s="52">
        <v>4.578709E7</v>
      </c>
      <c r="E466" s="1" t="s">
        <v>11</v>
      </c>
      <c r="F466" s="1">
        <v>0.0</v>
      </c>
      <c r="G466" s="1">
        <v>0.0</v>
      </c>
    </row>
    <row r="467">
      <c r="A467" s="1" t="s">
        <v>26</v>
      </c>
      <c r="B467" s="1">
        <v>0.0</v>
      </c>
      <c r="C467" s="1">
        <v>0.0</v>
      </c>
      <c r="D467" s="1">
        <v>0.0</v>
      </c>
    </row>
    <row r="468">
      <c r="A468" s="1" t="s">
        <v>96</v>
      </c>
      <c r="B468" s="36">
        <v>42759.0</v>
      </c>
      <c r="C468" s="1">
        <v>1013.7</v>
      </c>
      <c r="D468" s="22" t="s">
        <v>220</v>
      </c>
      <c r="E468" s="1" t="s">
        <v>11</v>
      </c>
      <c r="F468" s="1">
        <v>1.15</v>
      </c>
      <c r="G468" s="1">
        <v>0.0</v>
      </c>
    </row>
    <row r="469">
      <c r="A469" s="1" t="s">
        <v>27</v>
      </c>
      <c r="B469" s="1">
        <v>0.0</v>
      </c>
      <c r="G469" s="1">
        <v>0.0</v>
      </c>
    </row>
    <row r="470">
      <c r="A470" s="1" t="s">
        <v>199</v>
      </c>
      <c r="B470" s="1">
        <v>0.0</v>
      </c>
      <c r="G470" s="1">
        <v>178.05</v>
      </c>
    </row>
    <row r="471">
      <c r="A471" s="1" t="s">
        <v>29</v>
      </c>
      <c r="B471" s="1">
        <v>0.0</v>
      </c>
      <c r="I471" s="1" t="s">
        <v>8</v>
      </c>
      <c r="J471" s="1" t="s">
        <v>11</v>
      </c>
    </row>
    <row r="472">
      <c r="A472" s="1" t="s">
        <v>106</v>
      </c>
      <c r="B472" s="55">
        <v>42770.0</v>
      </c>
      <c r="C472" s="1">
        <v>190.0</v>
      </c>
      <c r="D472" s="1" t="s">
        <v>31</v>
      </c>
      <c r="I472">
        <f>51.1</f>
        <v>51.1</v>
      </c>
      <c r="J472">
        <f>3313.12-293.3-127.05-246.39-76.9-1013-1500</f>
        <v>56.48</v>
      </c>
    </row>
    <row r="473">
      <c r="A473" s="1" t="s">
        <v>156</v>
      </c>
      <c r="B473" s="1">
        <v>0.0</v>
      </c>
      <c r="I473" s="45">
        <f>535.83-335.49-172.7</f>
        <v>27.64</v>
      </c>
      <c r="J473">
        <f>787-190-550+362</f>
        <v>409</v>
      </c>
      <c r="K473" s="45">
        <f>I473+J473</f>
        <v>436.64</v>
      </c>
    </row>
    <row r="474">
      <c r="A474" s="1" t="s">
        <v>19</v>
      </c>
      <c r="B474" s="1" t="s">
        <v>221</v>
      </c>
      <c r="C474" s="1">
        <f>76.9+172.7</f>
        <v>249.6</v>
      </c>
      <c r="E474" s="1" t="s">
        <v>222</v>
      </c>
      <c r="F474" s="1" t="s">
        <v>135</v>
      </c>
      <c r="G474" s="1">
        <v>0.0</v>
      </c>
    </row>
    <row r="475">
      <c r="A475" s="1" t="s">
        <v>107</v>
      </c>
      <c r="B475" s="36">
        <v>42785.0</v>
      </c>
      <c r="C475" s="1">
        <v>196.34</v>
      </c>
      <c r="I475">
        <f>262.22-39.99-119.53-1.99</f>
        <v>100.71</v>
      </c>
      <c r="J475" s="1">
        <f>647.33-25-525</f>
        <v>97.33</v>
      </c>
    </row>
    <row r="476">
      <c r="A476" s="1" t="s">
        <v>33</v>
      </c>
      <c r="B476" s="1" t="s">
        <v>223</v>
      </c>
      <c r="C476" s="1">
        <f>1500+550+203</f>
        <v>2253</v>
      </c>
      <c r="D476" s="43" t="s">
        <v>224</v>
      </c>
      <c r="E476" s="1" t="s">
        <v>225</v>
      </c>
      <c r="F476" s="1">
        <v>18.24</v>
      </c>
      <c r="G476" s="1">
        <f>4942.4-550-203</f>
        <v>4189.4</v>
      </c>
    </row>
    <row r="477">
      <c r="A477" s="1" t="s">
        <v>35</v>
      </c>
      <c r="B477" s="1">
        <v>0.0</v>
      </c>
      <c r="C477" s="1">
        <v>0.0</v>
      </c>
      <c r="D477" s="1">
        <v>0.0</v>
      </c>
      <c r="E477" s="1">
        <v>0.0</v>
      </c>
      <c r="F477" s="1">
        <v>0.0</v>
      </c>
      <c r="G477" s="1">
        <v>0.0</v>
      </c>
    </row>
    <row r="478">
      <c r="A478" s="1" t="s">
        <v>226</v>
      </c>
      <c r="B478" s="36">
        <v>42783.0</v>
      </c>
      <c r="C478" s="1">
        <v>25.0</v>
      </c>
      <c r="D478" s="56" t="s">
        <v>227</v>
      </c>
      <c r="E478" s="1" t="s">
        <v>11</v>
      </c>
      <c r="F478" s="1">
        <v>0.0</v>
      </c>
      <c r="G478" s="1">
        <f>1648-25</f>
        <v>1623</v>
      </c>
    </row>
    <row r="479">
      <c r="A479" s="1" t="s">
        <v>159</v>
      </c>
      <c r="B479" s="36">
        <v>42783.0</v>
      </c>
      <c r="C479" s="1">
        <v>178.05</v>
      </c>
      <c r="D479" s="23">
        <v>1.645205561E9</v>
      </c>
      <c r="E479" s="1" t="s">
        <v>228</v>
      </c>
      <c r="F479" s="1">
        <v>0.0</v>
      </c>
      <c r="G479" s="1">
        <v>0.0</v>
      </c>
    </row>
    <row r="480">
      <c r="A480" s="1" t="s">
        <v>161</v>
      </c>
      <c r="B480" s="1" t="s">
        <v>229</v>
      </c>
      <c r="C480" s="1">
        <v>39.99</v>
      </c>
      <c r="E480" s="1" t="s">
        <v>69</v>
      </c>
    </row>
    <row r="481">
      <c r="A481" s="1" t="s">
        <v>39</v>
      </c>
      <c r="B481" s="36">
        <v>42770.0</v>
      </c>
      <c r="C481" s="1">
        <v>335.49</v>
      </c>
      <c r="D481" s="44">
        <v>1.32243458526252E14</v>
      </c>
      <c r="E481" s="1" t="s">
        <v>69</v>
      </c>
      <c r="F481" s="1">
        <v>0.0</v>
      </c>
      <c r="G481" s="1">
        <v>0.0</v>
      </c>
    </row>
    <row r="482">
      <c r="A482" s="1" t="s">
        <v>84</v>
      </c>
    </row>
    <row r="483">
      <c r="A483" s="1" t="s">
        <v>48</v>
      </c>
      <c r="B483" s="36">
        <v>42783.0</v>
      </c>
      <c r="C483" s="1">
        <v>525.0</v>
      </c>
      <c r="D483" s="1" t="s">
        <v>31</v>
      </c>
      <c r="E483" s="1" t="s">
        <v>11</v>
      </c>
    </row>
    <row r="484">
      <c r="B484" s="1" t="s">
        <v>41</v>
      </c>
      <c r="C484">
        <f>sum(C464:C483)</f>
        <v>5672.88</v>
      </c>
      <c r="F484" s="1" t="s">
        <v>230</v>
      </c>
      <c r="G484">
        <f>sum(G464:G482)-2000</f>
        <v>3990.45</v>
      </c>
    </row>
    <row r="486">
      <c r="A486" s="57">
        <v>42795.0</v>
      </c>
    </row>
    <row r="487">
      <c r="A487" s="1" t="s">
        <v>231</v>
      </c>
      <c r="B487" s="1">
        <v>0.0</v>
      </c>
      <c r="C487" s="1">
        <v>0.0</v>
      </c>
      <c r="D487" s="1">
        <v>0.0</v>
      </c>
      <c r="E487" s="1">
        <v>0.0</v>
      </c>
      <c r="F487" s="1">
        <v>0.0</v>
      </c>
      <c r="G487" s="1">
        <v>0.0</v>
      </c>
    </row>
    <row r="488">
      <c r="A488" s="1" t="s">
        <v>24</v>
      </c>
      <c r="B488" s="1">
        <v>0.0</v>
      </c>
      <c r="C488" s="1">
        <v>0.0</v>
      </c>
      <c r="D488" s="1">
        <v>0.0</v>
      </c>
      <c r="E488" s="1">
        <v>0.0</v>
      </c>
      <c r="F488" s="1">
        <v>0.0</v>
      </c>
      <c r="G488" s="1">
        <v>0.0</v>
      </c>
      <c r="I488" s="1" t="s">
        <v>11</v>
      </c>
      <c r="J488" s="1" t="s">
        <v>8</v>
      </c>
    </row>
    <row r="489">
      <c r="A489" s="1" t="s">
        <v>163</v>
      </c>
      <c r="B489" s="36">
        <v>42783.0</v>
      </c>
      <c r="C489" s="1">
        <v>1.99</v>
      </c>
      <c r="E489" s="1" t="s">
        <v>69</v>
      </c>
      <c r="F489" s="1">
        <v>0.0</v>
      </c>
      <c r="G489" s="1">
        <v>0.0</v>
      </c>
      <c r="I489">
        <f>1448-525-898-20+20</f>
        <v>25</v>
      </c>
      <c r="J489">
        <f>263-203-20</f>
        <v>40</v>
      </c>
    </row>
    <row r="490">
      <c r="A490" s="1" t="s">
        <v>26</v>
      </c>
      <c r="B490" s="36">
        <v>42783.0</v>
      </c>
      <c r="C490" s="1">
        <v>119.53</v>
      </c>
      <c r="D490" s="54">
        <v>1.92236001E8</v>
      </c>
      <c r="E490" s="1" t="s">
        <v>8</v>
      </c>
      <c r="F490" s="1">
        <v>0.0</v>
      </c>
      <c r="G490" s="1">
        <v>0.0</v>
      </c>
      <c r="J490">
        <f>38.71</f>
        <v>38.71</v>
      </c>
    </row>
    <row r="491">
      <c r="A491" s="1" t="s">
        <v>96</v>
      </c>
      <c r="B491" s="1">
        <v>0.0</v>
      </c>
      <c r="C491" s="1">
        <v>0.0</v>
      </c>
      <c r="D491" s="1">
        <v>0.0</v>
      </c>
      <c r="E491" s="1">
        <v>0.0</v>
      </c>
      <c r="F491" s="1">
        <v>0.0</v>
      </c>
      <c r="G491" s="1">
        <v>0.0</v>
      </c>
      <c r="I491">
        <f>1314.87-525-390-190-69.89</f>
        <v>139.98</v>
      </c>
      <c r="J491">
        <f>260.82-25-200</f>
        <v>35.82</v>
      </c>
      <c r="K491">
        <f>I491+J491</f>
        <v>175.8</v>
      </c>
    </row>
    <row r="492">
      <c r="A492" s="1" t="s">
        <v>27</v>
      </c>
      <c r="B492" s="1">
        <v>0.0</v>
      </c>
      <c r="C492" s="1">
        <v>0.0</v>
      </c>
      <c r="D492" s="1">
        <v>0.0</v>
      </c>
      <c r="E492" s="1">
        <v>0.0</v>
      </c>
      <c r="F492" s="1">
        <v>0.0</v>
      </c>
      <c r="G492" s="1">
        <v>0.0</v>
      </c>
      <c r="I492">
        <f>502</f>
        <v>502</v>
      </c>
      <c r="K492">
        <f>K491-50</f>
        <v>125.8</v>
      </c>
    </row>
    <row r="493">
      <c r="A493" s="1" t="s">
        <v>199</v>
      </c>
      <c r="B493" s="1">
        <v>0.0</v>
      </c>
      <c r="C493" s="1">
        <v>0.0</v>
      </c>
      <c r="D493" s="1">
        <v>0.0</v>
      </c>
      <c r="E493" s="1">
        <v>0.0</v>
      </c>
      <c r="F493" s="1">
        <v>0.0</v>
      </c>
      <c r="G493" s="1">
        <v>178.05</v>
      </c>
    </row>
    <row r="494">
      <c r="A494" s="1" t="s">
        <v>29</v>
      </c>
      <c r="B494" s="1">
        <v>0.0</v>
      </c>
      <c r="C494" s="1">
        <v>0.0</v>
      </c>
      <c r="D494" s="1">
        <v>0.0</v>
      </c>
      <c r="E494" s="1">
        <v>0.0</v>
      </c>
      <c r="F494" s="1">
        <v>0.0</v>
      </c>
      <c r="G494" s="1">
        <v>0.0</v>
      </c>
    </row>
    <row r="495">
      <c r="A495" s="1" t="s">
        <v>106</v>
      </c>
      <c r="B495" s="1" t="s">
        <v>31</v>
      </c>
      <c r="C495" s="1">
        <v>190.0</v>
      </c>
    </row>
    <row r="496">
      <c r="A496" s="1" t="s">
        <v>156</v>
      </c>
      <c r="B496" s="36">
        <v>42799.0</v>
      </c>
      <c r="C496" s="1">
        <v>69.89</v>
      </c>
      <c r="D496" s="40">
        <v>1.32268382702895E14</v>
      </c>
      <c r="E496" s="1" t="s">
        <v>11</v>
      </c>
      <c r="F496" s="1">
        <v>0.0</v>
      </c>
      <c r="G496" s="1">
        <v>0.0</v>
      </c>
    </row>
    <row r="497">
      <c r="A497" s="1" t="s">
        <v>19</v>
      </c>
      <c r="B497" s="1">
        <v>0.0</v>
      </c>
      <c r="C497" s="1">
        <v>0.0</v>
      </c>
      <c r="D497" s="1">
        <v>0.0</v>
      </c>
      <c r="E497" s="1">
        <v>0.0</v>
      </c>
      <c r="F497" s="1">
        <v>0.0</v>
      </c>
      <c r="G497" s="1">
        <v>0.0</v>
      </c>
    </row>
    <row r="498">
      <c r="A498" s="1" t="s">
        <v>107</v>
      </c>
      <c r="B498" s="36">
        <v>42813.0</v>
      </c>
      <c r="C498" s="1">
        <v>372.83</v>
      </c>
      <c r="E498" s="1" t="s">
        <v>33</v>
      </c>
      <c r="F498" s="1">
        <v>0.0</v>
      </c>
      <c r="G498" s="1">
        <v>0.0</v>
      </c>
    </row>
    <row r="499">
      <c r="A499" s="1" t="s">
        <v>33</v>
      </c>
      <c r="B499" s="36">
        <v>42786.0</v>
      </c>
      <c r="C499" s="1" t="s">
        <v>232</v>
      </c>
      <c r="D499" s="41" t="s">
        <v>233</v>
      </c>
      <c r="E499" s="1" t="s">
        <v>11</v>
      </c>
      <c r="G499" s="1">
        <v>3221.0</v>
      </c>
      <c r="I499" s="1" t="s">
        <v>11</v>
      </c>
      <c r="J499" s="1" t="s">
        <v>8</v>
      </c>
    </row>
    <row r="500">
      <c r="A500" s="1" t="s">
        <v>35</v>
      </c>
      <c r="B500" s="1">
        <v>0.0</v>
      </c>
      <c r="C500" s="1">
        <v>0.0</v>
      </c>
      <c r="D500" s="1">
        <v>0.0</v>
      </c>
      <c r="E500" s="1">
        <v>0.0</v>
      </c>
      <c r="F500" s="1">
        <v>0.0</v>
      </c>
      <c r="G500" s="1">
        <v>0.0</v>
      </c>
      <c r="I500">
        <f>1113.76-167.34-77.34-269-72.87+400+679-300-285.66-752.64</f>
        <v>267.91</v>
      </c>
      <c r="J500">
        <f>271.4-39.99-21.9</f>
        <v>209.51</v>
      </c>
      <c r="K500">
        <f>I500+J500</f>
        <v>477.42</v>
      </c>
    </row>
    <row r="501">
      <c r="A501" s="1" t="s">
        <v>226</v>
      </c>
      <c r="B501" s="36">
        <v>42797.0</v>
      </c>
      <c r="C501" s="1">
        <v>25.0</v>
      </c>
      <c r="D501" s="58" t="s">
        <v>234</v>
      </c>
      <c r="E501" s="1" t="s">
        <v>8</v>
      </c>
      <c r="F501" s="1">
        <v>0.0</v>
      </c>
      <c r="G501">
        <f>1623-25</f>
        <v>1598</v>
      </c>
    </row>
    <row r="502">
      <c r="A502" s="1" t="s">
        <v>159</v>
      </c>
      <c r="B502" s="36">
        <v>42811.0</v>
      </c>
      <c r="C502" s="1">
        <v>167.34</v>
      </c>
      <c r="D502" s="23">
        <v>1.663359559E9</v>
      </c>
      <c r="E502" s="1" t="s">
        <v>11</v>
      </c>
      <c r="F502" s="1">
        <v>0.0</v>
      </c>
      <c r="G502" s="1">
        <v>0.0</v>
      </c>
    </row>
    <row r="503">
      <c r="A503" s="1" t="s">
        <v>235</v>
      </c>
      <c r="B503" s="1" t="s">
        <v>236</v>
      </c>
      <c r="C503" s="1">
        <v>200.0</v>
      </c>
      <c r="D503" s="1" t="s">
        <v>237</v>
      </c>
      <c r="E503" s="1" t="s">
        <v>198</v>
      </c>
      <c r="F503" s="1">
        <v>23.07</v>
      </c>
      <c r="G503" s="1">
        <v>1648.7</v>
      </c>
    </row>
    <row r="504">
      <c r="A504" s="1" t="s">
        <v>238</v>
      </c>
      <c r="B504" s="1">
        <v>0.0</v>
      </c>
      <c r="C504" s="1">
        <v>0.0</v>
      </c>
      <c r="D504" s="1">
        <v>0.0</v>
      </c>
      <c r="E504" s="1">
        <v>0.0</v>
      </c>
      <c r="F504" s="1">
        <v>12.1</v>
      </c>
      <c r="G504" s="1">
        <f>762.54</f>
        <v>762.54</v>
      </c>
    </row>
    <row r="505">
      <c r="A505" s="1" t="s">
        <v>161</v>
      </c>
      <c r="B505" s="36">
        <v>42811.0</v>
      </c>
      <c r="C505" s="1">
        <v>39.99</v>
      </c>
      <c r="D505" s="1">
        <v>0.0</v>
      </c>
      <c r="E505" s="1">
        <v>0.0</v>
      </c>
      <c r="F505" s="1">
        <v>0.0</v>
      </c>
      <c r="G505" s="1">
        <v>0.0</v>
      </c>
    </row>
    <row r="506">
      <c r="A506" s="1" t="s">
        <v>239</v>
      </c>
      <c r="B506" s="36">
        <v>42811.0</v>
      </c>
      <c r="C506" s="1">
        <v>77.34</v>
      </c>
      <c r="D506" s="59">
        <v>1.22278846823155E14</v>
      </c>
      <c r="E506" s="1" t="s">
        <v>11</v>
      </c>
      <c r="F506" s="1">
        <v>0.0</v>
      </c>
      <c r="G506" s="1">
        <v>0.0</v>
      </c>
    </row>
    <row r="507">
      <c r="A507" s="1" t="s">
        <v>84</v>
      </c>
      <c r="B507" s="36">
        <v>42797.0</v>
      </c>
      <c r="C507" s="1">
        <v>390.0</v>
      </c>
      <c r="F507" s="1" t="s">
        <v>41</v>
      </c>
      <c r="G507">
        <f>sum(G487:G506)</f>
        <v>7408.29</v>
      </c>
    </row>
    <row r="508">
      <c r="B508" s="1" t="s">
        <v>41</v>
      </c>
      <c r="C508">
        <f>sum(C487:C507)-898</f>
        <v>755.91</v>
      </c>
    </row>
    <row r="511">
      <c r="A511" s="57">
        <v>42826.0</v>
      </c>
    </row>
    <row r="512">
      <c r="A512" s="1" t="s">
        <v>231</v>
      </c>
      <c r="B512" s="1">
        <v>0.0</v>
      </c>
      <c r="C512" s="1">
        <v>0.0</v>
      </c>
      <c r="D512" s="1">
        <v>0.0</v>
      </c>
      <c r="E512" s="1">
        <v>0.0</v>
      </c>
      <c r="F512" s="1">
        <v>0.0</v>
      </c>
      <c r="G512" s="1">
        <v>0.0</v>
      </c>
    </row>
    <row r="513">
      <c r="A513" s="1" t="s">
        <v>24</v>
      </c>
      <c r="B513" s="36">
        <v>42811.0</v>
      </c>
      <c r="C513" s="1">
        <v>21.9</v>
      </c>
      <c r="D513" s="27" t="s">
        <v>240</v>
      </c>
      <c r="E513" s="1" t="s">
        <v>8</v>
      </c>
      <c r="F513" s="1">
        <v>0.0</v>
      </c>
      <c r="G513" s="1">
        <v>0.0</v>
      </c>
    </row>
    <row r="514">
      <c r="A514" s="1" t="s">
        <v>163</v>
      </c>
      <c r="B514" s="1">
        <v>0.0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I514" s="1" t="s">
        <v>11</v>
      </c>
      <c r="J514" s="1" t="s">
        <v>8</v>
      </c>
    </row>
    <row r="515">
      <c r="A515" s="1" t="s">
        <v>26</v>
      </c>
      <c r="B515" s="35"/>
      <c r="C515" s="1">
        <v>72.87</v>
      </c>
      <c r="D515" s="35">
        <v>1.93265904E8</v>
      </c>
      <c r="E515" s="1" t="s">
        <v>11</v>
      </c>
      <c r="F515" s="1">
        <v>0.0</v>
      </c>
      <c r="G515" s="1">
        <v>0.0</v>
      </c>
      <c r="I515" s="1">
        <f>268.43-240+2325-1669.52-525+600-730</f>
        <v>28.91</v>
      </c>
      <c r="J515">
        <f>209.51-87.5+444.74-178.05-50</f>
        <v>338.7</v>
      </c>
      <c r="K515">
        <f>I515+J515</f>
        <v>367.61</v>
      </c>
    </row>
    <row r="516">
      <c r="A516" s="1" t="s">
        <v>27</v>
      </c>
      <c r="B516" s="1">
        <v>0.0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</row>
    <row r="517">
      <c r="A517" s="1" t="s">
        <v>199</v>
      </c>
      <c r="B517" s="36">
        <v>42825.0</v>
      </c>
      <c r="C517" s="1">
        <v>178.05</v>
      </c>
      <c r="D517" s="51">
        <v>3.024223292E9</v>
      </c>
      <c r="E517" s="1" t="s">
        <v>49</v>
      </c>
      <c r="F517" s="1">
        <v>0.0</v>
      </c>
      <c r="G517" s="1">
        <f>178.05-178.05</f>
        <v>0</v>
      </c>
    </row>
    <row r="518">
      <c r="A518" s="1" t="s">
        <v>29</v>
      </c>
      <c r="B518" s="1">
        <v>0.0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</row>
    <row r="519">
      <c r="A519" s="1" t="s">
        <v>106</v>
      </c>
      <c r="B519" s="36">
        <v>42839.0</v>
      </c>
      <c r="C519" s="1">
        <v>190.0</v>
      </c>
      <c r="D519" s="1" t="s">
        <v>31</v>
      </c>
      <c r="E519" s="1" t="s">
        <v>11</v>
      </c>
    </row>
    <row r="520">
      <c r="A520" s="1" t="s">
        <v>156</v>
      </c>
      <c r="B520" s="1">
        <v>0.0</v>
      </c>
      <c r="C520" s="1">
        <v>0.0</v>
      </c>
      <c r="D520" s="1">
        <v>0.0</v>
      </c>
      <c r="E520" s="1">
        <v>0.0</v>
      </c>
      <c r="F520" s="1">
        <v>0.0</v>
      </c>
      <c r="G520" s="1">
        <v>0.0</v>
      </c>
    </row>
    <row r="521">
      <c r="A521" s="1" t="s">
        <v>19</v>
      </c>
      <c r="B521" s="1" t="s">
        <v>241</v>
      </c>
      <c r="C521" s="1" t="s">
        <v>242</v>
      </c>
      <c r="D521" s="1">
        <v>1.293275489E9</v>
      </c>
      <c r="E521" s="1" t="s">
        <v>243</v>
      </c>
      <c r="F521" s="1">
        <v>0.0</v>
      </c>
      <c r="G521" s="1" t="s">
        <v>244</v>
      </c>
    </row>
    <row r="522">
      <c r="A522" s="1" t="s">
        <v>107</v>
      </c>
      <c r="B522" s="36">
        <v>42845.0</v>
      </c>
      <c r="C522" s="1">
        <v>102.0</v>
      </c>
      <c r="E522" s="1" t="s">
        <v>33</v>
      </c>
    </row>
    <row r="523">
      <c r="A523" s="1" t="s">
        <v>33</v>
      </c>
      <c r="B523" s="1" t="s">
        <v>245</v>
      </c>
      <c r="C523" s="1">
        <f>300+240+730</f>
        <v>1270</v>
      </c>
      <c r="D523" s="43" t="s">
        <v>246</v>
      </c>
      <c r="E523" s="1" t="s">
        <v>225</v>
      </c>
      <c r="F523" s="1">
        <v>0.0</v>
      </c>
      <c r="G523" s="1">
        <f>3294-240-730</f>
        <v>2324</v>
      </c>
    </row>
    <row r="524">
      <c r="A524" s="1" t="s">
        <v>35</v>
      </c>
      <c r="B524" s="36">
        <v>42839.0</v>
      </c>
      <c r="C524" s="1">
        <v>80.3</v>
      </c>
      <c r="D524" s="60" t="s">
        <v>247</v>
      </c>
      <c r="E524" s="1" t="s">
        <v>8</v>
      </c>
      <c r="F524" s="1">
        <v>0.0</v>
      </c>
      <c r="G524" s="1">
        <v>0.0</v>
      </c>
    </row>
    <row r="525">
      <c r="A525" s="1" t="s">
        <v>226</v>
      </c>
      <c r="B525" s="36">
        <v>42839.0</v>
      </c>
      <c r="C525" s="1">
        <v>50.0</v>
      </c>
      <c r="D525" s="56" t="s">
        <v>248</v>
      </c>
      <c r="E525" s="1" t="s">
        <v>8</v>
      </c>
      <c r="F525" s="1">
        <v>0.0</v>
      </c>
      <c r="G525" s="1">
        <v>1548.0</v>
      </c>
    </row>
    <row r="526">
      <c r="A526" s="1" t="s">
        <v>159</v>
      </c>
      <c r="B526" s="36">
        <v>42845.0</v>
      </c>
      <c r="C526" s="1">
        <v>167.44</v>
      </c>
      <c r="D526" s="1" t="s">
        <v>249</v>
      </c>
      <c r="E526" s="1" t="s">
        <v>250</v>
      </c>
      <c r="F526" s="1">
        <v>0.0</v>
      </c>
      <c r="G526" s="1">
        <v>0.0</v>
      </c>
    </row>
    <row r="527">
      <c r="A527" s="1" t="s">
        <v>235</v>
      </c>
      <c r="B527" s="36">
        <v>42824.0</v>
      </c>
      <c r="C527" s="1">
        <v>1669.52</v>
      </c>
      <c r="D527" s="43" t="s">
        <v>251</v>
      </c>
      <c r="E527" s="1" t="s">
        <v>11</v>
      </c>
      <c r="F527" s="1">
        <v>20.82</v>
      </c>
      <c r="G527" s="1">
        <f>1648.7-1648</f>
        <v>0.7</v>
      </c>
    </row>
    <row r="528">
      <c r="A528" s="1" t="s">
        <v>238</v>
      </c>
      <c r="B528" s="1" t="s">
        <v>241</v>
      </c>
      <c r="C528" s="1" t="s">
        <v>252</v>
      </c>
      <c r="D528" s="27" t="s">
        <v>253</v>
      </c>
      <c r="E528" s="1" t="s">
        <v>11</v>
      </c>
      <c r="F528" s="1">
        <v>12.1</v>
      </c>
      <c r="G528" s="1">
        <v>0.0</v>
      </c>
      <c r="I528" s="1" t="s">
        <v>11</v>
      </c>
      <c r="J528" s="1" t="s">
        <v>8</v>
      </c>
    </row>
    <row r="529">
      <c r="A529" s="1" t="s">
        <v>161</v>
      </c>
      <c r="B529" s="36">
        <v>42851.0</v>
      </c>
      <c r="C529" s="1">
        <v>39.99</v>
      </c>
      <c r="E529" s="1" t="s">
        <v>254</v>
      </c>
      <c r="F529" s="1">
        <v>0.0</v>
      </c>
      <c r="G529" s="1">
        <v>0.0</v>
      </c>
      <c r="I529">
        <f>627.84-190-400</f>
        <v>37.84</v>
      </c>
      <c r="J529">
        <f>683.71-400-80.3-125-24.29</f>
        <v>54.12</v>
      </c>
    </row>
    <row r="530">
      <c r="A530" s="1" t="s">
        <v>239</v>
      </c>
      <c r="B530" s="1">
        <v>0.0</v>
      </c>
      <c r="C530" s="1">
        <v>0.0</v>
      </c>
      <c r="D530" s="1">
        <v>0.0</v>
      </c>
      <c r="E530" s="1">
        <v>0.0</v>
      </c>
      <c r="F530" s="1">
        <v>0.0</v>
      </c>
      <c r="G530" s="1">
        <v>0.0</v>
      </c>
    </row>
    <row r="531">
      <c r="A531" s="1" t="s">
        <v>84</v>
      </c>
      <c r="B531" s="36">
        <v>42839.0</v>
      </c>
      <c r="C531" s="1">
        <v>400.0</v>
      </c>
      <c r="E531" s="1" t="s">
        <v>8</v>
      </c>
    </row>
    <row r="532">
      <c r="B532" s="1" t="s">
        <v>41</v>
      </c>
      <c r="C532">
        <f>sum(C512:C531)</f>
        <v>4242.07</v>
      </c>
    </row>
    <row r="537">
      <c r="A537" s="57">
        <v>42856.0</v>
      </c>
    </row>
    <row r="538">
      <c r="A538" s="1" t="s">
        <v>231</v>
      </c>
      <c r="B538" s="1">
        <v>0.0</v>
      </c>
      <c r="G538" s="1">
        <v>0.0</v>
      </c>
    </row>
    <row r="539">
      <c r="A539" s="1" t="s">
        <v>255</v>
      </c>
      <c r="B539" s="36">
        <v>42853.0</v>
      </c>
      <c r="C539" s="1">
        <v>62.64</v>
      </c>
      <c r="D539" s="27" t="s">
        <v>256</v>
      </c>
      <c r="E539" s="1" t="s">
        <v>8</v>
      </c>
      <c r="F539" s="1">
        <v>0.0</v>
      </c>
      <c r="G539" s="1">
        <f>62.64-62.64</f>
        <v>0</v>
      </c>
      <c r="H539" s="1" t="s">
        <v>11</v>
      </c>
      <c r="I539" s="1" t="s">
        <v>8</v>
      </c>
    </row>
    <row r="540">
      <c r="A540" s="1" t="s">
        <v>163</v>
      </c>
      <c r="B540" s="36">
        <v>42853.0</v>
      </c>
      <c r="C540" s="1">
        <v>264.0</v>
      </c>
      <c r="D540" s="52">
        <v>4.6321355E7</v>
      </c>
      <c r="E540" s="1" t="s">
        <v>8</v>
      </c>
      <c r="F540" s="1">
        <v>0.0</v>
      </c>
      <c r="G540" s="1">
        <v>101.71</v>
      </c>
      <c r="H540">
        <f>619.81-525-12.27+2+11-70</f>
        <v>25.54</v>
      </c>
      <c r="I540">
        <f>423.99-62.64-71.92-264</f>
        <v>25.43</v>
      </c>
    </row>
    <row r="541">
      <c r="A541" s="1" t="s">
        <v>26</v>
      </c>
      <c r="B541" s="36">
        <v>42853.0</v>
      </c>
      <c r="C541" s="1">
        <v>71.92</v>
      </c>
      <c r="D541" s="35">
        <v>1.94720905E8</v>
      </c>
      <c r="E541" s="1" t="s">
        <v>8</v>
      </c>
      <c r="F541" s="1">
        <v>0.0</v>
      </c>
      <c r="G541" s="1">
        <v>0.0</v>
      </c>
      <c r="H541">
        <f>926-190-175-300-11-187.27</f>
        <v>62.73</v>
      </c>
      <c r="I541">
        <f>328.66-20.05-50-225</f>
        <v>33.61</v>
      </c>
    </row>
    <row r="542">
      <c r="A542" s="1" t="s">
        <v>27</v>
      </c>
      <c r="B542" s="1">
        <v>0.0</v>
      </c>
      <c r="G542" s="1">
        <v>0.0</v>
      </c>
    </row>
    <row r="543">
      <c r="A543" s="1" t="s">
        <v>199</v>
      </c>
      <c r="B543" s="1">
        <v>0.0</v>
      </c>
      <c r="G543" s="1">
        <v>0.0</v>
      </c>
    </row>
    <row r="544">
      <c r="A544" s="1" t="s">
        <v>29</v>
      </c>
      <c r="B544" s="36">
        <v>42851.0</v>
      </c>
      <c r="C544" s="1">
        <v>300.0</v>
      </c>
      <c r="D544" s="1" t="s">
        <v>257</v>
      </c>
      <c r="E544" s="1" t="s">
        <v>11</v>
      </c>
      <c r="G544" s="1">
        <f>385-300</f>
        <v>85</v>
      </c>
    </row>
    <row r="545">
      <c r="A545" s="1" t="s">
        <v>106</v>
      </c>
      <c r="B545" s="36">
        <v>42867.0</v>
      </c>
      <c r="C545" s="1">
        <v>190.0</v>
      </c>
      <c r="D545" s="1" t="s">
        <v>31</v>
      </c>
      <c r="E545" s="1" t="s">
        <v>11</v>
      </c>
    </row>
    <row r="546">
      <c r="A546" s="1" t="s">
        <v>156</v>
      </c>
      <c r="B546" s="1">
        <v>0.0</v>
      </c>
      <c r="G546" s="1">
        <v>0.0</v>
      </c>
    </row>
    <row r="547">
      <c r="A547" s="1" t="s">
        <v>19</v>
      </c>
      <c r="B547" s="36">
        <v>42862.0</v>
      </c>
      <c r="C547" s="1">
        <v>70.0</v>
      </c>
      <c r="D547" s="61">
        <v>1.309605404E9</v>
      </c>
      <c r="E547" s="1" t="s">
        <v>11</v>
      </c>
      <c r="F547" s="1">
        <v>0.0</v>
      </c>
      <c r="G547" s="1">
        <v>163.02</v>
      </c>
    </row>
    <row r="548">
      <c r="A548" s="1" t="s">
        <v>258</v>
      </c>
      <c r="B548" s="36">
        <v>42875.0</v>
      </c>
      <c r="C548" s="1">
        <v>255.0</v>
      </c>
      <c r="E548" s="1" t="s">
        <v>101</v>
      </c>
    </row>
    <row r="549">
      <c r="A549" s="1" t="s">
        <v>33</v>
      </c>
      <c r="B549" s="1" t="s">
        <v>259</v>
      </c>
      <c r="C549" s="1">
        <f>300+300</f>
        <v>600</v>
      </c>
      <c r="D549" s="43" t="s">
        <v>260</v>
      </c>
      <c r="E549" s="1" t="s">
        <v>11</v>
      </c>
      <c r="F549" s="1">
        <v>0.0</v>
      </c>
      <c r="G549" s="1">
        <f>2581-500-300.5-300+255</f>
        <v>1735.5</v>
      </c>
    </row>
    <row r="550">
      <c r="A550" s="1" t="s">
        <v>35</v>
      </c>
      <c r="B550" s="36">
        <v>42867.0</v>
      </c>
      <c r="C550" s="1">
        <v>20.05</v>
      </c>
      <c r="D550" s="62" t="s">
        <v>261</v>
      </c>
      <c r="E550" s="1" t="s">
        <v>49</v>
      </c>
      <c r="F550" s="1">
        <v>0.0</v>
      </c>
      <c r="G550" s="1">
        <v>0.0</v>
      </c>
      <c r="I550" s="1" t="s">
        <v>262</v>
      </c>
    </row>
    <row r="551">
      <c r="A551" s="1" t="s">
        <v>226</v>
      </c>
      <c r="B551" s="36">
        <v>42867.0</v>
      </c>
      <c r="C551" s="1">
        <v>50.0</v>
      </c>
      <c r="D551" s="56" t="s">
        <v>263</v>
      </c>
      <c r="E551" s="1" t="s">
        <v>8</v>
      </c>
      <c r="F551" s="1">
        <v>0.0</v>
      </c>
      <c r="G551" s="1">
        <f>1548-50</f>
        <v>1498</v>
      </c>
      <c r="I551" s="1" t="s">
        <v>39</v>
      </c>
    </row>
    <row r="552">
      <c r="A552" s="1" t="s">
        <v>159</v>
      </c>
      <c r="B552" s="36">
        <v>42877.0</v>
      </c>
      <c r="C552" s="1">
        <v>167.64</v>
      </c>
      <c r="D552" s="23">
        <v>1.704375402E9</v>
      </c>
      <c r="E552" s="1" t="s">
        <v>147</v>
      </c>
      <c r="F552" s="1">
        <v>0.0</v>
      </c>
      <c r="G552" s="1">
        <v>0.0</v>
      </c>
    </row>
    <row r="553">
      <c r="A553" s="1" t="s">
        <v>161</v>
      </c>
      <c r="B553" s="36">
        <v>42877.0</v>
      </c>
      <c r="C553" s="1">
        <v>39.99</v>
      </c>
      <c r="E553" s="1" t="s">
        <v>147</v>
      </c>
    </row>
    <row r="554">
      <c r="A554" s="1" t="s">
        <v>239</v>
      </c>
      <c r="B554" s="1">
        <v>0.0</v>
      </c>
      <c r="C554" s="1">
        <v>0.0</v>
      </c>
      <c r="D554" s="1">
        <v>0.0</v>
      </c>
      <c r="E554" s="1">
        <v>0.0</v>
      </c>
      <c r="F554" s="1">
        <v>0.0</v>
      </c>
      <c r="G554" s="1">
        <v>0.0</v>
      </c>
      <c r="I554" s="1" t="s">
        <v>264</v>
      </c>
      <c r="J554">
        <f>2*154.93</f>
        <v>309.86</v>
      </c>
    </row>
    <row r="555">
      <c r="A555" s="1" t="s">
        <v>84</v>
      </c>
      <c r="B555" s="63">
        <v>42867.0</v>
      </c>
      <c r="C555" s="1">
        <f>225+175</f>
        <v>400</v>
      </c>
      <c r="E555" s="1" t="s">
        <v>265</v>
      </c>
      <c r="F555" s="1">
        <v>0.0</v>
      </c>
      <c r="G555" s="1">
        <v>0.0</v>
      </c>
      <c r="I555" s="1" t="s">
        <v>90</v>
      </c>
      <c r="J555" s="1">
        <f>2*13.33</f>
        <v>26.66</v>
      </c>
    </row>
    <row r="556">
      <c r="A556" s="1" t="s">
        <v>48</v>
      </c>
      <c r="B556" s="1"/>
      <c r="C556" s="1">
        <v>525.0</v>
      </c>
      <c r="I556" s="1"/>
      <c r="J556" s="1"/>
    </row>
    <row r="557">
      <c r="B557" s="1" t="s">
        <v>41</v>
      </c>
      <c r="C557">
        <f>sum(C538:C556)</f>
        <v>3016.24</v>
      </c>
      <c r="G557">
        <f>sum(G538:G555)</f>
        <v>3583.23</v>
      </c>
      <c r="I557" s="1" t="s">
        <v>38</v>
      </c>
      <c r="J557" s="1">
        <v>81.0</v>
      </c>
    </row>
    <row r="558">
      <c r="I558" s="1" t="s">
        <v>266</v>
      </c>
      <c r="J558">
        <f>2*20.31</f>
        <v>40.62</v>
      </c>
    </row>
    <row r="559">
      <c r="A559" s="1" t="s">
        <v>267</v>
      </c>
      <c r="I559" s="1" t="s">
        <v>268</v>
      </c>
      <c r="J559" s="1">
        <v>102.0</v>
      </c>
    </row>
    <row r="560">
      <c r="A560" s="1" t="s">
        <v>231</v>
      </c>
      <c r="B560" s="1">
        <v>0.0</v>
      </c>
      <c r="C560" s="1">
        <v>0.0</v>
      </c>
      <c r="D560" s="1">
        <v>0.0</v>
      </c>
      <c r="E560" s="1">
        <v>0.0</v>
      </c>
      <c r="F560" s="1">
        <v>0.0</v>
      </c>
      <c r="G560" s="1">
        <f>1192.55</f>
        <v>1192.55</v>
      </c>
      <c r="H560" s="1" t="s">
        <v>269</v>
      </c>
      <c r="I560" s="1" t="s">
        <v>48</v>
      </c>
      <c r="J560">
        <f>2*175</f>
        <v>350</v>
      </c>
    </row>
    <row r="561">
      <c r="A561" s="1" t="s">
        <v>255</v>
      </c>
      <c r="B561" s="36">
        <v>42900.0</v>
      </c>
      <c r="C561" s="1">
        <v>0.0</v>
      </c>
      <c r="D561" s="27" t="s">
        <v>270</v>
      </c>
      <c r="E561" s="1" t="s">
        <v>11</v>
      </c>
      <c r="F561" s="1">
        <v>0.0</v>
      </c>
      <c r="G561" s="1">
        <f>431.24</f>
        <v>431.24</v>
      </c>
      <c r="H561" s="1">
        <v>19.31</v>
      </c>
      <c r="I561" s="1" t="s">
        <v>100</v>
      </c>
      <c r="J561" s="1">
        <v>190.0</v>
      </c>
    </row>
    <row r="562">
      <c r="A562" s="1" t="s">
        <v>163</v>
      </c>
      <c r="B562" s="36">
        <v>42871.0</v>
      </c>
      <c r="C562" s="1">
        <v>187.26</v>
      </c>
      <c r="D562" s="52">
        <v>4.6419114E7</v>
      </c>
      <c r="E562" s="1" t="s">
        <v>11</v>
      </c>
      <c r="F562" s="1">
        <v>0.0</v>
      </c>
      <c r="G562" s="1">
        <v>0.0</v>
      </c>
      <c r="I562" s="1" t="s">
        <v>84</v>
      </c>
      <c r="J562" s="1">
        <v>400.0</v>
      </c>
    </row>
    <row r="563">
      <c r="A563" s="1" t="s">
        <v>26</v>
      </c>
      <c r="B563" s="36">
        <v>42883.0</v>
      </c>
      <c r="C563" s="1">
        <v>61.23</v>
      </c>
      <c r="D563" s="35">
        <v>1.95905125E8</v>
      </c>
      <c r="E563" s="1" t="s">
        <v>11</v>
      </c>
      <c r="F563" s="1">
        <v>0.0</v>
      </c>
      <c r="G563" s="1">
        <v>0.0</v>
      </c>
      <c r="I563" s="1" t="s">
        <v>41</v>
      </c>
      <c r="J563" s="1">
        <f>sum(J554:J562)</f>
        <v>1500.14</v>
      </c>
    </row>
    <row r="564">
      <c r="A564" s="1" t="s">
        <v>27</v>
      </c>
      <c r="B564" s="1">
        <v>0.0</v>
      </c>
      <c r="G564" s="1">
        <v>0.0</v>
      </c>
    </row>
    <row r="565">
      <c r="A565" s="1" t="s">
        <v>199</v>
      </c>
      <c r="B565" s="1">
        <v>0.0</v>
      </c>
      <c r="G565" s="1">
        <v>0.0</v>
      </c>
    </row>
    <row r="566">
      <c r="A566" s="1" t="s">
        <v>29</v>
      </c>
      <c r="B566" s="1" t="s">
        <v>271</v>
      </c>
      <c r="C566" s="1" t="s">
        <v>272</v>
      </c>
      <c r="D566" s="22" t="s">
        <v>273</v>
      </c>
      <c r="E566" s="1" t="s">
        <v>11</v>
      </c>
      <c r="F566" s="1">
        <v>1.05</v>
      </c>
      <c r="G566" s="1">
        <v>0.0</v>
      </c>
      <c r="I566" s="1" t="s">
        <v>11</v>
      </c>
      <c r="J566" s="1" t="s">
        <v>69</v>
      </c>
    </row>
    <row r="567">
      <c r="A567" s="1" t="s">
        <v>106</v>
      </c>
      <c r="B567" s="1" t="s">
        <v>274</v>
      </c>
      <c r="C567" s="1">
        <v>190.0</v>
      </c>
      <c r="D567" s="1" t="s">
        <v>31</v>
      </c>
      <c r="E567" s="1" t="s">
        <v>11</v>
      </c>
      <c r="I567">
        <f>665.06-525-61.23-50</f>
        <v>28.83</v>
      </c>
      <c r="J567">
        <f>328.89-300</f>
        <v>28.89</v>
      </c>
      <c r="K567">
        <f>I567+J567</f>
        <v>57.72</v>
      </c>
    </row>
    <row r="568">
      <c r="A568" s="1" t="s">
        <v>156</v>
      </c>
      <c r="B568" s="1">
        <v>0.0</v>
      </c>
      <c r="C568" s="1">
        <v>0.0</v>
      </c>
      <c r="D568" s="1">
        <v>0.0</v>
      </c>
      <c r="E568" s="1">
        <v>0.0</v>
      </c>
      <c r="F568" s="1">
        <v>0.0</v>
      </c>
      <c r="G568" s="1">
        <v>0.0</v>
      </c>
      <c r="I568">
        <f>828.83+2693.24-100-190-417.04+200-1240-431.24-69-506.8-700-30</f>
        <v>37.99</v>
      </c>
      <c r="J568">
        <f>436.93-400</f>
        <v>36.93</v>
      </c>
    </row>
    <row r="569">
      <c r="A569" s="1" t="s">
        <v>19</v>
      </c>
      <c r="B569" s="1" t="s">
        <v>275</v>
      </c>
      <c r="C569" s="1" t="s">
        <v>276</v>
      </c>
      <c r="D569" s="22" t="s">
        <v>277</v>
      </c>
      <c r="E569" s="1" t="s">
        <v>198</v>
      </c>
      <c r="F569" s="1">
        <v>9.4</v>
      </c>
      <c r="G569">
        <f>716.15-300-417.04</f>
        <v>-0.89</v>
      </c>
    </row>
    <row r="570">
      <c r="A570" s="1" t="s">
        <v>107</v>
      </c>
      <c r="B570" s="36">
        <v>42906.0</v>
      </c>
      <c r="C570" s="1">
        <v>250.0</v>
      </c>
      <c r="E570" s="1" t="s">
        <v>33</v>
      </c>
    </row>
    <row r="571">
      <c r="A571" s="1" t="s">
        <v>33</v>
      </c>
      <c r="C571" s="1">
        <v>700.0</v>
      </c>
      <c r="G571" s="1">
        <v>1322.33</v>
      </c>
      <c r="I571" s="1" t="s">
        <v>278</v>
      </c>
    </row>
    <row r="572">
      <c r="A572" s="1" t="s">
        <v>35</v>
      </c>
      <c r="B572" s="1">
        <v>0.0</v>
      </c>
      <c r="C572" s="1">
        <v>0.0</v>
      </c>
      <c r="D572" s="1">
        <v>0.0</v>
      </c>
      <c r="E572" s="1">
        <v>0.0</v>
      </c>
      <c r="F572" s="1">
        <v>0.0</v>
      </c>
      <c r="G572" s="1">
        <v>0.0</v>
      </c>
      <c r="I572">
        <f>I568-G578</f>
        <v>-4375.24</v>
      </c>
    </row>
    <row r="573">
      <c r="A573" s="1" t="s">
        <v>226</v>
      </c>
      <c r="B573" s="36">
        <v>42908.0</v>
      </c>
      <c r="C573" s="1">
        <v>30.0</v>
      </c>
      <c r="D573" s="56" t="s">
        <v>279</v>
      </c>
      <c r="E573" s="1" t="s">
        <v>11</v>
      </c>
      <c r="F573" s="1">
        <v>0.0</v>
      </c>
      <c r="G573" s="1">
        <f>1498-30</f>
        <v>1468</v>
      </c>
    </row>
    <row r="574">
      <c r="A574" s="1" t="s">
        <v>159</v>
      </c>
      <c r="B574" s="36">
        <v>42908.0</v>
      </c>
      <c r="C574" s="1">
        <v>167.44</v>
      </c>
      <c r="D574" s="23" t="s">
        <v>280</v>
      </c>
      <c r="E574" s="1" t="s">
        <v>281</v>
      </c>
      <c r="F574" s="1">
        <v>0.0</v>
      </c>
      <c r="G574" s="1">
        <v>0.0</v>
      </c>
      <c r="I574" s="1" t="s">
        <v>11</v>
      </c>
      <c r="J574" s="1" t="s">
        <v>8</v>
      </c>
    </row>
    <row r="575">
      <c r="A575" s="1" t="s">
        <v>161</v>
      </c>
      <c r="B575" s="36">
        <v>42908.0</v>
      </c>
      <c r="C575" s="1">
        <v>39.99</v>
      </c>
      <c r="E575" s="1" t="s">
        <v>281</v>
      </c>
      <c r="F575" s="1">
        <v>0.0</v>
      </c>
      <c r="G575" s="1">
        <v>0.0</v>
      </c>
      <c r="I575" s="1">
        <f>1264.67-525-6-272.55-89.05-11</f>
        <v>361.07</v>
      </c>
      <c r="J575" s="1">
        <v>299.82</v>
      </c>
      <c r="K575">
        <f>I575+J575</f>
        <v>660.89</v>
      </c>
    </row>
    <row r="576">
      <c r="A576" s="1" t="s">
        <v>239</v>
      </c>
      <c r="B576" s="36">
        <v>42910.0</v>
      </c>
      <c r="C576" s="1">
        <v>6.0</v>
      </c>
      <c r="E576" s="1" t="s">
        <v>11</v>
      </c>
      <c r="F576" s="1">
        <v>0.0</v>
      </c>
      <c r="G576" s="1">
        <v>0.0</v>
      </c>
    </row>
    <row r="577">
      <c r="A577" s="1" t="s">
        <v>282</v>
      </c>
      <c r="B577" s="36">
        <v>42910.0</v>
      </c>
      <c r="C577" s="1">
        <v>525.0</v>
      </c>
    </row>
    <row r="578">
      <c r="B578" s="1" t="s">
        <v>41</v>
      </c>
      <c r="C578">
        <f>sum(C560:C577)</f>
        <v>2156.92</v>
      </c>
      <c r="D578" s="1" t="s">
        <v>278</v>
      </c>
      <c r="E578">
        <f>C578-562</f>
        <v>1594.92</v>
      </c>
      <c r="G578">
        <f>sum(G560:G577)</f>
        <v>4413.23</v>
      </c>
    </row>
    <row r="580">
      <c r="A580" s="1" t="s">
        <v>283</v>
      </c>
    </row>
    <row r="581">
      <c r="A581" s="1" t="s">
        <v>231</v>
      </c>
      <c r="B581" s="1">
        <v>0.0</v>
      </c>
      <c r="C581" s="1">
        <v>0.0</v>
      </c>
      <c r="D581" s="1">
        <v>0.0</v>
      </c>
      <c r="E581" s="1">
        <v>0.0</v>
      </c>
      <c r="F581" s="1">
        <v>0.0</v>
      </c>
      <c r="G581" s="1">
        <v>1348.0</v>
      </c>
    </row>
    <row r="582">
      <c r="A582" s="1" t="s">
        <v>255</v>
      </c>
      <c r="B582" s="36">
        <v>42910.0</v>
      </c>
      <c r="C582" s="1">
        <v>272.55</v>
      </c>
      <c r="D582" s="27" t="s">
        <v>284</v>
      </c>
      <c r="E582" s="1" t="s">
        <v>11</v>
      </c>
      <c r="F582" s="1">
        <v>0.0</v>
      </c>
      <c r="G582" s="1">
        <v>0.0</v>
      </c>
      <c r="I582" s="1" t="s">
        <v>11</v>
      </c>
      <c r="J582" s="1" t="s">
        <v>69</v>
      </c>
    </row>
    <row r="583">
      <c r="A583" s="1" t="s">
        <v>163</v>
      </c>
      <c r="B583" s="1">
        <v>0.0</v>
      </c>
      <c r="C583" s="1">
        <v>0.0</v>
      </c>
      <c r="D583" s="1">
        <v>0.0</v>
      </c>
      <c r="E583" s="1">
        <v>0.0</v>
      </c>
      <c r="F583" s="1">
        <v>0.0</v>
      </c>
      <c r="G583" s="1">
        <f>169.03+39.99</f>
        <v>209.02</v>
      </c>
      <c r="I583">
        <f>928.16-190+15.7</f>
        <v>753.86</v>
      </c>
      <c r="J583">
        <f>535.4-400-40</f>
        <v>95.4</v>
      </c>
    </row>
    <row r="584">
      <c r="A584" s="1" t="s">
        <v>26</v>
      </c>
      <c r="B584" s="36">
        <v>42910.0</v>
      </c>
      <c r="C584" s="1">
        <v>89.05</v>
      </c>
      <c r="D584" s="35">
        <v>1.96914629E8</v>
      </c>
      <c r="E584" s="1" t="s">
        <v>11</v>
      </c>
      <c r="F584" s="1">
        <v>0.0</v>
      </c>
      <c r="G584" s="1">
        <v>0.0</v>
      </c>
      <c r="I584">
        <f>1365.63-525-605+456-304</f>
        <v>387.63</v>
      </c>
      <c r="J584">
        <f>410.93-1.57-125.32-156.64</f>
        <v>127.4</v>
      </c>
      <c r="K584">
        <f>I584</f>
        <v>387.63</v>
      </c>
    </row>
    <row r="585">
      <c r="A585" s="1" t="s">
        <v>27</v>
      </c>
      <c r="B585" s="1">
        <v>0.0</v>
      </c>
      <c r="C585" s="1">
        <v>0.0</v>
      </c>
      <c r="D585" s="1">
        <v>0.0</v>
      </c>
      <c r="E585" s="1">
        <v>0.0</v>
      </c>
      <c r="F585" s="1">
        <v>0.0</v>
      </c>
      <c r="G585" s="1">
        <v>0.0</v>
      </c>
      <c r="K585">
        <f>I584+J584</f>
        <v>515.03</v>
      </c>
    </row>
    <row r="586">
      <c r="A586" s="1" t="s">
        <v>199</v>
      </c>
      <c r="B586" s="1">
        <v>0.0</v>
      </c>
      <c r="C586" s="1">
        <v>0.0</v>
      </c>
      <c r="D586" s="1">
        <v>0.0</v>
      </c>
      <c r="E586" s="1">
        <v>0.0</v>
      </c>
      <c r="F586" s="1">
        <v>0.0</v>
      </c>
      <c r="G586" s="1">
        <v>0.0</v>
      </c>
    </row>
    <row r="587">
      <c r="A587" s="1" t="s">
        <v>29</v>
      </c>
      <c r="B587" s="1">
        <v>0.0</v>
      </c>
      <c r="C587" s="1">
        <v>0.0</v>
      </c>
      <c r="D587" s="1">
        <v>0.0</v>
      </c>
      <c r="E587" s="1">
        <v>0.0</v>
      </c>
      <c r="F587" s="1">
        <v>0.0</v>
      </c>
      <c r="G587" s="1">
        <v>0.0</v>
      </c>
    </row>
    <row r="588">
      <c r="A588" s="1" t="s">
        <v>106</v>
      </c>
      <c r="B588" s="36">
        <v>42923.0</v>
      </c>
      <c r="C588" s="1">
        <v>190.0</v>
      </c>
      <c r="D588" s="1" t="s">
        <v>31</v>
      </c>
      <c r="E588" s="1" t="s">
        <v>11</v>
      </c>
    </row>
    <row r="589">
      <c r="A589" s="1" t="s">
        <v>84</v>
      </c>
      <c r="B589" s="36">
        <v>42923.0</v>
      </c>
      <c r="C589" s="1">
        <v>400.0</v>
      </c>
      <c r="D589" s="1" t="s">
        <v>285</v>
      </c>
      <c r="E589" s="1" t="s">
        <v>8</v>
      </c>
    </row>
    <row r="590">
      <c r="A590" s="1" t="s">
        <v>156</v>
      </c>
      <c r="B590" s="1">
        <v>0.0</v>
      </c>
      <c r="C590" s="1">
        <v>0.0</v>
      </c>
      <c r="D590" s="1">
        <v>0.0</v>
      </c>
      <c r="E590" s="1">
        <v>0.0</v>
      </c>
      <c r="F590" s="1">
        <v>0.0</v>
      </c>
      <c r="G590" s="1">
        <v>0.0</v>
      </c>
    </row>
    <row r="591">
      <c r="A591" s="1" t="s">
        <v>19</v>
      </c>
      <c r="B591" s="36">
        <v>42910.0</v>
      </c>
      <c r="C591" s="1">
        <v>11.0</v>
      </c>
      <c r="D591" s="1"/>
      <c r="E591" s="1">
        <v>0.0</v>
      </c>
      <c r="F591" s="1">
        <v>0.0</v>
      </c>
      <c r="G591" s="1">
        <v>0.0</v>
      </c>
    </row>
    <row r="592">
      <c r="A592" s="1" t="s">
        <v>258</v>
      </c>
      <c r="B592" s="36">
        <v>42935.0</v>
      </c>
      <c r="C592" s="1">
        <v>255.01</v>
      </c>
      <c r="E592" s="1" t="s">
        <v>33</v>
      </c>
      <c r="G592" s="1">
        <v>0.0</v>
      </c>
    </row>
    <row r="593">
      <c r="A593" s="1" t="s">
        <v>286</v>
      </c>
      <c r="B593" s="1">
        <v>0.0</v>
      </c>
      <c r="C593" s="1">
        <v>0.0</v>
      </c>
      <c r="D593" s="1">
        <v>0.0</v>
      </c>
      <c r="E593" s="1">
        <v>0.0</v>
      </c>
      <c r="F593" s="1">
        <v>4.1</v>
      </c>
      <c r="G593" s="1">
        <f>1322.33-27</f>
        <v>1295.33</v>
      </c>
    </row>
    <row r="594">
      <c r="A594" s="1" t="s">
        <v>35</v>
      </c>
      <c r="B594" s="1">
        <v>0.0</v>
      </c>
      <c r="C594" s="1">
        <v>0.0</v>
      </c>
      <c r="D594" s="1">
        <v>0.0</v>
      </c>
      <c r="E594" s="1">
        <v>0.0</v>
      </c>
      <c r="F594" s="1">
        <v>0.0</v>
      </c>
      <c r="G594" s="1">
        <v>0.0</v>
      </c>
    </row>
    <row r="595">
      <c r="A595" s="1" t="s">
        <v>226</v>
      </c>
      <c r="B595" s="36">
        <v>42923.0</v>
      </c>
      <c r="C595" s="1">
        <v>40.0</v>
      </c>
      <c r="D595" s="1" t="s">
        <v>287</v>
      </c>
      <c r="E595" s="1" t="s">
        <v>8</v>
      </c>
      <c r="F595" s="1">
        <v>0.0</v>
      </c>
      <c r="G595" s="1">
        <f>1468-40</f>
        <v>1428</v>
      </c>
    </row>
    <row r="596">
      <c r="A596" s="1" t="s">
        <v>159</v>
      </c>
      <c r="B596" s="36">
        <v>42938.0</v>
      </c>
      <c r="C596" s="1">
        <v>169.03</v>
      </c>
      <c r="D596" s="23">
        <v>1.742144333E9</v>
      </c>
      <c r="E596" s="1" t="s">
        <v>288</v>
      </c>
      <c r="F596" s="1">
        <v>0.0</v>
      </c>
      <c r="G596" s="1">
        <v>0.0</v>
      </c>
    </row>
    <row r="597">
      <c r="A597" s="1" t="s">
        <v>161</v>
      </c>
      <c r="B597" s="36">
        <v>42938.0</v>
      </c>
      <c r="C597" s="1">
        <v>39.99</v>
      </c>
      <c r="E597" s="1" t="s">
        <v>288</v>
      </c>
      <c r="F597" s="1">
        <v>0.0</v>
      </c>
      <c r="G597" s="1">
        <v>0.0</v>
      </c>
    </row>
    <row r="598">
      <c r="A598" s="1" t="s">
        <v>239</v>
      </c>
      <c r="B598" s="36">
        <v>42938.0</v>
      </c>
      <c r="C598" s="1">
        <v>1.57</v>
      </c>
      <c r="D598" s="44">
        <v>1.12388465227645E14</v>
      </c>
      <c r="E598" s="1" t="s">
        <v>8</v>
      </c>
      <c r="F598" s="1">
        <v>0.0</v>
      </c>
      <c r="G598" s="1">
        <v>0.0</v>
      </c>
    </row>
    <row r="599">
      <c r="A599" s="1" t="s">
        <v>289</v>
      </c>
      <c r="B599" s="36">
        <v>42938.0</v>
      </c>
      <c r="C599" s="1">
        <v>525.0</v>
      </c>
      <c r="D599" s="1" t="s">
        <v>31</v>
      </c>
      <c r="E599" s="1" t="s">
        <v>11</v>
      </c>
    </row>
    <row r="600">
      <c r="A600" s="1" t="s">
        <v>41</v>
      </c>
      <c r="C600">
        <f>sum(C581:C599)</f>
        <v>1993.2</v>
      </c>
      <c r="F600" s="1" t="s">
        <v>41</v>
      </c>
      <c r="G600">
        <f>sum(G581:G599)</f>
        <v>4280.35</v>
      </c>
    </row>
    <row r="601">
      <c r="B601" s="1" t="s">
        <v>278</v>
      </c>
      <c r="C601">
        <f>C600-456</f>
        <v>1537.2</v>
      </c>
    </row>
    <row r="602">
      <c r="D602" s="1" t="s">
        <v>104</v>
      </c>
    </row>
    <row r="603">
      <c r="A603" s="1" t="s">
        <v>290</v>
      </c>
    </row>
    <row r="604">
      <c r="A604" s="1" t="s">
        <v>231</v>
      </c>
      <c r="B604" s="36">
        <v>42938.0</v>
      </c>
      <c r="C604" s="1">
        <v>605.0</v>
      </c>
      <c r="D604" s="40">
        <v>1.22388474903194E14</v>
      </c>
      <c r="E604" s="1" t="s">
        <v>11</v>
      </c>
      <c r="F604" s="1">
        <v>0.0</v>
      </c>
      <c r="G604" s="1">
        <v>81.0</v>
      </c>
      <c r="H604" s="1" t="s">
        <v>48</v>
      </c>
      <c r="I604">
        <f>175+175</f>
        <v>350</v>
      </c>
    </row>
    <row r="605">
      <c r="A605" s="1" t="s">
        <v>255</v>
      </c>
      <c r="B605" s="36">
        <v>42938.0</v>
      </c>
      <c r="C605" s="1">
        <v>156.64</v>
      </c>
      <c r="D605" s="64" t="s">
        <v>291</v>
      </c>
      <c r="E605" s="1" t="s">
        <v>8</v>
      </c>
      <c r="F605" s="1">
        <v>0.0</v>
      </c>
      <c r="G605" s="1">
        <v>0.0</v>
      </c>
      <c r="H605" s="1" t="s">
        <v>264</v>
      </c>
      <c r="I605" s="1">
        <v>300.0</v>
      </c>
    </row>
    <row r="606">
      <c r="A606" s="1" t="s">
        <v>163</v>
      </c>
      <c r="B606" s="36">
        <v>42958.0</v>
      </c>
      <c r="C606" s="1">
        <v>130.0</v>
      </c>
      <c r="D606" s="1">
        <v>4.6916235E7</v>
      </c>
      <c r="E606" s="1" t="s">
        <v>8</v>
      </c>
      <c r="F606" s="1">
        <v>0.0</v>
      </c>
      <c r="G606" s="1">
        <f>169.03+39.99-130</f>
        <v>79.02</v>
      </c>
      <c r="H606" s="1" t="s">
        <v>100</v>
      </c>
      <c r="I606" s="1">
        <v>190.0</v>
      </c>
    </row>
    <row r="607">
      <c r="A607" s="1" t="s">
        <v>26</v>
      </c>
      <c r="B607" s="36">
        <v>42938.0</v>
      </c>
      <c r="C607" s="1">
        <v>125.32</v>
      </c>
      <c r="D607" s="35">
        <v>1.98008042E8</v>
      </c>
      <c r="E607" s="1" t="s">
        <v>8</v>
      </c>
      <c r="F607" s="1">
        <v>0.0</v>
      </c>
      <c r="G607" s="1">
        <v>0.0</v>
      </c>
      <c r="H607" s="1" t="s">
        <v>292</v>
      </c>
      <c r="I607" s="1">
        <v>85.0</v>
      </c>
    </row>
    <row r="608">
      <c r="A608" s="1" t="s">
        <v>27</v>
      </c>
      <c r="B608" s="1">
        <v>0.0</v>
      </c>
      <c r="C608" s="1">
        <v>0.0</v>
      </c>
      <c r="D608" s="1">
        <v>0.0</v>
      </c>
      <c r="E608" s="1">
        <v>0.0</v>
      </c>
      <c r="F608" s="1">
        <v>0.0</v>
      </c>
      <c r="G608" s="1">
        <v>0.0</v>
      </c>
      <c r="H608" s="1" t="s">
        <v>293</v>
      </c>
      <c r="I608">
        <f>14+14</f>
        <v>28</v>
      </c>
    </row>
    <row r="609">
      <c r="A609" s="1" t="s">
        <v>199</v>
      </c>
      <c r="B609" s="1">
        <v>0.0</v>
      </c>
      <c r="C609" s="1">
        <v>0.0</v>
      </c>
      <c r="D609" s="1">
        <v>0.0</v>
      </c>
      <c r="E609" s="1">
        <v>0.0</v>
      </c>
      <c r="F609" s="1">
        <v>0.0</v>
      </c>
      <c r="G609" s="1">
        <v>0.0</v>
      </c>
      <c r="H609" s="1" t="s">
        <v>268</v>
      </c>
      <c r="I609" s="1">
        <v>102.0</v>
      </c>
    </row>
    <row r="610">
      <c r="A610" s="1" t="s">
        <v>29</v>
      </c>
      <c r="B610" s="1">
        <v>0.0</v>
      </c>
      <c r="C610" s="1">
        <v>0.0</v>
      </c>
      <c r="D610" s="1">
        <v>0.0</v>
      </c>
      <c r="E610" s="1">
        <v>0.0</v>
      </c>
      <c r="F610" s="1">
        <v>0.0</v>
      </c>
      <c r="G610" s="1">
        <v>0.0</v>
      </c>
      <c r="H610" s="1" t="s">
        <v>294</v>
      </c>
      <c r="I610" s="1">
        <v>85.0</v>
      </c>
    </row>
    <row r="611">
      <c r="A611" s="1" t="s">
        <v>106</v>
      </c>
      <c r="B611" s="38">
        <v>42953.0</v>
      </c>
      <c r="C611" s="1">
        <v>190.0</v>
      </c>
      <c r="D611" s="1" t="s">
        <v>31</v>
      </c>
      <c r="E611" s="1" t="s">
        <v>11</v>
      </c>
      <c r="H611" s="1" t="s">
        <v>295</v>
      </c>
      <c r="I611" s="1">
        <v>120.0</v>
      </c>
    </row>
    <row r="612">
      <c r="A612" s="1" t="s">
        <v>84</v>
      </c>
      <c r="B612" s="36">
        <v>42951.0</v>
      </c>
      <c r="C612" s="1">
        <v>400.0</v>
      </c>
      <c r="E612" s="1" t="s">
        <v>11</v>
      </c>
      <c r="H612" s="1" t="s">
        <v>84</v>
      </c>
      <c r="I612" s="1">
        <v>400.0</v>
      </c>
    </row>
    <row r="613">
      <c r="A613" s="1" t="s">
        <v>156</v>
      </c>
      <c r="B613" s="1">
        <v>0.0</v>
      </c>
      <c r="C613" s="1">
        <v>0.0</v>
      </c>
      <c r="D613" s="1">
        <v>0.0</v>
      </c>
      <c r="E613" s="1">
        <v>0.0</v>
      </c>
      <c r="F613" s="1">
        <v>0.0</v>
      </c>
      <c r="G613" s="1">
        <v>0.0</v>
      </c>
      <c r="H613" s="1" t="s">
        <v>41</v>
      </c>
      <c r="I613">
        <f>sum(I604:I612)</f>
        <v>1660</v>
      </c>
    </row>
    <row r="614">
      <c r="A614" s="1" t="s">
        <v>19</v>
      </c>
      <c r="B614" s="38">
        <v>42953.0</v>
      </c>
      <c r="C614" s="1">
        <v>22.0</v>
      </c>
      <c r="E614" s="1" t="s">
        <v>11</v>
      </c>
      <c r="F614" s="1">
        <v>0.0</v>
      </c>
      <c r="G614" s="1">
        <v>0.0</v>
      </c>
      <c r="I614">
        <f>850*2+400</f>
        <v>2100</v>
      </c>
    </row>
    <row r="615">
      <c r="A615" s="1" t="s">
        <v>258</v>
      </c>
      <c r="B615" s="36">
        <v>42966.0</v>
      </c>
      <c r="C615" s="1">
        <v>266.56</v>
      </c>
      <c r="E615" s="1" t="s">
        <v>33</v>
      </c>
      <c r="F615" s="1">
        <v>0.0</v>
      </c>
      <c r="G615" s="1">
        <v>0.0</v>
      </c>
      <c r="I615">
        <f>I614-I613</f>
        <v>440</v>
      </c>
    </row>
    <row r="616">
      <c r="A616" s="1" t="s">
        <v>286</v>
      </c>
      <c r="B616" s="36">
        <v>42949.0</v>
      </c>
      <c r="C616" s="1">
        <f>346+600+200</f>
        <v>1146</v>
      </c>
      <c r="D616" s="43" t="s">
        <v>296</v>
      </c>
      <c r="E616" s="1" t="s">
        <v>243</v>
      </c>
      <c r="F616" s="1">
        <v>0.0</v>
      </c>
      <c r="G616" s="1">
        <f>1204-200</f>
        <v>1004</v>
      </c>
    </row>
    <row r="617">
      <c r="A617" s="1" t="s">
        <v>35</v>
      </c>
      <c r="B617" s="1">
        <v>0.0</v>
      </c>
      <c r="C617" s="1">
        <v>0.0</v>
      </c>
      <c r="D617" s="1">
        <v>0.0</v>
      </c>
      <c r="E617" s="1">
        <v>0.0</v>
      </c>
      <c r="F617" s="1">
        <v>0.0</v>
      </c>
      <c r="G617" s="1">
        <v>0.0</v>
      </c>
    </row>
    <row r="618">
      <c r="A618" s="1" t="s">
        <v>226</v>
      </c>
      <c r="B618" s="38">
        <v>42953.0</v>
      </c>
      <c r="C618" s="1">
        <v>50.0</v>
      </c>
      <c r="D618" s="56" t="s">
        <v>297</v>
      </c>
      <c r="E618" s="1" t="s">
        <v>11</v>
      </c>
      <c r="F618" s="1">
        <v>0.0</v>
      </c>
      <c r="G618" s="1">
        <v>1378.0</v>
      </c>
    </row>
    <row r="619">
      <c r="A619" s="1" t="s">
        <v>159</v>
      </c>
      <c r="B619" s="36">
        <v>42967.0</v>
      </c>
      <c r="C619" s="1">
        <v>173.49</v>
      </c>
      <c r="D619" s="1">
        <v>1.760327438E9</v>
      </c>
      <c r="E619" s="1" t="s">
        <v>24</v>
      </c>
      <c r="F619" s="1">
        <v>0.0</v>
      </c>
      <c r="G619" s="1">
        <v>0.0</v>
      </c>
    </row>
    <row r="620">
      <c r="A620" s="1" t="s">
        <v>161</v>
      </c>
      <c r="B620" s="36">
        <v>42967.0</v>
      </c>
      <c r="C620" s="1">
        <v>39.99</v>
      </c>
      <c r="E620" s="1" t="s">
        <v>24</v>
      </c>
      <c r="F620" s="1">
        <v>0.0</v>
      </c>
      <c r="G620" s="1">
        <v>0.0</v>
      </c>
      <c r="I620" s="1" t="s">
        <v>11</v>
      </c>
      <c r="J620" s="1" t="s">
        <v>8</v>
      </c>
    </row>
    <row r="621">
      <c r="A621" s="1" t="s">
        <v>239</v>
      </c>
      <c r="B621" s="36">
        <v>42967.0</v>
      </c>
      <c r="C621" s="1">
        <v>151.46</v>
      </c>
      <c r="D621" s="1">
        <v>1.32413849144256E14</v>
      </c>
      <c r="E621" s="1" t="s">
        <v>8</v>
      </c>
      <c r="F621" s="1">
        <v>0.0</v>
      </c>
      <c r="G621" s="1">
        <v>0.0</v>
      </c>
      <c r="I621" s="1">
        <f>381.65-346</f>
        <v>35.65</v>
      </c>
      <c r="J621" s="1">
        <v>313.15</v>
      </c>
      <c r="K621">
        <f t="shared" ref="K621:K622" si="2">I621+J621</f>
        <v>348.8</v>
      </c>
    </row>
    <row r="622">
      <c r="A622" s="1" t="s">
        <v>289</v>
      </c>
      <c r="B622" s="36">
        <v>42967.0</v>
      </c>
      <c r="C622" s="1">
        <v>525.0</v>
      </c>
      <c r="E622" s="1" t="s">
        <v>11</v>
      </c>
      <c r="I622">
        <f>1244.65-400-468-190-22-50</f>
        <v>114.65</v>
      </c>
      <c r="J622" s="1">
        <f>280-130-140</f>
        <v>10</v>
      </c>
      <c r="K622">
        <f t="shared" si="2"/>
        <v>124.65</v>
      </c>
    </row>
    <row r="623">
      <c r="A623" s="1" t="s">
        <v>41</v>
      </c>
      <c r="C623">
        <f>sum(C604:C622)</f>
        <v>3981.46</v>
      </c>
      <c r="G623" s="1">
        <f>sum(G604:G622)</f>
        <v>2542.02</v>
      </c>
      <c r="I623" s="1" t="s">
        <v>298</v>
      </c>
      <c r="J623" s="1">
        <v>3295.85</v>
      </c>
    </row>
    <row r="624">
      <c r="I624">
        <f>3003-2700-273</f>
        <v>30</v>
      </c>
    </row>
    <row r="625">
      <c r="I625" s="1">
        <f>630.44-600+533-525</f>
        <v>38.44</v>
      </c>
      <c r="J625">
        <f>356.33-151.46-200</f>
        <v>4.87</v>
      </c>
      <c r="K625">
        <f t="shared" ref="K625:K626" si="3">I625+J625</f>
        <v>43.31</v>
      </c>
    </row>
    <row r="626" ht="16.5" customHeight="1">
      <c r="A626" s="37">
        <v>42979.0</v>
      </c>
      <c r="I626">
        <f>1163.57-525-39-569</f>
        <v>30.57</v>
      </c>
      <c r="J626">
        <f>739.15-215-79.02-116.61-104.15-99.05-20</f>
        <v>105.32</v>
      </c>
      <c r="K626">
        <f t="shared" si="3"/>
        <v>135.89</v>
      </c>
    </row>
    <row r="627">
      <c r="A627" s="1" t="s">
        <v>231</v>
      </c>
      <c r="B627" s="1" t="s">
        <v>299</v>
      </c>
      <c r="C627" s="1" t="s">
        <v>300</v>
      </c>
      <c r="D627" s="1" t="s">
        <v>301</v>
      </c>
      <c r="E627" s="1" t="s">
        <v>193</v>
      </c>
      <c r="F627" s="1">
        <v>0.0</v>
      </c>
      <c r="G627" s="1">
        <v>0.0</v>
      </c>
    </row>
    <row r="628">
      <c r="A628" s="1" t="s">
        <v>255</v>
      </c>
      <c r="B628" s="36">
        <v>42964.0</v>
      </c>
      <c r="C628" s="1">
        <v>273.0</v>
      </c>
      <c r="D628" s="18" t="s">
        <v>302</v>
      </c>
      <c r="E628" s="1" t="s">
        <v>11</v>
      </c>
      <c r="F628" s="1">
        <v>0.0</v>
      </c>
      <c r="G628" s="1">
        <v>266.0</v>
      </c>
    </row>
    <row r="629">
      <c r="A629" s="1" t="s">
        <v>163</v>
      </c>
      <c r="B629" s="36">
        <v>42980.0</v>
      </c>
      <c r="C629" s="1">
        <v>79.02</v>
      </c>
      <c r="D629" s="1">
        <v>4.7039219E7</v>
      </c>
      <c r="E629" s="1" t="s">
        <v>8</v>
      </c>
      <c r="F629" s="1">
        <v>0.0</v>
      </c>
      <c r="G629" s="1">
        <v>0.0</v>
      </c>
    </row>
    <row r="630">
      <c r="A630" s="1" t="s">
        <v>26</v>
      </c>
      <c r="B630" s="36">
        <v>42980.0</v>
      </c>
      <c r="C630" s="1">
        <v>116.61</v>
      </c>
      <c r="D630" s="1">
        <v>2.00252958E8</v>
      </c>
      <c r="E630" s="1" t="s">
        <v>8</v>
      </c>
      <c r="F630" s="1">
        <v>0.0</v>
      </c>
      <c r="G630" s="1">
        <v>0.0</v>
      </c>
    </row>
    <row r="631">
      <c r="A631" s="1" t="s">
        <v>27</v>
      </c>
      <c r="B631" s="1">
        <v>0.0</v>
      </c>
      <c r="C631" s="1">
        <v>0.0</v>
      </c>
      <c r="D631" s="1">
        <v>0.0</v>
      </c>
      <c r="E631" s="1">
        <v>0.0</v>
      </c>
      <c r="F631" s="1">
        <v>0.0</v>
      </c>
      <c r="G631" s="1">
        <v>0.0</v>
      </c>
    </row>
    <row r="632">
      <c r="A632" s="1" t="s">
        <v>199</v>
      </c>
      <c r="B632" s="1">
        <v>0.0</v>
      </c>
      <c r="C632" s="1">
        <v>0.0</v>
      </c>
      <c r="D632" s="1">
        <v>0.0</v>
      </c>
      <c r="E632" s="1">
        <v>0.0</v>
      </c>
      <c r="F632" s="1">
        <v>0.0</v>
      </c>
      <c r="G632" s="1">
        <v>0.0</v>
      </c>
      <c r="I632" s="1" t="s">
        <v>11</v>
      </c>
      <c r="J632" s="1" t="s">
        <v>8</v>
      </c>
    </row>
    <row r="633">
      <c r="A633" s="1" t="s">
        <v>29</v>
      </c>
      <c r="B633" s="36">
        <v>42980.0</v>
      </c>
      <c r="C633" s="1">
        <v>39.0</v>
      </c>
      <c r="D633" s="1" t="s">
        <v>303</v>
      </c>
      <c r="E633" s="1" t="s">
        <v>11</v>
      </c>
      <c r="F633" s="1">
        <v>0.0</v>
      </c>
      <c r="G633" s="1">
        <v>0.0</v>
      </c>
      <c r="I633">
        <f>34</f>
        <v>34</v>
      </c>
      <c r="J633">
        <f>150-25-20</f>
        <v>105</v>
      </c>
    </row>
    <row r="634">
      <c r="A634" s="1" t="s">
        <v>106</v>
      </c>
      <c r="B634" s="36">
        <v>42994.0</v>
      </c>
      <c r="C634" s="1">
        <v>190.0</v>
      </c>
      <c r="D634" s="1" t="s">
        <v>304</v>
      </c>
      <c r="E634" s="1" t="s">
        <v>11</v>
      </c>
    </row>
    <row r="635">
      <c r="A635" s="1" t="s">
        <v>84</v>
      </c>
      <c r="B635" s="36">
        <v>42994.0</v>
      </c>
      <c r="C635" s="1">
        <v>420.0</v>
      </c>
      <c r="E635" s="1" t="s">
        <v>11</v>
      </c>
    </row>
    <row r="636">
      <c r="A636" s="1" t="s">
        <v>156</v>
      </c>
      <c r="B636" s="1">
        <v>0.0</v>
      </c>
      <c r="C636" s="1">
        <v>0.0</v>
      </c>
      <c r="D636" s="1">
        <v>0.0</v>
      </c>
      <c r="E636" s="1">
        <v>0.0</v>
      </c>
      <c r="F636" s="1">
        <v>0.0</v>
      </c>
      <c r="G636" s="1">
        <v>0.0</v>
      </c>
    </row>
    <row r="637">
      <c r="A637" s="1" t="s">
        <v>19</v>
      </c>
      <c r="B637" s="1">
        <v>0.0</v>
      </c>
      <c r="C637" s="1">
        <v>0.0</v>
      </c>
      <c r="D637" s="1">
        <v>0.0</v>
      </c>
      <c r="E637" s="1">
        <v>0.0</v>
      </c>
      <c r="F637" s="1">
        <v>0.0</v>
      </c>
      <c r="G637" s="1">
        <v>0.0</v>
      </c>
    </row>
    <row r="638">
      <c r="A638" s="1" t="s">
        <v>258</v>
      </c>
      <c r="B638" s="36">
        <v>42997.0</v>
      </c>
      <c r="C638" s="1">
        <v>266.56</v>
      </c>
      <c r="E638" s="1" t="s">
        <v>33</v>
      </c>
      <c r="F638" s="1">
        <v>0.0</v>
      </c>
      <c r="G638" s="1">
        <v>0.0</v>
      </c>
    </row>
    <row r="639">
      <c r="A639" s="1" t="s">
        <v>286</v>
      </c>
      <c r="B639" s="36">
        <v>42980.0</v>
      </c>
      <c r="C639">
        <f>569+104.15</f>
        <v>673.15</v>
      </c>
      <c r="D639" s="1" t="s">
        <v>305</v>
      </c>
      <c r="E639" s="1" t="s">
        <v>11</v>
      </c>
      <c r="F639" s="1">
        <v>0.0</v>
      </c>
      <c r="G639">
        <f>104-104</f>
        <v>0</v>
      </c>
    </row>
    <row r="640">
      <c r="A640" s="1" t="s">
        <v>35</v>
      </c>
      <c r="B640" s="1">
        <v>0.0</v>
      </c>
      <c r="C640" s="1">
        <v>0.0</v>
      </c>
      <c r="D640" s="1">
        <v>0.0</v>
      </c>
      <c r="E640" s="1">
        <v>0.0</v>
      </c>
      <c r="F640" s="1">
        <v>0.0</v>
      </c>
      <c r="G640" s="1">
        <v>0.0</v>
      </c>
    </row>
    <row r="641">
      <c r="A641" s="1" t="s">
        <v>226</v>
      </c>
      <c r="B641" s="36">
        <v>42994.0</v>
      </c>
      <c r="C641" s="1">
        <v>25.0</v>
      </c>
      <c r="D641" s="1" t="s">
        <v>306</v>
      </c>
      <c r="E641" s="1" t="s">
        <v>8</v>
      </c>
      <c r="F641" s="1">
        <v>0.0</v>
      </c>
      <c r="G641" s="1">
        <f>1378-25</f>
        <v>1353</v>
      </c>
    </row>
    <row r="642">
      <c r="A642" s="1" t="s">
        <v>159</v>
      </c>
      <c r="B642" s="36">
        <v>43000.0</v>
      </c>
      <c r="C642" s="1">
        <v>169.03</v>
      </c>
      <c r="D642" s="1">
        <v>8.87962498E8</v>
      </c>
      <c r="E642" s="1" t="s">
        <v>24</v>
      </c>
    </row>
    <row r="643">
      <c r="A643" s="1" t="s">
        <v>161</v>
      </c>
      <c r="B643" s="36">
        <v>43003.0</v>
      </c>
      <c r="C643" s="1">
        <v>39.99</v>
      </c>
      <c r="E643" s="1" t="s">
        <v>24</v>
      </c>
      <c r="F643" s="1">
        <v>0.0</v>
      </c>
      <c r="G643" s="1">
        <v>0.0</v>
      </c>
    </row>
    <row r="644">
      <c r="A644" s="1" t="s">
        <v>239</v>
      </c>
      <c r="B644" s="1">
        <v>0.0</v>
      </c>
      <c r="C644" s="1">
        <v>0.0</v>
      </c>
      <c r="D644" s="1">
        <v>0.0</v>
      </c>
      <c r="E644" s="1">
        <v>0.0</v>
      </c>
      <c r="F644" s="1">
        <v>0.0</v>
      </c>
      <c r="G644" s="1">
        <v>0.0</v>
      </c>
    </row>
    <row r="645">
      <c r="A645" s="1" t="s">
        <v>289</v>
      </c>
      <c r="C645" s="1"/>
    </row>
    <row r="646">
      <c r="A646" s="1" t="s">
        <v>41</v>
      </c>
      <c r="C646">
        <f>sum(C627:C645)</f>
        <v>2291.36</v>
      </c>
      <c r="G646">
        <f>sum(G627:G645)</f>
        <v>1619</v>
      </c>
    </row>
    <row r="650">
      <c r="A650" s="37">
        <v>43009.0</v>
      </c>
    </row>
    <row r="651">
      <c r="A651" s="1" t="s">
        <v>231</v>
      </c>
      <c r="B651" s="1">
        <v>0.0</v>
      </c>
      <c r="C651" s="1">
        <v>0.0</v>
      </c>
      <c r="D651" s="1">
        <v>0.0</v>
      </c>
      <c r="E651" s="1">
        <v>0.0</v>
      </c>
      <c r="F651" s="1">
        <v>0.0</v>
      </c>
      <c r="G651" s="1">
        <v>0.0</v>
      </c>
    </row>
    <row r="652">
      <c r="A652" s="1" t="s">
        <v>255</v>
      </c>
      <c r="B652" s="38">
        <v>43011.0</v>
      </c>
      <c r="C652" s="1">
        <v>475.56</v>
      </c>
      <c r="D652" s="1" t="s">
        <v>307</v>
      </c>
      <c r="E652" s="1" t="s">
        <v>11</v>
      </c>
      <c r="G652" s="1">
        <v>0.0</v>
      </c>
    </row>
    <row r="653">
      <c r="A653" s="1" t="s">
        <v>163</v>
      </c>
      <c r="B653" s="1">
        <v>0.0</v>
      </c>
      <c r="C653" s="1">
        <v>0.0</v>
      </c>
      <c r="D653" s="1">
        <v>0.0</v>
      </c>
      <c r="E653" s="1">
        <v>0.0</v>
      </c>
      <c r="F653" s="1">
        <v>0.0</v>
      </c>
      <c r="G653" s="1">
        <v>0.0</v>
      </c>
    </row>
    <row r="654">
      <c r="A654" s="1" t="s">
        <v>26</v>
      </c>
      <c r="B654" s="38">
        <v>43011.0</v>
      </c>
      <c r="C654" s="1">
        <v>122.48</v>
      </c>
      <c r="D654" s="1">
        <v>2.01555094E8</v>
      </c>
      <c r="E654" s="1" t="s">
        <v>11</v>
      </c>
      <c r="F654" s="1">
        <v>0.0</v>
      </c>
      <c r="G654" s="1">
        <v>0.0</v>
      </c>
    </row>
    <row r="655">
      <c r="A655" s="1" t="s">
        <v>27</v>
      </c>
      <c r="B655" s="1">
        <v>0.0</v>
      </c>
      <c r="C655" s="1">
        <v>0.0</v>
      </c>
      <c r="D655" s="1">
        <v>0.0</v>
      </c>
      <c r="E655" s="1">
        <v>0.0</v>
      </c>
      <c r="F655" s="1">
        <v>0.0</v>
      </c>
      <c r="G655" s="1">
        <v>0.0</v>
      </c>
    </row>
    <row r="656">
      <c r="A656" s="1" t="s">
        <v>199</v>
      </c>
      <c r="B656" s="1">
        <v>0.0</v>
      </c>
      <c r="C656" s="1">
        <v>0.0</v>
      </c>
      <c r="D656" s="1">
        <v>0.0</v>
      </c>
      <c r="E656" s="1">
        <v>0.0</v>
      </c>
      <c r="F656" s="1">
        <v>0.0</v>
      </c>
      <c r="G656" s="1">
        <v>0.0</v>
      </c>
      <c r="I656" s="1" t="s">
        <v>11</v>
      </c>
      <c r="J656" s="1" t="s">
        <v>69</v>
      </c>
    </row>
    <row r="657">
      <c r="A657" s="1" t="s">
        <v>29</v>
      </c>
      <c r="B657" s="1">
        <v>0.0</v>
      </c>
      <c r="C657" s="1">
        <v>0.0</v>
      </c>
      <c r="D657" s="1">
        <v>0.0</v>
      </c>
      <c r="E657" s="1">
        <v>0.0</v>
      </c>
      <c r="F657" s="1">
        <v>0.0</v>
      </c>
      <c r="G657" s="1">
        <v>0.0</v>
      </c>
      <c r="I657">
        <f>2108.54-525-345-475.56-122.48-260-350</f>
        <v>30.5</v>
      </c>
      <c r="J657">
        <f>130.8-105</f>
        <v>25.8</v>
      </c>
    </row>
    <row r="658">
      <c r="A658" s="1" t="s">
        <v>106</v>
      </c>
      <c r="B658" s="36">
        <v>43021.0</v>
      </c>
      <c r="C658" s="1">
        <v>190.0</v>
      </c>
      <c r="D658" s="1" t="s">
        <v>31</v>
      </c>
      <c r="E658" s="1" t="s">
        <v>50</v>
      </c>
      <c r="I658">
        <f>946-314-190-100-315</f>
        <v>27</v>
      </c>
      <c r="J658">
        <f>439-300</f>
        <v>139</v>
      </c>
    </row>
    <row r="659">
      <c r="A659" s="1" t="s">
        <v>156</v>
      </c>
      <c r="B659" s="1">
        <v>0.0</v>
      </c>
      <c r="C659" s="1">
        <v>0.0</v>
      </c>
      <c r="D659" s="1">
        <v>0.0</v>
      </c>
      <c r="E659" s="1">
        <v>0.0</v>
      </c>
      <c r="F659" s="1">
        <v>0.0</v>
      </c>
      <c r="G659" s="1">
        <v>0.0</v>
      </c>
    </row>
    <row r="660">
      <c r="A660" s="1" t="s">
        <v>19</v>
      </c>
      <c r="B660" s="1">
        <v>0.0</v>
      </c>
      <c r="C660" s="1">
        <v>0.0</v>
      </c>
      <c r="D660" s="1">
        <v>0.0</v>
      </c>
      <c r="E660" s="1">
        <v>0.0</v>
      </c>
      <c r="F660" s="1">
        <v>0.0</v>
      </c>
      <c r="G660" s="1">
        <v>0.0</v>
      </c>
    </row>
    <row r="661">
      <c r="A661" s="1" t="s">
        <v>258</v>
      </c>
    </row>
    <row r="662">
      <c r="A662" s="1" t="s">
        <v>286</v>
      </c>
      <c r="B662" s="38">
        <v>43011.0</v>
      </c>
      <c r="C662" s="1">
        <v>260.1</v>
      </c>
      <c r="D662" s="1" t="s">
        <v>308</v>
      </c>
      <c r="E662" s="1" t="s">
        <v>11</v>
      </c>
      <c r="F662" s="1">
        <v>0.0</v>
      </c>
      <c r="G662" s="1">
        <v>0.0</v>
      </c>
    </row>
    <row r="663">
      <c r="A663" s="1" t="s">
        <v>35</v>
      </c>
      <c r="B663" s="1">
        <v>0.0</v>
      </c>
      <c r="C663" s="1">
        <v>0.0</v>
      </c>
      <c r="D663" s="1">
        <v>0.0</v>
      </c>
      <c r="E663" s="1">
        <v>0.0</v>
      </c>
      <c r="F663" s="1">
        <v>0.0</v>
      </c>
      <c r="G663" s="1">
        <v>0.0</v>
      </c>
    </row>
    <row r="664">
      <c r="A664" s="1" t="s">
        <v>226</v>
      </c>
      <c r="B664" s="1" t="s">
        <v>309</v>
      </c>
      <c r="C664">
        <f>105+350+315</f>
        <v>770</v>
      </c>
      <c r="D664" s="1" t="s">
        <v>310</v>
      </c>
      <c r="E664" s="1" t="s">
        <v>198</v>
      </c>
      <c r="F664" s="1">
        <v>0.0</v>
      </c>
      <c r="G664">
        <f>1353-105-350-315</f>
        <v>583</v>
      </c>
    </row>
    <row r="665">
      <c r="A665" s="1" t="s">
        <v>159</v>
      </c>
      <c r="B665" s="36">
        <v>43030.0</v>
      </c>
      <c r="C665" s="1">
        <v>169.22</v>
      </c>
      <c r="E665" s="1" t="s">
        <v>311</v>
      </c>
    </row>
    <row r="666">
      <c r="A666" s="1" t="s">
        <v>161</v>
      </c>
      <c r="B666" s="36">
        <v>43030.0</v>
      </c>
      <c r="C666" s="1">
        <v>39.99</v>
      </c>
      <c r="E666" s="1" t="s">
        <v>311</v>
      </c>
    </row>
    <row r="667">
      <c r="A667" s="1" t="s">
        <v>239</v>
      </c>
      <c r="B667" s="1">
        <v>0.0</v>
      </c>
      <c r="C667" s="1">
        <v>0.0</v>
      </c>
      <c r="D667" s="1">
        <v>0.0</v>
      </c>
      <c r="E667" s="1">
        <v>0.0</v>
      </c>
      <c r="F667" s="1">
        <v>0.0</v>
      </c>
      <c r="G667" s="1">
        <v>0.0</v>
      </c>
    </row>
    <row r="668">
      <c r="A668" s="1" t="s">
        <v>289</v>
      </c>
      <c r="B668" s="36">
        <v>43036.0</v>
      </c>
      <c r="C668" s="1">
        <v>525.0</v>
      </c>
      <c r="D668" s="1" t="s">
        <v>48</v>
      </c>
    </row>
    <row r="669">
      <c r="A669" s="1" t="s">
        <v>41</v>
      </c>
    </row>
    <row r="672">
      <c r="A672" s="37">
        <v>43040.0</v>
      </c>
      <c r="H672" s="1" t="s">
        <v>11</v>
      </c>
      <c r="I672" s="1" t="s">
        <v>8</v>
      </c>
    </row>
    <row r="673">
      <c r="A673" s="1" t="s">
        <v>231</v>
      </c>
      <c r="B673" s="1">
        <v>0.0</v>
      </c>
      <c r="H673">
        <f>1008.91-525-375.79-30.82-13.98-38</f>
        <v>25.32</v>
      </c>
      <c r="I673">
        <f>343.95-101.03-217</f>
        <v>25.92</v>
      </c>
    </row>
    <row r="674">
      <c r="A674" s="1" t="s">
        <v>255</v>
      </c>
      <c r="B674" s="36">
        <v>43036.0</v>
      </c>
      <c r="C674" s="1">
        <v>217.0</v>
      </c>
      <c r="D674" s="1" t="s">
        <v>312</v>
      </c>
      <c r="E674" s="1" t="s">
        <v>8</v>
      </c>
      <c r="F674" s="1">
        <v>0.0</v>
      </c>
      <c r="G674" s="1">
        <f>7.79+169.22+39.99</f>
        <v>217</v>
      </c>
      <c r="H674">
        <f>625.32-50-190-30-231.79-51-49</f>
        <v>23.53</v>
      </c>
    </row>
    <row r="675">
      <c r="A675" s="1" t="s">
        <v>163</v>
      </c>
      <c r="B675" s="1">
        <v>0.0</v>
      </c>
    </row>
    <row r="676">
      <c r="A676" s="1" t="s">
        <v>26</v>
      </c>
      <c r="B676" s="36">
        <v>43036.0</v>
      </c>
      <c r="C676" s="1">
        <v>101.03</v>
      </c>
      <c r="D676" s="1">
        <v>2.02671271E8</v>
      </c>
    </row>
    <row r="677">
      <c r="A677" s="1" t="s">
        <v>27</v>
      </c>
      <c r="B677" s="1">
        <v>0.0</v>
      </c>
    </row>
    <row r="678">
      <c r="A678" s="1" t="s">
        <v>199</v>
      </c>
      <c r="B678" s="1">
        <v>0.0</v>
      </c>
    </row>
    <row r="679">
      <c r="A679" s="1" t="s">
        <v>29</v>
      </c>
      <c r="B679" s="1">
        <v>0.0</v>
      </c>
    </row>
    <row r="680">
      <c r="A680" s="1" t="s">
        <v>106</v>
      </c>
      <c r="B680" s="36">
        <v>43050.0</v>
      </c>
      <c r="C680" s="1">
        <v>190.0</v>
      </c>
      <c r="D680" s="1" t="s">
        <v>31</v>
      </c>
    </row>
    <row r="681">
      <c r="A681" s="1" t="s">
        <v>156</v>
      </c>
      <c r="B681" s="36">
        <v>43036.0</v>
      </c>
      <c r="C681" s="36">
        <v>30.82</v>
      </c>
      <c r="D681" s="36">
        <v>1.32473208851717E14</v>
      </c>
      <c r="E681" s="1" t="s">
        <v>11</v>
      </c>
      <c r="F681" s="1">
        <v>0.0</v>
      </c>
      <c r="G681" s="1">
        <v>0.0</v>
      </c>
    </row>
    <row r="682">
      <c r="A682" s="1" t="s">
        <v>19</v>
      </c>
      <c r="B682" s="36">
        <v>43036.0</v>
      </c>
      <c r="C682" s="36">
        <v>13.98</v>
      </c>
      <c r="D682" s="36">
        <v>43036.0</v>
      </c>
      <c r="E682" s="1" t="s">
        <v>11</v>
      </c>
      <c r="F682" s="1">
        <v>0.0</v>
      </c>
      <c r="G682" s="1">
        <v>0.0</v>
      </c>
    </row>
    <row r="683">
      <c r="A683" s="1" t="s">
        <v>258</v>
      </c>
      <c r="B683" s="36">
        <v>43059.0</v>
      </c>
      <c r="C683" s="1">
        <v>266.56</v>
      </c>
      <c r="D683" s="36"/>
      <c r="E683" s="1" t="s">
        <v>101</v>
      </c>
    </row>
    <row r="684">
      <c r="A684" s="1" t="s">
        <v>286</v>
      </c>
      <c r="B684" s="36">
        <v>43036.0</v>
      </c>
      <c r="C684" s="1">
        <v>38.0</v>
      </c>
      <c r="D684" s="1" t="s">
        <v>313</v>
      </c>
      <c r="E684" s="1" t="s">
        <v>11</v>
      </c>
      <c r="F684" s="1">
        <v>0.0</v>
      </c>
      <c r="G684" s="1">
        <f>231-231+266.56</f>
        <v>266.56</v>
      </c>
    </row>
    <row r="685">
      <c r="A685" s="1" t="s">
        <v>35</v>
      </c>
      <c r="B685" s="1">
        <v>0.0</v>
      </c>
      <c r="C685" s="1">
        <v>0.0</v>
      </c>
      <c r="D685" s="1">
        <v>0.0</v>
      </c>
      <c r="E685" s="1">
        <v>0.0</v>
      </c>
      <c r="F685" s="1">
        <v>0.0</v>
      </c>
      <c r="G685" s="1">
        <v>0.0</v>
      </c>
    </row>
    <row r="686">
      <c r="A686" s="1" t="s">
        <v>226</v>
      </c>
      <c r="B686" s="36">
        <v>43050.0</v>
      </c>
      <c r="C686" s="1">
        <v>30.0</v>
      </c>
      <c r="D686" s="1" t="s">
        <v>314</v>
      </c>
      <c r="E686" s="1" t="s">
        <v>11</v>
      </c>
      <c r="G686" s="1">
        <f>583-30</f>
        <v>553</v>
      </c>
    </row>
    <row r="687">
      <c r="A687" s="1" t="s">
        <v>159</v>
      </c>
      <c r="B687" s="36">
        <v>43061.0</v>
      </c>
      <c r="C687" s="1">
        <v>169.22</v>
      </c>
      <c r="D687" s="1">
        <v>1.824739325E9</v>
      </c>
      <c r="E687" s="1" t="s">
        <v>315</v>
      </c>
    </row>
    <row r="688">
      <c r="A688" s="1" t="s">
        <v>161</v>
      </c>
      <c r="B688" s="36">
        <v>43061.0</v>
      </c>
      <c r="C688" s="1">
        <v>39.99</v>
      </c>
      <c r="D688" s="36"/>
      <c r="E688" s="1" t="s">
        <v>315</v>
      </c>
      <c r="G688" s="1"/>
    </row>
    <row r="689">
      <c r="A689" s="1" t="s">
        <v>239</v>
      </c>
      <c r="B689" s="1">
        <v>0.0</v>
      </c>
      <c r="C689" s="1">
        <v>0.0</v>
      </c>
      <c r="D689" s="1">
        <v>0.0</v>
      </c>
      <c r="E689" s="1">
        <v>0.0</v>
      </c>
      <c r="F689" s="1">
        <v>0.0</v>
      </c>
      <c r="G689" s="1">
        <v>0.0</v>
      </c>
    </row>
    <row r="690">
      <c r="A690" s="1" t="s">
        <v>289</v>
      </c>
      <c r="B690" s="36">
        <v>43064.0</v>
      </c>
      <c r="C690" s="1">
        <v>525.0</v>
      </c>
      <c r="D690" s="1" t="s">
        <v>31</v>
      </c>
    </row>
    <row r="691">
      <c r="A691" s="1" t="s">
        <v>41</v>
      </c>
      <c r="C691">
        <f>sum(C673:C690)</f>
        <v>1621.6</v>
      </c>
      <c r="G691">
        <f>sum(G673:G690)</f>
        <v>1036.56</v>
      </c>
    </row>
    <row r="693">
      <c r="H693" s="1"/>
    </row>
    <row r="695">
      <c r="A695" s="37">
        <v>43070.0</v>
      </c>
      <c r="I695" s="1" t="s">
        <v>11</v>
      </c>
      <c r="J695" s="1" t="s">
        <v>69</v>
      </c>
    </row>
    <row r="696">
      <c r="A696" s="1" t="s">
        <v>231</v>
      </c>
      <c r="B696" s="1">
        <v>0.0</v>
      </c>
      <c r="C696" s="1">
        <v>0.0</v>
      </c>
      <c r="I696">
        <f>677-50-280-40-266.56-14.95-45</f>
        <v>-19.51</v>
      </c>
      <c r="J696">
        <f>735.65-525-74.47-111</f>
        <v>25.18</v>
      </c>
    </row>
    <row r="697">
      <c r="A697" s="1" t="s">
        <v>255</v>
      </c>
      <c r="B697" s="1" t="s">
        <v>316</v>
      </c>
      <c r="C697" s="1">
        <f>45+111+110</f>
        <v>266</v>
      </c>
      <c r="D697" s="1" t="s">
        <v>317</v>
      </c>
      <c r="E697" s="1" t="s">
        <v>193</v>
      </c>
      <c r="F697" s="1">
        <v>0.0</v>
      </c>
      <c r="G697" s="1">
        <v>55.27</v>
      </c>
      <c r="I697">
        <f>442.79-367-50</f>
        <v>25.79</v>
      </c>
    </row>
    <row r="698">
      <c r="A698" s="1" t="s">
        <v>163</v>
      </c>
      <c r="B698" s="1">
        <v>0.0</v>
      </c>
      <c r="C698" s="1">
        <v>0.0</v>
      </c>
      <c r="D698" s="1">
        <v>0.0</v>
      </c>
      <c r="E698" s="1">
        <v>0.0</v>
      </c>
      <c r="F698" s="1">
        <v>0.0</v>
      </c>
      <c r="G698" s="1">
        <v>0.0</v>
      </c>
      <c r="J698">
        <f>G697-45</f>
        <v>10.27</v>
      </c>
    </row>
    <row r="699">
      <c r="A699" s="1" t="s">
        <v>26</v>
      </c>
      <c r="B699" s="1" t="s">
        <v>318</v>
      </c>
      <c r="C699" s="1">
        <f>93.7+118.38</f>
        <v>212.08</v>
      </c>
      <c r="D699" s="1" t="s">
        <v>319</v>
      </c>
      <c r="E699" s="1" t="s">
        <v>320</v>
      </c>
      <c r="F699" s="1">
        <v>0.0</v>
      </c>
      <c r="G699" s="1">
        <v>0.0</v>
      </c>
      <c r="J699">
        <f>J696-J698</f>
        <v>14.91</v>
      </c>
    </row>
    <row r="700">
      <c r="A700" s="1" t="s">
        <v>27</v>
      </c>
      <c r="B700" s="1">
        <v>0.0</v>
      </c>
    </row>
    <row r="701">
      <c r="A701" s="1" t="s">
        <v>199</v>
      </c>
      <c r="B701" s="1">
        <v>0.0</v>
      </c>
    </row>
    <row r="702">
      <c r="A702" s="1" t="s">
        <v>29</v>
      </c>
      <c r="B702" s="1">
        <v>0.0</v>
      </c>
      <c r="E702" s="1" t="s">
        <v>321</v>
      </c>
    </row>
    <row r="703">
      <c r="A703" s="1" t="s">
        <v>84</v>
      </c>
      <c r="B703" s="1" t="s">
        <v>322</v>
      </c>
      <c r="C703" s="1">
        <f>160+240</f>
        <v>400</v>
      </c>
      <c r="E703" s="1"/>
    </row>
    <row r="704">
      <c r="A704" s="1" t="s">
        <v>106</v>
      </c>
      <c r="B704" s="1" t="s">
        <v>31</v>
      </c>
      <c r="C704" s="1">
        <v>190.0</v>
      </c>
      <c r="E704" s="1" t="s">
        <v>11</v>
      </c>
    </row>
    <row r="705">
      <c r="A705" s="1" t="s">
        <v>156</v>
      </c>
      <c r="B705" s="36">
        <v>43064.0</v>
      </c>
      <c r="C705" s="1">
        <v>74.47</v>
      </c>
      <c r="D705" s="36">
        <v>1.32497430317077E14</v>
      </c>
      <c r="E705" s="1" t="s">
        <v>8</v>
      </c>
      <c r="F705" s="1">
        <v>0.0</v>
      </c>
      <c r="G705" s="1">
        <v>0.0</v>
      </c>
    </row>
    <row r="706">
      <c r="A706" s="1" t="s">
        <v>19</v>
      </c>
      <c r="B706" s="1">
        <v>0.0</v>
      </c>
      <c r="C706" s="1">
        <v>0.0</v>
      </c>
      <c r="D706" s="1">
        <v>0.0</v>
      </c>
      <c r="E706" s="1">
        <v>0.0</v>
      </c>
      <c r="F706" s="1">
        <v>0.0</v>
      </c>
      <c r="G706" s="1">
        <v>0.0</v>
      </c>
    </row>
    <row r="707">
      <c r="A707" s="1" t="s">
        <v>258</v>
      </c>
      <c r="B707" s="36">
        <v>43091.0</v>
      </c>
      <c r="C707" s="1">
        <v>266.56</v>
      </c>
    </row>
    <row r="708">
      <c r="A708" s="1" t="s">
        <v>286</v>
      </c>
      <c r="B708" s="36">
        <v>43064.0</v>
      </c>
      <c r="C708" s="1">
        <v>266.56</v>
      </c>
      <c r="D708" s="1" t="s">
        <v>323</v>
      </c>
      <c r="E708" s="1" t="s">
        <v>11</v>
      </c>
      <c r="F708" s="1">
        <v>0.0</v>
      </c>
      <c r="G708" s="1">
        <v>2268.52</v>
      </c>
    </row>
    <row r="709">
      <c r="A709" s="1" t="s">
        <v>35</v>
      </c>
      <c r="B709" s="1">
        <v>0.0</v>
      </c>
      <c r="C709" s="1">
        <v>0.0</v>
      </c>
      <c r="D709" s="1">
        <v>0.0</v>
      </c>
      <c r="E709" s="1">
        <v>0.0</v>
      </c>
      <c r="F709" s="1">
        <v>0.0</v>
      </c>
    </row>
    <row r="710">
      <c r="A710" s="1" t="s">
        <v>226</v>
      </c>
      <c r="B710" s="38">
        <v>43078.0</v>
      </c>
      <c r="C710" s="1">
        <v>25.0</v>
      </c>
      <c r="D710" s="1" t="s">
        <v>324</v>
      </c>
      <c r="E710" s="1" t="s">
        <v>11</v>
      </c>
      <c r="F710" s="1">
        <v>0.0</v>
      </c>
      <c r="G710" s="1">
        <f>553-25</f>
        <v>528</v>
      </c>
    </row>
    <row r="711">
      <c r="A711" s="1" t="s">
        <v>159</v>
      </c>
      <c r="B711" s="36">
        <v>43091.0</v>
      </c>
      <c r="C711" s="1">
        <v>168.44</v>
      </c>
      <c r="E711" s="1" t="s">
        <v>325</v>
      </c>
    </row>
    <row r="712">
      <c r="A712" s="1" t="s">
        <v>161</v>
      </c>
      <c r="B712" s="36" t="s">
        <v>326</v>
      </c>
      <c r="C712" s="1">
        <v>39.99</v>
      </c>
      <c r="E712" s="1" t="s">
        <v>325</v>
      </c>
    </row>
    <row r="713">
      <c r="A713" s="1" t="s">
        <v>239</v>
      </c>
      <c r="B713" s="1">
        <v>0.0</v>
      </c>
      <c r="C713" s="1">
        <v>0.0</v>
      </c>
      <c r="D713" s="1">
        <v>0.0</v>
      </c>
      <c r="E713" s="1">
        <v>0.0</v>
      </c>
      <c r="F713" s="1">
        <v>0.0</v>
      </c>
      <c r="G713" s="1">
        <v>0.0</v>
      </c>
      <c r="Z713" s="1" t="s">
        <v>327</v>
      </c>
    </row>
    <row r="714">
      <c r="A714" s="1" t="s">
        <v>289</v>
      </c>
      <c r="B714" s="36">
        <v>43091.0</v>
      </c>
      <c r="C714" s="1">
        <v>546.0</v>
      </c>
    </row>
    <row r="715">
      <c r="A715" s="1" t="s">
        <v>41</v>
      </c>
      <c r="C715">
        <f>sum(C696:C714)</f>
        <v>2455.1</v>
      </c>
      <c r="G715">
        <f>sum(G696:G714)</f>
        <v>2851.79</v>
      </c>
    </row>
    <row r="716">
      <c r="I716" s="1" t="s">
        <v>11</v>
      </c>
      <c r="J716" s="1" t="s">
        <v>8</v>
      </c>
    </row>
    <row r="717">
      <c r="I717">
        <f>605.79-93.7-190-25-160-110</f>
        <v>27.09</v>
      </c>
      <c r="J717">
        <f>273.94-240</f>
        <v>33.94</v>
      </c>
    </row>
    <row r="718">
      <c r="A718" s="37">
        <v>43101.0</v>
      </c>
      <c r="I718">
        <f>1007-118.38-22.5-350+407.01-326.13+600</f>
        <v>1197</v>
      </c>
      <c r="J718">
        <f>2433.09-546-700+287.95-1</f>
        <v>1474.04</v>
      </c>
      <c r="K718">
        <f>sum(I718+J718)</f>
        <v>2671.04</v>
      </c>
    </row>
    <row r="719">
      <c r="A719" s="1" t="s">
        <v>231</v>
      </c>
      <c r="B719" s="1">
        <v>0.0</v>
      </c>
      <c r="C719" s="1">
        <v>0.0</v>
      </c>
      <c r="D719" s="1">
        <v>0.0</v>
      </c>
      <c r="E719" s="1">
        <v>0.0</v>
      </c>
      <c r="F719" s="1">
        <v>0.0</v>
      </c>
      <c r="G719" s="1">
        <v>0.0</v>
      </c>
    </row>
    <row r="720">
      <c r="A720" s="1" t="s">
        <v>255</v>
      </c>
      <c r="B720" s="1" t="s">
        <v>328</v>
      </c>
      <c r="C720" s="1" t="s">
        <v>329</v>
      </c>
      <c r="D720" s="1" t="s">
        <v>330</v>
      </c>
      <c r="E720" s="1" t="s">
        <v>193</v>
      </c>
      <c r="F720" s="1"/>
      <c r="G720" s="1" t="s">
        <v>331</v>
      </c>
      <c r="H720" s="1" t="s">
        <v>1</v>
      </c>
      <c r="I720" s="1" t="s">
        <v>332</v>
      </c>
    </row>
    <row r="721">
      <c r="A721" s="1" t="s">
        <v>163</v>
      </c>
      <c r="B721" s="1">
        <v>0.0</v>
      </c>
      <c r="C721" s="1">
        <v>0.0</v>
      </c>
      <c r="D721" s="1">
        <v>0.0</v>
      </c>
      <c r="E721" s="1">
        <v>0.0</v>
      </c>
      <c r="F721" s="1">
        <v>0.0</v>
      </c>
      <c r="G721" s="1">
        <v>0.0</v>
      </c>
      <c r="H721" s="36">
        <v>43098.0</v>
      </c>
      <c r="I721" s="1" t="s">
        <v>8</v>
      </c>
    </row>
    <row r="722">
      <c r="A722" s="1" t="s">
        <v>26</v>
      </c>
      <c r="B722" s="36">
        <v>43098.0</v>
      </c>
      <c r="C722" s="1">
        <v>22.5</v>
      </c>
      <c r="D722" s="1">
        <v>2.04892305E8</v>
      </c>
      <c r="E722" s="1" t="s">
        <v>11</v>
      </c>
      <c r="F722" s="1">
        <v>0.0</v>
      </c>
      <c r="G722" s="1">
        <v>0.0</v>
      </c>
      <c r="H722" s="36">
        <v>43098.0</v>
      </c>
      <c r="I722" s="1" t="s">
        <v>266</v>
      </c>
      <c r="J722" s="1" t="s">
        <v>333</v>
      </c>
    </row>
    <row r="723">
      <c r="A723" s="1" t="s">
        <v>27</v>
      </c>
      <c r="B723" s="1">
        <v>0.0</v>
      </c>
    </row>
    <row r="724">
      <c r="A724" s="1" t="s">
        <v>199</v>
      </c>
      <c r="B724" s="1">
        <v>0.0</v>
      </c>
    </row>
    <row r="725">
      <c r="A725" s="1" t="s">
        <v>29</v>
      </c>
      <c r="B725" s="1">
        <v>0.0</v>
      </c>
    </row>
    <row r="726">
      <c r="A726" s="1" t="s">
        <v>84</v>
      </c>
      <c r="B726" s="36">
        <v>43106.0</v>
      </c>
      <c r="C726" s="1">
        <v>400.0</v>
      </c>
    </row>
    <row r="727">
      <c r="A727" s="1" t="s">
        <v>106</v>
      </c>
      <c r="B727" s="36">
        <v>43106.0</v>
      </c>
      <c r="C727" s="1">
        <v>190.0</v>
      </c>
      <c r="D727" s="1" t="s">
        <v>31</v>
      </c>
    </row>
    <row r="728">
      <c r="A728" s="1" t="s">
        <v>156</v>
      </c>
      <c r="B728" s="1">
        <v>0.0</v>
      </c>
    </row>
    <row r="729">
      <c r="A729" s="1" t="s">
        <v>19</v>
      </c>
      <c r="B729" s="36">
        <v>43106.0</v>
      </c>
      <c r="C729" s="1">
        <v>78.73</v>
      </c>
      <c r="D729" s="1">
        <v>1.488174157E9</v>
      </c>
      <c r="E729" s="1" t="s">
        <v>11</v>
      </c>
      <c r="F729" s="1">
        <v>0.0</v>
      </c>
      <c r="G729" s="1">
        <v>0.0</v>
      </c>
    </row>
    <row r="730">
      <c r="A730" s="1" t="s">
        <v>258</v>
      </c>
      <c r="B730" s="36">
        <v>43119.0</v>
      </c>
      <c r="C730" s="1">
        <v>266.55</v>
      </c>
      <c r="E730" s="1" t="s">
        <v>33</v>
      </c>
    </row>
    <row r="731">
      <c r="A731" s="1" t="s">
        <v>286</v>
      </c>
      <c r="B731" s="36">
        <v>43106.0</v>
      </c>
      <c r="C731" s="1">
        <v>262.52</v>
      </c>
      <c r="D731" s="1" t="s">
        <v>334</v>
      </c>
      <c r="E731" s="1" t="s">
        <v>11</v>
      </c>
      <c r="F731" s="1">
        <v>1.96</v>
      </c>
      <c r="G731" s="1">
        <v>2006.0</v>
      </c>
    </row>
    <row r="732">
      <c r="A732" s="1" t="s">
        <v>35</v>
      </c>
      <c r="B732" s="1">
        <v>0.0</v>
      </c>
      <c r="C732" s="1">
        <v>0.0</v>
      </c>
      <c r="D732" s="1">
        <v>0.0</v>
      </c>
      <c r="E732" s="1">
        <v>0.0</v>
      </c>
      <c r="F732" s="1">
        <v>0.0</v>
      </c>
      <c r="G732" s="1">
        <v>0.0</v>
      </c>
    </row>
    <row r="733">
      <c r="A733" s="1" t="s">
        <v>226</v>
      </c>
      <c r="B733" s="36">
        <v>43106.0</v>
      </c>
      <c r="C733" s="1">
        <v>25.0</v>
      </c>
      <c r="D733" s="1" t="s">
        <v>335</v>
      </c>
      <c r="E733" s="1" t="s">
        <v>11</v>
      </c>
      <c r="F733" s="1">
        <v>0.0</v>
      </c>
      <c r="G733">
        <f>528-25</f>
        <v>503</v>
      </c>
    </row>
    <row r="734">
      <c r="A734" s="1" t="s">
        <v>159</v>
      </c>
      <c r="B734" s="36">
        <v>43120.0</v>
      </c>
      <c r="C734" s="1">
        <v>168.25</v>
      </c>
      <c r="E734" s="1" t="s">
        <v>11</v>
      </c>
      <c r="F734" s="1">
        <v>0.0</v>
      </c>
      <c r="G734" s="1">
        <v>0.0</v>
      </c>
    </row>
    <row r="735">
      <c r="A735" s="1" t="s">
        <v>336</v>
      </c>
      <c r="B735" s="36">
        <v>43120.0</v>
      </c>
      <c r="C735" s="1">
        <v>50.0</v>
      </c>
      <c r="D735" s="1" t="s">
        <v>337</v>
      </c>
      <c r="E735" s="1" t="s">
        <v>11</v>
      </c>
      <c r="G735">
        <f>581-50</f>
        <v>531</v>
      </c>
    </row>
    <row r="736">
      <c r="A736" s="1" t="s">
        <v>338</v>
      </c>
      <c r="B736" s="36">
        <v>43120.0</v>
      </c>
      <c r="C736" s="1">
        <v>116.84</v>
      </c>
      <c r="D736" s="1">
        <v>2.05684795E8</v>
      </c>
      <c r="E736" s="1" t="s">
        <v>11</v>
      </c>
      <c r="F736" s="1">
        <v>0.0</v>
      </c>
      <c r="G736" s="1">
        <v>0.0</v>
      </c>
    </row>
    <row r="737">
      <c r="A737" s="1" t="s">
        <v>161</v>
      </c>
      <c r="B737" s="36">
        <v>43120.0</v>
      </c>
      <c r="C737" s="1">
        <v>111.56</v>
      </c>
      <c r="E737" s="1" t="s">
        <v>339</v>
      </c>
    </row>
    <row r="738">
      <c r="A738" s="1" t="s">
        <v>239</v>
      </c>
      <c r="B738" s="1">
        <v>0.0</v>
      </c>
      <c r="C738" s="1">
        <v>0.0</v>
      </c>
    </row>
    <row r="739">
      <c r="A739" s="1" t="s">
        <v>289</v>
      </c>
      <c r="C739" s="1">
        <v>546.0</v>
      </c>
      <c r="D739" s="1" t="s">
        <v>340</v>
      </c>
      <c r="I739" s="1" t="s">
        <v>11</v>
      </c>
      <c r="J739" s="1" t="s">
        <v>8</v>
      </c>
      <c r="K739" s="1" t="s">
        <v>41</v>
      </c>
    </row>
    <row r="740">
      <c r="A740" s="1" t="s">
        <v>41</v>
      </c>
      <c r="C740">
        <f>sum(C719:C739)</f>
        <v>2237.95</v>
      </c>
      <c r="D740" s="65">
        <f>C740-C722-C731-C737-28</f>
        <v>1813.37</v>
      </c>
      <c r="G740">
        <f>sum(G719:G739)</f>
        <v>3040</v>
      </c>
      <c r="I740">
        <f>1197.57-190-78.73-25-262.52</f>
        <v>641.32</v>
      </c>
      <c r="J740">
        <f>1474.04-400-974.66</f>
        <v>99.38</v>
      </c>
      <c r="K740">
        <f>sum(I740+J740)</f>
        <v>740.7</v>
      </c>
    </row>
    <row r="741">
      <c r="I741">
        <f>1063.09-168.25-116.84-50-546</f>
        <v>182</v>
      </c>
      <c r="J741">
        <f>560.18</f>
        <v>560.18</v>
      </c>
      <c r="K741">
        <f>I741+J741</f>
        <v>742.18</v>
      </c>
    </row>
    <row r="744">
      <c r="A744" s="37">
        <v>43132.0</v>
      </c>
    </row>
    <row r="745">
      <c r="A745" s="1" t="s">
        <v>231</v>
      </c>
      <c r="B745" s="1">
        <v>0.0</v>
      </c>
      <c r="C745" s="1">
        <v>0.0</v>
      </c>
      <c r="D745" s="1">
        <v>0.0</v>
      </c>
      <c r="E745" s="1">
        <v>0.0</v>
      </c>
      <c r="F745" s="1">
        <v>0.0</v>
      </c>
      <c r="G745" s="1">
        <v>0.0</v>
      </c>
    </row>
    <row r="746">
      <c r="A746" s="1" t="s">
        <v>255</v>
      </c>
      <c r="B746" s="36">
        <v>43133.0</v>
      </c>
      <c r="C746" s="1">
        <v>95.29</v>
      </c>
      <c r="D746" s="1" t="s">
        <v>341</v>
      </c>
      <c r="E746" s="1" t="s">
        <v>11</v>
      </c>
      <c r="F746" s="1">
        <v>0.0</v>
      </c>
      <c r="G746" s="1">
        <v>0.0</v>
      </c>
    </row>
    <row r="747">
      <c r="A747" s="1" t="s">
        <v>163</v>
      </c>
      <c r="B747" s="1">
        <v>0.0</v>
      </c>
      <c r="C747" s="1">
        <v>0.0</v>
      </c>
      <c r="D747" s="1">
        <v>0.0</v>
      </c>
      <c r="E747" s="1">
        <v>0.0</v>
      </c>
      <c r="F747" s="1">
        <v>0.0</v>
      </c>
      <c r="G747" s="1">
        <v>0.0</v>
      </c>
    </row>
    <row r="748">
      <c r="A748" s="1" t="s">
        <v>342</v>
      </c>
      <c r="B748" s="36">
        <v>43133.0</v>
      </c>
      <c r="C748" s="1">
        <v>108.9</v>
      </c>
      <c r="D748" s="1">
        <v>2.06211446E8</v>
      </c>
      <c r="E748" s="1" t="s">
        <v>11</v>
      </c>
      <c r="F748" s="1">
        <v>0.0</v>
      </c>
      <c r="G748" s="1">
        <v>0.0</v>
      </c>
    </row>
    <row r="749">
      <c r="A749" s="1" t="s">
        <v>27</v>
      </c>
      <c r="B749" s="1">
        <v>0.0</v>
      </c>
      <c r="I749" s="1" t="s">
        <v>11</v>
      </c>
      <c r="J749" s="1" t="s">
        <v>8</v>
      </c>
    </row>
    <row r="750">
      <c r="A750" s="1" t="s">
        <v>199</v>
      </c>
      <c r="B750" s="1">
        <v>0.0</v>
      </c>
      <c r="I750">
        <f>4907.01-188.44-95.29-108.9-190-500-707.87-400-503</f>
        <v>2213.51</v>
      </c>
      <c r="J750" s="1">
        <f>781.33-415.79+95.26-400</f>
        <v>60.8</v>
      </c>
      <c r="K750">
        <f>I750+J750</f>
        <v>2274.31</v>
      </c>
    </row>
    <row r="751">
      <c r="A751" s="1" t="s">
        <v>29</v>
      </c>
      <c r="B751" s="1">
        <v>0.0</v>
      </c>
    </row>
    <row r="752">
      <c r="A752" s="1" t="s">
        <v>84</v>
      </c>
      <c r="B752" s="1" t="s">
        <v>343</v>
      </c>
      <c r="C752" s="1">
        <v>400.0</v>
      </c>
      <c r="E752" s="1" t="s">
        <v>11</v>
      </c>
    </row>
    <row r="753">
      <c r="A753" s="1" t="s">
        <v>106</v>
      </c>
      <c r="B753" s="1" t="s">
        <v>31</v>
      </c>
      <c r="C753" s="1">
        <v>190.0</v>
      </c>
    </row>
    <row r="754">
      <c r="A754" s="1" t="s">
        <v>156</v>
      </c>
      <c r="B754" s="1" t="s">
        <v>344</v>
      </c>
      <c r="C754" s="1" t="s">
        <v>345</v>
      </c>
      <c r="D754" s="1">
        <v>873.0</v>
      </c>
      <c r="E754" s="1" t="s">
        <v>346</v>
      </c>
      <c r="G754" s="1">
        <v>0.0</v>
      </c>
    </row>
    <row r="755">
      <c r="A755" s="1" t="s">
        <v>19</v>
      </c>
      <c r="B755" s="1">
        <v>0.0</v>
      </c>
    </row>
    <row r="756">
      <c r="A756" s="1" t="s">
        <v>258</v>
      </c>
    </row>
    <row r="757">
      <c r="A757" s="1" t="s">
        <v>286</v>
      </c>
      <c r="B757" s="1" t="s">
        <v>347</v>
      </c>
      <c r="C757" s="1" t="s">
        <v>348</v>
      </c>
      <c r="D757" s="1" t="s">
        <v>349</v>
      </c>
      <c r="E757" s="1" t="s">
        <v>193</v>
      </c>
      <c r="F757" s="1">
        <v>0.0</v>
      </c>
      <c r="G757" s="1">
        <f>1780-400</f>
        <v>1380</v>
      </c>
    </row>
    <row r="758">
      <c r="A758" s="1" t="s">
        <v>35</v>
      </c>
      <c r="B758" s="1">
        <v>0.0</v>
      </c>
    </row>
    <row r="759">
      <c r="A759" s="1" t="s">
        <v>226</v>
      </c>
      <c r="B759" s="36">
        <v>43133.0</v>
      </c>
      <c r="C759" s="1">
        <v>503.0</v>
      </c>
      <c r="D759" s="1" t="s">
        <v>350</v>
      </c>
      <c r="E759" s="1" t="s">
        <v>11</v>
      </c>
      <c r="G759" s="1">
        <v>0.0</v>
      </c>
    </row>
    <row r="760">
      <c r="A760" s="1" t="s">
        <v>159</v>
      </c>
      <c r="B760" s="36">
        <v>43153.0</v>
      </c>
      <c r="C760" s="1">
        <v>168.32</v>
      </c>
      <c r="E760" s="1" t="s">
        <v>351</v>
      </c>
    </row>
    <row r="761">
      <c r="A761" s="1" t="s">
        <v>336</v>
      </c>
      <c r="B761" s="36">
        <v>43133.0</v>
      </c>
      <c r="C761" s="1">
        <v>707.87</v>
      </c>
      <c r="D761" s="1" t="s">
        <v>352</v>
      </c>
      <c r="E761" s="1" t="s">
        <v>11</v>
      </c>
      <c r="F761" s="1">
        <v>0.0</v>
      </c>
      <c r="G761" s="1">
        <v>0.0</v>
      </c>
    </row>
    <row r="762">
      <c r="A762" s="1" t="s">
        <v>161</v>
      </c>
      <c r="B762" s="36">
        <v>43149.0</v>
      </c>
      <c r="C762" s="1">
        <v>29.99</v>
      </c>
      <c r="D762" s="66" t="s">
        <v>353</v>
      </c>
      <c r="E762" s="1" t="s">
        <v>354</v>
      </c>
      <c r="F762" s="1">
        <v>0.0</v>
      </c>
      <c r="G762" s="1">
        <v>0.0</v>
      </c>
      <c r="I762" s="1" t="s">
        <v>11</v>
      </c>
      <c r="J762" s="1" t="s">
        <v>8</v>
      </c>
    </row>
    <row r="763">
      <c r="A763" s="1" t="s">
        <v>239</v>
      </c>
      <c r="B763" s="1">
        <v>0.0</v>
      </c>
      <c r="C763" s="1">
        <v>0.0</v>
      </c>
      <c r="I763">
        <f>641</f>
        <v>641</v>
      </c>
      <c r="J763">
        <f>24.4</f>
        <v>24.4</v>
      </c>
    </row>
    <row r="764">
      <c r="A764" s="1" t="s">
        <v>355</v>
      </c>
      <c r="B764" s="1" t="s">
        <v>31</v>
      </c>
      <c r="C764" s="1">
        <v>546.0</v>
      </c>
      <c r="D764" s="1" t="s">
        <v>11</v>
      </c>
      <c r="I764">
        <f>3105.26-546-1642.18-134.22+600-410</f>
        <v>972.86</v>
      </c>
      <c r="J764">
        <f>149.31-124</f>
        <v>25.31</v>
      </c>
      <c r="K764">
        <f>I764+J764</f>
        <v>998.17</v>
      </c>
    </row>
    <row r="765">
      <c r="A765" s="1" t="s">
        <v>264</v>
      </c>
      <c r="B765" s="1"/>
      <c r="C765" s="1">
        <v>410.0</v>
      </c>
      <c r="D765" s="1"/>
    </row>
    <row r="766">
      <c r="A766" s="1" t="s">
        <v>41</v>
      </c>
      <c r="C766">
        <f>sum(C746:C764)</f>
        <v>2749.37</v>
      </c>
      <c r="G766">
        <f>sum(G746:G764)</f>
        <v>1380</v>
      </c>
    </row>
    <row r="769">
      <c r="A769" s="37">
        <v>43160.0</v>
      </c>
    </row>
    <row r="770">
      <c r="A770" s="1" t="s">
        <v>231</v>
      </c>
      <c r="B770" s="1">
        <v>0.0</v>
      </c>
      <c r="C770" s="1">
        <v>0.0</v>
      </c>
    </row>
    <row r="771">
      <c r="A771" s="1" t="s">
        <v>255</v>
      </c>
      <c r="B771" s="1">
        <v>0.0</v>
      </c>
    </row>
    <row r="772">
      <c r="A772" s="1" t="s">
        <v>163</v>
      </c>
      <c r="B772" s="1">
        <v>0.0</v>
      </c>
    </row>
    <row r="773">
      <c r="A773" s="1" t="s">
        <v>342</v>
      </c>
      <c r="B773" s="36">
        <v>43162.0</v>
      </c>
      <c r="C773" s="1">
        <v>132.56</v>
      </c>
      <c r="D773" s="1">
        <v>2.0735124E8</v>
      </c>
      <c r="E773" s="1" t="s">
        <v>8</v>
      </c>
      <c r="F773" s="1">
        <v>0.0</v>
      </c>
      <c r="G773" s="1">
        <v>0.0</v>
      </c>
    </row>
    <row r="774">
      <c r="A774" s="1" t="s">
        <v>27</v>
      </c>
      <c r="B774" s="1">
        <v>0.0</v>
      </c>
      <c r="I774" s="1" t="s">
        <v>11</v>
      </c>
      <c r="J774" s="1" t="s">
        <v>69</v>
      </c>
    </row>
    <row r="775">
      <c r="A775" s="1" t="s">
        <v>199</v>
      </c>
      <c r="B775" s="1">
        <v>0.0</v>
      </c>
      <c r="I775">
        <f>964.86-89</f>
        <v>875.86</v>
      </c>
      <c r="J775" s="1">
        <v>45.74</v>
      </c>
      <c r="K775">
        <f>I775+J775</f>
        <v>921.6</v>
      </c>
    </row>
    <row r="776">
      <c r="A776" s="1" t="s">
        <v>29</v>
      </c>
      <c r="B776" s="1">
        <v>0.0</v>
      </c>
      <c r="I776" s="1" t="s">
        <v>356</v>
      </c>
      <c r="J776" s="1">
        <v>89.0</v>
      </c>
    </row>
    <row r="777">
      <c r="A777" s="1" t="s">
        <v>84</v>
      </c>
      <c r="B777" s="36">
        <v>43175.0</v>
      </c>
      <c r="C777" s="1">
        <v>400.0</v>
      </c>
    </row>
    <row r="778">
      <c r="A778" s="1" t="s">
        <v>106</v>
      </c>
      <c r="B778" s="36">
        <v>43175.0</v>
      </c>
      <c r="C778" s="1">
        <v>190.0</v>
      </c>
    </row>
    <row r="779">
      <c r="A779" s="1" t="s">
        <v>156</v>
      </c>
      <c r="B779" s="1">
        <v>0.0</v>
      </c>
      <c r="C779" s="1">
        <v>0.0</v>
      </c>
      <c r="D779" s="1">
        <v>0.0</v>
      </c>
      <c r="E779" s="1">
        <v>0.0</v>
      </c>
      <c r="F779" s="1">
        <v>0.0</v>
      </c>
      <c r="G779" s="1">
        <v>0.0</v>
      </c>
    </row>
    <row r="780">
      <c r="A780" s="1" t="s">
        <v>19</v>
      </c>
      <c r="B780" s="36">
        <v>43179.0</v>
      </c>
      <c r="C780" s="1">
        <v>182.94</v>
      </c>
      <c r="D780" s="1">
        <v>0.0</v>
      </c>
      <c r="E780" s="1" t="s">
        <v>69</v>
      </c>
      <c r="F780" s="1">
        <v>0.0</v>
      </c>
      <c r="G780" s="1">
        <v>0.0</v>
      </c>
    </row>
    <row r="781">
      <c r="A781" s="1" t="s">
        <v>258</v>
      </c>
      <c r="B781" s="1">
        <v>0.0</v>
      </c>
    </row>
    <row r="782">
      <c r="A782" s="1" t="s">
        <v>286</v>
      </c>
      <c r="B782" s="36">
        <v>43155.0</v>
      </c>
      <c r="C782" s="1">
        <v>1642.18</v>
      </c>
      <c r="D782" s="1" t="s">
        <v>357</v>
      </c>
      <c r="E782" s="1" t="s">
        <v>11</v>
      </c>
      <c r="F782" s="1">
        <v>7.99</v>
      </c>
      <c r="G782" s="1">
        <v>0.0</v>
      </c>
    </row>
    <row r="783">
      <c r="A783" s="1" t="s">
        <v>35</v>
      </c>
      <c r="B783" s="1">
        <v>0.0</v>
      </c>
    </row>
    <row r="784">
      <c r="A784" s="1" t="s">
        <v>226</v>
      </c>
      <c r="B784" s="1">
        <v>0.0</v>
      </c>
    </row>
    <row r="785">
      <c r="A785" s="1" t="s">
        <v>159</v>
      </c>
      <c r="B785" s="36">
        <v>43148.0</v>
      </c>
      <c r="C785" s="1">
        <v>168.25</v>
      </c>
      <c r="E785" s="1" t="s">
        <v>358</v>
      </c>
      <c r="I785" s="1" t="s">
        <v>11</v>
      </c>
      <c r="J785" s="1" t="s">
        <v>69</v>
      </c>
    </row>
    <row r="786">
      <c r="A786" s="1" t="s">
        <v>336</v>
      </c>
      <c r="B786" s="36">
        <v>43176.0</v>
      </c>
      <c r="C786" s="1">
        <v>31.15</v>
      </c>
      <c r="D786" s="1" t="s">
        <v>359</v>
      </c>
      <c r="G786" s="1">
        <v>0.0</v>
      </c>
      <c r="I786">
        <f>1200.86-31.15</f>
        <v>1169.71</v>
      </c>
      <c r="J786">
        <f>484.96</f>
        <v>484.96</v>
      </c>
      <c r="K786">
        <f t="shared" ref="K786:K787" si="4">I786+J786</f>
        <v>1654.67</v>
      </c>
    </row>
    <row r="787">
      <c r="A787" s="1" t="s">
        <v>161</v>
      </c>
      <c r="B787" s="36">
        <v>43176.0</v>
      </c>
      <c r="C787" s="1">
        <v>29.99</v>
      </c>
      <c r="E787" s="1" t="s">
        <v>358</v>
      </c>
      <c r="I787">
        <f>856.48</f>
        <v>856.48</v>
      </c>
      <c r="J787">
        <f>353.15-182.94</f>
        <v>170.21</v>
      </c>
      <c r="K787">
        <f t="shared" si="4"/>
        <v>1026.69</v>
      </c>
    </row>
    <row r="788">
      <c r="A788" s="1" t="s">
        <v>239</v>
      </c>
      <c r="B788" s="36">
        <v>43162.0</v>
      </c>
      <c r="C788" s="1">
        <v>21.74</v>
      </c>
      <c r="D788" s="1">
        <v>1.12582947925692E14</v>
      </c>
      <c r="E788" s="1" t="s">
        <v>8</v>
      </c>
      <c r="F788" s="1">
        <v>0.0</v>
      </c>
      <c r="G788" s="1">
        <v>31.15</v>
      </c>
    </row>
    <row r="789">
      <c r="A789" s="1" t="s">
        <v>360</v>
      </c>
      <c r="B789" s="36">
        <v>43190.0</v>
      </c>
      <c r="C789" s="1">
        <v>546.0</v>
      </c>
      <c r="E789" s="1" t="s">
        <v>11</v>
      </c>
    </row>
    <row r="790">
      <c r="A790" s="1" t="s">
        <v>41</v>
      </c>
      <c r="C790">
        <f>SUM(C771:C789)-C788-C786-C782-C780</f>
        <v>1466.8</v>
      </c>
      <c r="I790">
        <f>1689.04-546-118.02-182</f>
        <v>843.02</v>
      </c>
      <c r="J790">
        <f>588.24-17.09-176-254-51</f>
        <v>90.15</v>
      </c>
      <c r="K790">
        <f>I790+J790</f>
        <v>933.17</v>
      </c>
    </row>
    <row r="793">
      <c r="A793" s="37">
        <v>43191.0</v>
      </c>
    </row>
    <row r="794">
      <c r="A794" s="1" t="s">
        <v>231</v>
      </c>
      <c r="B794" s="1">
        <v>0.0</v>
      </c>
    </row>
    <row r="795">
      <c r="A795" s="1" t="s">
        <v>255</v>
      </c>
      <c r="B795" s="36">
        <v>43190.0</v>
      </c>
      <c r="C795" s="1">
        <v>176.0</v>
      </c>
      <c r="D795" s="1" t="s">
        <v>361</v>
      </c>
      <c r="E795" s="1" t="s">
        <v>8</v>
      </c>
      <c r="F795" s="1">
        <v>0.0</v>
      </c>
      <c r="G795" s="1">
        <v>160.0</v>
      </c>
    </row>
    <row r="796">
      <c r="A796" s="1" t="s">
        <v>163</v>
      </c>
      <c r="B796" s="1">
        <v>0.0</v>
      </c>
    </row>
    <row r="797">
      <c r="A797" s="1" t="s">
        <v>342</v>
      </c>
      <c r="B797" s="36">
        <v>43190.0</v>
      </c>
      <c r="C797" s="1">
        <v>118.02</v>
      </c>
      <c r="D797" s="1">
        <v>2.08380176E8</v>
      </c>
      <c r="E797" s="1" t="s">
        <v>11</v>
      </c>
      <c r="F797" s="1">
        <v>0.0</v>
      </c>
      <c r="G797" s="1">
        <v>0.0</v>
      </c>
    </row>
    <row r="798">
      <c r="A798" s="1" t="s">
        <v>27</v>
      </c>
      <c r="B798" s="1">
        <v>0.0</v>
      </c>
      <c r="C798" s="1">
        <v>0.0</v>
      </c>
    </row>
    <row r="799">
      <c r="A799" s="1" t="s">
        <v>199</v>
      </c>
      <c r="B799" s="1">
        <v>0.0</v>
      </c>
      <c r="C799" s="1">
        <v>0.0</v>
      </c>
      <c r="I799" s="1" t="s">
        <v>11</v>
      </c>
      <c r="J799" s="1" t="s">
        <v>8</v>
      </c>
    </row>
    <row r="800">
      <c r="A800" s="1" t="s">
        <v>29</v>
      </c>
      <c r="B800" s="1">
        <v>0.0</v>
      </c>
      <c r="C800" s="1">
        <v>0.0</v>
      </c>
      <c r="I800">
        <f>1118.02-314-190-29.99</f>
        <v>584.03</v>
      </c>
      <c r="J800">
        <f>430-27</f>
        <v>403</v>
      </c>
    </row>
    <row r="801">
      <c r="A801" s="1" t="s">
        <v>84</v>
      </c>
      <c r="B801" s="36">
        <v>43204.0</v>
      </c>
      <c r="C801" s="1">
        <v>400.0</v>
      </c>
      <c r="E801" s="1" t="s">
        <v>11</v>
      </c>
    </row>
    <row r="802">
      <c r="A802" s="1" t="s">
        <v>106</v>
      </c>
      <c r="B802" s="36">
        <v>43204.0</v>
      </c>
      <c r="C802" s="1">
        <v>190.0</v>
      </c>
      <c r="D802" s="1" t="s">
        <v>31</v>
      </c>
      <c r="E802" s="1" t="s">
        <v>11</v>
      </c>
      <c r="I802" s="1" t="s">
        <v>362</v>
      </c>
      <c r="J802" s="1" t="s">
        <v>363</v>
      </c>
    </row>
    <row r="803">
      <c r="A803" s="1" t="s">
        <v>364</v>
      </c>
      <c r="B803" s="36">
        <v>42825.0</v>
      </c>
      <c r="C803" s="1">
        <v>17.09</v>
      </c>
      <c r="E803" s="1" t="s">
        <v>8</v>
      </c>
      <c r="F803" s="1">
        <v>0.0</v>
      </c>
      <c r="G803" s="1">
        <v>0.0</v>
      </c>
      <c r="J803" s="1" t="s">
        <v>365</v>
      </c>
    </row>
    <row r="804">
      <c r="A804" s="1" t="s">
        <v>19</v>
      </c>
      <c r="B804" s="1">
        <v>0.0</v>
      </c>
      <c r="C804" s="1">
        <v>0.0</v>
      </c>
    </row>
    <row r="805">
      <c r="A805" s="1" t="s">
        <v>258</v>
      </c>
      <c r="B805" s="36">
        <v>43210.0</v>
      </c>
      <c r="C805" s="1">
        <v>254.18</v>
      </c>
      <c r="E805" s="1" t="s">
        <v>33</v>
      </c>
    </row>
    <row r="806">
      <c r="A806" s="1" t="s">
        <v>286</v>
      </c>
      <c r="B806" s="36">
        <v>43190.0</v>
      </c>
      <c r="C806" s="1">
        <v>254.0</v>
      </c>
      <c r="D806" s="1" t="s">
        <v>366</v>
      </c>
      <c r="E806" s="1" t="s">
        <v>8</v>
      </c>
      <c r="F806" s="1">
        <v>0.0</v>
      </c>
      <c r="G806" s="1">
        <v>0.0</v>
      </c>
      <c r="H806" s="36">
        <v>43205.0</v>
      </c>
    </row>
    <row r="807">
      <c r="A807" s="1" t="s">
        <v>35</v>
      </c>
      <c r="B807" s="1">
        <v>0.0</v>
      </c>
      <c r="C807" s="1">
        <v>0.0</v>
      </c>
    </row>
    <row r="808">
      <c r="A808" s="1" t="s">
        <v>226</v>
      </c>
      <c r="B808" s="1">
        <v>0.0</v>
      </c>
      <c r="C808" s="1">
        <v>0.0</v>
      </c>
    </row>
    <row r="809">
      <c r="A809" s="1" t="s">
        <v>159</v>
      </c>
      <c r="B809" s="36">
        <v>43204.0</v>
      </c>
      <c r="C809" s="1">
        <v>168.18</v>
      </c>
      <c r="E809" s="1" t="s">
        <v>188</v>
      </c>
    </row>
    <row r="810">
      <c r="A810" s="1" t="s">
        <v>336</v>
      </c>
      <c r="B810" s="36">
        <v>43204.0</v>
      </c>
      <c r="C810" s="1">
        <v>29.99</v>
      </c>
      <c r="D810" s="1" t="s">
        <v>367</v>
      </c>
      <c r="E810" s="1" t="s">
        <v>11</v>
      </c>
    </row>
    <row r="811">
      <c r="A811" s="1" t="s">
        <v>161</v>
      </c>
      <c r="B811" s="36">
        <v>43204.0</v>
      </c>
      <c r="C811" s="1">
        <v>29.99</v>
      </c>
    </row>
    <row r="812">
      <c r="A812" s="1" t="s">
        <v>239</v>
      </c>
      <c r="B812" s="36">
        <v>43204.0</v>
      </c>
      <c r="C812" s="1">
        <v>27.0</v>
      </c>
      <c r="D812" s="1">
        <v>1.12619596340762E14</v>
      </c>
      <c r="E812" s="1" t="s">
        <v>8</v>
      </c>
    </row>
    <row r="813">
      <c r="A813" s="1" t="s">
        <v>360</v>
      </c>
      <c r="B813" s="1"/>
      <c r="C813" s="1">
        <v>546.0</v>
      </c>
    </row>
    <row r="814">
      <c r="A814" s="1" t="s">
        <v>41</v>
      </c>
      <c r="C814" s="67">
        <f>sum(C794:C813)</f>
        <v>2210.45</v>
      </c>
    </row>
    <row r="815">
      <c r="C815" s="67">
        <f>C814-240-250</f>
        <v>1720.45</v>
      </c>
    </row>
    <row r="817">
      <c r="A817" s="37">
        <v>43221.0</v>
      </c>
    </row>
    <row r="818">
      <c r="A818" s="1" t="s">
        <v>231</v>
      </c>
      <c r="B818" s="1">
        <v>0.0</v>
      </c>
      <c r="C818" s="1">
        <v>0.0</v>
      </c>
      <c r="J818" s="1" t="s">
        <v>11</v>
      </c>
      <c r="K818" s="1" t="s">
        <v>8</v>
      </c>
    </row>
    <row r="819">
      <c r="A819" s="1" t="s">
        <v>255</v>
      </c>
      <c r="B819" s="36">
        <v>43217.0</v>
      </c>
      <c r="C819" s="1">
        <v>160.0</v>
      </c>
      <c r="D819" s="1" t="s">
        <v>368</v>
      </c>
      <c r="E819" s="1" t="s">
        <v>8</v>
      </c>
      <c r="F819" s="1">
        <v>0.0</v>
      </c>
      <c r="G819" s="1">
        <v>0.0</v>
      </c>
      <c r="J819">
        <f>569-50</f>
        <v>519</v>
      </c>
      <c r="K819">
        <f>147</f>
        <v>147</v>
      </c>
      <c r="L819">
        <f>J819+K819</f>
        <v>666</v>
      </c>
    </row>
    <row r="820">
      <c r="A820" s="1" t="s">
        <v>163</v>
      </c>
      <c r="B820" s="1">
        <v>0.0</v>
      </c>
      <c r="C820" s="1">
        <v>0.0</v>
      </c>
    </row>
    <row r="821">
      <c r="A821" s="1" t="s">
        <v>342</v>
      </c>
      <c r="B821" s="36">
        <v>43217.0</v>
      </c>
      <c r="C821" s="1">
        <v>97.0</v>
      </c>
      <c r="D821" s="1">
        <v>2.09433368E8</v>
      </c>
      <c r="E821" s="1" t="s">
        <v>8</v>
      </c>
    </row>
    <row r="822">
      <c r="A822" s="1" t="s">
        <v>27</v>
      </c>
      <c r="B822" s="1">
        <v>0.0</v>
      </c>
      <c r="C822" s="1">
        <v>0.0</v>
      </c>
    </row>
    <row r="823">
      <c r="A823" s="1" t="s">
        <v>199</v>
      </c>
      <c r="B823" s="1">
        <v>0.0</v>
      </c>
      <c r="C823" s="1">
        <v>0.0</v>
      </c>
    </row>
    <row r="824">
      <c r="A824" s="1" t="s">
        <v>29</v>
      </c>
      <c r="B824" s="1">
        <v>0.0</v>
      </c>
      <c r="C824" s="1">
        <v>0.0</v>
      </c>
    </row>
    <row r="825">
      <c r="A825" s="1" t="s">
        <v>84</v>
      </c>
      <c r="B825" s="36">
        <v>43232.0</v>
      </c>
      <c r="C825" s="1">
        <v>400.0</v>
      </c>
      <c r="H825" s="1" t="s">
        <v>48</v>
      </c>
      <c r="I825" s="1">
        <v>640.0</v>
      </c>
      <c r="J825">
        <f>sum(I825:I836)</f>
        <v>1690</v>
      </c>
      <c r="K825">
        <f>(((23*40)+(34.5*10))*4)-700</f>
        <v>4360</v>
      </c>
      <c r="L825">
        <f>K825-J825</f>
        <v>2670</v>
      </c>
    </row>
    <row r="826">
      <c r="A826" s="1" t="s">
        <v>106</v>
      </c>
      <c r="B826" s="36">
        <v>43232.0</v>
      </c>
      <c r="C826" s="1">
        <v>190.0</v>
      </c>
      <c r="H826" s="1" t="s">
        <v>369</v>
      </c>
      <c r="I826" s="1">
        <v>90.0</v>
      </c>
      <c r="L826">
        <f>L825*12</f>
        <v>32040</v>
      </c>
      <c r="M826">
        <f>L826*2</f>
        <v>64080</v>
      </c>
    </row>
    <row r="827">
      <c r="A827" s="1" t="s">
        <v>364</v>
      </c>
      <c r="B827" s="36">
        <v>43232.0</v>
      </c>
      <c r="C827" s="1">
        <v>84.84</v>
      </c>
      <c r="E827" s="1" t="s">
        <v>8</v>
      </c>
      <c r="F827" s="1">
        <v>0.0</v>
      </c>
      <c r="G827" s="1">
        <v>82.76</v>
      </c>
      <c r="H827" s="1" t="s">
        <v>293</v>
      </c>
      <c r="I827" s="1">
        <v>30.0</v>
      </c>
    </row>
    <row r="828">
      <c r="A828" s="1" t="s">
        <v>19</v>
      </c>
      <c r="B828" s="36">
        <v>43232.0</v>
      </c>
      <c r="C828" s="1">
        <v>11.0</v>
      </c>
      <c r="D828" s="1">
        <v>1.586500343E9</v>
      </c>
      <c r="E828" s="1" t="s">
        <v>8</v>
      </c>
      <c r="F828" s="1">
        <v>0.0</v>
      </c>
      <c r="G828" s="1">
        <v>0.0</v>
      </c>
      <c r="H828" s="1" t="s">
        <v>370</v>
      </c>
      <c r="I828" s="1">
        <v>80.0</v>
      </c>
    </row>
    <row r="829">
      <c r="A829" s="1" t="s">
        <v>258</v>
      </c>
      <c r="B829" s="36">
        <v>43243.0</v>
      </c>
      <c r="C829" s="1">
        <v>259.0</v>
      </c>
      <c r="E829" s="1" t="s">
        <v>371</v>
      </c>
      <c r="H829" s="1" t="s">
        <v>268</v>
      </c>
      <c r="I829" s="1">
        <v>100.0</v>
      </c>
    </row>
    <row r="830">
      <c r="A830" s="1" t="s">
        <v>286</v>
      </c>
      <c r="B830" s="36">
        <v>43217.0</v>
      </c>
      <c r="C830" s="1">
        <v>254.0</v>
      </c>
      <c r="D830" s="1" t="s">
        <v>372</v>
      </c>
      <c r="E830" s="1" t="s">
        <v>8</v>
      </c>
      <c r="G830" s="1">
        <v>0.0</v>
      </c>
      <c r="H830" s="1" t="s">
        <v>264</v>
      </c>
      <c r="I830" s="1">
        <v>400.0</v>
      </c>
    </row>
    <row r="831">
      <c r="A831" s="1" t="s">
        <v>35</v>
      </c>
      <c r="B831" s="1">
        <v>0.0</v>
      </c>
      <c r="C831" s="1">
        <v>0.0</v>
      </c>
      <c r="D831" s="1">
        <v>0.0</v>
      </c>
      <c r="H831" s="1" t="s">
        <v>84</v>
      </c>
      <c r="I831" s="1">
        <v>250.0</v>
      </c>
      <c r="J831" s="1" t="s">
        <v>11</v>
      </c>
      <c r="K831" s="1" t="s">
        <v>8</v>
      </c>
      <c r="L831" s="1" t="s">
        <v>41</v>
      </c>
    </row>
    <row r="832">
      <c r="A832" s="1" t="s">
        <v>226</v>
      </c>
      <c r="B832" s="1">
        <v>0.0</v>
      </c>
      <c r="C832" s="1">
        <v>0.0</v>
      </c>
      <c r="D832" s="1">
        <v>0.0</v>
      </c>
      <c r="H832" s="1" t="s">
        <v>373</v>
      </c>
      <c r="I832" s="1">
        <v>100.0</v>
      </c>
      <c r="J832">
        <f>720.76-190-29.99-40</f>
        <v>460.77</v>
      </c>
      <c r="K832">
        <f>391.87-84.84-11</f>
        <v>296.03</v>
      </c>
      <c r="L832">
        <f t="shared" ref="L832:L833" si="5">J832+K832</f>
        <v>756.8</v>
      </c>
    </row>
    <row r="833">
      <c r="A833" s="1" t="s">
        <v>159</v>
      </c>
      <c r="B833" s="36">
        <v>43232.0</v>
      </c>
      <c r="C833" s="1">
        <v>167.52</v>
      </c>
      <c r="E833" s="1" t="s">
        <v>207</v>
      </c>
      <c r="J833" s="1">
        <v>462.0</v>
      </c>
      <c r="K833" s="1">
        <v>49.0</v>
      </c>
      <c r="L833">
        <f t="shared" si="5"/>
        <v>511</v>
      </c>
    </row>
    <row r="834">
      <c r="A834" s="1" t="s">
        <v>336</v>
      </c>
      <c r="B834" s="36">
        <v>43232.0</v>
      </c>
      <c r="C834" s="1">
        <v>29.99</v>
      </c>
      <c r="E834" s="1" t="s">
        <v>11</v>
      </c>
      <c r="F834" s="1">
        <v>0.0</v>
      </c>
      <c r="G834" s="1">
        <v>0.0</v>
      </c>
    </row>
    <row r="835">
      <c r="A835" s="1" t="s">
        <v>161</v>
      </c>
      <c r="B835" s="36">
        <v>43232.0</v>
      </c>
      <c r="C835" s="1">
        <v>29.99</v>
      </c>
      <c r="E835" s="1" t="s">
        <v>374</v>
      </c>
      <c r="F835" s="1">
        <v>0.0</v>
      </c>
      <c r="G835" s="1">
        <v>0.0</v>
      </c>
      <c r="J835" s="1" t="s">
        <v>48</v>
      </c>
      <c r="K835" s="1">
        <v>549.0</v>
      </c>
    </row>
    <row r="836">
      <c r="A836" s="1" t="s">
        <v>239</v>
      </c>
      <c r="B836" s="36">
        <v>43232.0</v>
      </c>
      <c r="C836" s="1">
        <v>100.0</v>
      </c>
      <c r="D836" s="1">
        <v>1.1264343151299E14</v>
      </c>
      <c r="E836" s="1" t="s">
        <v>8</v>
      </c>
      <c r="G836" s="1">
        <v>278.46</v>
      </c>
      <c r="J836" s="1" t="s">
        <v>369</v>
      </c>
      <c r="K836" s="1">
        <v>80.0</v>
      </c>
    </row>
    <row r="837">
      <c r="A837" s="1" t="s">
        <v>375</v>
      </c>
      <c r="C837" s="1">
        <v>427.88</v>
      </c>
      <c r="J837" s="1" t="s">
        <v>293</v>
      </c>
      <c r="K837" s="1">
        <v>33.0</v>
      </c>
    </row>
    <row r="838">
      <c r="A838" s="1" t="s">
        <v>360</v>
      </c>
      <c r="C838" s="1">
        <v>546.0</v>
      </c>
      <c r="J838" s="1" t="s">
        <v>370</v>
      </c>
      <c r="K838" s="1">
        <v>70.0</v>
      </c>
    </row>
    <row r="839">
      <c r="A839" s="1" t="s">
        <v>41</v>
      </c>
      <c r="C839">
        <f>sum(C818:C838)</f>
        <v>2757.22</v>
      </c>
      <c r="J839" s="1" t="s">
        <v>268</v>
      </c>
      <c r="K839" s="1">
        <v>98.0</v>
      </c>
    </row>
    <row r="840">
      <c r="J840" s="1" t="s">
        <v>264</v>
      </c>
      <c r="K840" s="1">
        <v>450.0</v>
      </c>
    </row>
    <row r="841">
      <c r="J841" s="1" t="s">
        <v>84</v>
      </c>
      <c r="K841" s="1">
        <v>300.0</v>
      </c>
    </row>
    <row r="842">
      <c r="J842" s="1" t="s">
        <v>373</v>
      </c>
      <c r="K842" s="1">
        <v>72.0</v>
      </c>
    </row>
    <row r="843">
      <c r="A843" s="37">
        <v>43252.0</v>
      </c>
      <c r="J843" s="1" t="s">
        <v>376</v>
      </c>
      <c r="K843" s="1">
        <v>500.0</v>
      </c>
    </row>
    <row r="844">
      <c r="A844" s="1" t="s">
        <v>231</v>
      </c>
      <c r="B844" s="1">
        <v>0.0</v>
      </c>
      <c r="C844" s="1">
        <v>0.0</v>
      </c>
      <c r="D844" s="1">
        <v>0.0</v>
      </c>
      <c r="J844" s="1" t="s">
        <v>41</v>
      </c>
      <c r="K844">
        <f>sum(K835:K843)</f>
        <v>2152</v>
      </c>
      <c r="L844">
        <f>1750*2-K844</f>
        <v>1348</v>
      </c>
    </row>
    <row r="845">
      <c r="A845" s="1" t="s">
        <v>255</v>
      </c>
      <c r="B845" s="36">
        <v>43243.0</v>
      </c>
      <c r="C845" s="1">
        <v>167.52</v>
      </c>
      <c r="D845" s="1" t="s">
        <v>377</v>
      </c>
      <c r="E845" s="1" t="s">
        <v>11</v>
      </c>
      <c r="F845" s="1">
        <v>0.0</v>
      </c>
      <c r="G845" s="1">
        <v>0.0</v>
      </c>
    </row>
    <row r="846">
      <c r="A846" s="1" t="s">
        <v>163</v>
      </c>
      <c r="B846" s="1">
        <v>0.0</v>
      </c>
    </row>
    <row r="847">
      <c r="A847" s="1" t="s">
        <v>342</v>
      </c>
      <c r="B847" s="36">
        <v>43246.0</v>
      </c>
      <c r="C847" s="1">
        <v>89.8</v>
      </c>
      <c r="D847" s="1">
        <v>2.10533424E8</v>
      </c>
      <c r="E847" s="1" t="s">
        <v>11</v>
      </c>
      <c r="I847" s="1" t="s">
        <v>11</v>
      </c>
      <c r="J847" s="1" t="s">
        <v>8</v>
      </c>
    </row>
    <row r="848">
      <c r="A848" s="1" t="s">
        <v>27</v>
      </c>
      <c r="B848" s="1">
        <v>0.0</v>
      </c>
      <c r="I848">
        <f>703.54-167.52-261.11</f>
        <v>274.91</v>
      </c>
      <c r="J848">
        <f>46.21</f>
        <v>46.21</v>
      </c>
      <c r="K848">
        <f t="shared" ref="K848:K849" si="6">I848+J848</f>
        <v>321.12</v>
      </c>
    </row>
    <row r="849">
      <c r="A849" s="1" t="s">
        <v>199</v>
      </c>
      <c r="B849" s="1">
        <v>0.0</v>
      </c>
      <c r="I849">
        <f>609-549+55</f>
        <v>115</v>
      </c>
      <c r="J849">
        <f>536.27-427-55</f>
        <v>54.27</v>
      </c>
      <c r="K849">
        <f t="shared" si="6"/>
        <v>169.27</v>
      </c>
    </row>
    <row r="850">
      <c r="A850" s="1" t="s">
        <v>29</v>
      </c>
      <c r="B850" s="1">
        <v>0.0</v>
      </c>
      <c r="I850">
        <f>600-190-400</f>
        <v>10</v>
      </c>
      <c r="J850" s="1">
        <f>362-5.49-240-27</f>
        <v>89.51</v>
      </c>
    </row>
    <row r="851">
      <c r="A851" s="1" t="s">
        <v>84</v>
      </c>
      <c r="B851" s="36">
        <v>43259.0</v>
      </c>
      <c r="C851" s="1">
        <v>400.0</v>
      </c>
    </row>
    <row r="852">
      <c r="A852" s="1" t="s">
        <v>106</v>
      </c>
      <c r="B852" s="36">
        <v>43259.0</v>
      </c>
      <c r="C852" s="1">
        <v>190.0</v>
      </c>
      <c r="D852" s="1" t="s">
        <v>31</v>
      </c>
      <c r="I852">
        <f>40.44-29.99</f>
        <v>10.45</v>
      </c>
    </row>
    <row r="853">
      <c r="A853" s="1" t="s">
        <v>364</v>
      </c>
      <c r="B853" s="36">
        <v>43243.0</v>
      </c>
      <c r="C853" s="1">
        <v>261.11</v>
      </c>
      <c r="D853" s="1">
        <v>2730.0</v>
      </c>
      <c r="E853" s="1" t="s">
        <v>11</v>
      </c>
      <c r="F853" s="1">
        <v>0.0</v>
      </c>
      <c r="G853" s="1">
        <v>0.0</v>
      </c>
    </row>
    <row r="854">
      <c r="A854" s="1" t="s">
        <v>19</v>
      </c>
      <c r="B854" s="36">
        <v>43259.0</v>
      </c>
      <c r="C854" s="1">
        <v>5.49</v>
      </c>
      <c r="D854" s="1">
        <v>1.606675804E9</v>
      </c>
      <c r="E854" s="1" t="s">
        <v>69</v>
      </c>
      <c r="F854" s="1">
        <v>0.0</v>
      </c>
      <c r="G854" s="1">
        <v>0.0</v>
      </c>
    </row>
    <row r="855">
      <c r="A855" s="1" t="s">
        <v>258</v>
      </c>
      <c r="B855" s="36">
        <v>43270.0</v>
      </c>
      <c r="C855" s="1">
        <v>106.86</v>
      </c>
      <c r="E855" s="1" t="s">
        <v>33</v>
      </c>
    </row>
    <row r="856">
      <c r="A856" s="1" t="s">
        <v>286</v>
      </c>
      <c r="B856" s="36">
        <v>43259.0</v>
      </c>
      <c r="C856" s="1">
        <v>240.67</v>
      </c>
      <c r="D856" s="1" t="s">
        <v>378</v>
      </c>
      <c r="G856" s="1">
        <v>106.86</v>
      </c>
    </row>
    <row r="857">
      <c r="A857" s="1" t="s">
        <v>35</v>
      </c>
      <c r="B857" s="1">
        <v>0.0</v>
      </c>
      <c r="C857" s="1">
        <v>0.0</v>
      </c>
      <c r="D857" s="1">
        <v>0.0</v>
      </c>
      <c r="E857" s="1">
        <v>0.0</v>
      </c>
    </row>
    <row r="858">
      <c r="A858" s="1" t="s">
        <v>226</v>
      </c>
      <c r="B858" s="1">
        <v>0.0</v>
      </c>
      <c r="C858" s="1">
        <v>0.0</v>
      </c>
      <c r="D858" s="1">
        <v>0.0</v>
      </c>
    </row>
    <row r="859">
      <c r="A859" s="1" t="s">
        <v>159</v>
      </c>
      <c r="B859" s="36">
        <v>43272.0</v>
      </c>
      <c r="C859" s="1">
        <v>167.52</v>
      </c>
      <c r="D859" s="1">
        <v>1.98098099E9</v>
      </c>
      <c r="E859" s="1" t="s">
        <v>379</v>
      </c>
      <c r="F859" s="1">
        <v>0.0</v>
      </c>
      <c r="G859" s="1">
        <v>0.0</v>
      </c>
    </row>
    <row r="860">
      <c r="A860" s="1" t="s">
        <v>380</v>
      </c>
      <c r="B860" s="36">
        <v>43272.0</v>
      </c>
      <c r="C860" s="1">
        <v>29.99</v>
      </c>
      <c r="D860" s="1"/>
      <c r="E860" s="1" t="s">
        <v>381</v>
      </c>
      <c r="F860" s="1"/>
      <c r="G860" s="1"/>
    </row>
    <row r="861">
      <c r="A861" s="1" t="s">
        <v>336</v>
      </c>
      <c r="B861" s="36">
        <v>43272.0</v>
      </c>
      <c r="C861" s="1">
        <v>29.99</v>
      </c>
      <c r="D861" s="1" t="s">
        <v>382</v>
      </c>
      <c r="E861" s="68" t="s">
        <v>11</v>
      </c>
      <c r="F861" s="1">
        <v>0.0</v>
      </c>
      <c r="G861" s="1">
        <v>29.99</v>
      </c>
    </row>
    <row r="862">
      <c r="A862" s="1" t="s">
        <v>239</v>
      </c>
      <c r="B862" s="36">
        <v>43259.0</v>
      </c>
      <c r="C862" s="1">
        <v>27.0</v>
      </c>
      <c r="D862" s="1">
        <v>1.3266677452567E14</v>
      </c>
      <c r="E862" s="1" t="s">
        <v>69</v>
      </c>
      <c r="F862" s="1">
        <v>6.99</v>
      </c>
      <c r="G862">
        <f>285.45-27</f>
        <v>258.45</v>
      </c>
    </row>
    <row r="863">
      <c r="A863" s="1" t="s">
        <v>375</v>
      </c>
      <c r="B863" s="36">
        <v>43274.0</v>
      </c>
      <c r="C863" s="1">
        <v>421.46</v>
      </c>
    </row>
    <row r="864">
      <c r="A864" s="1" t="s">
        <v>360</v>
      </c>
      <c r="B864" s="36">
        <v>43274.0</v>
      </c>
      <c r="C864" s="1">
        <v>546.0</v>
      </c>
    </row>
    <row r="865">
      <c r="A865" s="1" t="s">
        <v>41</v>
      </c>
    </row>
    <row r="868">
      <c r="A868" s="37">
        <v>43282.0</v>
      </c>
    </row>
    <row r="869">
      <c r="A869" s="1" t="s">
        <v>231</v>
      </c>
      <c r="B869" s="1" t="s">
        <v>383</v>
      </c>
      <c r="C869" s="1">
        <f>260+272.6</f>
        <v>532.6</v>
      </c>
      <c r="D869" s="1">
        <v>6446.0</v>
      </c>
      <c r="E869" s="1" t="s">
        <v>198</v>
      </c>
      <c r="F869" s="1">
        <v>0.0</v>
      </c>
      <c r="G869" s="1" t="s">
        <v>384</v>
      </c>
    </row>
    <row r="870">
      <c r="A870" s="1" t="s">
        <v>255</v>
      </c>
      <c r="B870" s="36">
        <v>43274.0</v>
      </c>
      <c r="C870" s="1">
        <v>167.52</v>
      </c>
      <c r="D870" s="1" t="s">
        <v>385</v>
      </c>
      <c r="E870" s="1" t="s">
        <v>8</v>
      </c>
      <c r="F870" s="1">
        <v>0.0</v>
      </c>
      <c r="G870" s="1">
        <v>166.99</v>
      </c>
    </row>
    <row r="871">
      <c r="A871" s="1" t="s">
        <v>163</v>
      </c>
      <c r="B871" s="36">
        <v>43326.0</v>
      </c>
      <c r="C871" s="1">
        <v>28.49</v>
      </c>
      <c r="D871" s="69">
        <v>2.14089104E8</v>
      </c>
      <c r="E871" s="1" t="s">
        <v>11</v>
      </c>
      <c r="G871" s="1">
        <v>0.0</v>
      </c>
    </row>
    <row r="872">
      <c r="A872" s="1" t="s">
        <v>342</v>
      </c>
      <c r="B872" s="36">
        <v>43288.0</v>
      </c>
      <c r="C872" s="1">
        <v>105.82</v>
      </c>
      <c r="D872" s="1">
        <v>2.12360097E8</v>
      </c>
      <c r="E872" s="1" t="s">
        <v>11</v>
      </c>
      <c r="J872" s="1" t="s">
        <v>11</v>
      </c>
      <c r="K872" s="1" t="s">
        <v>8</v>
      </c>
    </row>
    <row r="873">
      <c r="A873" s="1" t="s">
        <v>27</v>
      </c>
      <c r="B873" s="1">
        <v>0.0</v>
      </c>
      <c r="C873" s="1">
        <v>0.0</v>
      </c>
      <c r="G873" s="1">
        <v>0.0</v>
      </c>
      <c r="J873">
        <f>697.92-546-125</f>
        <v>26.92</v>
      </c>
      <c r="K873">
        <f>1178.89-421.46-167.52-119.21-260</f>
        <v>210.7</v>
      </c>
      <c r="L873">
        <f t="shared" ref="L873:L874" si="7">J873+K873</f>
        <v>237.62</v>
      </c>
    </row>
    <row r="874">
      <c r="A874" s="1" t="s">
        <v>199</v>
      </c>
      <c r="B874" s="1">
        <v>0.0</v>
      </c>
      <c r="C874" s="1">
        <v>0.0</v>
      </c>
      <c r="G874" s="1">
        <v>0.0</v>
      </c>
      <c r="J874" s="1">
        <f>600-105.82-190-272.6</f>
        <v>31.58</v>
      </c>
      <c r="K874" s="1">
        <f>821-640-106.86</f>
        <v>74.14</v>
      </c>
      <c r="L874">
        <f t="shared" si="7"/>
        <v>105.72</v>
      </c>
      <c r="M874">
        <f>L874-L875</f>
        <v>-1206.14</v>
      </c>
    </row>
    <row r="875">
      <c r="A875" s="1" t="s">
        <v>29</v>
      </c>
      <c r="B875" s="1">
        <v>0.0</v>
      </c>
      <c r="C875" s="1">
        <v>0.0</v>
      </c>
      <c r="J875" s="1" t="s">
        <v>84</v>
      </c>
      <c r="K875" s="1">
        <v>400.0</v>
      </c>
      <c r="L875">
        <f>sum(K875:K883)</f>
        <v>1311.86</v>
      </c>
    </row>
    <row r="876">
      <c r="A876" s="1" t="s">
        <v>84</v>
      </c>
      <c r="C876" s="1">
        <v>400.0</v>
      </c>
      <c r="D876" s="1" t="s">
        <v>8</v>
      </c>
      <c r="J876" s="1" t="s">
        <v>386</v>
      </c>
      <c r="K876" s="1">
        <v>190.0</v>
      </c>
    </row>
    <row r="877">
      <c r="A877" s="1" t="s">
        <v>106</v>
      </c>
      <c r="B877" s="36">
        <v>43288.0</v>
      </c>
      <c r="C877" s="1">
        <v>190.0</v>
      </c>
      <c r="D877" s="1" t="s">
        <v>31</v>
      </c>
      <c r="J877" s="1" t="s">
        <v>387</v>
      </c>
      <c r="K877">
        <f>150+35+35+20</f>
        <v>240</v>
      </c>
    </row>
    <row r="878">
      <c r="A878" s="1" t="s">
        <v>364</v>
      </c>
      <c r="B878" s="36">
        <v>43274.0</v>
      </c>
      <c r="C878" s="1">
        <v>119.21</v>
      </c>
      <c r="E878" s="1" t="s">
        <v>8</v>
      </c>
      <c r="F878" s="1">
        <v>0.0</v>
      </c>
      <c r="G878" s="1">
        <v>0.0</v>
      </c>
      <c r="J878" s="1" t="s">
        <v>9</v>
      </c>
      <c r="K878" s="1">
        <v>100.0</v>
      </c>
      <c r="L878">
        <f>K875+K877</f>
        <v>640</v>
      </c>
    </row>
    <row r="879">
      <c r="A879" s="1" t="s">
        <v>19</v>
      </c>
      <c r="B879" s="1">
        <v>0.0</v>
      </c>
      <c r="C879" s="1">
        <v>0.0</v>
      </c>
      <c r="G879" s="1">
        <v>0.0</v>
      </c>
      <c r="J879" s="1" t="s">
        <v>21</v>
      </c>
      <c r="K879" s="1">
        <v>275.0</v>
      </c>
    </row>
    <row r="880">
      <c r="A880" s="1" t="s">
        <v>258</v>
      </c>
      <c r="B880" s="1">
        <v>0.0</v>
      </c>
      <c r="C880" s="1">
        <v>0.0</v>
      </c>
      <c r="J880" s="1" t="s">
        <v>388</v>
      </c>
      <c r="K880" s="1">
        <v>106.86</v>
      </c>
    </row>
    <row r="881">
      <c r="A881" s="1" t="s">
        <v>286</v>
      </c>
      <c r="B881" s="36">
        <v>43288.0</v>
      </c>
      <c r="C881" s="1">
        <v>106.86</v>
      </c>
      <c r="D881" s="1" t="s">
        <v>389</v>
      </c>
      <c r="E881" s="1" t="s">
        <v>8</v>
      </c>
      <c r="F881" s="1">
        <v>0.0</v>
      </c>
      <c r="G881" s="1">
        <v>0.0</v>
      </c>
    </row>
    <row r="882">
      <c r="A882" s="1" t="s">
        <v>35</v>
      </c>
      <c r="B882" s="1">
        <v>0.0</v>
      </c>
      <c r="C882" s="1">
        <v>0.0</v>
      </c>
    </row>
    <row r="883">
      <c r="A883" s="1" t="s">
        <v>226</v>
      </c>
      <c r="B883" s="1">
        <v>0.0</v>
      </c>
      <c r="C883" s="1">
        <v>0.0</v>
      </c>
      <c r="G883" s="1">
        <v>0.0</v>
      </c>
    </row>
    <row r="884">
      <c r="A884" s="1" t="s">
        <v>159</v>
      </c>
      <c r="B884" s="36">
        <v>43302.0</v>
      </c>
      <c r="C884" s="1">
        <v>166.99</v>
      </c>
      <c r="E884" s="1" t="s">
        <v>390</v>
      </c>
      <c r="F884" s="1">
        <v>0.0</v>
      </c>
      <c r="G884" s="1">
        <v>0.0</v>
      </c>
      <c r="J884" s="1" t="s">
        <v>11</v>
      </c>
      <c r="K884" s="1" t="s">
        <v>8</v>
      </c>
      <c r="L884" s="1" t="s">
        <v>41</v>
      </c>
    </row>
    <row r="885">
      <c r="A885" s="1" t="s">
        <v>380</v>
      </c>
      <c r="B885" s="36">
        <v>43302.0</v>
      </c>
      <c r="C885" s="1">
        <v>29.99</v>
      </c>
      <c r="E885" s="1" t="s">
        <v>391</v>
      </c>
      <c r="F885" s="1">
        <v>0.0</v>
      </c>
      <c r="G885" s="1">
        <v>0.0</v>
      </c>
      <c r="J885" s="1">
        <f>925</f>
        <v>925</v>
      </c>
      <c r="K885">
        <f>99</f>
        <v>99</v>
      </c>
      <c r="L885">
        <f>J885+K885</f>
        <v>1024</v>
      </c>
    </row>
    <row r="886">
      <c r="A886" s="1" t="s">
        <v>336</v>
      </c>
      <c r="B886" s="36">
        <v>43302.0</v>
      </c>
      <c r="C886" s="1">
        <v>29.99</v>
      </c>
      <c r="D886" s="36">
        <v>43302.0</v>
      </c>
      <c r="E886" s="1" t="s">
        <v>11</v>
      </c>
      <c r="G886" s="1">
        <v>29.99</v>
      </c>
    </row>
    <row r="887">
      <c r="A887" s="1" t="s">
        <v>239</v>
      </c>
      <c r="B887" s="1" t="s">
        <v>392</v>
      </c>
      <c r="C887" s="1">
        <f>125+138.39</f>
        <v>263.39</v>
      </c>
      <c r="D887" s="70">
        <v>1.32680125423621E29</v>
      </c>
      <c r="E887" s="1" t="s">
        <v>222</v>
      </c>
      <c r="F887" s="1">
        <v>0.0</v>
      </c>
      <c r="G887" s="1" t="s">
        <v>393</v>
      </c>
      <c r="J887" s="1" t="s">
        <v>11</v>
      </c>
      <c r="K887" s="1" t="s">
        <v>69</v>
      </c>
      <c r="L887" s="1" t="s">
        <v>41</v>
      </c>
    </row>
    <row r="888">
      <c r="A888" s="1" t="s">
        <v>375</v>
      </c>
      <c r="C888" s="1">
        <v>308.97</v>
      </c>
      <c r="J888">
        <f>1425.73-29.99-750-589-86</f>
        <v>-29.26</v>
      </c>
      <c r="K888">
        <f>1440.27-256.48-138.39-108.74-308.97</f>
        <v>627.69</v>
      </c>
      <c r="L888">
        <f>J888+K888</f>
        <v>598.43</v>
      </c>
    </row>
    <row r="889">
      <c r="A889" s="1" t="s">
        <v>360</v>
      </c>
      <c r="C889" s="1">
        <v>549.0</v>
      </c>
    </row>
    <row r="890">
      <c r="A890" s="1" t="s">
        <v>41</v>
      </c>
      <c r="C890">
        <f>sum(C869:C889)</f>
        <v>2998.83</v>
      </c>
    </row>
    <row r="892">
      <c r="B892" s="1" t="s">
        <v>394</v>
      </c>
      <c r="C892" s="71"/>
    </row>
    <row r="893">
      <c r="A893" s="37">
        <v>43313.0</v>
      </c>
    </row>
    <row r="894">
      <c r="A894" s="72" t="s">
        <v>231</v>
      </c>
      <c r="B894" s="73" t="s">
        <v>395</v>
      </c>
      <c r="C894" s="1">
        <f>256.48+559</f>
        <v>815.48</v>
      </c>
      <c r="E894" s="1" t="s">
        <v>396</v>
      </c>
      <c r="F894" s="1">
        <v>0.0</v>
      </c>
      <c r="G894" s="1">
        <v>0.0</v>
      </c>
    </row>
    <row r="895">
      <c r="A895" s="74" t="s">
        <v>255</v>
      </c>
      <c r="B895" s="73">
        <v>0.0</v>
      </c>
      <c r="C895" s="1">
        <v>0.0</v>
      </c>
      <c r="D895" s="1">
        <v>0.0</v>
      </c>
      <c r="E895" s="1">
        <v>0.0</v>
      </c>
      <c r="F895" s="1">
        <v>0.0</v>
      </c>
      <c r="G895" s="1">
        <v>0.0</v>
      </c>
    </row>
    <row r="896">
      <c r="A896" s="72" t="s">
        <v>163</v>
      </c>
      <c r="B896" s="73">
        <v>0.0</v>
      </c>
      <c r="C896" s="1">
        <v>0.0</v>
      </c>
      <c r="D896" s="1">
        <v>0.0</v>
      </c>
      <c r="E896" s="1">
        <v>0.0</v>
      </c>
      <c r="F896" s="1">
        <v>0.0</v>
      </c>
      <c r="G896" s="1">
        <v>0.0</v>
      </c>
      <c r="J896" s="1" t="s">
        <v>11</v>
      </c>
      <c r="K896" s="1" t="s">
        <v>8</v>
      </c>
    </row>
    <row r="897">
      <c r="A897" s="1" t="s">
        <v>342</v>
      </c>
      <c r="B897" s="73">
        <v>43310.0</v>
      </c>
      <c r="C897" s="1">
        <f>80.52+22.5</f>
        <v>103.02</v>
      </c>
      <c r="D897" s="1" t="s">
        <v>397</v>
      </c>
      <c r="E897" s="1" t="s">
        <v>8</v>
      </c>
      <c r="F897" s="1">
        <v>0.0</v>
      </c>
      <c r="G897" s="1">
        <v>0.0</v>
      </c>
      <c r="J897">
        <f>1215-750-190-28.49</f>
        <v>246.51</v>
      </c>
      <c r="K897" s="1">
        <f>1636.78-400-1200</f>
        <v>36.78</v>
      </c>
      <c r="M897" s="1" t="s">
        <v>48</v>
      </c>
      <c r="N897" s="1">
        <v>549.0</v>
      </c>
      <c r="O897" s="1" t="s">
        <v>398</v>
      </c>
      <c r="P897">
        <f>(23*40)+((23+(23/2))*5)</f>
        <v>1092.5</v>
      </c>
    </row>
    <row r="898">
      <c r="A898" s="72" t="s">
        <v>27</v>
      </c>
      <c r="B898" s="73">
        <v>0.0</v>
      </c>
      <c r="C898" s="1">
        <v>0.0</v>
      </c>
      <c r="D898" s="1">
        <v>0.0</v>
      </c>
      <c r="E898" s="1">
        <v>0.0</v>
      </c>
      <c r="F898" s="1">
        <v>0.0</v>
      </c>
      <c r="G898" s="1">
        <v>0.0</v>
      </c>
      <c r="J898" s="1" t="s">
        <v>41</v>
      </c>
      <c r="K898">
        <f>J897+K897</f>
        <v>283.29</v>
      </c>
      <c r="M898" s="1" t="s">
        <v>266</v>
      </c>
      <c r="N898" s="1">
        <v>100.0</v>
      </c>
      <c r="O898" s="1" t="s">
        <v>399</v>
      </c>
      <c r="P898">
        <f>P897*4</f>
        <v>4370</v>
      </c>
    </row>
    <row r="899">
      <c r="A899" s="72" t="s">
        <v>199</v>
      </c>
      <c r="B899" s="73">
        <v>0.0</v>
      </c>
      <c r="C899" s="1">
        <v>0.0</v>
      </c>
      <c r="D899" s="1">
        <v>0.0</v>
      </c>
      <c r="E899" s="1">
        <v>0.0</v>
      </c>
      <c r="F899" s="1">
        <v>0.0</v>
      </c>
      <c r="G899" s="1">
        <v>0.0</v>
      </c>
      <c r="M899" s="1" t="s">
        <v>400</v>
      </c>
      <c r="N899" s="1">
        <v>100.0</v>
      </c>
      <c r="O899" s="1" t="s">
        <v>401</v>
      </c>
      <c r="P899">
        <f>P898-(P898*0.17)</f>
        <v>3627.1</v>
      </c>
    </row>
    <row r="900">
      <c r="A900" s="72" t="s">
        <v>29</v>
      </c>
      <c r="B900" s="73">
        <v>0.0</v>
      </c>
      <c r="C900" s="1">
        <v>0.0</v>
      </c>
      <c r="D900" s="1">
        <v>0.0</v>
      </c>
      <c r="E900" s="1">
        <v>0.0</v>
      </c>
      <c r="F900" s="1">
        <v>0.0</v>
      </c>
      <c r="G900" s="1">
        <v>0.0</v>
      </c>
      <c r="M900" s="1" t="s">
        <v>293</v>
      </c>
      <c r="N900" s="1">
        <v>30.0</v>
      </c>
    </row>
    <row r="901">
      <c r="A901" s="1" t="s">
        <v>84</v>
      </c>
      <c r="B901" s="73">
        <v>43315.0</v>
      </c>
      <c r="C901" s="1">
        <v>400.0</v>
      </c>
      <c r="E901" s="1" t="s">
        <v>8</v>
      </c>
      <c r="F901" s="1">
        <v>0.0</v>
      </c>
      <c r="G901" s="1">
        <v>0.0</v>
      </c>
      <c r="M901" s="1" t="s">
        <v>264</v>
      </c>
      <c r="N901" s="1">
        <v>350.0</v>
      </c>
    </row>
    <row r="902">
      <c r="A902" s="1" t="s">
        <v>106</v>
      </c>
      <c r="B902" s="75"/>
      <c r="C902" s="1">
        <v>190.0</v>
      </c>
      <c r="D902" s="1" t="s">
        <v>11</v>
      </c>
      <c r="M902" s="1" t="s">
        <v>295</v>
      </c>
      <c r="N902" s="1">
        <v>100.0</v>
      </c>
    </row>
    <row r="903">
      <c r="A903" s="74" t="s">
        <v>364</v>
      </c>
      <c r="B903" s="73">
        <v>0.0</v>
      </c>
      <c r="C903" s="1">
        <v>0.0</v>
      </c>
      <c r="M903" s="1" t="s">
        <v>84</v>
      </c>
      <c r="N903" s="1">
        <v>300.0</v>
      </c>
    </row>
    <row r="904">
      <c r="A904" s="72" t="s">
        <v>19</v>
      </c>
      <c r="B904" s="73">
        <v>43305.0</v>
      </c>
      <c r="C904" s="1">
        <v>108.74</v>
      </c>
      <c r="D904" s="1">
        <v>1.641465485E9</v>
      </c>
      <c r="E904" s="1" t="s">
        <v>69</v>
      </c>
      <c r="F904" s="1">
        <v>0.0</v>
      </c>
      <c r="G904" s="1">
        <v>0.0</v>
      </c>
      <c r="J904" s="1" t="s">
        <v>32</v>
      </c>
      <c r="K904" s="1">
        <v>550.0</v>
      </c>
      <c r="M904" s="1" t="s">
        <v>38</v>
      </c>
      <c r="N904" s="1">
        <v>85.0</v>
      </c>
    </row>
    <row r="905">
      <c r="A905" s="1" t="s">
        <v>258</v>
      </c>
      <c r="B905" s="73">
        <v>0.0</v>
      </c>
      <c r="J905" s="1" t="s">
        <v>107</v>
      </c>
      <c r="K905" s="1">
        <v>109.0</v>
      </c>
      <c r="M905" s="1" t="s">
        <v>402</v>
      </c>
      <c r="N905" s="1">
        <v>520.0</v>
      </c>
    </row>
    <row r="906">
      <c r="A906" s="74" t="s">
        <v>286</v>
      </c>
      <c r="B906" s="73">
        <v>43329.0</v>
      </c>
      <c r="C906" s="1">
        <v>106.87</v>
      </c>
      <c r="D906" s="76" t="s">
        <v>403</v>
      </c>
      <c r="E906" s="1" t="s">
        <v>11</v>
      </c>
      <c r="F906" s="1">
        <v>0.0</v>
      </c>
      <c r="G906" s="1">
        <v>0.0</v>
      </c>
      <c r="J906" s="1" t="s">
        <v>38</v>
      </c>
      <c r="K906" s="1">
        <v>85.0</v>
      </c>
    </row>
    <row r="907">
      <c r="A907" s="74" t="s">
        <v>35</v>
      </c>
      <c r="B907" s="73">
        <v>0.0</v>
      </c>
      <c r="C907" s="1">
        <v>0.0</v>
      </c>
      <c r="D907" s="1">
        <v>0.0</v>
      </c>
      <c r="J907" s="1" t="s">
        <v>41</v>
      </c>
      <c r="K907">
        <f>sum(K904:K906)</f>
        <v>744</v>
      </c>
      <c r="M907" s="1" t="s">
        <v>41</v>
      </c>
      <c r="N907">
        <f>sum(N897:N906)</f>
        <v>2134</v>
      </c>
      <c r="P907">
        <f>P899-N907</f>
        <v>1493.1</v>
      </c>
      <c r="Q907" s="77">
        <f>P907*12</f>
        <v>17917.2</v>
      </c>
    </row>
    <row r="908">
      <c r="A908" s="72" t="s">
        <v>226</v>
      </c>
      <c r="B908" s="73">
        <v>0.0</v>
      </c>
      <c r="C908" s="1">
        <v>0.0</v>
      </c>
      <c r="J908" s="1" t="s">
        <v>404</v>
      </c>
      <c r="K908">
        <f>1730-K907</f>
        <v>986</v>
      </c>
    </row>
    <row r="909">
      <c r="A909" s="74" t="s">
        <v>159</v>
      </c>
      <c r="B909" s="73">
        <v>43329.0</v>
      </c>
      <c r="C909" s="1">
        <v>166.77</v>
      </c>
      <c r="E909" s="1" t="s">
        <v>11</v>
      </c>
    </row>
    <row r="910">
      <c r="A910" s="1" t="s">
        <v>380</v>
      </c>
      <c r="B910" s="73">
        <v>43334.0</v>
      </c>
      <c r="C910" s="1">
        <v>51.72</v>
      </c>
      <c r="E910" s="1" t="s">
        <v>405</v>
      </c>
      <c r="G910" s="1">
        <v>0.0</v>
      </c>
      <c r="J910" s="1" t="s">
        <v>11</v>
      </c>
      <c r="K910" s="1" t="s">
        <v>8</v>
      </c>
      <c r="L910" s="1" t="s">
        <v>41</v>
      </c>
    </row>
    <row r="911">
      <c r="A911" s="72" t="s">
        <v>336</v>
      </c>
      <c r="B911" s="73">
        <v>43329.0</v>
      </c>
      <c r="C911" s="1">
        <v>39.99</v>
      </c>
      <c r="E911" s="1" t="s">
        <v>8</v>
      </c>
      <c r="J911" s="1">
        <f>872-559-106.87-166.77</f>
        <v>39.36</v>
      </c>
      <c r="K911" s="1">
        <f>1233-39.99-1200+40</f>
        <v>33.01</v>
      </c>
      <c r="L911">
        <f>J911+K911</f>
        <v>72.37</v>
      </c>
    </row>
    <row r="912">
      <c r="A912" s="74" t="s">
        <v>239</v>
      </c>
      <c r="B912" s="73">
        <v>0.0</v>
      </c>
      <c r="C912" s="1">
        <v>0.0</v>
      </c>
    </row>
    <row r="913">
      <c r="A913" s="1" t="s">
        <v>375</v>
      </c>
      <c r="B913" s="75"/>
      <c r="C913" s="1">
        <v>526.21</v>
      </c>
    </row>
    <row r="914">
      <c r="A914" s="1" t="s">
        <v>406</v>
      </c>
      <c r="B914" s="75"/>
      <c r="C914" s="1">
        <v>549.0</v>
      </c>
      <c r="J914">
        <f>500+549+80+190+400+85+40-1700</f>
        <v>144</v>
      </c>
    </row>
    <row r="915">
      <c r="A915" s="1" t="s">
        <v>41</v>
      </c>
      <c r="C915">
        <f>sum(C894:C914)</f>
        <v>3057.8</v>
      </c>
      <c r="J915">
        <f>1700-144</f>
        <v>1556</v>
      </c>
      <c r="M915" s="1" t="s">
        <v>407</v>
      </c>
      <c r="N915" s="1" t="s">
        <v>408</v>
      </c>
      <c r="O915" s="1" t="s">
        <v>409</v>
      </c>
      <c r="P915" s="1" t="s">
        <v>410</v>
      </c>
    </row>
    <row r="916">
      <c r="L916" s="1">
        <v>1892.0</v>
      </c>
      <c r="M916">
        <f>L916-1500-190</f>
        <v>202</v>
      </c>
      <c r="N916">
        <f>M916-202</f>
        <v>0</v>
      </c>
    </row>
    <row r="917">
      <c r="A917" s="78">
        <v>43344.0</v>
      </c>
      <c r="B917" s="1" t="s">
        <v>411</v>
      </c>
      <c r="L917" s="1" t="s">
        <v>84</v>
      </c>
    </row>
    <row r="918">
      <c r="A918" s="1" t="s">
        <v>231</v>
      </c>
      <c r="B918" s="36">
        <v>43343.0</v>
      </c>
      <c r="C918" s="1">
        <v>111.47</v>
      </c>
      <c r="E918" s="1" t="s">
        <v>11</v>
      </c>
      <c r="F918" s="1">
        <v>0.0</v>
      </c>
      <c r="G918" s="1">
        <v>0.0</v>
      </c>
      <c r="L918" s="30">
        <f>527+300</f>
        <v>827</v>
      </c>
      <c r="M918">
        <f>190+64+106+85+549-1700-1700+450</f>
        <v>-1956</v>
      </c>
    </row>
    <row r="919">
      <c r="A919" s="1" t="s">
        <v>255</v>
      </c>
      <c r="B919" s="1">
        <v>0.0</v>
      </c>
      <c r="C919" s="1">
        <v>0.0</v>
      </c>
      <c r="D919" s="1">
        <v>0.0</v>
      </c>
      <c r="E919" s="1">
        <v>0.0</v>
      </c>
      <c r="J919">
        <f>739.09-549-111.47-51.72</f>
        <v>26.9</v>
      </c>
      <c r="K919">
        <f>1159.59-527-300-40</f>
        <v>292.59</v>
      </c>
      <c r="L919">
        <f>J919+K919</f>
        <v>319.49</v>
      </c>
    </row>
    <row r="920">
      <c r="A920" s="1" t="s">
        <v>163</v>
      </c>
      <c r="B920" s="36">
        <v>43343.0</v>
      </c>
      <c r="C920" s="1">
        <v>51.72</v>
      </c>
      <c r="D920" s="52">
        <v>4.937516E7</v>
      </c>
      <c r="E920" s="1" t="s">
        <v>11</v>
      </c>
    </row>
    <row r="921">
      <c r="A921" s="1" t="s">
        <v>27</v>
      </c>
      <c r="B921" s="1">
        <v>0.0</v>
      </c>
      <c r="C921" s="1">
        <v>0.0</v>
      </c>
    </row>
    <row r="922">
      <c r="A922" s="1" t="s">
        <v>199</v>
      </c>
      <c r="B922" s="1">
        <v>0.0</v>
      </c>
      <c r="C922" s="1">
        <v>0.0</v>
      </c>
    </row>
    <row r="923">
      <c r="A923" s="1" t="s">
        <v>29</v>
      </c>
      <c r="B923" s="1">
        <v>0.0</v>
      </c>
      <c r="C923" s="1">
        <v>0.0</v>
      </c>
    </row>
    <row r="924">
      <c r="A924" s="1" t="s">
        <v>84</v>
      </c>
      <c r="B924" s="36">
        <v>42980.0</v>
      </c>
      <c r="C924" s="1">
        <v>300.0</v>
      </c>
    </row>
    <row r="925">
      <c r="A925" s="1" t="s">
        <v>412</v>
      </c>
      <c r="B925" s="1">
        <v>0.0</v>
      </c>
      <c r="C925" s="1">
        <v>0.0</v>
      </c>
      <c r="D925" s="1">
        <v>0.0</v>
      </c>
      <c r="E925" s="1">
        <v>0.0</v>
      </c>
      <c r="F925" s="1">
        <v>0.0</v>
      </c>
      <c r="G925" s="1">
        <v>125.25</v>
      </c>
    </row>
    <row r="926">
      <c r="A926" s="1" t="s">
        <v>106</v>
      </c>
      <c r="B926" s="36">
        <v>43357.0</v>
      </c>
      <c r="C926" s="1">
        <v>190.0</v>
      </c>
      <c r="D926" s="1" t="s">
        <v>413</v>
      </c>
      <c r="E926" s="1" t="s">
        <v>11</v>
      </c>
    </row>
    <row r="927">
      <c r="A927" s="1" t="s">
        <v>364</v>
      </c>
      <c r="B927" s="1">
        <v>0.0</v>
      </c>
      <c r="C927" s="1">
        <v>0.0</v>
      </c>
      <c r="E927" s="1">
        <v>0.0</v>
      </c>
      <c r="F927" s="1">
        <v>0.0</v>
      </c>
      <c r="G927" s="1">
        <v>0.0</v>
      </c>
    </row>
    <row r="928">
      <c r="A928" s="1" t="s">
        <v>414</v>
      </c>
      <c r="B928" s="36">
        <v>43357.0</v>
      </c>
      <c r="C928" s="1">
        <v>60.58</v>
      </c>
      <c r="D928" s="69">
        <v>2.15425397E8</v>
      </c>
      <c r="E928" s="1" t="s">
        <v>11</v>
      </c>
      <c r="F928" s="1">
        <v>0.0</v>
      </c>
      <c r="G928" s="1">
        <v>0.0</v>
      </c>
    </row>
    <row r="929">
      <c r="A929" s="1" t="s">
        <v>19</v>
      </c>
      <c r="B929" s="1">
        <v>0.0</v>
      </c>
      <c r="C929" s="1">
        <v>0.0</v>
      </c>
      <c r="D929" s="1">
        <v>0.0</v>
      </c>
      <c r="E929" s="1">
        <v>0.0</v>
      </c>
      <c r="F929" s="1">
        <v>0.0</v>
      </c>
      <c r="G929" s="1">
        <v>149.51</v>
      </c>
      <c r="H929" s="1">
        <v>125.25</v>
      </c>
    </row>
    <row r="930">
      <c r="A930" s="1" t="s">
        <v>258</v>
      </c>
      <c r="B930" s="1" t="s">
        <v>31</v>
      </c>
      <c r="E930" s="1" t="s">
        <v>33</v>
      </c>
    </row>
    <row r="931">
      <c r="A931" s="1" t="s">
        <v>286</v>
      </c>
      <c r="B931" s="36">
        <v>43357.0</v>
      </c>
      <c r="C931" s="1">
        <v>119.22</v>
      </c>
      <c r="D931" s="76" t="s">
        <v>415</v>
      </c>
      <c r="E931" s="1" t="s">
        <v>11</v>
      </c>
      <c r="F931" s="1">
        <v>0.0</v>
      </c>
      <c r="G931" s="1">
        <v>0.0</v>
      </c>
    </row>
    <row r="932">
      <c r="A932" s="1" t="s">
        <v>35</v>
      </c>
      <c r="C932" s="1">
        <v>0.0</v>
      </c>
    </row>
    <row r="933">
      <c r="A933" s="1" t="s">
        <v>226</v>
      </c>
      <c r="C933" s="1">
        <v>0.0</v>
      </c>
      <c r="K933" s="1" t="s">
        <v>11</v>
      </c>
      <c r="L933" s="1" t="s">
        <v>8</v>
      </c>
      <c r="M933" s="1" t="s">
        <v>41</v>
      </c>
    </row>
    <row r="934">
      <c r="A934" s="1" t="s">
        <v>159</v>
      </c>
      <c r="B934" s="36">
        <v>43357.0</v>
      </c>
      <c r="C934" s="1">
        <v>162.84</v>
      </c>
      <c r="D934" s="79">
        <v>2.04359315E9</v>
      </c>
      <c r="E934" s="1" t="s">
        <v>416</v>
      </c>
      <c r="F934" s="1">
        <v>0.0</v>
      </c>
      <c r="G934" s="1">
        <v>0.0</v>
      </c>
      <c r="H934" s="1" t="s">
        <v>417</v>
      </c>
      <c r="I934" s="79">
        <v>8.87962498E8</v>
      </c>
      <c r="K934" s="1">
        <f>626.9-190-60.58-119.22-30.52-200+600-27</f>
        <v>599.58</v>
      </c>
      <c r="L934" s="1">
        <f>842.92-25</f>
        <v>817.92</v>
      </c>
      <c r="M934">
        <f>K934+L934</f>
        <v>1417.5</v>
      </c>
    </row>
    <row r="935">
      <c r="A935" s="1" t="s">
        <v>380</v>
      </c>
      <c r="B935" s="36">
        <v>43357.0</v>
      </c>
      <c r="C935" s="1">
        <v>29.99</v>
      </c>
      <c r="F935" s="1">
        <v>0.0</v>
      </c>
      <c r="G935" s="1">
        <v>0.0</v>
      </c>
      <c r="K935">
        <f>400+549</f>
        <v>949</v>
      </c>
      <c r="L935">
        <f>1454.66</f>
        <v>1454.66</v>
      </c>
    </row>
    <row r="936">
      <c r="A936" s="1" t="s">
        <v>336</v>
      </c>
      <c r="B936" s="36">
        <v>43357.0</v>
      </c>
      <c r="C936" s="1">
        <v>30.52</v>
      </c>
      <c r="D936" s="80" t="s">
        <v>418</v>
      </c>
      <c r="E936" s="1" t="s">
        <v>11</v>
      </c>
      <c r="F936" s="1">
        <v>0.0</v>
      </c>
      <c r="G936" s="1">
        <v>0.0</v>
      </c>
    </row>
    <row r="937">
      <c r="A937" s="1" t="s">
        <v>239</v>
      </c>
      <c r="B937" s="1">
        <v>0.0</v>
      </c>
      <c r="C937" s="1">
        <v>0.0</v>
      </c>
      <c r="D937" s="1">
        <v>0.0</v>
      </c>
      <c r="E937" s="1">
        <v>0.0</v>
      </c>
      <c r="F937" s="1">
        <v>0.0</v>
      </c>
      <c r="G937" s="1">
        <v>0.0</v>
      </c>
    </row>
    <row r="938">
      <c r="A938" s="1" t="s">
        <v>375</v>
      </c>
      <c r="B938" s="36">
        <v>43372.0</v>
      </c>
      <c r="C938" s="1">
        <v>454.05</v>
      </c>
      <c r="E938" s="1" t="s">
        <v>11</v>
      </c>
    </row>
    <row r="939">
      <c r="A939" s="1" t="s">
        <v>419</v>
      </c>
      <c r="B939" s="36">
        <v>43372.0</v>
      </c>
      <c r="C939" s="1">
        <v>549.0</v>
      </c>
      <c r="E939" s="1" t="s">
        <v>8</v>
      </c>
    </row>
    <row r="940">
      <c r="A940" s="1" t="s">
        <v>41</v>
      </c>
      <c r="C940">
        <f>sum(C918:C939)</f>
        <v>2059.39</v>
      </c>
      <c r="D940">
        <f>C940-100</f>
        <v>1959.39</v>
      </c>
    </row>
    <row r="942">
      <c r="A942" s="78">
        <v>43374.0</v>
      </c>
      <c r="B942" s="1" t="s">
        <v>420</v>
      </c>
    </row>
    <row r="943">
      <c r="A943" s="1" t="s">
        <v>231</v>
      </c>
      <c r="B943" s="36">
        <v>43372.0</v>
      </c>
      <c r="C943" s="1">
        <f>25+381.23</f>
        <v>406.23</v>
      </c>
      <c r="E943" s="1" t="s">
        <v>8</v>
      </c>
      <c r="G943" s="1">
        <v>0.0</v>
      </c>
      <c r="H943">
        <f>G943+G944</f>
        <v>162.84</v>
      </c>
      <c r="J943" s="1" t="s">
        <v>11</v>
      </c>
      <c r="K943" s="1" t="s">
        <v>8</v>
      </c>
    </row>
    <row r="944">
      <c r="A944" s="1" t="s">
        <v>255</v>
      </c>
      <c r="B944" s="1">
        <v>0.0</v>
      </c>
      <c r="C944" s="1">
        <v>0.0</v>
      </c>
      <c r="D944" s="1">
        <v>0.0</v>
      </c>
      <c r="E944" s="1">
        <v>0.0</v>
      </c>
      <c r="F944" s="1">
        <v>0.0</v>
      </c>
      <c r="G944" s="1">
        <v>162.84</v>
      </c>
      <c r="J944" s="1">
        <f>949-500-68.55-42.51-122.7-29.99+100-5-190</f>
        <v>90.25</v>
      </c>
      <c r="K944" s="1">
        <f>1454.66-192.4-1110-100</f>
        <v>52.26</v>
      </c>
      <c r="L944">
        <f>J944+K944</f>
        <v>142.51</v>
      </c>
      <c r="M944" s="1" t="s">
        <v>421</v>
      </c>
      <c r="N944" s="1">
        <v>100.0</v>
      </c>
      <c r="O944" s="1" t="s">
        <v>422</v>
      </c>
      <c r="P944" s="1">
        <v>4000.0</v>
      </c>
    </row>
    <row r="945">
      <c r="A945" s="1" t="s">
        <v>163</v>
      </c>
      <c r="B945" s="1">
        <v>0.0</v>
      </c>
      <c r="G945" s="1">
        <v>29.99</v>
      </c>
      <c r="M945" s="1" t="s">
        <v>84</v>
      </c>
      <c r="N945" s="1">
        <v>300.0</v>
      </c>
      <c r="O945" s="1" t="s">
        <v>423</v>
      </c>
      <c r="P945">
        <f>P944-N951</f>
        <v>1927</v>
      </c>
    </row>
    <row r="946">
      <c r="A946" s="1" t="s">
        <v>27</v>
      </c>
      <c r="B946" s="1">
        <v>0.0</v>
      </c>
      <c r="M946" s="1" t="s">
        <v>9</v>
      </c>
      <c r="N946" s="1">
        <v>80.0</v>
      </c>
    </row>
    <row r="947">
      <c r="A947" s="1" t="s">
        <v>199</v>
      </c>
      <c r="B947" s="1">
        <v>0.0</v>
      </c>
      <c r="M947" s="1" t="s">
        <v>292</v>
      </c>
      <c r="N947" s="1">
        <v>80.0</v>
      </c>
    </row>
    <row r="948">
      <c r="A948" s="1" t="s">
        <v>29</v>
      </c>
      <c r="B948" s="1">
        <v>0.0</v>
      </c>
      <c r="M948" s="1" t="s">
        <v>424</v>
      </c>
      <c r="N948" s="1">
        <v>549.0</v>
      </c>
    </row>
    <row r="949">
      <c r="A949" s="1" t="s">
        <v>84</v>
      </c>
      <c r="B949" s="36">
        <v>43386.0</v>
      </c>
      <c r="C949" s="1">
        <v>500.0</v>
      </c>
      <c r="E949" s="1" t="s">
        <v>11</v>
      </c>
      <c r="M949" s="1" t="s">
        <v>264</v>
      </c>
      <c r="N949" s="1">
        <v>450.0</v>
      </c>
    </row>
    <row r="950">
      <c r="A950" s="1" t="s">
        <v>425</v>
      </c>
      <c r="B950" s="36">
        <v>43386.0</v>
      </c>
      <c r="C950" s="1">
        <v>27.0</v>
      </c>
      <c r="D950" s="1">
        <v>0.0</v>
      </c>
      <c r="E950" s="1" t="s">
        <v>11</v>
      </c>
      <c r="F950" s="1">
        <v>0.0</v>
      </c>
      <c r="G950" s="1">
        <v>99.0</v>
      </c>
      <c r="M950" s="1" t="s">
        <v>426</v>
      </c>
      <c r="N950" s="1">
        <v>514.0</v>
      </c>
    </row>
    <row r="951">
      <c r="A951" s="1" t="s">
        <v>106</v>
      </c>
      <c r="N951">
        <f>sum(N944:N950)</f>
        <v>2073</v>
      </c>
    </row>
    <row r="952">
      <c r="A952" s="1" t="s">
        <v>364</v>
      </c>
      <c r="B952" s="36">
        <v>43386.0</v>
      </c>
      <c r="C952" s="1">
        <v>192.4</v>
      </c>
      <c r="E952" s="1" t="s">
        <v>8</v>
      </c>
      <c r="F952" s="1">
        <v>0.0</v>
      </c>
      <c r="G952" s="1">
        <v>16.0</v>
      </c>
    </row>
    <row r="953">
      <c r="A953" s="1" t="s">
        <v>414</v>
      </c>
      <c r="B953" s="36">
        <v>43386.0</v>
      </c>
      <c r="C953" s="1">
        <v>68.55</v>
      </c>
      <c r="D953" s="69">
        <v>2.16657356E8</v>
      </c>
      <c r="E953" s="1" t="s">
        <v>20</v>
      </c>
      <c r="G953" s="1">
        <v>0.0</v>
      </c>
    </row>
    <row r="954">
      <c r="A954" s="1" t="s">
        <v>427</v>
      </c>
      <c r="B954" s="69">
        <v>2.16657356E8</v>
      </c>
      <c r="C954" s="1">
        <v>42.51</v>
      </c>
      <c r="D954" s="69">
        <v>2.16657356E8</v>
      </c>
      <c r="E954" s="1" t="s">
        <v>20</v>
      </c>
      <c r="F954" s="1">
        <v>0.0</v>
      </c>
      <c r="G954" s="1">
        <v>0.0</v>
      </c>
    </row>
    <row r="955">
      <c r="A955" s="1" t="s">
        <v>258</v>
      </c>
      <c r="B955" s="1">
        <v>0.0</v>
      </c>
    </row>
    <row r="956">
      <c r="A956" s="1" t="s">
        <v>286</v>
      </c>
      <c r="B956" s="1">
        <v>0.0</v>
      </c>
      <c r="G956" s="1">
        <v>119.22</v>
      </c>
    </row>
    <row r="957">
      <c r="A957" s="1" t="s">
        <v>35</v>
      </c>
      <c r="B957" s="1">
        <v>0.0</v>
      </c>
      <c r="C957" s="1">
        <v>0.0</v>
      </c>
    </row>
    <row r="958">
      <c r="A958" s="1" t="s">
        <v>226</v>
      </c>
      <c r="B958" s="1">
        <v>0.0</v>
      </c>
    </row>
    <row r="959">
      <c r="A959" s="1" t="s">
        <v>159</v>
      </c>
      <c r="B959" s="1">
        <v>0.0</v>
      </c>
      <c r="C959" s="1">
        <v>122.0</v>
      </c>
    </row>
    <row r="960">
      <c r="A960" s="1" t="s">
        <v>380</v>
      </c>
      <c r="B960" s="36">
        <v>43387.0</v>
      </c>
      <c r="C960" s="1">
        <v>29.99</v>
      </c>
    </row>
    <row r="961">
      <c r="A961" s="1" t="s">
        <v>336</v>
      </c>
      <c r="C961" s="1">
        <v>0.0</v>
      </c>
    </row>
    <row r="962">
      <c r="A962" s="1" t="s">
        <v>239</v>
      </c>
      <c r="C962" s="1">
        <v>0.0</v>
      </c>
    </row>
    <row r="963">
      <c r="A963" s="1" t="s">
        <v>375</v>
      </c>
      <c r="B963" s="36">
        <v>43399.0</v>
      </c>
      <c r="C963" s="1">
        <v>596.82</v>
      </c>
    </row>
    <row r="964">
      <c r="A964" s="1" t="s">
        <v>419</v>
      </c>
      <c r="B964" s="36">
        <v>43402.0</v>
      </c>
      <c r="C964" s="1">
        <v>549.0</v>
      </c>
      <c r="J964" s="1" t="s">
        <v>11</v>
      </c>
      <c r="K964" s="1" t="s">
        <v>8</v>
      </c>
    </row>
    <row r="965">
      <c r="A965" s="1" t="s">
        <v>41</v>
      </c>
      <c r="C965">
        <f>sum(C942:C964)</f>
        <v>2534.5</v>
      </c>
      <c r="J965" s="1">
        <f>685.06-596.82</f>
        <v>88.24</v>
      </c>
      <c r="K965" s="1">
        <f>1423.65-549-254.84-505-60</f>
        <v>54.81</v>
      </c>
    </row>
    <row r="968">
      <c r="A968" s="78">
        <v>43405.0</v>
      </c>
      <c r="B968" s="1" t="s">
        <v>428</v>
      </c>
    </row>
    <row r="969">
      <c r="A969" s="1" t="s">
        <v>231</v>
      </c>
      <c r="B969" s="1">
        <v>0.0</v>
      </c>
      <c r="C969" s="1">
        <v>0.0</v>
      </c>
      <c r="G969" s="1">
        <v>76.36</v>
      </c>
    </row>
    <row r="970">
      <c r="A970" s="1" t="s">
        <v>429</v>
      </c>
      <c r="B970" s="1" t="s">
        <v>430</v>
      </c>
      <c r="C970" s="1">
        <v>80.0</v>
      </c>
      <c r="E970" s="1" t="s">
        <v>431</v>
      </c>
      <c r="G970" s="1"/>
    </row>
    <row r="971">
      <c r="A971" s="1" t="s">
        <v>255</v>
      </c>
      <c r="B971" s="36">
        <v>43399.0</v>
      </c>
      <c r="C971" s="1">
        <v>254.84</v>
      </c>
      <c r="D971" s="80" t="s">
        <v>432</v>
      </c>
      <c r="E971" s="1" t="s">
        <v>8</v>
      </c>
      <c r="F971" s="1">
        <v>0.0</v>
      </c>
      <c r="G971" s="1">
        <v>0.0</v>
      </c>
    </row>
    <row r="972">
      <c r="A972" s="1" t="s">
        <v>163</v>
      </c>
      <c r="B972" s="1">
        <v>0.0</v>
      </c>
    </row>
    <row r="973">
      <c r="A973" s="1" t="s">
        <v>27</v>
      </c>
      <c r="B973" s="1">
        <v>0.0</v>
      </c>
    </row>
    <row r="974">
      <c r="A974" s="1" t="s">
        <v>199</v>
      </c>
      <c r="B974" s="1">
        <v>0.0</v>
      </c>
    </row>
    <row r="975">
      <c r="A975" s="1" t="s">
        <v>29</v>
      </c>
      <c r="B975" s="1">
        <v>0.0</v>
      </c>
      <c r="J975" s="1" t="s">
        <v>433</v>
      </c>
      <c r="L975">
        <f>300+80+106+30-1900-500</f>
        <v>-1884</v>
      </c>
    </row>
    <row r="976">
      <c r="A976" s="1" t="s">
        <v>84</v>
      </c>
      <c r="B976" s="36">
        <v>43413.0</v>
      </c>
      <c r="C976" s="1">
        <v>300.0</v>
      </c>
      <c r="E976" s="1" t="s">
        <v>11</v>
      </c>
      <c r="J976" s="1" t="s">
        <v>434</v>
      </c>
      <c r="K976" s="36">
        <v>43503.0</v>
      </c>
    </row>
    <row r="977">
      <c r="A977" s="1" t="s">
        <v>425</v>
      </c>
      <c r="B977" s="36">
        <v>43413.0</v>
      </c>
      <c r="C977" s="1">
        <v>30.0</v>
      </c>
      <c r="E977" s="1" t="s">
        <v>11</v>
      </c>
      <c r="G977" s="1">
        <v>68.25</v>
      </c>
      <c r="J977" s="1" t="s">
        <v>435</v>
      </c>
      <c r="K977" s="81">
        <v>513.61</v>
      </c>
    </row>
    <row r="978">
      <c r="A978" s="1" t="s">
        <v>364</v>
      </c>
      <c r="B978" s="1">
        <v>0.0</v>
      </c>
    </row>
    <row r="979">
      <c r="A979" s="1" t="s">
        <v>414</v>
      </c>
      <c r="B979" s="36">
        <v>43413.0</v>
      </c>
      <c r="C979" s="1">
        <v>54.54</v>
      </c>
      <c r="D979" s="69">
        <v>2.17842091E8</v>
      </c>
      <c r="E979" s="1" t="s">
        <v>11</v>
      </c>
      <c r="G979" s="1">
        <v>0.0</v>
      </c>
      <c r="H979">
        <f>1950-G979</f>
        <v>1950</v>
      </c>
    </row>
    <row r="980">
      <c r="A980" s="1" t="s">
        <v>427</v>
      </c>
      <c r="B980" s="1">
        <v>0.0</v>
      </c>
    </row>
    <row r="981">
      <c r="A981" s="1" t="s">
        <v>258</v>
      </c>
      <c r="B981" s="1">
        <v>0.0</v>
      </c>
      <c r="J981" s="1" t="s">
        <v>436</v>
      </c>
      <c r="K981">
        <f>1242.7-596.82-300-30-54.54-161.34</f>
        <v>100</v>
      </c>
    </row>
    <row r="982">
      <c r="A982" s="1" t="s">
        <v>286</v>
      </c>
      <c r="B982" s="36">
        <v>43413.0</v>
      </c>
      <c r="C982" s="1">
        <v>161.34</v>
      </c>
      <c r="D982" s="76" t="s">
        <v>437</v>
      </c>
      <c r="E982" s="1" t="s">
        <v>11</v>
      </c>
      <c r="J982" s="1" t="s">
        <v>69</v>
      </c>
      <c r="K982">
        <f>1536.83-40</f>
        <v>1496.83</v>
      </c>
      <c r="L982" s="1" t="s">
        <v>423</v>
      </c>
      <c r="M982" s="1">
        <v>2000.0</v>
      </c>
    </row>
    <row r="983">
      <c r="A983" s="1" t="s">
        <v>35</v>
      </c>
      <c r="B983" s="1">
        <v>0.0</v>
      </c>
    </row>
    <row r="984">
      <c r="A984" s="1" t="s">
        <v>226</v>
      </c>
      <c r="B984" s="1">
        <v>0.0</v>
      </c>
    </row>
    <row r="985">
      <c r="A985" s="1" t="s">
        <v>159</v>
      </c>
      <c r="C985" s="1">
        <v>89.0</v>
      </c>
      <c r="D985" s="1" t="s">
        <v>84</v>
      </c>
    </row>
    <row r="986">
      <c r="A986" s="1" t="s">
        <v>380</v>
      </c>
      <c r="B986" s="36">
        <v>43413.0</v>
      </c>
      <c r="C986" s="1">
        <v>29.99</v>
      </c>
      <c r="E986" s="1" t="s">
        <v>438</v>
      </c>
    </row>
    <row r="987">
      <c r="A987" s="1" t="s">
        <v>336</v>
      </c>
      <c r="B987" s="1">
        <v>0.0</v>
      </c>
    </row>
    <row r="988">
      <c r="A988" s="1" t="s">
        <v>239</v>
      </c>
      <c r="B988" s="1">
        <v>0.0</v>
      </c>
      <c r="C988" s="1">
        <v>0.0</v>
      </c>
      <c r="D988" s="1">
        <v>0.0</v>
      </c>
      <c r="E988" s="1">
        <v>0.0</v>
      </c>
      <c r="G988" s="1" t="s">
        <v>439</v>
      </c>
    </row>
    <row r="989">
      <c r="A989" s="1" t="s">
        <v>375</v>
      </c>
    </row>
    <row r="990">
      <c r="A990" s="1" t="s">
        <v>419</v>
      </c>
      <c r="B990" s="36">
        <v>43427.0</v>
      </c>
      <c r="C990" s="1">
        <v>549.0</v>
      </c>
    </row>
    <row r="991">
      <c r="A991" s="1" t="s">
        <v>41</v>
      </c>
      <c r="C991">
        <f>sum(C969:C990)</f>
        <v>1548.71</v>
      </c>
    </row>
    <row r="994">
      <c r="A994" s="78">
        <v>43435.0</v>
      </c>
      <c r="B994" s="1" t="s">
        <v>440</v>
      </c>
    </row>
    <row r="995">
      <c r="A995" s="1" t="s">
        <v>423</v>
      </c>
      <c r="C995" s="1">
        <f>2000+500</f>
        <v>2500</v>
      </c>
    </row>
    <row r="996">
      <c r="A996" s="1" t="s">
        <v>231</v>
      </c>
      <c r="B996" s="36">
        <v>43427.0</v>
      </c>
      <c r="C996" s="1">
        <v>20.0</v>
      </c>
      <c r="D996" s="82">
        <v>2142.0</v>
      </c>
      <c r="E996" s="1" t="s">
        <v>11</v>
      </c>
      <c r="F996" s="1">
        <v>0.0</v>
      </c>
      <c r="G996" s="1">
        <v>136.0</v>
      </c>
      <c r="J996" s="1" t="s">
        <v>11</v>
      </c>
      <c r="K996">
        <f>693.66-20-150-423.15-70</f>
        <v>30.51</v>
      </c>
    </row>
    <row r="997">
      <c r="A997" s="1" t="s">
        <v>429</v>
      </c>
      <c r="B997" s="1" t="s">
        <v>441</v>
      </c>
      <c r="C997" s="1">
        <v>80.0</v>
      </c>
      <c r="J997" s="1" t="s">
        <v>8</v>
      </c>
      <c r="K997">
        <f>938.45-549-360</f>
        <v>29.45</v>
      </c>
    </row>
    <row r="998">
      <c r="A998" s="1" t="s">
        <v>255</v>
      </c>
      <c r="B998" s="1">
        <v>0.0</v>
      </c>
      <c r="C998" s="1">
        <v>0.0</v>
      </c>
      <c r="K998">
        <f>K996+K997</f>
        <v>59.96</v>
      </c>
    </row>
    <row r="999">
      <c r="A999" s="1" t="s">
        <v>163</v>
      </c>
      <c r="B999" s="36">
        <v>43427.0</v>
      </c>
      <c r="C999" s="1">
        <v>150.0</v>
      </c>
      <c r="D999" s="52">
        <v>4.9928962E7</v>
      </c>
      <c r="E999" s="1" t="s">
        <v>11</v>
      </c>
      <c r="F999" s="1">
        <v>0.0</v>
      </c>
      <c r="G999">
        <f>395.19-150-193.65</f>
        <v>51.54</v>
      </c>
    </row>
    <row r="1000">
      <c r="A1000" s="1" t="s">
        <v>27</v>
      </c>
      <c r="B1000" s="1">
        <v>0.0</v>
      </c>
      <c r="I1000">
        <f>80+80+300+119+30+450+549+120+512</f>
        <v>2240</v>
      </c>
    </row>
    <row r="1001">
      <c r="A1001" s="1" t="s">
        <v>199</v>
      </c>
      <c r="B1001" s="1">
        <v>0.0</v>
      </c>
      <c r="I1001">
        <f>2200-(0.18*2200)</f>
        <v>1804</v>
      </c>
      <c r="L1001" s="1" t="s">
        <v>442</v>
      </c>
      <c r="M1001">
        <f>80+300+80+119+450+549+100+540</f>
        <v>2218</v>
      </c>
    </row>
    <row r="1002">
      <c r="A1002" s="1" t="s">
        <v>29</v>
      </c>
      <c r="B1002" s="1">
        <v>0.0</v>
      </c>
      <c r="L1002" s="1" t="s">
        <v>422</v>
      </c>
      <c r="M1002">
        <f>(2*80*21)-(0.18*2*80*21)</f>
        <v>2755.2</v>
      </c>
    </row>
    <row r="1003">
      <c r="A1003" s="1" t="s">
        <v>84</v>
      </c>
      <c r="B1003" s="38">
        <v>43442.0</v>
      </c>
      <c r="C1003" s="1">
        <v>300.0</v>
      </c>
      <c r="E1003" s="1" t="s">
        <v>11</v>
      </c>
      <c r="L1003" s="1" t="s">
        <v>443</v>
      </c>
      <c r="M1003">
        <f>M1002-M1001</f>
        <v>537.2</v>
      </c>
    </row>
    <row r="1004">
      <c r="A1004" s="1" t="s">
        <v>425</v>
      </c>
      <c r="B1004" s="38">
        <v>43441.0</v>
      </c>
      <c r="C1004" s="1">
        <v>27.0</v>
      </c>
      <c r="E1004" s="1" t="s">
        <v>11</v>
      </c>
      <c r="G1004" s="1">
        <v>41.75</v>
      </c>
      <c r="J1004" s="1" t="s">
        <v>11</v>
      </c>
      <c r="K1004">
        <f>719.51-300-27-50-74.22-118.81-100-20</f>
        <v>29.48</v>
      </c>
    </row>
    <row r="1005">
      <c r="A1005" s="1" t="s">
        <v>364</v>
      </c>
      <c r="B1005" s="38">
        <v>43441.0</v>
      </c>
      <c r="C1005" s="1">
        <v>50.0</v>
      </c>
      <c r="E1005" s="1" t="s">
        <v>11</v>
      </c>
      <c r="G1005" s="1">
        <v>166.86</v>
      </c>
      <c r="J1005" s="1" t="s">
        <v>69</v>
      </c>
    </row>
    <row r="1006">
      <c r="A1006" s="1" t="s">
        <v>414</v>
      </c>
      <c r="B1006" s="38">
        <v>43441.0</v>
      </c>
      <c r="C1006" s="1">
        <v>74.22</v>
      </c>
      <c r="D1006" s="69">
        <v>2.18836032E8</v>
      </c>
      <c r="E1006" s="1" t="s">
        <v>11</v>
      </c>
    </row>
    <row r="1007">
      <c r="A1007" s="1" t="s">
        <v>444</v>
      </c>
      <c r="B1007" s="1">
        <v>0.0</v>
      </c>
      <c r="C1007" s="1">
        <v>0.0</v>
      </c>
      <c r="D1007" s="1">
        <v>0.0</v>
      </c>
      <c r="E1007" s="1">
        <v>0.0</v>
      </c>
      <c r="G1007" s="1">
        <v>2.0</v>
      </c>
    </row>
    <row r="1008">
      <c r="A1008" s="1" t="s">
        <v>258</v>
      </c>
      <c r="B1008" s="1">
        <v>0.0</v>
      </c>
      <c r="J1008" s="1" t="s">
        <v>11</v>
      </c>
      <c r="K1008" s="1">
        <f>727.3-489.83-98.68-36.04</f>
        <v>102.75</v>
      </c>
    </row>
    <row r="1009">
      <c r="A1009" s="1" t="s">
        <v>286</v>
      </c>
      <c r="B1009" s="73">
        <v>43441.0</v>
      </c>
      <c r="C1009" s="83">
        <v>118.81</v>
      </c>
      <c r="D1009" s="76" t="s">
        <v>445</v>
      </c>
      <c r="E1009" s="1" t="s">
        <v>11</v>
      </c>
      <c r="G1009" s="1">
        <v>82.32</v>
      </c>
      <c r="J1009" s="1" t="s">
        <v>69</v>
      </c>
      <c r="K1009">
        <f>4361.89-549-25-291</f>
        <v>3496.89</v>
      </c>
    </row>
    <row r="1010">
      <c r="A1010" s="1" t="s">
        <v>35</v>
      </c>
      <c r="B1010" s="73">
        <v>0.0</v>
      </c>
      <c r="C1010" s="83">
        <v>0.0</v>
      </c>
      <c r="D1010" s="1">
        <v>0.0</v>
      </c>
      <c r="G1010" s="1">
        <v>6.06</v>
      </c>
    </row>
    <row r="1011">
      <c r="A1011" s="1" t="s">
        <v>226</v>
      </c>
      <c r="B1011" s="73">
        <v>0.0</v>
      </c>
      <c r="C1011" s="83">
        <v>0.0</v>
      </c>
    </row>
    <row r="1012">
      <c r="A1012" s="1" t="s">
        <v>159</v>
      </c>
      <c r="B1012" s="73">
        <v>0.0</v>
      </c>
      <c r="C1012" s="67"/>
      <c r="F1012" s="67"/>
      <c r="G1012" s="67"/>
      <c r="J1012" s="67">
        <f>C1003+C1006+C1009+C1013+C1016+C1017+C997</f>
        <v>1641.85</v>
      </c>
      <c r="K1012" s="67">
        <f>C996+C999+C1004+C1005+C1015</f>
        <v>274</v>
      </c>
      <c r="L1012" s="67">
        <f>J1012+K1012</f>
        <v>1915.85</v>
      </c>
    </row>
    <row r="1013">
      <c r="A1013" s="1" t="s">
        <v>380</v>
      </c>
      <c r="B1013" s="73">
        <v>43441.0</v>
      </c>
      <c r="C1013" s="83">
        <v>29.99</v>
      </c>
      <c r="D1013" s="84">
        <v>6.110021163809E12</v>
      </c>
      <c r="E1013" s="1" t="s">
        <v>36</v>
      </c>
      <c r="F1013" s="67"/>
      <c r="G1013" s="67"/>
    </row>
    <row r="1014">
      <c r="A1014" s="1" t="s">
        <v>336</v>
      </c>
      <c r="B1014" s="75"/>
      <c r="C1014" s="83">
        <v>0.0</v>
      </c>
      <c r="F1014" s="67"/>
      <c r="G1014" s="67"/>
    </row>
    <row r="1015">
      <c r="A1015" s="1" t="s">
        <v>239</v>
      </c>
      <c r="B1015" s="73">
        <v>43456.0</v>
      </c>
      <c r="C1015" s="83">
        <v>27.0</v>
      </c>
      <c r="D1015" s="44">
        <v>1.12836753748288E14</v>
      </c>
      <c r="E1015" s="1" t="s">
        <v>69</v>
      </c>
      <c r="F1015" s="83">
        <v>0.0</v>
      </c>
      <c r="G1015" s="83">
        <v>7.32</v>
      </c>
    </row>
    <row r="1016">
      <c r="A1016" s="1" t="s">
        <v>375</v>
      </c>
      <c r="B1016" s="73">
        <v>43456.0</v>
      </c>
      <c r="C1016" s="83">
        <v>489.83</v>
      </c>
      <c r="E1016" s="1" t="s">
        <v>11</v>
      </c>
      <c r="F1016" s="67"/>
      <c r="G1016" s="67"/>
    </row>
    <row r="1017">
      <c r="A1017" s="1" t="s">
        <v>419</v>
      </c>
      <c r="B1017" s="73">
        <v>43456.0</v>
      </c>
      <c r="C1017" s="83">
        <v>549.0</v>
      </c>
      <c r="D1017" s="1" t="s">
        <v>31</v>
      </c>
      <c r="E1017" s="1" t="s">
        <v>11</v>
      </c>
      <c r="F1017" s="67"/>
      <c r="G1017" s="67"/>
    </row>
    <row r="1018">
      <c r="A1018" s="1" t="s">
        <v>41</v>
      </c>
      <c r="B1018" s="75"/>
      <c r="C1018" s="67"/>
      <c r="F1018" s="67"/>
      <c r="G1018" s="67"/>
    </row>
    <row r="1019">
      <c r="A1019" s="1"/>
      <c r="B1019" s="75"/>
      <c r="C1019" s="67"/>
      <c r="F1019" s="67"/>
      <c r="G1019" s="67"/>
    </row>
    <row r="1020">
      <c r="A1020" s="1"/>
      <c r="B1020" s="75"/>
      <c r="C1020" s="67"/>
      <c r="F1020" s="67"/>
      <c r="G1020" s="67"/>
    </row>
    <row r="1021">
      <c r="A1021" s="78">
        <v>43466.0</v>
      </c>
      <c r="B1021" s="75"/>
      <c r="C1021" s="67"/>
      <c r="F1021" s="67"/>
      <c r="G1021" s="67"/>
    </row>
    <row r="1022">
      <c r="A1022" s="1" t="s">
        <v>423</v>
      </c>
      <c r="C1022" s="83">
        <v>4000.0</v>
      </c>
    </row>
    <row r="1023">
      <c r="A1023" s="1" t="s">
        <v>231</v>
      </c>
      <c r="B1023" s="73">
        <v>43804.0</v>
      </c>
      <c r="C1023" s="83">
        <v>90.0</v>
      </c>
      <c r="E1023" s="1" t="s">
        <v>11</v>
      </c>
      <c r="F1023" s="67"/>
      <c r="G1023" s="83">
        <v>157.6</v>
      </c>
    </row>
    <row r="1024">
      <c r="A1024" s="1" t="s">
        <v>429</v>
      </c>
      <c r="B1024" s="75"/>
      <c r="C1024" s="83">
        <v>80.0</v>
      </c>
      <c r="E1024" s="1" t="s">
        <v>84</v>
      </c>
      <c r="F1024" s="67"/>
      <c r="G1024" s="67"/>
      <c r="J1024">
        <f>80+300+80+120+30+450+549+50</f>
        <v>1659</v>
      </c>
      <c r="K1024">
        <f>1680*2-(0.18*1680*2)</f>
        <v>2755.2</v>
      </c>
    </row>
    <row r="1025">
      <c r="A1025" s="1" t="s">
        <v>255</v>
      </c>
      <c r="B1025" s="73">
        <v>43456.0</v>
      </c>
      <c r="C1025" s="83">
        <v>36.04</v>
      </c>
      <c r="E1025" s="1" t="s">
        <v>11</v>
      </c>
      <c r="F1025" s="83">
        <v>0.0</v>
      </c>
      <c r="G1025" s="83">
        <v>0.0</v>
      </c>
      <c r="K1025">
        <f>K1024-J1024</f>
        <v>1096.2</v>
      </c>
    </row>
    <row r="1026">
      <c r="A1026" s="1" t="s">
        <v>163</v>
      </c>
      <c r="B1026" s="73">
        <v>43456.0</v>
      </c>
      <c r="C1026" s="83">
        <v>25.0</v>
      </c>
      <c r="D1026" s="52">
        <v>4.10134368E8</v>
      </c>
      <c r="E1026" s="1" t="s">
        <v>69</v>
      </c>
      <c r="F1026" s="67"/>
      <c r="G1026" s="67"/>
      <c r="J1026" s="1">
        <f>4000+9000+3000</f>
        <v>16000</v>
      </c>
    </row>
    <row r="1027">
      <c r="A1027" s="1" t="s">
        <v>27</v>
      </c>
      <c r="B1027" s="1">
        <v>0.0</v>
      </c>
      <c r="C1027" s="67"/>
      <c r="F1027" s="67"/>
      <c r="G1027" s="67"/>
    </row>
    <row r="1028">
      <c r="A1028" s="1" t="s">
        <v>199</v>
      </c>
      <c r="B1028" s="1">
        <v>0.0</v>
      </c>
      <c r="C1028" s="67"/>
      <c r="F1028" s="67"/>
      <c r="G1028" s="67"/>
    </row>
    <row r="1029">
      <c r="A1029" s="1" t="s">
        <v>29</v>
      </c>
      <c r="B1029" s="73">
        <v>43804.0</v>
      </c>
      <c r="C1029" s="83">
        <v>11.63</v>
      </c>
      <c r="D1029" s="1">
        <v>4.074689519E9</v>
      </c>
      <c r="E1029" s="1" t="s">
        <v>11</v>
      </c>
      <c r="F1029" s="83">
        <v>0.0</v>
      </c>
      <c r="G1029" s="83">
        <v>11.63</v>
      </c>
    </row>
    <row r="1030">
      <c r="A1030" s="1" t="s">
        <v>84</v>
      </c>
      <c r="B1030" s="73">
        <v>43804.0</v>
      </c>
      <c r="C1030" s="83">
        <v>300.0</v>
      </c>
      <c r="E1030" s="1" t="s">
        <v>11</v>
      </c>
      <c r="F1030" s="67"/>
      <c r="G1030" s="67"/>
    </row>
    <row r="1031">
      <c r="A1031" s="1" t="s">
        <v>425</v>
      </c>
      <c r="B1031" s="73">
        <v>43804.0</v>
      </c>
      <c r="C1031" s="83">
        <v>27.0</v>
      </c>
      <c r="E1031" s="1" t="s">
        <v>11</v>
      </c>
      <c r="F1031" s="83">
        <v>0.0</v>
      </c>
      <c r="G1031" s="83">
        <f>41.25-27</f>
        <v>14.25</v>
      </c>
    </row>
    <row r="1032">
      <c r="A1032" s="1" t="s">
        <v>364</v>
      </c>
      <c r="B1032" s="73">
        <v>43804.0</v>
      </c>
      <c r="C1032" s="83">
        <v>25.0</v>
      </c>
      <c r="E1032" s="1" t="s">
        <v>11</v>
      </c>
      <c r="F1032" s="67"/>
      <c r="G1032" s="83">
        <f>30.92-25</f>
        <v>5.92</v>
      </c>
    </row>
    <row r="1033">
      <c r="A1033" s="1" t="s">
        <v>414</v>
      </c>
      <c r="B1033" s="73">
        <v>43804.0</v>
      </c>
      <c r="C1033" s="83">
        <v>81.8</v>
      </c>
      <c r="D1033" s="35">
        <v>2.19870882E8</v>
      </c>
      <c r="E1033" s="1" t="s">
        <v>11</v>
      </c>
      <c r="F1033" s="67"/>
      <c r="G1033" s="67"/>
    </row>
    <row r="1034">
      <c r="A1034" s="1" t="s">
        <v>444</v>
      </c>
      <c r="B1034" s="73">
        <v>43804.0</v>
      </c>
      <c r="C1034" s="83">
        <v>2.63</v>
      </c>
      <c r="D1034" s="85">
        <v>1.76998743E9</v>
      </c>
      <c r="E1034" s="1" t="s">
        <v>11</v>
      </c>
      <c r="F1034" s="83">
        <v>0.0</v>
      </c>
      <c r="G1034" s="83">
        <v>0.0</v>
      </c>
    </row>
    <row r="1035">
      <c r="A1035" s="1" t="s">
        <v>258</v>
      </c>
      <c r="B1035" s="1" t="s">
        <v>446</v>
      </c>
      <c r="C1035" s="83">
        <v>0.0</v>
      </c>
      <c r="F1035" s="67"/>
      <c r="G1035" s="67"/>
    </row>
    <row r="1036">
      <c r="A1036" s="1" t="s">
        <v>286</v>
      </c>
      <c r="B1036" s="73">
        <v>43804.0</v>
      </c>
      <c r="C1036" s="83">
        <v>82.32</v>
      </c>
      <c r="E1036" s="1" t="s">
        <v>11</v>
      </c>
      <c r="F1036" s="67"/>
      <c r="G1036" s="83">
        <v>0.0</v>
      </c>
    </row>
    <row r="1037">
      <c r="A1037" s="1" t="s">
        <v>35</v>
      </c>
      <c r="B1037" s="73">
        <v>43804.0</v>
      </c>
      <c r="C1037" s="83">
        <v>8.06</v>
      </c>
      <c r="D1037" s="86" t="s">
        <v>447</v>
      </c>
      <c r="E1037" s="1" t="s">
        <v>8</v>
      </c>
      <c r="F1037" s="83">
        <v>0.0</v>
      </c>
      <c r="G1037" s="67"/>
      <c r="H1037" s="1" t="s">
        <v>11</v>
      </c>
      <c r="I1037">
        <f>684.14-11.63-300-27-2.63-25-81.8-82.32-90</f>
        <v>63.76</v>
      </c>
      <c r="J1037">
        <f>652.9-29.99-7.49-595</f>
        <v>20.42</v>
      </c>
    </row>
    <row r="1038">
      <c r="A1038" s="1" t="s">
        <v>226</v>
      </c>
      <c r="B1038" s="73">
        <v>43484.0</v>
      </c>
      <c r="C1038" s="83">
        <v>29.0</v>
      </c>
      <c r="D1038" s="1" t="s">
        <v>448</v>
      </c>
      <c r="E1038" s="1" t="s">
        <v>11</v>
      </c>
      <c r="F1038" s="83">
        <v>0.0</v>
      </c>
      <c r="G1038" s="83">
        <v>0.0</v>
      </c>
      <c r="H1038" s="1" t="s">
        <v>8</v>
      </c>
      <c r="I1038">
        <f>4251.59-8.06-120-41.25</f>
        <v>4082.28</v>
      </c>
      <c r="J1038">
        <f>4820.97</f>
        <v>4820.97</v>
      </c>
    </row>
    <row r="1039">
      <c r="A1039" s="1" t="s">
        <v>380</v>
      </c>
      <c r="B1039" s="73">
        <v>43478.0</v>
      </c>
      <c r="C1039" s="83">
        <v>41.25</v>
      </c>
      <c r="F1039" s="67"/>
      <c r="G1039" s="67"/>
    </row>
    <row r="1040">
      <c r="A1040" s="1" t="s">
        <v>336</v>
      </c>
      <c r="B1040" s="75"/>
      <c r="C1040" s="83">
        <v>0.0</v>
      </c>
      <c r="F1040" s="67"/>
      <c r="G1040" s="67"/>
    </row>
    <row r="1041">
      <c r="A1041" s="1" t="s">
        <v>239</v>
      </c>
      <c r="B1041" s="73">
        <v>43484.0</v>
      </c>
      <c r="C1041" s="83">
        <v>7.49</v>
      </c>
      <c r="D1041" s="1">
        <v>1.12862053779422E14</v>
      </c>
      <c r="E1041" s="1" t="s">
        <v>11</v>
      </c>
      <c r="F1041" s="83">
        <v>0.0</v>
      </c>
      <c r="G1041" s="83">
        <v>0.0</v>
      </c>
    </row>
    <row r="1042">
      <c r="A1042" s="1" t="s">
        <v>375</v>
      </c>
      <c r="B1042" s="73">
        <v>43484.0</v>
      </c>
      <c r="C1042" s="83">
        <v>595.0</v>
      </c>
      <c r="F1042" s="67"/>
      <c r="G1042" s="67"/>
    </row>
    <row r="1043">
      <c r="A1043" s="1" t="s">
        <v>419</v>
      </c>
      <c r="B1043" s="75"/>
      <c r="C1043" s="83">
        <v>549.0</v>
      </c>
      <c r="F1043" s="67"/>
      <c r="G1043" s="67"/>
    </row>
    <row r="1044">
      <c r="A1044" s="1" t="s">
        <v>41</v>
      </c>
      <c r="C1044" s="67">
        <f>sum(C1023:C1043)</f>
        <v>1991.22</v>
      </c>
      <c r="G1044" s="67"/>
    </row>
    <row r="1045">
      <c r="A1045" s="1"/>
    </row>
    <row r="1046">
      <c r="A1046" s="1"/>
    </row>
    <row r="1047">
      <c r="A1047" s="78">
        <v>43497.0</v>
      </c>
    </row>
    <row r="1048">
      <c r="A1048" s="1" t="s">
        <v>423</v>
      </c>
      <c r="B1048">
        <f>3400+500</f>
        <v>3900</v>
      </c>
      <c r="H1048" s="1" t="s">
        <v>11</v>
      </c>
      <c r="I1048" s="1">
        <f>645.42-120-5.92-50-300-14.25-12.33-60-89.86+40</f>
        <v>33.06</v>
      </c>
    </row>
    <row r="1049">
      <c r="A1049" s="1" t="s">
        <v>231</v>
      </c>
      <c r="B1049" s="36">
        <v>43498.0</v>
      </c>
      <c r="C1049" s="1">
        <v>120.0</v>
      </c>
      <c r="D1049" s="1">
        <v>4517.0</v>
      </c>
      <c r="E1049" s="1" t="s">
        <v>11</v>
      </c>
      <c r="F1049" s="1">
        <v>0.74</v>
      </c>
      <c r="G1049" s="1">
        <v>46.28</v>
      </c>
      <c r="H1049" s="1" t="s">
        <v>8</v>
      </c>
      <c r="I1049">
        <f>5362.91-549-89.86-1300</f>
        <v>3424.05</v>
      </c>
    </row>
    <row r="1050">
      <c r="A1050" s="1" t="s">
        <v>429</v>
      </c>
      <c r="C1050" s="87">
        <v>80.0</v>
      </c>
    </row>
    <row r="1051">
      <c r="A1051" s="1" t="s">
        <v>255</v>
      </c>
      <c r="B1051" s="1">
        <v>0.0</v>
      </c>
    </row>
    <row r="1052">
      <c r="A1052" s="1" t="s">
        <v>163</v>
      </c>
      <c r="B1052" s="36">
        <v>43498.0</v>
      </c>
      <c r="C1052" s="1">
        <v>50.0</v>
      </c>
      <c r="D1052" s="1">
        <v>4.10423674E8</v>
      </c>
      <c r="E1052" s="1" t="s">
        <v>11</v>
      </c>
      <c r="F1052" s="1">
        <v>2.3</v>
      </c>
      <c r="G1052" s="1">
        <v>148.78</v>
      </c>
    </row>
    <row r="1053">
      <c r="A1053" s="1" t="s">
        <v>449</v>
      </c>
      <c r="B1053" s="36">
        <v>43503.0</v>
      </c>
      <c r="C1053" s="87">
        <v>514.0</v>
      </c>
      <c r="D1053" s="1"/>
      <c r="E1053" s="1" t="s">
        <v>8</v>
      </c>
      <c r="F1053" s="1"/>
      <c r="G1053" s="1"/>
    </row>
    <row r="1054">
      <c r="A1054" s="1" t="s">
        <v>27</v>
      </c>
      <c r="B1054" s="1">
        <v>0.0</v>
      </c>
    </row>
    <row r="1055">
      <c r="A1055" s="1" t="s">
        <v>199</v>
      </c>
      <c r="B1055" s="1">
        <v>0.0</v>
      </c>
    </row>
    <row r="1056">
      <c r="A1056" s="1" t="s">
        <v>29</v>
      </c>
      <c r="B1056" s="1">
        <v>0.0</v>
      </c>
    </row>
    <row r="1057">
      <c r="A1057" s="1" t="s">
        <v>84</v>
      </c>
      <c r="B1057" s="36">
        <v>43498.0</v>
      </c>
      <c r="C1057" s="87">
        <v>300.0</v>
      </c>
    </row>
    <row r="1058">
      <c r="A1058" s="1" t="s">
        <v>425</v>
      </c>
      <c r="B1058" s="36">
        <v>43498.0</v>
      </c>
      <c r="C1058" s="1">
        <v>14.25</v>
      </c>
      <c r="E1058" s="1" t="s">
        <v>11</v>
      </c>
      <c r="G1058" s="1">
        <v>0.0</v>
      </c>
    </row>
    <row r="1059">
      <c r="A1059" s="1" t="s">
        <v>364</v>
      </c>
      <c r="B1059" s="36">
        <v>43498.0</v>
      </c>
      <c r="C1059" s="1">
        <v>5.64</v>
      </c>
      <c r="D1059" s="1">
        <v>6654.0</v>
      </c>
      <c r="E1059" s="1" t="s">
        <v>11</v>
      </c>
      <c r="F1059" s="1">
        <v>0.0</v>
      </c>
      <c r="G1059" s="1">
        <v>0.0</v>
      </c>
    </row>
    <row r="1060">
      <c r="A1060" s="1" t="s">
        <v>414</v>
      </c>
      <c r="B1060" s="36">
        <v>43498.0</v>
      </c>
      <c r="C1060" s="87">
        <v>89.86</v>
      </c>
      <c r="D1060" s="35">
        <v>2.20800575E8</v>
      </c>
      <c r="E1060" s="1" t="s">
        <v>8</v>
      </c>
      <c r="F1060" s="1">
        <v>0.0</v>
      </c>
      <c r="G1060" s="1">
        <v>0.0</v>
      </c>
      <c r="I1060" s="1" t="s">
        <v>8</v>
      </c>
      <c r="J1060">
        <f>3643.24-63.65</f>
        <v>3579.59</v>
      </c>
    </row>
    <row r="1061">
      <c r="A1061" s="1" t="s">
        <v>450</v>
      </c>
      <c r="B1061" s="36">
        <v>43498.0</v>
      </c>
      <c r="C1061" s="1">
        <v>12.33</v>
      </c>
      <c r="E1061" s="1" t="s">
        <v>11</v>
      </c>
      <c r="G1061" s="1">
        <v>0.0</v>
      </c>
      <c r="I1061" s="1" t="s">
        <v>11</v>
      </c>
      <c r="J1061">
        <f>633.06-268.67</f>
        <v>364.39</v>
      </c>
    </row>
    <row r="1062">
      <c r="A1062" s="1" t="s">
        <v>258</v>
      </c>
      <c r="B1062" s="1" t="s">
        <v>451</v>
      </c>
      <c r="C1062" s="87">
        <v>119.0</v>
      </c>
      <c r="E1062" s="1" t="s">
        <v>84</v>
      </c>
    </row>
    <row r="1063">
      <c r="A1063" s="1" t="s">
        <v>286</v>
      </c>
      <c r="B1063" s="1">
        <v>0.0</v>
      </c>
    </row>
    <row r="1064">
      <c r="A1064" s="1" t="s">
        <v>35</v>
      </c>
      <c r="B1064" s="36">
        <v>43511.0</v>
      </c>
      <c r="C1064" s="1">
        <v>63.65</v>
      </c>
      <c r="D1064" s="1" t="s">
        <v>452</v>
      </c>
      <c r="E1064" s="1" t="s">
        <v>11</v>
      </c>
      <c r="F1064" s="1">
        <v>0.0</v>
      </c>
      <c r="G1064" s="1">
        <v>0.0</v>
      </c>
    </row>
    <row r="1065">
      <c r="A1065" s="1" t="s">
        <v>226</v>
      </c>
      <c r="B1065" s="1">
        <v>0.0</v>
      </c>
    </row>
    <row r="1066">
      <c r="A1066" s="1" t="s">
        <v>453</v>
      </c>
      <c r="B1066" s="1" t="s">
        <v>451</v>
      </c>
      <c r="C1066" s="1">
        <v>21.67</v>
      </c>
      <c r="E1066" s="1" t="s">
        <v>84</v>
      </c>
    </row>
    <row r="1067">
      <c r="A1067" s="1" t="s">
        <v>336</v>
      </c>
    </row>
    <row r="1068">
      <c r="A1068" s="1" t="s">
        <v>239</v>
      </c>
      <c r="B1068" s="1">
        <v>0.0</v>
      </c>
    </row>
    <row r="1069">
      <c r="A1069" s="1" t="s">
        <v>375</v>
      </c>
      <c r="C1069" s="87">
        <v>696.0</v>
      </c>
    </row>
    <row r="1070">
      <c r="A1070" s="1" t="s">
        <v>419</v>
      </c>
      <c r="B1070" s="36">
        <v>43525.0</v>
      </c>
      <c r="C1070" s="87">
        <v>549.0</v>
      </c>
    </row>
    <row r="1071">
      <c r="A1071" s="1" t="s">
        <v>41</v>
      </c>
      <c r="C1071">
        <f>sum(C1049:C1070)</f>
        <v>2635.4</v>
      </c>
    </row>
    <row r="1072">
      <c r="A1072" s="1"/>
    </row>
    <row r="1073">
      <c r="A1073" s="78">
        <v>43525.0</v>
      </c>
    </row>
    <row r="1074">
      <c r="A1074" s="1" t="s">
        <v>423</v>
      </c>
      <c r="B1074" s="36">
        <v>43526.0</v>
      </c>
      <c r="C1074" s="1">
        <f>4043-514</f>
        <v>3529</v>
      </c>
      <c r="D1074" s="88"/>
      <c r="I1074" s="1" t="s">
        <v>8</v>
      </c>
      <c r="J1074">
        <f>4043-549</f>
        <v>3494</v>
      </c>
      <c r="K1074">
        <f>5460.58-119-21.67+500</f>
        <v>5819.91</v>
      </c>
    </row>
    <row r="1075">
      <c r="A1075" s="1" t="s">
        <v>231</v>
      </c>
      <c r="B1075" s="36">
        <v>43526.0</v>
      </c>
      <c r="C1075" s="1">
        <v>49.26</v>
      </c>
      <c r="D1075" s="31">
        <v>6589.0</v>
      </c>
      <c r="E1075" s="1" t="s">
        <v>11</v>
      </c>
      <c r="I1075" s="1" t="s">
        <v>11</v>
      </c>
      <c r="J1075">
        <f>1143-696-190-49.26-80-30</f>
        <v>97.74</v>
      </c>
      <c r="K1075">
        <f>1688.58-996-300-200-93.81-50</f>
        <v>48.77</v>
      </c>
    </row>
    <row r="1076">
      <c r="A1076" s="1" t="s">
        <v>429</v>
      </c>
      <c r="B1076" s="36">
        <v>43526.0</v>
      </c>
      <c r="C1076" s="1">
        <v>80.0</v>
      </c>
      <c r="D1076" s="88"/>
      <c r="E1076" s="1" t="s">
        <v>11</v>
      </c>
    </row>
    <row r="1077">
      <c r="A1077" s="1" t="s">
        <v>255</v>
      </c>
      <c r="C1077" s="1">
        <v>0.0</v>
      </c>
      <c r="D1077" s="88"/>
    </row>
    <row r="1078">
      <c r="A1078" s="1" t="s">
        <v>163</v>
      </c>
      <c r="B1078" s="36">
        <v>43526.0</v>
      </c>
      <c r="C1078" s="1">
        <v>30.0</v>
      </c>
      <c r="D1078" s="31">
        <v>4.10629568E8</v>
      </c>
      <c r="E1078" s="1" t="s">
        <v>11</v>
      </c>
      <c r="G1078" s="1">
        <v>177.0</v>
      </c>
    </row>
    <row r="1079">
      <c r="A1079" s="1" t="s">
        <v>449</v>
      </c>
      <c r="B1079" s="36">
        <v>43161.0</v>
      </c>
      <c r="C1079" s="1">
        <v>514.0</v>
      </c>
      <c r="E1079" s="1" t="s">
        <v>49</v>
      </c>
    </row>
    <row r="1080">
      <c r="A1080" s="1" t="s">
        <v>27</v>
      </c>
      <c r="C1080" s="1">
        <v>0.0</v>
      </c>
    </row>
    <row r="1081">
      <c r="A1081" s="1" t="s">
        <v>199</v>
      </c>
      <c r="C1081" s="1">
        <v>0.0</v>
      </c>
    </row>
    <row r="1082">
      <c r="A1082" s="1" t="s">
        <v>29</v>
      </c>
      <c r="C1082" s="1">
        <v>0.0</v>
      </c>
    </row>
    <row r="1083">
      <c r="A1083" s="1" t="s">
        <v>84</v>
      </c>
      <c r="B1083" s="36">
        <v>43540.0</v>
      </c>
      <c r="C1083" s="1">
        <f>300+200</f>
        <v>500</v>
      </c>
      <c r="E1083" s="1" t="s">
        <v>11</v>
      </c>
    </row>
    <row r="1084">
      <c r="A1084" s="1" t="s">
        <v>425</v>
      </c>
      <c r="C1084" s="1">
        <v>0.0</v>
      </c>
    </row>
    <row r="1085">
      <c r="A1085" s="1" t="s">
        <v>364</v>
      </c>
      <c r="C1085" s="1">
        <v>0.0</v>
      </c>
    </row>
    <row r="1086">
      <c r="A1086" s="1" t="s">
        <v>414</v>
      </c>
      <c r="B1086" s="36">
        <v>43540.0</v>
      </c>
      <c r="C1086" s="1">
        <v>93.81</v>
      </c>
      <c r="D1086" s="35">
        <v>2.22335445E8</v>
      </c>
      <c r="E1086" s="1" t="s">
        <v>11</v>
      </c>
    </row>
    <row r="1087">
      <c r="A1087" s="1" t="s">
        <v>450</v>
      </c>
      <c r="B1087" s="36">
        <v>43540.0</v>
      </c>
      <c r="C1087" s="1">
        <v>50.0</v>
      </c>
      <c r="D1087" s="85">
        <v>1.827695677E9</v>
      </c>
      <c r="E1087" s="1" t="s">
        <v>11</v>
      </c>
      <c r="G1087" s="89">
        <f>117.74-50</f>
        <v>67.74</v>
      </c>
    </row>
    <row r="1088">
      <c r="A1088" s="1" t="s">
        <v>258</v>
      </c>
      <c r="B1088" s="36">
        <v>43540.0</v>
      </c>
      <c r="C1088" s="1">
        <v>119.0</v>
      </c>
      <c r="E1088" s="1" t="s">
        <v>8</v>
      </c>
    </row>
    <row r="1089">
      <c r="A1089" s="1" t="s">
        <v>286</v>
      </c>
      <c r="C1089" s="1">
        <v>0.0</v>
      </c>
      <c r="G1089" s="1">
        <v>46.0</v>
      </c>
    </row>
    <row r="1090">
      <c r="A1090" s="1" t="s">
        <v>35</v>
      </c>
      <c r="B1090" s="1">
        <v>0.0</v>
      </c>
      <c r="C1090" s="1">
        <v>0.0</v>
      </c>
    </row>
    <row r="1091">
      <c r="A1091" s="1" t="s">
        <v>226</v>
      </c>
      <c r="B1091" s="1">
        <v>0.0</v>
      </c>
      <c r="C1091" s="1">
        <v>1.0</v>
      </c>
    </row>
    <row r="1092">
      <c r="A1092" s="1" t="s">
        <v>453</v>
      </c>
      <c r="B1092" s="36">
        <v>43540.0</v>
      </c>
      <c r="C1092" s="1">
        <v>21.67</v>
      </c>
      <c r="E1092" s="1" t="s">
        <v>8</v>
      </c>
    </row>
    <row r="1093">
      <c r="A1093" s="1" t="s">
        <v>336</v>
      </c>
      <c r="C1093" s="1">
        <v>0.0</v>
      </c>
    </row>
    <row r="1094">
      <c r="A1094" s="1" t="s">
        <v>239</v>
      </c>
      <c r="B1094" s="1">
        <v>0.0</v>
      </c>
      <c r="C1094" s="1">
        <v>0.0</v>
      </c>
    </row>
    <row r="1095">
      <c r="A1095" s="1" t="s">
        <v>375</v>
      </c>
      <c r="B1095" s="36">
        <v>43553.0</v>
      </c>
      <c r="C1095" s="1">
        <v>620.94</v>
      </c>
    </row>
    <row r="1096">
      <c r="A1096" s="1" t="s">
        <v>419</v>
      </c>
      <c r="B1096" s="36">
        <v>43553.0</v>
      </c>
      <c r="C1096" s="1">
        <v>549.0</v>
      </c>
    </row>
    <row r="1097">
      <c r="A1097" s="1" t="s">
        <v>41</v>
      </c>
      <c r="C1097">
        <f>sum(C1075:C1096)</f>
        <v>2628.68</v>
      </c>
    </row>
    <row r="1098">
      <c r="A1098" s="1"/>
    </row>
    <row r="1099">
      <c r="A1099" s="1"/>
    </row>
    <row r="1100">
      <c r="A1100" s="78">
        <v>43556.0</v>
      </c>
      <c r="I1100" s="1" t="s">
        <v>8</v>
      </c>
      <c r="J1100" s="1" t="s">
        <v>11</v>
      </c>
      <c r="K1100" s="1" t="s">
        <v>41</v>
      </c>
    </row>
    <row r="1101">
      <c r="A1101" s="1" t="s">
        <v>423</v>
      </c>
      <c r="I1101" s="1">
        <v>5923.56</v>
      </c>
      <c r="J1101">
        <f>637.91-80-48.6</f>
        <v>509.31</v>
      </c>
      <c r="K1101">
        <f>J1101+I1102</f>
        <v>4748.93</v>
      </c>
    </row>
    <row r="1102">
      <c r="A1102" s="1" t="s">
        <v>231</v>
      </c>
      <c r="B1102" s="1">
        <v>0.0</v>
      </c>
      <c r="C1102" s="1">
        <v>0.0</v>
      </c>
      <c r="D1102" s="1">
        <v>0.0</v>
      </c>
      <c r="E1102" s="1">
        <v>0.0</v>
      </c>
      <c r="F1102" s="1">
        <v>0.0</v>
      </c>
      <c r="G1102" s="1">
        <v>75.73</v>
      </c>
      <c r="I1102">
        <f>I1101-620.94-549-514</f>
        <v>4239.62</v>
      </c>
    </row>
    <row r="1103">
      <c r="A1103" s="1" t="s">
        <v>429</v>
      </c>
      <c r="B1103" s="36">
        <v>43553.0</v>
      </c>
      <c r="C1103" s="1">
        <v>80.0</v>
      </c>
    </row>
    <row r="1104">
      <c r="A1104" s="1" t="s">
        <v>255</v>
      </c>
      <c r="B1104" s="1">
        <v>0.0</v>
      </c>
    </row>
    <row r="1105">
      <c r="A1105" s="1" t="s">
        <v>163</v>
      </c>
      <c r="B1105" s="36">
        <v>43553.0</v>
      </c>
      <c r="C1105" s="1">
        <v>48.6</v>
      </c>
      <c r="D1105" s="36"/>
      <c r="G1105" s="1">
        <v>50.0</v>
      </c>
    </row>
    <row r="1106">
      <c r="A1106" s="1" t="s">
        <v>449</v>
      </c>
      <c r="C1106" s="1">
        <v>514.0</v>
      </c>
    </row>
    <row r="1107">
      <c r="A1107" s="1" t="s">
        <v>27</v>
      </c>
      <c r="C1107" s="1">
        <v>0.0</v>
      </c>
    </row>
    <row r="1108">
      <c r="A1108" s="1" t="s">
        <v>199</v>
      </c>
      <c r="C1108" s="1">
        <v>0.0</v>
      </c>
    </row>
    <row r="1109">
      <c r="A1109" s="1" t="s">
        <v>29</v>
      </c>
      <c r="B1109" s="36">
        <v>43568.0</v>
      </c>
      <c r="C1109" s="1">
        <v>10.49</v>
      </c>
      <c r="D1109" s="22" t="s">
        <v>454</v>
      </c>
      <c r="E1109" s="1" t="s">
        <v>11</v>
      </c>
      <c r="F1109" s="1">
        <v>0.0</v>
      </c>
      <c r="G1109" s="1">
        <v>0.0</v>
      </c>
    </row>
    <row r="1110">
      <c r="A1110" s="1" t="s">
        <v>84</v>
      </c>
      <c r="B1110" s="36">
        <v>43568.0</v>
      </c>
      <c r="C1110" s="1">
        <v>300.0</v>
      </c>
    </row>
    <row r="1111">
      <c r="A1111" s="1" t="s">
        <v>425</v>
      </c>
      <c r="B1111" s="1">
        <v>0.0</v>
      </c>
      <c r="C1111" s="1">
        <v>0.0</v>
      </c>
    </row>
    <row r="1112">
      <c r="A1112" s="1" t="s">
        <v>364</v>
      </c>
      <c r="C1112" s="1">
        <v>0.0</v>
      </c>
    </row>
    <row r="1113">
      <c r="A1113" s="1" t="s">
        <v>414</v>
      </c>
      <c r="B1113" s="36">
        <v>43568.0</v>
      </c>
      <c r="C1113" s="1">
        <v>82.54</v>
      </c>
      <c r="D1113" s="35">
        <v>2.23343562E8</v>
      </c>
      <c r="I1113" s="1" t="s">
        <v>8</v>
      </c>
      <c r="J1113" s="1" t="s">
        <v>11</v>
      </c>
      <c r="K1113" s="1" t="s">
        <v>41</v>
      </c>
      <c r="M1113" s="1" t="s">
        <v>84</v>
      </c>
    </row>
    <row r="1114">
      <c r="A1114" s="1" t="s">
        <v>450</v>
      </c>
      <c r="B1114" s="36">
        <v>43568.0</v>
      </c>
      <c r="C1114" s="1">
        <v>30.0</v>
      </c>
      <c r="D1114" s="85">
        <v>1.848865933E9</v>
      </c>
      <c r="E1114" s="1" t="s">
        <v>11</v>
      </c>
      <c r="G1114" s="1">
        <v>39.24</v>
      </c>
      <c r="I1114">
        <f>4844.423</f>
        <v>4844.423</v>
      </c>
      <c r="J1114">
        <f>1109.31-10.49-300-30-82.54-120-48.62-21-39.47</f>
        <v>457.19</v>
      </c>
      <c r="K1114">
        <f>I1114+J1114</f>
        <v>5301.613</v>
      </c>
      <c r="M1114" s="1">
        <f>420+21</f>
        <v>441</v>
      </c>
    </row>
    <row r="1115">
      <c r="A1115" s="1" t="s">
        <v>258</v>
      </c>
      <c r="B1115" s="36">
        <v>43568.0</v>
      </c>
      <c r="C1115" s="1">
        <v>120.0</v>
      </c>
      <c r="D1115" s="1" t="s">
        <v>84</v>
      </c>
      <c r="E1115" s="1" t="s">
        <v>11</v>
      </c>
    </row>
    <row r="1116">
      <c r="A1116" s="1" t="s">
        <v>286</v>
      </c>
      <c r="B1116" s="36">
        <v>43568.0</v>
      </c>
      <c r="C1116" s="1">
        <v>48.62</v>
      </c>
      <c r="D1116" s="76" t="s">
        <v>455</v>
      </c>
      <c r="E1116" s="1" t="s">
        <v>11</v>
      </c>
      <c r="G1116" s="1">
        <v>20.0</v>
      </c>
    </row>
    <row r="1117">
      <c r="A1117" s="1" t="s">
        <v>35</v>
      </c>
      <c r="C1117" s="1">
        <v>0.0</v>
      </c>
    </row>
    <row r="1118">
      <c r="A1118" s="1" t="s">
        <v>226</v>
      </c>
      <c r="C1118" s="1">
        <v>0.0</v>
      </c>
    </row>
    <row r="1119">
      <c r="A1119" s="1" t="s">
        <v>453</v>
      </c>
      <c r="B1119" s="36">
        <v>43568.0</v>
      </c>
      <c r="C1119" s="1">
        <v>21.0</v>
      </c>
      <c r="D1119" s="1" t="s">
        <v>84</v>
      </c>
      <c r="E1119" s="1" t="s">
        <v>11</v>
      </c>
    </row>
    <row r="1120">
      <c r="A1120" s="1" t="s">
        <v>336</v>
      </c>
      <c r="B1120" s="36">
        <v>43568.0</v>
      </c>
      <c r="C1120" s="1">
        <v>39.47</v>
      </c>
      <c r="D1120" s="90" t="s">
        <v>456</v>
      </c>
      <c r="E1120" s="1" t="s">
        <v>11</v>
      </c>
      <c r="G1120" s="1">
        <v>10.0</v>
      </c>
    </row>
    <row r="1121">
      <c r="A1121" s="1" t="s">
        <v>239</v>
      </c>
      <c r="B1121" s="1">
        <v>0.0</v>
      </c>
    </row>
    <row r="1122">
      <c r="A1122" s="1" t="s">
        <v>375</v>
      </c>
      <c r="B1122" s="36">
        <v>43583.0</v>
      </c>
      <c r="C1122" s="1">
        <v>693.27</v>
      </c>
    </row>
    <row r="1123">
      <c r="A1123" s="1" t="s">
        <v>419</v>
      </c>
      <c r="B1123" s="36">
        <v>43583.0</v>
      </c>
      <c r="C1123" s="1">
        <v>549.0</v>
      </c>
    </row>
    <row r="1124">
      <c r="A1124" s="1" t="s">
        <v>41</v>
      </c>
      <c r="C1124">
        <f>sum(C1102:C1123)</f>
        <v>2536.99</v>
      </c>
    </row>
    <row r="1125">
      <c r="A1125" s="1"/>
    </row>
    <row r="1126">
      <c r="A1126" s="1"/>
    </row>
    <row r="1127">
      <c r="A1127" s="78">
        <v>43586.0</v>
      </c>
    </row>
    <row r="1128">
      <c r="A1128" s="1" t="s">
        <v>423</v>
      </c>
    </row>
    <row r="1129">
      <c r="A1129" s="1" t="s">
        <v>231</v>
      </c>
      <c r="B1129" s="36">
        <v>43218.0</v>
      </c>
      <c r="C1129" s="1">
        <v>25.0</v>
      </c>
      <c r="E1129" s="1" t="s">
        <v>8</v>
      </c>
      <c r="G1129" s="1">
        <v>50.73</v>
      </c>
      <c r="H1129" s="91">
        <v>0.0999</v>
      </c>
      <c r="I1129" s="1" t="s">
        <v>8</v>
      </c>
      <c r="J1129" s="1" t="s">
        <v>11</v>
      </c>
      <c r="K1129" s="1" t="s">
        <v>41</v>
      </c>
      <c r="M1129" s="1" t="s">
        <v>84</v>
      </c>
      <c r="N1129" s="1" t="s">
        <v>48</v>
      </c>
    </row>
    <row r="1130">
      <c r="A1130" s="1" t="s">
        <v>429</v>
      </c>
      <c r="B1130" s="36">
        <v>43218.0</v>
      </c>
      <c r="C1130" s="1">
        <v>80.0</v>
      </c>
      <c r="E1130" s="1" t="s">
        <v>8</v>
      </c>
      <c r="I1130">
        <f>5477.81-693.27-25-80-30-514-549</f>
        <v>3586.54</v>
      </c>
      <c r="J1130">
        <f>1035.83-29.36</f>
        <v>1006.47</v>
      </c>
      <c r="K1130">
        <f>I1130+J1130+514</f>
        <v>5107.01</v>
      </c>
      <c r="M1130">
        <f>C1122+80</f>
        <v>773.27</v>
      </c>
      <c r="N1130" s="1" t="s">
        <v>457</v>
      </c>
    </row>
    <row r="1131">
      <c r="A1131" s="1" t="s">
        <v>255</v>
      </c>
      <c r="C1131" s="1">
        <v>0.0</v>
      </c>
      <c r="G1131" s="1">
        <v>10.0</v>
      </c>
      <c r="M1131" s="1" t="s">
        <v>8</v>
      </c>
    </row>
    <row r="1132">
      <c r="A1132" s="1" t="s">
        <v>163</v>
      </c>
      <c r="B1132" s="36">
        <v>43583.0</v>
      </c>
      <c r="C1132" s="1">
        <v>30.0</v>
      </c>
      <c r="D1132" s="52">
        <v>4.11063964E8</v>
      </c>
      <c r="E1132" s="1" t="s">
        <v>8</v>
      </c>
      <c r="G1132" s="1">
        <v>71.29</v>
      </c>
      <c r="I1132" s="1" t="s">
        <v>8</v>
      </c>
      <c r="J1132" s="1" t="s">
        <v>11</v>
      </c>
    </row>
    <row r="1133">
      <c r="A1133" s="1" t="s">
        <v>449</v>
      </c>
      <c r="B1133" s="36">
        <v>43583.0</v>
      </c>
      <c r="C1133" s="1">
        <v>549.0</v>
      </c>
      <c r="E1133" s="1" t="s">
        <v>8</v>
      </c>
      <c r="I1133" s="1">
        <f>4231.44-111</f>
        <v>4120.44</v>
      </c>
      <c r="J1133" s="1">
        <f>2120.07-300-93.64-120-20.03-47.46-21-13.89</f>
        <v>1504.05</v>
      </c>
      <c r="K1133">
        <f>J1133+I1133</f>
        <v>5624.49</v>
      </c>
      <c r="M1133" s="1" t="s">
        <v>84</v>
      </c>
      <c r="N1133">
        <f>120+21+400</f>
        <v>541</v>
      </c>
    </row>
    <row r="1134">
      <c r="A1134" s="1" t="s">
        <v>27</v>
      </c>
      <c r="B1134" s="1">
        <v>0.0</v>
      </c>
      <c r="M1134" s="1" t="s">
        <v>356</v>
      </c>
      <c r="N1134" s="1">
        <v>111.0</v>
      </c>
    </row>
    <row r="1135">
      <c r="A1135" s="1" t="s">
        <v>199</v>
      </c>
      <c r="B1135" s="1">
        <v>0.0</v>
      </c>
    </row>
    <row r="1136">
      <c r="A1136" s="1" t="s">
        <v>29</v>
      </c>
      <c r="B1136" s="36">
        <v>43583.0</v>
      </c>
      <c r="C1136" s="1">
        <v>29.46</v>
      </c>
      <c r="E1136" s="1" t="s">
        <v>11</v>
      </c>
    </row>
    <row r="1137">
      <c r="A1137" s="1" t="s">
        <v>84</v>
      </c>
      <c r="B1137" s="36">
        <v>43233.0</v>
      </c>
      <c r="C1137" s="1">
        <v>400.0</v>
      </c>
      <c r="E1137" s="1" t="s">
        <v>11</v>
      </c>
    </row>
    <row r="1138">
      <c r="A1138" s="1" t="s">
        <v>425</v>
      </c>
      <c r="C1138" s="1">
        <v>0.0</v>
      </c>
    </row>
    <row r="1139">
      <c r="A1139" s="1" t="s">
        <v>364</v>
      </c>
      <c r="B1139" s="1">
        <v>0.0</v>
      </c>
    </row>
    <row r="1140">
      <c r="A1140" s="1" t="s">
        <v>414</v>
      </c>
      <c r="B1140" s="36">
        <v>43598.0</v>
      </c>
      <c r="C1140" s="1">
        <v>47.46</v>
      </c>
      <c r="D1140" s="35">
        <v>2.24459855E8</v>
      </c>
      <c r="E1140" s="1" t="s">
        <v>11</v>
      </c>
    </row>
    <row r="1141">
      <c r="A1141" s="1" t="s">
        <v>450</v>
      </c>
      <c r="B1141" s="36">
        <v>43598.0</v>
      </c>
      <c r="C1141" s="1">
        <v>92.64</v>
      </c>
      <c r="D1141" s="85">
        <v>1.87194112E9</v>
      </c>
      <c r="E1141" s="1" t="s">
        <v>11</v>
      </c>
    </row>
    <row r="1142">
      <c r="A1142" s="1" t="s">
        <v>258</v>
      </c>
      <c r="B1142" s="36">
        <v>43598.0</v>
      </c>
      <c r="C1142" s="1">
        <v>120.0</v>
      </c>
      <c r="E1142" s="1" t="s">
        <v>11</v>
      </c>
    </row>
    <row r="1143">
      <c r="A1143" s="1" t="s">
        <v>286</v>
      </c>
      <c r="B1143" s="36">
        <v>43598.0</v>
      </c>
      <c r="C1143" s="1">
        <v>20.03</v>
      </c>
      <c r="D1143" s="76" t="s">
        <v>458</v>
      </c>
      <c r="E1143" s="1" t="s">
        <v>11</v>
      </c>
    </row>
    <row r="1144">
      <c r="A1144" s="1" t="s">
        <v>35</v>
      </c>
      <c r="B1144" s="1">
        <v>0.0</v>
      </c>
    </row>
    <row r="1145">
      <c r="A1145" s="1" t="s">
        <v>226</v>
      </c>
      <c r="B1145" s="1">
        <v>0.0</v>
      </c>
      <c r="L1145" s="1" t="s">
        <v>84</v>
      </c>
    </row>
    <row r="1146">
      <c r="A1146" s="1" t="s">
        <v>453</v>
      </c>
      <c r="B1146" s="36">
        <v>43598.0</v>
      </c>
      <c r="C1146" s="1">
        <v>21.0</v>
      </c>
      <c r="D1146" s="1" t="s">
        <v>84</v>
      </c>
      <c r="H1146" s="1" t="s">
        <v>8</v>
      </c>
      <c r="I1146" s="1" t="s">
        <v>11</v>
      </c>
      <c r="L1146">
        <f>777+80+21</f>
        <v>878</v>
      </c>
      <c r="M1146" s="1" t="s">
        <v>11</v>
      </c>
    </row>
    <row r="1147">
      <c r="A1147" s="1" t="s">
        <v>336</v>
      </c>
      <c r="B1147" s="36">
        <v>43598.0</v>
      </c>
      <c r="C1147" s="1">
        <v>13.89</v>
      </c>
      <c r="D1147" s="90" t="s">
        <v>459</v>
      </c>
      <c r="H1147">
        <f>4822.22-549-514</f>
        <v>3759.22</v>
      </c>
      <c r="I1147">
        <f>1993.21-777-30-25-25-21</f>
        <v>1115.21</v>
      </c>
      <c r="J1147">
        <f>H1147+I1147</f>
        <v>4874.43</v>
      </c>
    </row>
    <row r="1148">
      <c r="A1148" s="1" t="s">
        <v>239</v>
      </c>
      <c r="B1148" s="1">
        <v>0.0</v>
      </c>
    </row>
    <row r="1149">
      <c r="A1149" s="1" t="s">
        <v>375</v>
      </c>
      <c r="B1149" s="36">
        <v>43610.0</v>
      </c>
      <c r="C1149" s="1">
        <v>777.0</v>
      </c>
    </row>
    <row r="1150">
      <c r="A1150" s="1" t="s">
        <v>419</v>
      </c>
      <c r="B1150" s="36">
        <v>43610.0</v>
      </c>
      <c r="C1150" s="1">
        <v>549.0</v>
      </c>
    </row>
    <row r="1151">
      <c r="A1151" s="1" t="s">
        <v>41</v>
      </c>
    </row>
    <row r="1152">
      <c r="A1152" s="1"/>
    </row>
    <row r="1153">
      <c r="A1153" s="78">
        <v>43617.0</v>
      </c>
      <c r="D1153" s="1"/>
    </row>
    <row r="1154">
      <c r="A1154" s="1" t="s">
        <v>231</v>
      </c>
      <c r="B1154" s="36">
        <v>43610.0</v>
      </c>
      <c r="C1154" s="1">
        <v>30.0</v>
      </c>
      <c r="D1154" s="1">
        <v>7189.0</v>
      </c>
      <c r="E1154" s="1" t="s">
        <v>11</v>
      </c>
      <c r="F1154" s="1">
        <v>0.0</v>
      </c>
      <c r="G1154" s="1">
        <v>21.73</v>
      </c>
    </row>
    <row r="1155">
      <c r="A1155" s="1" t="s">
        <v>429</v>
      </c>
      <c r="B1155" s="36">
        <v>43610.0</v>
      </c>
      <c r="C1155" s="1">
        <v>80.0</v>
      </c>
      <c r="D1155" s="1"/>
      <c r="E1155" s="1" t="s">
        <v>11</v>
      </c>
    </row>
    <row r="1156">
      <c r="A1156" s="1" t="s">
        <v>255</v>
      </c>
      <c r="B1156" s="1">
        <v>0.0</v>
      </c>
      <c r="D1156" s="1"/>
    </row>
    <row r="1157">
      <c r="A1157" s="1" t="s">
        <v>163</v>
      </c>
      <c r="B1157" s="36">
        <v>43610.0</v>
      </c>
      <c r="C1157" s="1">
        <v>25.0</v>
      </c>
      <c r="D1157" s="1">
        <v>4.11281503E8</v>
      </c>
      <c r="E1157" s="1" t="s">
        <v>11</v>
      </c>
      <c r="G1157" s="1">
        <v>47.0</v>
      </c>
    </row>
    <row r="1158">
      <c r="A1158" s="1" t="s">
        <v>449</v>
      </c>
      <c r="B1158" s="1" t="s">
        <v>31</v>
      </c>
      <c r="C1158" s="1">
        <v>514.0</v>
      </c>
      <c r="D1158" s="1"/>
      <c r="E1158" s="1" t="s">
        <v>8</v>
      </c>
    </row>
    <row r="1159">
      <c r="A1159" s="1" t="s">
        <v>27</v>
      </c>
      <c r="B1159" s="1">
        <v>0.0</v>
      </c>
      <c r="D1159" s="1"/>
    </row>
    <row r="1160">
      <c r="A1160" s="1" t="s">
        <v>199</v>
      </c>
      <c r="B1160" s="1">
        <v>0.0</v>
      </c>
      <c r="D1160" s="1"/>
    </row>
    <row r="1161">
      <c r="A1161" s="1" t="s">
        <v>29</v>
      </c>
      <c r="B1161" s="36">
        <v>43610.0</v>
      </c>
      <c r="C1161" s="1">
        <v>25.0</v>
      </c>
      <c r="D1161" s="1" t="s">
        <v>460</v>
      </c>
      <c r="E1161" s="1" t="s">
        <v>11</v>
      </c>
      <c r="G1161" s="1">
        <v>62.0</v>
      </c>
      <c r="H1161" s="1" t="s">
        <v>8</v>
      </c>
      <c r="I1161" s="1" t="s">
        <v>11</v>
      </c>
      <c r="J1161" s="1" t="s">
        <v>41</v>
      </c>
      <c r="K1161" s="1" t="s">
        <v>84</v>
      </c>
    </row>
    <row r="1162">
      <c r="A1162" s="1" t="s">
        <v>84</v>
      </c>
      <c r="B1162" s="36">
        <v>43623.0</v>
      </c>
      <c r="C1162" s="1">
        <v>300.0</v>
      </c>
      <c r="D1162" s="1"/>
      <c r="E1162" s="1" t="s">
        <v>11</v>
      </c>
      <c r="H1162">
        <f>4344.02</f>
        <v>4344.02</v>
      </c>
      <c r="I1162">
        <f>1676.21-300-52.99-11.99-120</f>
        <v>1191.23</v>
      </c>
      <c r="J1162">
        <f>H1162+I1162</f>
        <v>5535.25</v>
      </c>
      <c r="K1162">
        <f>300+120+21</f>
        <v>441</v>
      </c>
    </row>
    <row r="1163">
      <c r="A1163" s="1" t="s">
        <v>425</v>
      </c>
      <c r="B1163" s="1">
        <v>0.0</v>
      </c>
    </row>
    <row r="1164">
      <c r="A1164" s="1" t="s">
        <v>364</v>
      </c>
      <c r="B1164" s="1">
        <v>0.0</v>
      </c>
      <c r="G1164" s="1">
        <v>7.19</v>
      </c>
    </row>
    <row r="1165">
      <c r="A1165" s="1" t="s">
        <v>414</v>
      </c>
      <c r="B1165" s="36">
        <v>43623.0</v>
      </c>
      <c r="C1165" s="1">
        <v>52.99</v>
      </c>
      <c r="D1165" s="35">
        <v>2.2554479E8</v>
      </c>
      <c r="E1165" s="1" t="s">
        <v>11</v>
      </c>
    </row>
    <row r="1166">
      <c r="A1166" s="1" t="s">
        <v>450</v>
      </c>
      <c r="B1166" s="36">
        <v>43623.0</v>
      </c>
      <c r="C1166" s="1">
        <v>11.99</v>
      </c>
      <c r="E1166" s="1" t="s">
        <v>11</v>
      </c>
    </row>
    <row r="1167">
      <c r="A1167" s="1" t="s">
        <v>258</v>
      </c>
      <c r="B1167" s="36">
        <v>43623.0</v>
      </c>
      <c r="C1167" s="1">
        <v>120.0</v>
      </c>
      <c r="E1167" s="1" t="s">
        <v>11</v>
      </c>
    </row>
    <row r="1168">
      <c r="A1168" s="1" t="s">
        <v>286</v>
      </c>
      <c r="B1168" s="1">
        <v>0.0</v>
      </c>
    </row>
    <row r="1169">
      <c r="A1169" s="1" t="s">
        <v>35</v>
      </c>
      <c r="B1169" s="1">
        <v>0.0</v>
      </c>
    </row>
    <row r="1170">
      <c r="A1170" s="1" t="s">
        <v>226</v>
      </c>
      <c r="B1170" s="1">
        <v>0.0</v>
      </c>
    </row>
    <row r="1171">
      <c r="A1171" s="1" t="s">
        <v>453</v>
      </c>
      <c r="B1171" s="36">
        <v>43623.0</v>
      </c>
      <c r="C1171" s="1">
        <v>21.0</v>
      </c>
      <c r="E1171" s="1" t="s">
        <v>11</v>
      </c>
    </row>
    <row r="1172">
      <c r="A1172" s="1" t="s">
        <v>336</v>
      </c>
      <c r="B1172" s="1">
        <v>0.0</v>
      </c>
      <c r="G1172" s="1">
        <v>25.19</v>
      </c>
    </row>
    <row r="1173">
      <c r="A1173" s="1" t="s">
        <v>239</v>
      </c>
      <c r="B1173" s="1">
        <v>0.0</v>
      </c>
    </row>
    <row r="1174">
      <c r="A1174" s="1" t="s">
        <v>375</v>
      </c>
    </row>
    <row r="1175">
      <c r="A1175" s="1" t="s">
        <v>461</v>
      </c>
      <c r="B1175" s="36">
        <v>43633.0</v>
      </c>
      <c r="C1175" s="1">
        <v>549.0</v>
      </c>
    </row>
    <row r="1176">
      <c r="A1176" s="1" t="s">
        <v>41</v>
      </c>
    </row>
    <row r="1177">
      <c r="A1177" s="1"/>
    </row>
    <row r="1178">
      <c r="A1178" s="1"/>
    </row>
    <row r="1179">
      <c r="A1179" s="78">
        <v>43647.0</v>
      </c>
      <c r="C1179" s="19"/>
      <c r="D1179" s="92"/>
      <c r="E1179" s="19"/>
      <c r="F1179" s="19"/>
      <c r="G1179" s="19"/>
      <c r="H1179" s="18" t="s">
        <v>8</v>
      </c>
      <c r="I1179" s="1" t="s">
        <v>11</v>
      </c>
      <c r="L1179" s="1" t="s">
        <v>84</v>
      </c>
    </row>
    <row r="1180">
      <c r="A1180" s="1" t="s">
        <v>231</v>
      </c>
      <c r="C1180" s="18">
        <v>100.0</v>
      </c>
      <c r="D1180" s="92"/>
      <c r="E1180" s="18" t="s">
        <v>11</v>
      </c>
      <c r="F1180" s="19"/>
      <c r="G1180" s="18">
        <v>321.03</v>
      </c>
      <c r="H1180" s="19">
        <f>7313.16-549-513.61-1000-5000</f>
        <v>250.55</v>
      </c>
      <c r="I1180">
        <f>1159.37-80-87.06-100-120-100-48.29</f>
        <v>624.02</v>
      </c>
      <c r="L1180">
        <f>80+120</f>
        <v>200</v>
      </c>
    </row>
    <row r="1181">
      <c r="A1181" s="1" t="s">
        <v>429</v>
      </c>
      <c r="B1181" s="36">
        <v>43633.0</v>
      </c>
      <c r="C1181" s="18">
        <v>80.0</v>
      </c>
      <c r="D1181" s="92" t="s">
        <v>84</v>
      </c>
      <c r="E1181" s="19"/>
      <c r="F1181" s="19"/>
      <c r="G1181" s="19"/>
      <c r="H1181" s="19"/>
    </row>
    <row r="1182">
      <c r="A1182" s="1" t="s">
        <v>255</v>
      </c>
      <c r="B1182" s="36">
        <v>43633.0</v>
      </c>
      <c r="C1182" s="18">
        <v>100.0</v>
      </c>
      <c r="D1182" s="19"/>
      <c r="E1182" s="92" t="s">
        <v>11</v>
      </c>
      <c r="F1182" s="19"/>
      <c r="G1182" s="18">
        <v>216.27</v>
      </c>
      <c r="H1182" s="19"/>
    </row>
    <row r="1183">
      <c r="A1183" s="1" t="s">
        <v>163</v>
      </c>
      <c r="B1183" s="36">
        <v>43633.0</v>
      </c>
      <c r="C1183" s="18">
        <v>48.29</v>
      </c>
      <c r="D1183" s="92">
        <v>4.11473037E8</v>
      </c>
      <c r="E1183" s="18" t="s">
        <v>11</v>
      </c>
      <c r="F1183" s="19"/>
      <c r="G1183" s="19"/>
      <c r="H1183" s="19"/>
    </row>
    <row r="1184">
      <c r="A1184" s="1" t="s">
        <v>449</v>
      </c>
      <c r="B1184" s="36">
        <v>43633.0</v>
      </c>
      <c r="C1184" s="18">
        <v>513.61</v>
      </c>
      <c r="D1184" s="92"/>
      <c r="E1184" s="19"/>
      <c r="F1184" s="19"/>
      <c r="G1184" s="19"/>
      <c r="H1184" s="19"/>
    </row>
    <row r="1185">
      <c r="A1185" s="1" t="s">
        <v>27</v>
      </c>
      <c r="B1185" s="1">
        <v>0.0</v>
      </c>
      <c r="C1185" s="19"/>
      <c r="D1185" s="92"/>
      <c r="E1185" s="19"/>
      <c r="F1185" s="19"/>
      <c r="G1185" s="19"/>
      <c r="H1185" s="19"/>
    </row>
    <row r="1186">
      <c r="A1186" s="1" t="s">
        <v>199</v>
      </c>
      <c r="B1186" s="1">
        <v>0.0</v>
      </c>
      <c r="C1186" s="19"/>
      <c r="D1186" s="92"/>
      <c r="E1186" s="19"/>
      <c r="F1186" s="19"/>
      <c r="G1186" s="19"/>
      <c r="H1186" s="19"/>
    </row>
    <row r="1187">
      <c r="A1187" s="1" t="s">
        <v>29</v>
      </c>
      <c r="B1187" s="36">
        <v>43633.0</v>
      </c>
      <c r="C1187" s="18">
        <v>87.06</v>
      </c>
      <c r="D1187" s="92" t="s">
        <v>462</v>
      </c>
      <c r="E1187" s="18" t="s">
        <v>11</v>
      </c>
      <c r="F1187" s="19"/>
      <c r="G1187" s="19"/>
      <c r="H1187" s="19"/>
    </row>
    <row r="1188">
      <c r="A1188" s="1" t="s">
        <v>84</v>
      </c>
      <c r="C1188" s="18">
        <v>0.0</v>
      </c>
      <c r="D1188" s="92"/>
      <c r="E1188" s="19"/>
      <c r="F1188" s="19"/>
      <c r="G1188" s="19"/>
      <c r="H1188" s="19"/>
    </row>
    <row r="1189">
      <c r="A1189" s="1" t="s">
        <v>425</v>
      </c>
      <c r="C1189" s="18">
        <v>0.0</v>
      </c>
      <c r="D1189" s="92"/>
      <c r="E1189" s="19"/>
      <c r="F1189" s="19"/>
      <c r="G1189" s="19"/>
      <c r="H1189" s="19"/>
    </row>
    <row r="1190">
      <c r="A1190" s="1" t="s">
        <v>364</v>
      </c>
      <c r="C1190" s="18">
        <v>0.0</v>
      </c>
      <c r="D1190" s="92"/>
      <c r="E1190" s="19"/>
      <c r="F1190" s="19"/>
      <c r="G1190" s="18">
        <v>31.54</v>
      </c>
      <c r="H1190" s="19"/>
      <c r="O1190">
        <f>1244*2</f>
        <v>2488</v>
      </c>
      <c r="P1190">
        <f>25*1244</f>
        <v>31100</v>
      </c>
    </row>
    <row r="1191">
      <c r="A1191" s="1" t="s">
        <v>414</v>
      </c>
      <c r="B1191" s="36">
        <v>43663.0</v>
      </c>
      <c r="C1191" s="18">
        <v>100.0</v>
      </c>
      <c r="D1191" s="92">
        <v>2.25924981E8</v>
      </c>
      <c r="E1191" s="19"/>
      <c r="F1191" s="19"/>
      <c r="G1191" s="19"/>
      <c r="H1191" s="19"/>
      <c r="O1191">
        <f>569+500+21+120+50+300+514+80</f>
        <v>2154</v>
      </c>
      <c r="P1191">
        <f>P1190/12</f>
        <v>2591.666667</v>
      </c>
    </row>
    <row r="1192">
      <c r="A1192" s="1" t="s">
        <v>450</v>
      </c>
      <c r="C1192" s="18">
        <v>0.0</v>
      </c>
      <c r="D1192" s="19"/>
      <c r="E1192" s="19"/>
      <c r="F1192" s="19"/>
      <c r="G1192" s="19"/>
      <c r="H1192" s="19"/>
      <c r="O1192">
        <f>O1190-O1191</f>
        <v>334</v>
      </c>
    </row>
    <row r="1193">
      <c r="A1193" s="1" t="s">
        <v>258</v>
      </c>
      <c r="B1193" s="36">
        <v>43633.0</v>
      </c>
      <c r="C1193" s="18">
        <v>120.0</v>
      </c>
      <c r="D1193" s="19"/>
      <c r="E1193" s="19"/>
      <c r="F1193" s="19"/>
      <c r="G1193" s="19"/>
      <c r="H1193" s="19"/>
    </row>
    <row r="1194">
      <c r="A1194" s="1" t="s">
        <v>286</v>
      </c>
      <c r="B1194" s="36">
        <v>43664.0</v>
      </c>
      <c r="C1194" s="18">
        <v>206.0</v>
      </c>
      <c r="D1194" s="19"/>
      <c r="E1194" s="19"/>
      <c r="F1194" s="19"/>
      <c r="G1194" s="18">
        <v>9888.0</v>
      </c>
      <c r="H1194" s="19"/>
      <c r="J1194" s="1" t="s">
        <v>8</v>
      </c>
      <c r="K1194" s="1" t="s">
        <v>11</v>
      </c>
      <c r="M1194" s="1" t="s">
        <v>84</v>
      </c>
    </row>
    <row r="1195">
      <c r="A1195" s="1" t="s">
        <v>35</v>
      </c>
      <c r="B1195" s="1">
        <v>0.0</v>
      </c>
      <c r="C1195" s="19"/>
      <c r="D1195" s="19"/>
      <c r="E1195" s="19"/>
      <c r="F1195" s="19"/>
      <c r="G1195" s="19"/>
      <c r="H1195" s="19"/>
      <c r="J1195">
        <f>2514.45-100-569</f>
        <v>1845.45</v>
      </c>
      <c r="K1195">
        <f>1485.63-776.46-21</f>
        <v>688.17</v>
      </c>
      <c r="M1195">
        <f>21</f>
        <v>21</v>
      </c>
    </row>
    <row r="1196">
      <c r="A1196" s="1" t="s">
        <v>226</v>
      </c>
      <c r="B1196" s="1">
        <v>0.0</v>
      </c>
    </row>
    <row r="1197">
      <c r="A1197" s="1" t="s">
        <v>453</v>
      </c>
      <c r="B1197" s="36">
        <v>43666.0</v>
      </c>
      <c r="C1197" s="1">
        <v>21.0</v>
      </c>
    </row>
    <row r="1198">
      <c r="A1198" s="1" t="s">
        <v>336</v>
      </c>
      <c r="B1198" s="36">
        <v>43666.0</v>
      </c>
      <c r="C1198" s="1">
        <v>100.0</v>
      </c>
      <c r="D1198" s="90" t="s">
        <v>463</v>
      </c>
      <c r="E1198" s="1" t="s">
        <v>8</v>
      </c>
      <c r="G1198" s="1">
        <v>116.27</v>
      </c>
    </row>
    <row r="1199">
      <c r="A1199" s="1" t="s">
        <v>239</v>
      </c>
      <c r="B1199" s="1">
        <v>0.0</v>
      </c>
    </row>
    <row r="1200">
      <c r="A1200" s="1" t="s">
        <v>375</v>
      </c>
      <c r="B1200" s="36">
        <v>43666.0</v>
      </c>
      <c r="C1200" s="1">
        <v>776.46</v>
      </c>
    </row>
    <row r="1201">
      <c r="A1201" s="1" t="s">
        <v>464</v>
      </c>
      <c r="B1201" s="36">
        <v>43646.0</v>
      </c>
      <c r="C1201" s="1">
        <v>569.0</v>
      </c>
    </row>
    <row r="1202">
      <c r="A1202" s="1" t="s">
        <v>41</v>
      </c>
      <c r="C1202">
        <f>sum(C1180:C1201)</f>
        <v>2821.42</v>
      </c>
    </row>
    <row r="1203">
      <c r="A1203" s="1"/>
    </row>
    <row r="1204">
      <c r="A1204" s="1"/>
    </row>
    <row r="1205">
      <c r="A1205" s="78">
        <v>43678.0</v>
      </c>
    </row>
    <row r="1206">
      <c r="A1206" s="1" t="s">
        <v>231</v>
      </c>
      <c r="B1206" s="36">
        <v>43666.0</v>
      </c>
      <c r="C1206" s="1">
        <v>20.0</v>
      </c>
      <c r="D1206" s="1">
        <v>1023.0</v>
      </c>
      <c r="E1206" s="1" t="s">
        <v>11</v>
      </c>
      <c r="G1206" s="1">
        <v>316.29</v>
      </c>
      <c r="I1206" s="1" t="s">
        <v>8</v>
      </c>
      <c r="J1206" s="1" t="s">
        <v>11</v>
      </c>
      <c r="L1206" s="1" t="s">
        <v>84</v>
      </c>
    </row>
    <row r="1207">
      <c r="A1207" s="1" t="s">
        <v>429</v>
      </c>
      <c r="B1207" s="36">
        <v>43679.0</v>
      </c>
      <c r="C1207" s="1">
        <v>80.0</v>
      </c>
      <c r="E1207" s="1" t="s">
        <v>11</v>
      </c>
      <c r="I1207">
        <f>1845.45</f>
        <v>1845.45</v>
      </c>
      <c r="J1207">
        <f>688.17-20-100</f>
        <v>568.17</v>
      </c>
      <c r="L1207">
        <f>80</f>
        <v>80</v>
      </c>
    </row>
    <row r="1208">
      <c r="A1208" s="1" t="s">
        <v>255</v>
      </c>
      <c r="B1208" s="1">
        <v>0.0</v>
      </c>
      <c r="I1208">
        <f>1750.45-514</f>
        <v>1236.45</v>
      </c>
      <c r="J1208">
        <f>1668.45-80-20-7.71-1000-100</f>
        <v>460.74</v>
      </c>
    </row>
    <row r="1209">
      <c r="A1209" s="1" t="s">
        <v>163</v>
      </c>
      <c r="B1209" s="1">
        <v>0.0</v>
      </c>
      <c r="G1209" s="1">
        <v>116.27</v>
      </c>
    </row>
    <row r="1210">
      <c r="A1210" s="1" t="s">
        <v>449</v>
      </c>
      <c r="B1210" s="36">
        <v>43679.0</v>
      </c>
      <c r="C1210" s="28">
        <v>514.0</v>
      </c>
      <c r="D1210" s="1" t="s">
        <v>31</v>
      </c>
      <c r="E1210" s="1" t="s">
        <v>8</v>
      </c>
    </row>
    <row r="1211">
      <c r="A1211" s="1" t="s">
        <v>27</v>
      </c>
      <c r="B1211" s="1">
        <v>0.0</v>
      </c>
    </row>
    <row r="1212">
      <c r="A1212" s="1" t="s">
        <v>199</v>
      </c>
      <c r="B1212" s="1">
        <v>0.0</v>
      </c>
    </row>
    <row r="1213">
      <c r="A1213" s="1" t="s">
        <v>29</v>
      </c>
      <c r="B1213" s="1">
        <v>0.0</v>
      </c>
    </row>
    <row r="1214">
      <c r="A1214" s="1" t="s">
        <v>84</v>
      </c>
      <c r="B1214" s="36">
        <v>43679.0</v>
      </c>
      <c r="C1214" s="1">
        <v>100.0</v>
      </c>
    </row>
    <row r="1215">
      <c r="A1215" s="1" t="s">
        <v>425</v>
      </c>
      <c r="B1215" s="36">
        <v>43679.0</v>
      </c>
      <c r="C1215" s="1">
        <v>20.0</v>
      </c>
      <c r="G1215" s="1">
        <v>34.4</v>
      </c>
      <c r="I1215" s="1" t="s">
        <v>8</v>
      </c>
      <c r="J1215" s="1" t="s">
        <v>11</v>
      </c>
      <c r="L1215" s="1" t="s">
        <v>84</v>
      </c>
    </row>
    <row r="1216">
      <c r="A1216" s="1" t="s">
        <v>364</v>
      </c>
      <c r="B1216" s="36">
        <v>43666.0</v>
      </c>
      <c r="C1216" s="1">
        <v>100.0</v>
      </c>
      <c r="D1216" s="1">
        <v>8453.0</v>
      </c>
      <c r="E1216" s="1" t="s">
        <v>11</v>
      </c>
      <c r="G1216" s="1">
        <v>146.92</v>
      </c>
      <c r="I1216">
        <f>1842.82-1000</f>
        <v>842.82</v>
      </c>
      <c r="J1216">
        <f>910.74-120-200-20-100</f>
        <v>470.74</v>
      </c>
      <c r="L1216">
        <f>120+20</f>
        <v>140</v>
      </c>
    </row>
    <row r="1217">
      <c r="A1217" s="1" t="s">
        <v>414</v>
      </c>
      <c r="B1217" s="36">
        <v>43679.0</v>
      </c>
      <c r="C1217" s="1">
        <v>7.71</v>
      </c>
    </row>
    <row r="1218">
      <c r="A1218" s="1" t="s">
        <v>450</v>
      </c>
      <c r="B1218" s="1">
        <v>0.0</v>
      </c>
      <c r="C1218" s="1">
        <v>0.0</v>
      </c>
    </row>
    <row r="1219">
      <c r="A1219" s="1" t="s">
        <v>258</v>
      </c>
      <c r="B1219" s="36">
        <v>43328.0</v>
      </c>
      <c r="C1219" s="1">
        <v>120.0</v>
      </c>
    </row>
    <row r="1220">
      <c r="A1220" s="1" t="s">
        <v>286</v>
      </c>
      <c r="B1220" s="36">
        <v>43328.0</v>
      </c>
      <c r="C1220" s="1">
        <v>200.0</v>
      </c>
      <c r="D1220" s="76" t="s">
        <v>465</v>
      </c>
      <c r="E1220" s="1" t="s">
        <v>11</v>
      </c>
      <c r="G1220" s="1">
        <v>9688.0</v>
      </c>
    </row>
    <row r="1221">
      <c r="A1221" s="1" t="s">
        <v>35</v>
      </c>
      <c r="B1221" s="1">
        <v>0.0</v>
      </c>
    </row>
    <row r="1222">
      <c r="A1222" s="1" t="s">
        <v>226</v>
      </c>
      <c r="B1222" s="1">
        <v>0.0</v>
      </c>
    </row>
    <row r="1223">
      <c r="A1223" s="1" t="s">
        <v>453</v>
      </c>
      <c r="B1223" s="36">
        <v>43328.0</v>
      </c>
      <c r="C1223" s="1">
        <v>20.0</v>
      </c>
      <c r="E1223" s="1" t="s">
        <v>11</v>
      </c>
    </row>
    <row r="1224">
      <c r="A1224" s="1" t="s">
        <v>336</v>
      </c>
      <c r="B1224" s="36">
        <v>43328.0</v>
      </c>
      <c r="C1224" s="1">
        <v>100.0</v>
      </c>
      <c r="D1224" s="90" t="s">
        <v>466</v>
      </c>
      <c r="E1224" s="1" t="s">
        <v>11</v>
      </c>
      <c r="G1224" s="1">
        <v>18.18</v>
      </c>
    </row>
    <row r="1225">
      <c r="A1225" s="1" t="s">
        <v>239</v>
      </c>
      <c r="B1225" s="1">
        <v>0.0</v>
      </c>
    </row>
    <row r="1226">
      <c r="A1226" s="1" t="s">
        <v>375</v>
      </c>
      <c r="B1226" s="36">
        <v>43708.0</v>
      </c>
      <c r="C1226" s="1">
        <v>980.79</v>
      </c>
    </row>
    <row r="1227">
      <c r="A1227" s="1" t="s">
        <v>406</v>
      </c>
      <c r="B1227" s="36">
        <v>43707.0</v>
      </c>
      <c r="C1227" s="1">
        <v>569.0</v>
      </c>
    </row>
    <row r="1228">
      <c r="A1228" s="1" t="s">
        <v>41</v>
      </c>
    </row>
    <row r="1229">
      <c r="A1229" s="1"/>
    </row>
    <row r="1230">
      <c r="A1230" s="1"/>
    </row>
    <row r="1231">
      <c r="A1231" s="78">
        <v>43709.0</v>
      </c>
      <c r="J1231" s="1" t="s">
        <v>8</v>
      </c>
      <c r="K1231" s="1" t="s">
        <v>11</v>
      </c>
    </row>
    <row r="1232">
      <c r="A1232" s="1" t="s">
        <v>231</v>
      </c>
      <c r="B1232" s="36">
        <v>43708.0</v>
      </c>
      <c r="C1232" s="1">
        <v>50.0</v>
      </c>
      <c r="E1232" s="1" t="s">
        <v>69</v>
      </c>
      <c r="F1232" s="1">
        <v>2.39</v>
      </c>
      <c r="G1232" s="1">
        <v>167.0</v>
      </c>
      <c r="J1232">
        <f>1476.37-569-514-50-50-90-50-50-30</f>
        <v>73.37</v>
      </c>
      <c r="K1232">
        <f>1059.88-980.79</f>
        <v>79.09</v>
      </c>
    </row>
    <row r="1233">
      <c r="A1233" s="1" t="s">
        <v>429</v>
      </c>
      <c r="B1233" s="36">
        <v>43708.0</v>
      </c>
      <c r="C1233" s="1">
        <v>90.0</v>
      </c>
    </row>
    <row r="1234">
      <c r="A1234" s="1" t="s">
        <v>255</v>
      </c>
      <c r="C1234" s="1">
        <v>0.0</v>
      </c>
      <c r="G1234" s="1">
        <v>18.18</v>
      </c>
    </row>
    <row r="1235">
      <c r="A1235" s="1" t="s">
        <v>163</v>
      </c>
      <c r="B1235" s="36">
        <v>43708.0</v>
      </c>
      <c r="C1235" s="1">
        <v>50.0</v>
      </c>
      <c r="D1235" s="36">
        <v>4.12101381E8</v>
      </c>
      <c r="E1235" s="1" t="s">
        <v>8</v>
      </c>
      <c r="G1235" s="1">
        <v>358.71</v>
      </c>
    </row>
    <row r="1236">
      <c r="A1236" s="1" t="s">
        <v>449</v>
      </c>
      <c r="B1236" s="36">
        <v>43708.0</v>
      </c>
      <c r="C1236" s="1">
        <v>514.0</v>
      </c>
      <c r="D1236" s="1" t="s">
        <v>31</v>
      </c>
      <c r="E1236" s="1" t="s">
        <v>8</v>
      </c>
    </row>
    <row r="1237">
      <c r="A1237" s="1" t="s">
        <v>27</v>
      </c>
      <c r="B1237" s="1">
        <v>0.0</v>
      </c>
    </row>
    <row r="1238">
      <c r="A1238" s="1" t="s">
        <v>199</v>
      </c>
      <c r="B1238" s="1">
        <v>0.0</v>
      </c>
    </row>
    <row r="1239">
      <c r="A1239" s="1" t="s">
        <v>29</v>
      </c>
      <c r="B1239" s="36">
        <v>43708.0</v>
      </c>
      <c r="C1239" s="1">
        <v>0.0</v>
      </c>
      <c r="G1239" s="28">
        <v>13.87</v>
      </c>
    </row>
    <row r="1240">
      <c r="A1240" s="1" t="s">
        <v>84</v>
      </c>
      <c r="D1240" s="1"/>
    </row>
    <row r="1241">
      <c r="A1241" s="1" t="s">
        <v>425</v>
      </c>
      <c r="B1241" s="36">
        <v>43708.0</v>
      </c>
      <c r="C1241" s="1">
        <v>30.0</v>
      </c>
      <c r="D1241" s="1"/>
      <c r="E1241" s="1" t="s">
        <v>8</v>
      </c>
      <c r="G1241" s="1">
        <v>49.62</v>
      </c>
    </row>
    <row r="1242">
      <c r="A1242" s="1" t="s">
        <v>364</v>
      </c>
      <c r="B1242" s="36">
        <v>43708.0</v>
      </c>
      <c r="C1242" s="1">
        <v>50.0</v>
      </c>
      <c r="D1242" s="1">
        <v>3424.0</v>
      </c>
      <c r="E1242" s="1" t="s">
        <v>8</v>
      </c>
      <c r="F1242">
        <f>3.15+0.24</f>
        <v>3.39</v>
      </c>
      <c r="G1242" s="1">
        <v>429.54</v>
      </c>
      <c r="J1242" s="1" t="s">
        <v>8</v>
      </c>
      <c r="K1242" s="1" t="s">
        <v>11</v>
      </c>
      <c r="M1242" s="1" t="s">
        <v>84</v>
      </c>
    </row>
    <row r="1243">
      <c r="A1243" s="1" t="s">
        <v>414</v>
      </c>
      <c r="B1243" s="36">
        <v>43722.0</v>
      </c>
      <c r="C1243" s="1">
        <v>74.35</v>
      </c>
      <c r="D1243" s="1">
        <v>2.29660073E8</v>
      </c>
      <c r="E1243" s="1" t="s">
        <v>11</v>
      </c>
      <c r="J1243" s="1">
        <f>768.17</f>
        <v>768.17</v>
      </c>
      <c r="K1243">
        <f>679.09-C1243-C1245-C1246-C1247-C1248-C1249</f>
        <v>223.25</v>
      </c>
      <c r="L1243">
        <f>J1243+K1243</f>
        <v>991.42</v>
      </c>
      <c r="M1243">
        <f>120+20</f>
        <v>140</v>
      </c>
    </row>
    <row r="1244">
      <c r="A1244" s="1" t="s">
        <v>450</v>
      </c>
      <c r="B1244" s="1">
        <v>0.0</v>
      </c>
      <c r="C1244" s="1">
        <v>0.0</v>
      </c>
      <c r="D1244" s="1"/>
    </row>
    <row r="1245">
      <c r="A1245" s="1" t="s">
        <v>258</v>
      </c>
      <c r="B1245" s="36">
        <v>43722.0</v>
      </c>
      <c r="C1245" s="1">
        <v>120.0</v>
      </c>
      <c r="D1245" s="1"/>
      <c r="E1245" s="1" t="s">
        <v>11</v>
      </c>
    </row>
    <row r="1246">
      <c r="A1246" s="1" t="s">
        <v>286</v>
      </c>
      <c r="B1246" s="36">
        <v>43722.0</v>
      </c>
      <c r="C1246" s="1">
        <v>200.0</v>
      </c>
      <c r="D1246" s="1" t="s">
        <v>467</v>
      </c>
      <c r="E1246" s="1" t="s">
        <v>11</v>
      </c>
      <c r="G1246" s="1">
        <v>9488.0</v>
      </c>
    </row>
    <row r="1247">
      <c r="A1247" s="1" t="s">
        <v>35</v>
      </c>
      <c r="B1247" s="36">
        <v>43722.0</v>
      </c>
      <c r="C1247" s="1">
        <v>22.57</v>
      </c>
      <c r="D1247" s="1"/>
      <c r="E1247" s="1" t="s">
        <v>11</v>
      </c>
      <c r="G1247">
        <f>32.57-22.57</f>
        <v>10</v>
      </c>
    </row>
    <row r="1248">
      <c r="A1248" s="1" t="s">
        <v>226</v>
      </c>
      <c r="B1248" s="36">
        <v>43722.0</v>
      </c>
      <c r="C1248" s="1">
        <v>18.92</v>
      </c>
      <c r="D1248" s="1" t="s">
        <v>468</v>
      </c>
      <c r="E1248" s="1" t="s">
        <v>11</v>
      </c>
      <c r="G1248" s="1">
        <v>0.0</v>
      </c>
      <c r="J1248" s="1" t="s">
        <v>469</v>
      </c>
      <c r="K1248">
        <f>C1232+C1235+C1241+C1242+C1246+C1247+C1248</f>
        <v>421.49</v>
      </c>
    </row>
    <row r="1249">
      <c r="A1249" s="1" t="s">
        <v>453</v>
      </c>
      <c r="B1249" s="36">
        <v>43722.0</v>
      </c>
      <c r="C1249" s="1">
        <v>20.0</v>
      </c>
      <c r="D1249" s="1"/>
      <c r="E1249" s="1" t="s">
        <v>11</v>
      </c>
    </row>
    <row r="1250">
      <c r="A1250" s="1" t="s">
        <v>336</v>
      </c>
      <c r="D1250" s="1"/>
    </row>
    <row r="1251">
      <c r="A1251" s="1" t="s">
        <v>239</v>
      </c>
      <c r="B1251" s="1">
        <v>0.0</v>
      </c>
      <c r="C1251" s="1">
        <v>0.0</v>
      </c>
      <c r="D1251" s="1"/>
      <c r="G1251" s="1">
        <v>21.24</v>
      </c>
    </row>
    <row r="1252">
      <c r="A1252" s="1" t="s">
        <v>375</v>
      </c>
      <c r="B1252" s="36">
        <v>43745.0</v>
      </c>
      <c r="C1252" s="1">
        <v>744.87</v>
      </c>
      <c r="J1252" s="1" t="s">
        <v>8</v>
      </c>
      <c r="K1252" s="1" t="s">
        <v>11</v>
      </c>
      <c r="L1252" s="1" t="s">
        <v>84</v>
      </c>
    </row>
    <row r="1253">
      <c r="A1253" s="1" t="s">
        <v>470</v>
      </c>
      <c r="B1253" s="36">
        <v>43735.0</v>
      </c>
      <c r="C1253" s="1">
        <v>569.0</v>
      </c>
      <c r="E1253" s="1" t="s">
        <v>8</v>
      </c>
      <c r="J1253">
        <f>1432.14-569-514</f>
        <v>349.14</v>
      </c>
      <c r="K1253">
        <f>836.18-100-200-18.63-100-27.75-30-30-61.3-90-53.33</f>
        <v>125.17</v>
      </c>
      <c r="L1253">
        <f>90</f>
        <v>90</v>
      </c>
    </row>
    <row r="1254">
      <c r="A1254" s="1" t="s">
        <v>41</v>
      </c>
      <c r="C1254">
        <f>sum(C1232:C1253)</f>
        <v>2553.71</v>
      </c>
      <c r="K1254">
        <f>J1253+K1253</f>
        <v>474.31</v>
      </c>
      <c r="N1254">
        <f>126-25</f>
        <v>101</v>
      </c>
    </row>
    <row r="1255">
      <c r="A1255" s="1"/>
      <c r="J1255" s="1">
        <v>25.0</v>
      </c>
      <c r="K1255" s="1">
        <v>25.0</v>
      </c>
    </row>
    <row r="1256">
      <c r="A1256" s="1"/>
    </row>
    <row r="1257">
      <c r="A1257" s="78">
        <v>43739.0</v>
      </c>
    </row>
    <row r="1258">
      <c r="A1258" s="1" t="s">
        <v>231</v>
      </c>
      <c r="B1258" s="36">
        <v>43735.0</v>
      </c>
      <c r="C1258" s="1">
        <v>100.0</v>
      </c>
      <c r="D1258" s="1">
        <v>5564.0</v>
      </c>
      <c r="E1258" s="1" t="s">
        <v>11</v>
      </c>
      <c r="F1258" s="1">
        <v>1.68</v>
      </c>
      <c r="G1258" s="1">
        <v>68.68</v>
      </c>
    </row>
    <row r="1259">
      <c r="A1259" s="1" t="s">
        <v>429</v>
      </c>
      <c r="B1259" s="36">
        <v>43735.0</v>
      </c>
      <c r="C1259" s="1">
        <v>90.0</v>
      </c>
      <c r="J1259" s="1" t="s">
        <v>469</v>
      </c>
    </row>
    <row r="1260">
      <c r="A1260" s="1" t="s">
        <v>255</v>
      </c>
      <c r="B1260" s="36">
        <v>43735.0</v>
      </c>
      <c r="C1260" s="1">
        <v>18.63</v>
      </c>
      <c r="D1260" s="1" t="s">
        <v>471</v>
      </c>
      <c r="E1260" s="1" t="s">
        <v>11</v>
      </c>
      <c r="F1260" s="1">
        <v>0.45</v>
      </c>
      <c r="G1260" s="1">
        <v>0.0</v>
      </c>
    </row>
    <row r="1261">
      <c r="A1261" s="1" t="s">
        <v>163</v>
      </c>
      <c r="B1261" s="36">
        <v>43735.0</v>
      </c>
      <c r="C1261" s="1">
        <v>100.0</v>
      </c>
      <c r="D1261" s="1">
        <v>4.12340375E8</v>
      </c>
      <c r="E1261" s="1" t="s">
        <v>11</v>
      </c>
      <c r="F1261" s="1">
        <v>2.63</v>
      </c>
      <c r="G1261">
        <f>261.34-100</f>
        <v>161.34</v>
      </c>
    </row>
    <row r="1262">
      <c r="A1262" s="1" t="s">
        <v>449</v>
      </c>
      <c r="B1262" s="36">
        <v>43735.0</v>
      </c>
      <c r="C1262" s="1">
        <v>514.0</v>
      </c>
      <c r="D1262" s="1" t="s">
        <v>31</v>
      </c>
    </row>
    <row r="1263">
      <c r="A1263" s="1" t="s">
        <v>27</v>
      </c>
      <c r="B1263" s="1">
        <v>0.0</v>
      </c>
    </row>
    <row r="1264">
      <c r="A1264" s="1" t="s">
        <v>199</v>
      </c>
      <c r="B1264" s="1">
        <v>0.0</v>
      </c>
    </row>
    <row r="1265">
      <c r="A1265" s="1" t="s">
        <v>29</v>
      </c>
      <c r="C1265" s="1">
        <v>27.75</v>
      </c>
      <c r="E1265" s="1" t="s">
        <v>11</v>
      </c>
    </row>
    <row r="1266">
      <c r="A1266" s="1" t="s">
        <v>84</v>
      </c>
      <c r="B1266" s="1">
        <v>0.0</v>
      </c>
    </row>
    <row r="1267">
      <c r="A1267" s="1" t="s">
        <v>425</v>
      </c>
      <c r="B1267" s="36">
        <v>43735.0</v>
      </c>
      <c r="C1267" s="1">
        <v>30.0</v>
      </c>
      <c r="E1267" s="1" t="s">
        <v>11</v>
      </c>
      <c r="F1267" s="1">
        <v>2.0</v>
      </c>
      <c r="G1267">
        <f>84.73-30</f>
        <v>54.73</v>
      </c>
    </row>
    <row r="1268">
      <c r="A1268" s="1" t="s">
        <v>364</v>
      </c>
      <c r="B1268" s="36">
        <v>43735.0</v>
      </c>
      <c r="C1268" s="1">
        <v>200.0</v>
      </c>
      <c r="D1268" s="1">
        <v>167.0</v>
      </c>
      <c r="E1268" s="1" t="s">
        <v>11</v>
      </c>
      <c r="F1268" s="1">
        <v>3.07</v>
      </c>
      <c r="G1268">
        <f>432.61-200</f>
        <v>232.61</v>
      </c>
    </row>
    <row r="1269">
      <c r="A1269" s="1" t="s">
        <v>414</v>
      </c>
      <c r="B1269" s="36">
        <v>43735.0</v>
      </c>
      <c r="C1269" s="1">
        <v>61.3</v>
      </c>
      <c r="D1269" s="35">
        <v>2.30161945E8</v>
      </c>
      <c r="E1269" s="1" t="s">
        <v>11</v>
      </c>
    </row>
    <row r="1270">
      <c r="A1270" s="1" t="s">
        <v>450</v>
      </c>
      <c r="B1270" s="36">
        <v>43735.0</v>
      </c>
      <c r="C1270" s="1">
        <v>30.0</v>
      </c>
      <c r="D1270" s="85">
        <v>1.995276271E9</v>
      </c>
      <c r="E1270" s="1" t="s">
        <v>11</v>
      </c>
      <c r="G1270">
        <f>68.45-30</f>
        <v>38.45</v>
      </c>
      <c r="J1270" s="1" t="s">
        <v>8</v>
      </c>
      <c r="K1270" s="1" t="s">
        <v>11</v>
      </c>
    </row>
    <row r="1271">
      <c r="A1271" s="1" t="s">
        <v>258</v>
      </c>
      <c r="B1271" s="36">
        <v>43752.0</v>
      </c>
      <c r="C1271" s="1">
        <v>120.0</v>
      </c>
      <c r="E1271" s="1" t="s">
        <v>11</v>
      </c>
      <c r="J1271">
        <f>669.94-569-34.05-40</f>
        <v>26.89</v>
      </c>
      <c r="K1271">
        <f>625.19-200-120-20-260</f>
        <v>25.19</v>
      </c>
      <c r="L1271">
        <f>K1271+J1271</f>
        <v>52.08</v>
      </c>
    </row>
    <row r="1272">
      <c r="A1272" s="1" t="s">
        <v>286</v>
      </c>
      <c r="B1272" s="36">
        <v>43752.0</v>
      </c>
      <c r="C1272" s="1">
        <v>200.0</v>
      </c>
      <c r="D1272" s="76" t="s">
        <v>472</v>
      </c>
      <c r="E1272" s="1" t="s">
        <v>11</v>
      </c>
      <c r="G1272" s="1">
        <v>9288.0</v>
      </c>
    </row>
    <row r="1273">
      <c r="A1273" s="1" t="s">
        <v>35</v>
      </c>
      <c r="C1273" s="1">
        <v>0.0</v>
      </c>
      <c r="G1273" s="1">
        <v>19.98</v>
      </c>
    </row>
    <row r="1274">
      <c r="A1274" s="1" t="s">
        <v>226</v>
      </c>
      <c r="C1274" s="1">
        <v>0.0</v>
      </c>
      <c r="L1274">
        <f>514+500</f>
        <v>1014</v>
      </c>
    </row>
    <row r="1275">
      <c r="A1275" s="1" t="s">
        <v>453</v>
      </c>
      <c r="C1275" s="1">
        <v>20.0</v>
      </c>
    </row>
    <row r="1276">
      <c r="A1276" s="1" t="s">
        <v>336</v>
      </c>
      <c r="C1276" s="1">
        <v>0.0</v>
      </c>
      <c r="G1276" s="1">
        <v>0.0</v>
      </c>
    </row>
    <row r="1277">
      <c r="A1277" s="1" t="s">
        <v>239</v>
      </c>
      <c r="B1277" s="36">
        <v>43752.0</v>
      </c>
      <c r="C1277" s="1">
        <v>34.05</v>
      </c>
      <c r="D1277" s="93">
        <v>1.2309314890222E14</v>
      </c>
    </row>
    <row r="1278">
      <c r="A1278" s="1" t="s">
        <v>375</v>
      </c>
      <c r="J1278">
        <f>(600+644)*2</f>
        <v>2488</v>
      </c>
    </row>
    <row r="1279">
      <c r="A1279" s="1" t="s">
        <v>473</v>
      </c>
      <c r="B1279" s="36">
        <v>43766.0</v>
      </c>
      <c r="C1279" s="1">
        <v>569.0</v>
      </c>
    </row>
    <row r="1280">
      <c r="A1280" s="1" t="s">
        <v>41</v>
      </c>
      <c r="C1280">
        <f>sum(C1258:C1279)</f>
        <v>2114.73</v>
      </c>
    </row>
    <row r="1281">
      <c r="A1281" s="1"/>
    </row>
    <row r="1282">
      <c r="A1282" s="78">
        <v>43770.0</v>
      </c>
    </row>
    <row r="1283">
      <c r="A1283" s="1" t="s">
        <v>231</v>
      </c>
      <c r="B1283" s="36">
        <v>43766.0</v>
      </c>
      <c r="C1283" s="1">
        <v>69.8</v>
      </c>
      <c r="D1283" s="1">
        <v>4272.0</v>
      </c>
      <c r="E1283" s="1" t="s">
        <v>8</v>
      </c>
      <c r="G1283" s="1">
        <v>0.0</v>
      </c>
      <c r="H1283" s="1" t="s">
        <v>11</v>
      </c>
      <c r="I1283" s="1" t="s">
        <v>49</v>
      </c>
      <c r="J1283" s="1" t="s">
        <v>84</v>
      </c>
      <c r="K1283" s="1" t="s">
        <v>474</v>
      </c>
    </row>
    <row r="1284">
      <c r="A1284" s="1" t="s">
        <v>429</v>
      </c>
      <c r="B1284" s="36">
        <v>43766.0</v>
      </c>
      <c r="C1284" s="1">
        <v>90.0</v>
      </c>
      <c r="E1284" s="1" t="s">
        <v>11</v>
      </c>
      <c r="H1284">
        <f>660.33-90-C1292-C1284</f>
        <v>450.33</v>
      </c>
      <c r="I1284">
        <f>1307.69-569-514-C1283-C1293-C1286</f>
        <v>54.89</v>
      </c>
      <c r="J1284" s="1">
        <v>90.0</v>
      </c>
      <c r="K1284">
        <f>C1283+C1286+C1292</f>
        <v>149.8</v>
      </c>
    </row>
    <row r="1285">
      <c r="A1285" s="1" t="s">
        <v>255</v>
      </c>
      <c r="C1285" s="1">
        <v>0.0</v>
      </c>
      <c r="H1285" s="1" t="s">
        <v>41</v>
      </c>
      <c r="I1285">
        <f>H1284+I1284</f>
        <v>505.22</v>
      </c>
    </row>
    <row r="1286">
      <c r="A1286" s="1" t="s">
        <v>163</v>
      </c>
      <c r="B1286" s="36">
        <v>43766.0</v>
      </c>
      <c r="C1286" s="1">
        <v>50.0</v>
      </c>
      <c r="D1286" s="1">
        <v>4.2606771E7</v>
      </c>
      <c r="E1286" s="1" t="s">
        <v>8</v>
      </c>
      <c r="G1286">
        <f>163.47-50</f>
        <v>113.47</v>
      </c>
    </row>
    <row r="1287">
      <c r="A1287" s="1" t="s">
        <v>475</v>
      </c>
      <c r="B1287" s="36">
        <v>43766.0</v>
      </c>
      <c r="C1287" s="1">
        <v>514.0</v>
      </c>
      <c r="D1287" s="1" t="s">
        <v>31</v>
      </c>
      <c r="E1287" s="1" t="s">
        <v>8</v>
      </c>
    </row>
    <row r="1288">
      <c r="A1288" s="1" t="s">
        <v>27</v>
      </c>
      <c r="B1288" s="1">
        <v>0.0</v>
      </c>
    </row>
    <row r="1289">
      <c r="A1289" s="1" t="s">
        <v>199</v>
      </c>
      <c r="B1289" s="1">
        <v>0.0</v>
      </c>
    </row>
    <row r="1290">
      <c r="A1290" s="1" t="s">
        <v>29</v>
      </c>
      <c r="B1290" s="1">
        <v>0.0</v>
      </c>
    </row>
    <row r="1291">
      <c r="A1291" s="1" t="s">
        <v>84</v>
      </c>
      <c r="B1291" s="1">
        <v>0.0</v>
      </c>
    </row>
    <row r="1292">
      <c r="A1292" s="1" t="s">
        <v>425</v>
      </c>
      <c r="B1292" s="36">
        <v>43766.0</v>
      </c>
      <c r="C1292" s="1">
        <v>30.0</v>
      </c>
      <c r="E1292" s="1" t="s">
        <v>11</v>
      </c>
      <c r="G1292">
        <f>70.85-C1292</f>
        <v>40.85</v>
      </c>
      <c r="H1292" s="1" t="s">
        <v>11</v>
      </c>
      <c r="I1292" s="1" t="s">
        <v>8</v>
      </c>
    </row>
    <row r="1293">
      <c r="A1293" s="1" t="s">
        <v>364</v>
      </c>
      <c r="B1293" s="36">
        <v>43766.0</v>
      </c>
      <c r="C1293" s="1">
        <v>50.0</v>
      </c>
      <c r="D1293" s="1">
        <v>4652.0</v>
      </c>
      <c r="E1293" s="1" t="s">
        <v>8</v>
      </c>
      <c r="G1293">
        <f>233-C1293</f>
        <v>183</v>
      </c>
      <c r="H1293">
        <f>1047-120-200-20-25-650-111</f>
        <v>-79</v>
      </c>
      <c r="I1293">
        <f>699.69-57.08-100-19.98-9.77-106.45-80</f>
        <v>326.41</v>
      </c>
      <c r="J1293">
        <f>H1293+I1293</f>
        <v>247.41</v>
      </c>
    </row>
    <row r="1294">
      <c r="A1294" s="1" t="s">
        <v>414</v>
      </c>
      <c r="B1294" s="36">
        <v>43777.0</v>
      </c>
      <c r="C1294" s="1">
        <v>57.08</v>
      </c>
      <c r="D1294" s="1">
        <v>2.3190336E8</v>
      </c>
      <c r="E1294" s="1" t="s">
        <v>8</v>
      </c>
      <c r="F1294" s="35"/>
    </row>
    <row r="1295">
      <c r="A1295" s="1" t="s">
        <v>450</v>
      </c>
      <c r="B1295" s="36">
        <v>43777.0</v>
      </c>
      <c r="C1295" s="1">
        <v>100.0</v>
      </c>
      <c r="D1295" s="1">
        <v>2.033001438E9</v>
      </c>
      <c r="E1295" s="1" t="s">
        <v>8</v>
      </c>
      <c r="F1295" s="1">
        <v>69.85</v>
      </c>
      <c r="H1295" s="1" t="s">
        <v>84</v>
      </c>
    </row>
    <row r="1296">
      <c r="A1296" s="1" t="s">
        <v>258</v>
      </c>
      <c r="B1296" s="36">
        <v>43777.0</v>
      </c>
      <c r="C1296" s="1">
        <v>120.0</v>
      </c>
      <c r="D1296" s="1" t="s">
        <v>84</v>
      </c>
      <c r="E1296" s="1" t="s">
        <v>11</v>
      </c>
      <c r="H1296" s="1">
        <f>120+20</f>
        <v>140</v>
      </c>
    </row>
    <row r="1297">
      <c r="A1297" s="1" t="s">
        <v>286</v>
      </c>
      <c r="B1297" s="36">
        <v>43777.0</v>
      </c>
      <c r="C1297" s="1">
        <v>200.0</v>
      </c>
      <c r="D1297" s="1" t="s">
        <v>476</v>
      </c>
      <c r="E1297" s="1" t="s">
        <v>11</v>
      </c>
      <c r="I1297" s="1">
        <v>650.0</v>
      </c>
    </row>
    <row r="1298">
      <c r="A1298" s="1" t="s">
        <v>35</v>
      </c>
      <c r="B1298" s="36">
        <v>43777.0</v>
      </c>
      <c r="C1298" s="1">
        <v>19.98</v>
      </c>
      <c r="D1298" s="94"/>
      <c r="E1298" s="1" t="s">
        <v>8</v>
      </c>
      <c r="F1298" s="1">
        <v>0.0</v>
      </c>
      <c r="G1298" s="1">
        <v>0.0</v>
      </c>
    </row>
    <row r="1299">
      <c r="A1299" s="1" t="s">
        <v>226</v>
      </c>
      <c r="B1299" s="1">
        <v>0.0</v>
      </c>
    </row>
    <row r="1300">
      <c r="A1300" s="1" t="s">
        <v>453</v>
      </c>
      <c r="B1300" s="36">
        <v>43777.0</v>
      </c>
      <c r="C1300" s="1">
        <v>20.0</v>
      </c>
      <c r="D1300" s="1" t="s">
        <v>84</v>
      </c>
      <c r="E1300" s="1" t="s">
        <v>11</v>
      </c>
    </row>
    <row r="1301">
      <c r="A1301" s="1" t="s">
        <v>336</v>
      </c>
    </row>
    <row r="1302">
      <c r="A1302" s="1" t="s">
        <v>239</v>
      </c>
      <c r="B1302" s="36">
        <v>43777.0</v>
      </c>
      <c r="C1302" s="1">
        <v>9.77</v>
      </c>
      <c r="D1302" s="93">
        <v>1.13115092732942E14</v>
      </c>
      <c r="E1302" s="1" t="s">
        <v>8</v>
      </c>
      <c r="G1302" s="1">
        <v>0.0</v>
      </c>
    </row>
    <row r="1303">
      <c r="A1303" s="1" t="s">
        <v>375</v>
      </c>
    </row>
    <row r="1304">
      <c r="A1304" s="1" t="s">
        <v>477</v>
      </c>
      <c r="B1304" s="36">
        <v>43792.0</v>
      </c>
      <c r="C1304" s="1">
        <v>569.0</v>
      </c>
    </row>
    <row r="1305">
      <c r="A1305" s="1" t="s">
        <v>41</v>
      </c>
    </row>
    <row r="1306">
      <c r="A1306" s="1"/>
      <c r="I1306" s="1" t="s">
        <v>8</v>
      </c>
      <c r="J1306" s="1" t="s">
        <v>11</v>
      </c>
      <c r="L1306" s="1" t="s">
        <v>84</v>
      </c>
    </row>
    <row r="1307">
      <c r="A1307" s="78">
        <v>43800.0</v>
      </c>
      <c r="I1307">
        <f>1021.82-569-514+100</f>
        <v>38.82</v>
      </c>
      <c r="J1307">
        <f>725.94-90-55-100-30-400</f>
        <v>50.94</v>
      </c>
      <c r="K1307">
        <f>I1307+J1307</f>
        <v>89.76</v>
      </c>
      <c r="L1307">
        <f>90</f>
        <v>90</v>
      </c>
    </row>
    <row r="1308">
      <c r="A1308" s="1" t="s">
        <v>231</v>
      </c>
      <c r="B1308" s="1">
        <v>0.0</v>
      </c>
      <c r="H1308" s="1" t="s">
        <v>478</v>
      </c>
      <c r="I1308" s="1">
        <f>644-120-20-354.46-20</f>
        <v>129.54</v>
      </c>
      <c r="J1308" s="1">
        <f>600-30-50-84-75.73-200-50</f>
        <v>110.27</v>
      </c>
      <c r="K1308">
        <f>J1308+I1308</f>
        <v>239.81</v>
      </c>
    </row>
    <row r="1309">
      <c r="A1309" s="1" t="s">
        <v>429</v>
      </c>
      <c r="B1309" s="36">
        <v>43792.0</v>
      </c>
      <c r="C1309" s="1">
        <v>90.0</v>
      </c>
      <c r="D1309" s="38"/>
    </row>
    <row r="1310">
      <c r="A1310" s="1" t="s">
        <v>255</v>
      </c>
      <c r="B1310" s="36">
        <v>43792.0</v>
      </c>
      <c r="C1310" s="1">
        <v>55.0</v>
      </c>
      <c r="D1310" s="38" t="s">
        <v>479</v>
      </c>
      <c r="E1310" s="1">
        <v>100.54</v>
      </c>
      <c r="H1310" s="1" t="s">
        <v>84</v>
      </c>
      <c r="I1310">
        <f>120+20+354.46</f>
        <v>494.46</v>
      </c>
    </row>
    <row r="1311">
      <c r="A1311" s="1" t="s">
        <v>163</v>
      </c>
      <c r="B1311" s="36">
        <v>43802.0</v>
      </c>
      <c r="C1311" s="1">
        <v>30.0</v>
      </c>
      <c r="D1311" s="38">
        <v>4.12933227E8</v>
      </c>
      <c r="E1311">
        <f>198-30</f>
        <v>168</v>
      </c>
    </row>
    <row r="1312">
      <c r="A1312" s="1" t="s">
        <v>475</v>
      </c>
      <c r="B1312" s="36">
        <v>43802.0</v>
      </c>
      <c r="C1312" s="1">
        <v>514.0</v>
      </c>
      <c r="D1312" s="38" t="s">
        <v>31</v>
      </c>
    </row>
    <row r="1313">
      <c r="A1313" s="1" t="s">
        <v>27</v>
      </c>
      <c r="B1313" s="1">
        <v>0.0</v>
      </c>
      <c r="C1313" s="1">
        <v>0.0</v>
      </c>
      <c r="D1313" s="1"/>
      <c r="E1313" s="1"/>
    </row>
    <row r="1314">
      <c r="A1314" s="1" t="s">
        <v>199</v>
      </c>
      <c r="B1314" s="1">
        <v>0.0</v>
      </c>
      <c r="C1314" s="1">
        <v>0.0</v>
      </c>
      <c r="D1314" s="1"/>
      <c r="E1314" s="1"/>
    </row>
    <row r="1315">
      <c r="A1315" s="1" t="s">
        <v>29</v>
      </c>
      <c r="C1315" s="1">
        <v>0.0</v>
      </c>
      <c r="D1315" s="1"/>
      <c r="E1315" s="1"/>
    </row>
    <row r="1316">
      <c r="A1316" s="1" t="s">
        <v>84</v>
      </c>
      <c r="C1316" s="1">
        <v>0.0</v>
      </c>
      <c r="D1316" s="1"/>
      <c r="E1316" s="1"/>
    </row>
    <row r="1317">
      <c r="A1317" s="1" t="s">
        <v>425</v>
      </c>
      <c r="B1317" s="38">
        <v>43807.0</v>
      </c>
      <c r="C1317" s="1">
        <v>30.0</v>
      </c>
      <c r="D1317" s="1"/>
      <c r="E1317" s="1" t="s">
        <v>11</v>
      </c>
      <c r="G1317" s="1">
        <v>32.8</v>
      </c>
    </row>
    <row r="1318">
      <c r="A1318" s="1" t="s">
        <v>364</v>
      </c>
      <c r="B1318" s="38">
        <v>43807.0</v>
      </c>
      <c r="C1318" s="1">
        <v>84.0</v>
      </c>
      <c r="D1318" s="1">
        <v>7560.0</v>
      </c>
      <c r="E1318" s="1" t="s">
        <v>11</v>
      </c>
      <c r="H1318" s="1">
        <v>104.2</v>
      </c>
    </row>
    <row r="1319">
      <c r="A1319" s="1" t="s">
        <v>414</v>
      </c>
      <c r="B1319" s="38">
        <v>43807.0</v>
      </c>
      <c r="C1319" s="1">
        <v>75.73</v>
      </c>
      <c r="D1319" s="1">
        <v>2.32982809E8</v>
      </c>
      <c r="E1319" s="1" t="s">
        <v>11</v>
      </c>
    </row>
    <row r="1320">
      <c r="A1320" s="1" t="s">
        <v>450</v>
      </c>
      <c r="B1320" s="38">
        <v>43807.0</v>
      </c>
      <c r="C1320" s="1">
        <v>50.0</v>
      </c>
      <c r="D1320" s="1">
        <v>2.058983053E9</v>
      </c>
      <c r="E1320" s="1" t="s">
        <v>11</v>
      </c>
      <c r="G1320" s="1">
        <v>116.1</v>
      </c>
    </row>
    <row r="1321">
      <c r="A1321" s="1" t="s">
        <v>258</v>
      </c>
      <c r="B1321" s="38">
        <v>43807.0</v>
      </c>
      <c r="C1321" s="1">
        <v>120.0</v>
      </c>
      <c r="D1321" s="1" t="s">
        <v>84</v>
      </c>
      <c r="E1321" s="1" t="s">
        <v>8</v>
      </c>
    </row>
    <row r="1322">
      <c r="A1322" s="1" t="s">
        <v>286</v>
      </c>
      <c r="B1322" s="38">
        <v>43807.0</v>
      </c>
      <c r="C1322" s="1">
        <v>200.0</v>
      </c>
      <c r="D1322" s="1" t="s">
        <v>480</v>
      </c>
      <c r="E1322" s="1" t="s">
        <v>11</v>
      </c>
      <c r="G1322" s="1">
        <v>8888.0</v>
      </c>
    </row>
    <row r="1323">
      <c r="A1323" s="1" t="s">
        <v>35</v>
      </c>
      <c r="B1323" s="1">
        <v>0.0</v>
      </c>
      <c r="D1323" s="1"/>
      <c r="E1323" s="1"/>
    </row>
    <row r="1324">
      <c r="A1324" s="1" t="s">
        <v>226</v>
      </c>
      <c r="B1324" s="1">
        <v>0.0</v>
      </c>
      <c r="D1324" s="1"/>
      <c r="E1324" s="1"/>
    </row>
    <row r="1325">
      <c r="A1325" s="1" t="s">
        <v>453</v>
      </c>
      <c r="B1325" s="38">
        <v>43807.0</v>
      </c>
      <c r="C1325" s="1">
        <v>20.0</v>
      </c>
      <c r="D1325" s="1"/>
      <c r="E1325" s="1" t="s">
        <v>8</v>
      </c>
    </row>
    <row r="1326">
      <c r="A1326" s="1" t="s">
        <v>336</v>
      </c>
      <c r="B1326" s="1">
        <v>0.0</v>
      </c>
      <c r="D1326" s="1"/>
      <c r="E1326" s="1"/>
    </row>
    <row r="1327">
      <c r="A1327" s="1" t="s">
        <v>239</v>
      </c>
      <c r="B1327" s="38">
        <v>43807.0</v>
      </c>
      <c r="C1327" s="1">
        <v>50.0</v>
      </c>
      <c r="D1327" s="93">
        <v>1.23140993288482E14</v>
      </c>
      <c r="E1327" s="1" t="s">
        <v>11</v>
      </c>
      <c r="G1327">
        <f>173.79-50</f>
        <v>123.79</v>
      </c>
    </row>
    <row r="1328">
      <c r="A1328" s="1" t="s">
        <v>375</v>
      </c>
      <c r="D1328" s="1"/>
      <c r="E1328" s="1"/>
    </row>
    <row r="1329">
      <c r="A1329" s="1" t="s">
        <v>481</v>
      </c>
      <c r="B1329" s="36">
        <v>43819.0</v>
      </c>
      <c r="C1329" s="1">
        <v>569.0</v>
      </c>
      <c r="D1329" s="1" t="s">
        <v>31</v>
      </c>
      <c r="E1329" s="1" t="s">
        <v>8</v>
      </c>
    </row>
    <row r="1330">
      <c r="A1330" s="1" t="s">
        <v>41</v>
      </c>
      <c r="D1330" s="1"/>
      <c r="E1330" s="1"/>
    </row>
    <row r="1331">
      <c r="A1331" s="1"/>
      <c r="D1331" s="1"/>
      <c r="E1331" s="1"/>
    </row>
    <row r="1332">
      <c r="A1332" s="78">
        <v>43831.0</v>
      </c>
    </row>
    <row r="1333">
      <c r="A1333" s="1" t="s">
        <v>231</v>
      </c>
      <c r="B1333" s="1">
        <v>0.0</v>
      </c>
      <c r="I1333" s="1" t="s">
        <v>8</v>
      </c>
      <c r="J1333" s="1" t="s">
        <v>11</v>
      </c>
      <c r="K1333" s="1" t="s">
        <v>41</v>
      </c>
    </row>
    <row r="1334">
      <c r="A1334" s="1" t="s">
        <v>429</v>
      </c>
      <c r="B1334" s="36">
        <v>43819.0</v>
      </c>
      <c r="C1334" s="1">
        <v>90.0</v>
      </c>
      <c r="D1334" s="1" t="s">
        <v>84</v>
      </c>
      <c r="E1334" s="1" t="s">
        <v>8</v>
      </c>
      <c r="I1334" s="1">
        <f>885.4-569-100-90-50-38.5+631.53-514</f>
        <v>155.43</v>
      </c>
      <c r="J1334" s="1">
        <f>738.56-50-650+600-35.75-100-30-99.04-200-81.59</f>
        <v>92.18</v>
      </c>
      <c r="K1334">
        <f>J1334+I1334</f>
        <v>247.61</v>
      </c>
    </row>
    <row r="1335">
      <c r="A1335" s="1" t="s">
        <v>255</v>
      </c>
      <c r="B1335" s="36">
        <v>43819.0</v>
      </c>
      <c r="C1335" s="1">
        <v>50.0</v>
      </c>
      <c r="D1335" s="90" t="s">
        <v>482</v>
      </c>
      <c r="E1335" s="1" t="s">
        <v>8</v>
      </c>
      <c r="G1335">
        <f>129-49</f>
        <v>80</v>
      </c>
    </row>
    <row r="1336">
      <c r="A1336" s="1" t="s">
        <v>163</v>
      </c>
      <c r="B1336" s="36">
        <v>43832.0</v>
      </c>
      <c r="C1336" s="1">
        <v>185.0</v>
      </c>
      <c r="E1336" s="1" t="s">
        <v>483</v>
      </c>
      <c r="G1336" s="1">
        <v>14.46</v>
      </c>
      <c r="I1336" s="1" t="s">
        <v>84</v>
      </c>
    </row>
    <row r="1337">
      <c r="A1337" s="1" t="s">
        <v>475</v>
      </c>
      <c r="B1337" s="36">
        <v>43833.0</v>
      </c>
      <c r="C1337" s="1">
        <v>514.0</v>
      </c>
      <c r="D1337" s="1" t="s">
        <v>31</v>
      </c>
      <c r="I1337" s="1">
        <v>90.0</v>
      </c>
    </row>
    <row r="1338">
      <c r="A1338" s="1" t="s">
        <v>27</v>
      </c>
      <c r="C1338" s="1">
        <v>0.0</v>
      </c>
    </row>
    <row r="1339">
      <c r="A1339" s="1" t="s">
        <v>199</v>
      </c>
      <c r="C1339" s="1">
        <v>0.0</v>
      </c>
    </row>
    <row r="1340">
      <c r="A1340" s="1" t="s">
        <v>29</v>
      </c>
      <c r="C1340" s="1">
        <v>0.0</v>
      </c>
    </row>
    <row r="1341">
      <c r="A1341" s="1" t="s">
        <v>84</v>
      </c>
      <c r="C1341" s="1">
        <v>0.0</v>
      </c>
    </row>
    <row r="1342">
      <c r="A1342" s="1" t="s">
        <v>425</v>
      </c>
      <c r="B1342" s="36">
        <v>43833.0</v>
      </c>
      <c r="C1342" s="1">
        <v>35.75</v>
      </c>
      <c r="E1342" s="1" t="s">
        <v>11</v>
      </c>
      <c r="G1342" s="1">
        <v>10.0</v>
      </c>
    </row>
    <row r="1343">
      <c r="A1343" s="1" t="s">
        <v>364</v>
      </c>
      <c r="B1343" s="36">
        <v>43833.0</v>
      </c>
      <c r="C1343" s="1">
        <v>30.0</v>
      </c>
      <c r="D1343" s="36"/>
      <c r="E1343" s="1" t="s">
        <v>11</v>
      </c>
      <c r="G1343" s="1">
        <v>70.52</v>
      </c>
    </row>
    <row r="1344">
      <c r="A1344" s="1" t="s">
        <v>414</v>
      </c>
      <c r="B1344" s="36">
        <v>43833.0</v>
      </c>
      <c r="C1344" s="1">
        <v>99.04</v>
      </c>
      <c r="D1344" s="35">
        <v>2.33832859E8</v>
      </c>
    </row>
    <row r="1345">
      <c r="A1345" s="1" t="s">
        <v>450</v>
      </c>
      <c r="B1345" s="36">
        <v>43833.0</v>
      </c>
      <c r="C1345" s="1">
        <v>100.0</v>
      </c>
      <c r="D1345" s="85">
        <v>2.081689111E9</v>
      </c>
      <c r="E1345" s="1" t="s">
        <v>11</v>
      </c>
      <c r="G1345" s="1">
        <v>18.9</v>
      </c>
    </row>
    <row r="1346">
      <c r="A1346" s="1" t="s">
        <v>258</v>
      </c>
      <c r="B1346" s="36">
        <v>43844.0</v>
      </c>
      <c r="C1346" s="1">
        <v>120.0</v>
      </c>
    </row>
    <row r="1347">
      <c r="A1347" s="1" t="s">
        <v>286</v>
      </c>
      <c r="B1347" s="36">
        <v>43836.0</v>
      </c>
      <c r="C1347" s="1">
        <v>200.0</v>
      </c>
      <c r="D1347" s="76" t="s">
        <v>484</v>
      </c>
      <c r="E1347" s="1" t="s">
        <v>11</v>
      </c>
      <c r="G1347" s="1">
        <v>8688.0</v>
      </c>
      <c r="I1347" s="1" t="s">
        <v>49</v>
      </c>
      <c r="J1347" s="1" t="s">
        <v>20</v>
      </c>
      <c r="K1347" s="1" t="s">
        <v>41</v>
      </c>
      <c r="M1347" s="1" t="s">
        <v>84</v>
      </c>
    </row>
    <row r="1348">
      <c r="A1348" s="1" t="s">
        <v>35</v>
      </c>
      <c r="B1348" s="1">
        <v>0.0</v>
      </c>
      <c r="I1348" s="1">
        <f>282.44-46.63-140</f>
        <v>95.81</v>
      </c>
      <c r="J1348" s="1">
        <v>104.18</v>
      </c>
      <c r="K1348">
        <f>I1348+J1348</f>
        <v>199.99</v>
      </c>
      <c r="M1348">
        <f>120+20</f>
        <v>140</v>
      </c>
    </row>
    <row r="1349">
      <c r="A1349" s="1" t="s">
        <v>226</v>
      </c>
      <c r="B1349" s="1">
        <v>0.0</v>
      </c>
    </row>
    <row r="1350">
      <c r="A1350" s="1" t="s">
        <v>453</v>
      </c>
      <c r="B1350" s="1" t="s">
        <v>90</v>
      </c>
      <c r="C1350" s="1">
        <v>20.0</v>
      </c>
    </row>
    <row r="1351">
      <c r="A1351" s="1" t="s">
        <v>336</v>
      </c>
      <c r="B1351" s="1">
        <v>0.0</v>
      </c>
    </row>
    <row r="1352">
      <c r="A1352" s="1" t="s">
        <v>239</v>
      </c>
      <c r="B1352" s="36">
        <v>43844.0</v>
      </c>
      <c r="C1352" s="1">
        <v>46.63</v>
      </c>
      <c r="D1352" s="93">
        <v>1.6001245833161E14</v>
      </c>
      <c r="E1352" s="1" t="s">
        <v>8</v>
      </c>
      <c r="G1352" s="1">
        <v>80.0</v>
      </c>
    </row>
    <row r="1353">
      <c r="A1353" s="1" t="s">
        <v>375</v>
      </c>
    </row>
    <row r="1354">
      <c r="A1354" s="1" t="s">
        <v>485</v>
      </c>
      <c r="B1354" s="36">
        <v>40210.0</v>
      </c>
      <c r="C1354" s="1">
        <v>589.0</v>
      </c>
    </row>
    <row r="1355">
      <c r="A1355" s="1" t="s">
        <v>41</v>
      </c>
      <c r="C1355">
        <f>sum(C1333:C1354)</f>
        <v>2079.42</v>
      </c>
    </row>
    <row r="1356">
      <c r="A1356" s="1"/>
    </row>
    <row r="1357">
      <c r="A1357" s="1"/>
    </row>
    <row r="1358">
      <c r="A1358" s="78">
        <v>43862.0</v>
      </c>
      <c r="I1358" s="1" t="s">
        <v>8</v>
      </c>
      <c r="J1358" s="1" t="s">
        <v>11</v>
      </c>
      <c r="K1358" s="1" t="s">
        <v>84</v>
      </c>
    </row>
    <row r="1359">
      <c r="A1359" s="1" t="s">
        <v>231</v>
      </c>
      <c r="B1359" s="36">
        <v>43862.0</v>
      </c>
      <c r="C1359" s="1">
        <v>20.0</v>
      </c>
      <c r="D1359" s="95">
        <v>6759.0</v>
      </c>
      <c r="G1359">
        <f>574.16-20</f>
        <v>554.16</v>
      </c>
      <c r="I1359">
        <f>995.72-589</f>
        <v>406.72</v>
      </c>
      <c r="J1359">
        <f>693.32-160-90-46.28-25-58.63-20</f>
        <v>293.41</v>
      </c>
      <c r="K1359">
        <f>90</f>
        <v>90</v>
      </c>
    </row>
    <row r="1360">
      <c r="A1360" s="1" t="s">
        <v>429</v>
      </c>
      <c r="B1360" s="63">
        <v>43862.0</v>
      </c>
      <c r="C1360" s="1">
        <v>90.0</v>
      </c>
      <c r="E1360" s="1" t="s">
        <v>11</v>
      </c>
    </row>
    <row r="1361">
      <c r="A1361" s="1" t="s">
        <v>255</v>
      </c>
      <c r="B1361" s="63">
        <v>43862.0</v>
      </c>
      <c r="C1361" s="1">
        <v>46.28</v>
      </c>
      <c r="D1361" s="90" t="s">
        <v>486</v>
      </c>
      <c r="E1361" s="1" t="s">
        <v>11</v>
      </c>
      <c r="G1361" s="1">
        <v>100.0</v>
      </c>
    </row>
    <row r="1362">
      <c r="A1362" s="1" t="s">
        <v>163</v>
      </c>
      <c r="B1362" s="36">
        <v>43862.0</v>
      </c>
      <c r="C1362" s="1">
        <v>25.0</v>
      </c>
      <c r="D1362" s="52">
        <v>4.13472233E8</v>
      </c>
      <c r="E1362" s="1" t="s">
        <v>11</v>
      </c>
      <c r="G1362" s="1">
        <v>0.0</v>
      </c>
    </row>
    <row r="1363">
      <c r="A1363" s="1" t="s">
        <v>475</v>
      </c>
      <c r="B1363" s="36">
        <v>43862.0</v>
      </c>
      <c r="C1363" s="1">
        <v>514.0</v>
      </c>
      <c r="D1363" s="1" t="s">
        <v>31</v>
      </c>
    </row>
    <row r="1364">
      <c r="A1364" s="1" t="s">
        <v>27</v>
      </c>
      <c r="C1364" s="1">
        <v>0.0</v>
      </c>
    </row>
    <row r="1365">
      <c r="A1365" s="1" t="s">
        <v>199</v>
      </c>
      <c r="C1365" s="1">
        <v>0.0</v>
      </c>
    </row>
    <row r="1366">
      <c r="A1366" s="1" t="s">
        <v>29</v>
      </c>
      <c r="C1366" s="1">
        <v>0.0</v>
      </c>
    </row>
    <row r="1367">
      <c r="A1367" s="1" t="s">
        <v>84</v>
      </c>
      <c r="C1367" s="1">
        <v>0.0</v>
      </c>
    </row>
    <row r="1368">
      <c r="A1368" s="1" t="s">
        <v>425</v>
      </c>
      <c r="B1368" s="36">
        <v>43862.0</v>
      </c>
      <c r="C1368" s="1">
        <v>58.63</v>
      </c>
      <c r="G1368" s="1">
        <v>0.0</v>
      </c>
      <c r="I1368" s="1" t="s">
        <v>8</v>
      </c>
      <c r="J1368" s="1" t="s">
        <v>11</v>
      </c>
      <c r="K1368" s="1" t="s">
        <v>84</v>
      </c>
    </row>
    <row r="1369">
      <c r="A1369" s="1" t="s">
        <v>364</v>
      </c>
      <c r="B1369" s="36">
        <v>43872.0</v>
      </c>
      <c r="C1369" s="1">
        <v>71.02</v>
      </c>
      <c r="D1369" s="1">
        <v>951.0</v>
      </c>
      <c r="E1369" s="1" t="s">
        <v>20</v>
      </c>
      <c r="I1369">
        <f>38.11</f>
        <v>38.11</v>
      </c>
      <c r="J1369" s="1">
        <f>303-71.02-180</f>
        <v>51.98</v>
      </c>
      <c r="K1369">
        <f>120+45</f>
        <v>165</v>
      </c>
    </row>
    <row r="1370">
      <c r="A1370" s="1" t="s">
        <v>414</v>
      </c>
      <c r="B1370" s="36">
        <v>43877.0</v>
      </c>
      <c r="C1370" s="1">
        <v>90.04</v>
      </c>
      <c r="E1370" s="1" t="s">
        <v>11</v>
      </c>
      <c r="I1370">
        <f>718.38-82.22-550-40</f>
        <v>46.16</v>
      </c>
      <c r="J1370">
        <f>652.34-90.04-20.4-120-200-45-101.04</f>
        <v>75.86</v>
      </c>
    </row>
    <row r="1371">
      <c r="A1371" s="1" t="s">
        <v>450</v>
      </c>
      <c r="B1371" s="36">
        <v>43877.0</v>
      </c>
      <c r="C1371" s="1">
        <v>20.4</v>
      </c>
      <c r="D1371" s="85">
        <v>2.122198097E9</v>
      </c>
      <c r="E1371" s="1" t="s">
        <v>11</v>
      </c>
      <c r="G1371" s="1">
        <v>0.0</v>
      </c>
      <c r="I1371" s="1" t="s">
        <v>41</v>
      </c>
      <c r="J1371">
        <f>I1370+J1370</f>
        <v>122.02</v>
      </c>
    </row>
    <row r="1372">
      <c r="A1372" s="1" t="s">
        <v>258</v>
      </c>
      <c r="B1372" s="36">
        <v>43877.0</v>
      </c>
      <c r="C1372" s="1">
        <v>120.0</v>
      </c>
      <c r="E1372" s="1" t="s">
        <v>11</v>
      </c>
    </row>
    <row r="1373">
      <c r="A1373" s="1" t="s">
        <v>286</v>
      </c>
      <c r="B1373" s="36">
        <v>43877.0</v>
      </c>
      <c r="C1373" s="1">
        <v>200.0</v>
      </c>
      <c r="D1373" s="76" t="s">
        <v>487</v>
      </c>
      <c r="E1373" s="1" t="s">
        <v>11</v>
      </c>
    </row>
    <row r="1374">
      <c r="A1374" s="1" t="s">
        <v>35</v>
      </c>
      <c r="B1374" s="1">
        <v>0.0</v>
      </c>
    </row>
    <row r="1375">
      <c r="A1375" s="1" t="s">
        <v>226</v>
      </c>
      <c r="B1375" s="1">
        <v>0.0</v>
      </c>
    </row>
    <row r="1376">
      <c r="A1376" s="1" t="s">
        <v>453</v>
      </c>
      <c r="B1376" s="36">
        <v>43877.0</v>
      </c>
      <c r="C1376" s="1">
        <v>45.0</v>
      </c>
    </row>
    <row r="1377">
      <c r="A1377" s="1" t="s">
        <v>336</v>
      </c>
      <c r="B1377" s="36">
        <v>43877.0</v>
      </c>
      <c r="C1377" s="1">
        <v>101.04</v>
      </c>
      <c r="D1377" s="1" t="s">
        <v>488</v>
      </c>
      <c r="E1377" s="1" t="s">
        <v>11</v>
      </c>
      <c r="G1377" s="1">
        <v>0.0</v>
      </c>
    </row>
    <row r="1378">
      <c r="A1378" s="1" t="s">
        <v>239</v>
      </c>
      <c r="B1378" s="36">
        <v>43877.0</v>
      </c>
      <c r="C1378" s="1">
        <v>82.22</v>
      </c>
      <c r="D1378" s="96">
        <v>1.20040217770604E14</v>
      </c>
      <c r="E1378" s="1" t="s">
        <v>8</v>
      </c>
      <c r="F1378" s="1">
        <v>2.22</v>
      </c>
      <c r="G1378" s="1">
        <v>0.0</v>
      </c>
    </row>
    <row r="1379">
      <c r="A1379" s="1" t="s">
        <v>375</v>
      </c>
      <c r="B1379" s="1">
        <v>0.0</v>
      </c>
    </row>
    <row r="1380">
      <c r="A1380" s="1" t="s">
        <v>355</v>
      </c>
      <c r="B1380" s="38">
        <v>43892.0</v>
      </c>
      <c r="C1380" s="1">
        <v>589.0</v>
      </c>
    </row>
    <row r="1381">
      <c r="A1381" s="1" t="s">
        <v>41</v>
      </c>
      <c r="C1381">
        <f>sum(C1359:C1380)</f>
        <v>2072.63</v>
      </c>
    </row>
    <row r="1382">
      <c r="A1382" s="1"/>
    </row>
    <row r="1383">
      <c r="A1383" s="1"/>
    </row>
    <row r="1384">
      <c r="A1384" s="78">
        <v>43891.0</v>
      </c>
    </row>
    <row r="1385">
      <c r="A1385" s="1" t="s">
        <v>231</v>
      </c>
      <c r="B1385" s="1" t="s">
        <v>489</v>
      </c>
      <c r="C1385" s="1" t="s">
        <v>490</v>
      </c>
      <c r="D1385" s="97">
        <v>5179.0</v>
      </c>
      <c r="E1385" s="1" t="s">
        <v>20</v>
      </c>
      <c r="G1385" s="1">
        <v>202.42</v>
      </c>
      <c r="I1385" s="1" t="s">
        <v>11</v>
      </c>
      <c r="J1385" s="1" t="s">
        <v>49</v>
      </c>
      <c r="K1385" s="1" t="s">
        <v>41</v>
      </c>
      <c r="L1385" s="1" t="s">
        <v>84</v>
      </c>
    </row>
    <row r="1386">
      <c r="A1386" s="1" t="s">
        <v>429</v>
      </c>
      <c r="B1386" s="36">
        <v>43892.0</v>
      </c>
      <c r="C1386" s="1">
        <v>90.0</v>
      </c>
      <c r="D1386" s="98"/>
      <c r="E1386" s="1" t="s">
        <v>11</v>
      </c>
      <c r="I1386">
        <f>655-90-500</f>
        <v>65</v>
      </c>
      <c r="J1386">
        <f>753-589-514+500-68-48</f>
        <v>34</v>
      </c>
      <c r="K1386">
        <f>I1386+J1386</f>
        <v>99</v>
      </c>
      <c r="L1386" s="1">
        <v>90.0</v>
      </c>
    </row>
    <row r="1387">
      <c r="A1387" s="1" t="s">
        <v>255</v>
      </c>
      <c r="B1387" s="1">
        <v>0.0</v>
      </c>
      <c r="D1387" s="98"/>
      <c r="N1387">
        <f>1250-120-200-300</f>
        <v>630</v>
      </c>
    </row>
    <row r="1388">
      <c r="A1388" s="1" t="s">
        <v>163</v>
      </c>
      <c r="D1388" s="98"/>
      <c r="I1388" s="1">
        <f>655-600</f>
        <v>55</v>
      </c>
      <c r="J1388" s="1">
        <f>705.61-89.3-120-198.06-40</f>
        <v>258.25</v>
      </c>
    </row>
    <row r="1389">
      <c r="A1389" s="1" t="s">
        <v>475</v>
      </c>
      <c r="B1389" s="1">
        <v>514.0</v>
      </c>
      <c r="D1389" s="98"/>
    </row>
    <row r="1390">
      <c r="A1390" s="1" t="s">
        <v>84</v>
      </c>
      <c r="B1390" s="1">
        <v>0.0</v>
      </c>
      <c r="D1390" s="98"/>
    </row>
    <row r="1391">
      <c r="A1391" s="1" t="s">
        <v>425</v>
      </c>
      <c r="B1391" s="1">
        <v>0.0</v>
      </c>
      <c r="D1391" s="98"/>
      <c r="G1391" s="1">
        <v>10.95</v>
      </c>
    </row>
    <row r="1392">
      <c r="A1392" s="1" t="s">
        <v>364</v>
      </c>
      <c r="B1392" s="1">
        <v>0.0</v>
      </c>
      <c r="D1392" s="98"/>
    </row>
    <row r="1393">
      <c r="A1393" s="1" t="s">
        <v>414</v>
      </c>
      <c r="B1393" s="36">
        <v>43906.0</v>
      </c>
      <c r="C1393" s="1">
        <v>89.3</v>
      </c>
      <c r="D1393" s="35">
        <v>2.3652789E8</v>
      </c>
      <c r="E1393" s="1" t="s">
        <v>8</v>
      </c>
    </row>
    <row r="1394">
      <c r="A1394" s="1" t="s">
        <v>450</v>
      </c>
      <c r="B1394" s="1">
        <v>0.0</v>
      </c>
      <c r="D1394" s="98"/>
    </row>
    <row r="1395">
      <c r="A1395" s="1" t="s">
        <v>258</v>
      </c>
      <c r="B1395" s="36">
        <v>43906.0</v>
      </c>
      <c r="C1395" s="1">
        <v>120.0</v>
      </c>
      <c r="D1395" s="99"/>
      <c r="E1395" s="1" t="s">
        <v>8</v>
      </c>
      <c r="J1395" s="1" t="s">
        <v>84</v>
      </c>
    </row>
    <row r="1396">
      <c r="A1396" s="1" t="s">
        <v>286</v>
      </c>
      <c r="B1396" s="36">
        <v>43906.0</v>
      </c>
      <c r="C1396" s="1">
        <v>200.0</v>
      </c>
      <c r="D1396" s="35">
        <v>2.3652789E8</v>
      </c>
      <c r="E1396" s="1" t="s">
        <v>8</v>
      </c>
      <c r="G1396" s="1">
        <v>8488.0</v>
      </c>
      <c r="J1396">
        <f>120+40</f>
        <v>160</v>
      </c>
    </row>
    <row r="1397">
      <c r="A1397" s="1" t="s">
        <v>35</v>
      </c>
      <c r="B1397" s="1">
        <v>0.0</v>
      </c>
      <c r="D1397" s="98"/>
    </row>
    <row r="1398">
      <c r="A1398" s="1" t="s">
        <v>226</v>
      </c>
      <c r="B1398" s="1">
        <v>0.0</v>
      </c>
      <c r="D1398" s="98"/>
    </row>
    <row r="1399">
      <c r="A1399" s="1" t="s">
        <v>453</v>
      </c>
      <c r="B1399" s="36">
        <v>43906.0</v>
      </c>
      <c r="C1399" s="1">
        <v>40.0</v>
      </c>
      <c r="D1399" s="98"/>
    </row>
    <row r="1400">
      <c r="A1400" s="1" t="s">
        <v>336</v>
      </c>
      <c r="B1400" s="1">
        <v>0.0</v>
      </c>
      <c r="D1400" s="98"/>
    </row>
    <row r="1401">
      <c r="A1401" s="1" t="s">
        <v>239</v>
      </c>
      <c r="B1401" s="1">
        <v>0.0</v>
      </c>
      <c r="D1401" s="98"/>
    </row>
    <row r="1402">
      <c r="A1402" s="1" t="s">
        <v>375</v>
      </c>
      <c r="B1402" s="1">
        <v>0.0</v>
      </c>
      <c r="D1402" s="98"/>
    </row>
    <row r="1403">
      <c r="A1403" s="1" t="s">
        <v>355</v>
      </c>
      <c r="B1403" s="36">
        <v>43920.0</v>
      </c>
      <c r="C1403" s="1">
        <v>589.0</v>
      </c>
      <c r="D1403" s="98"/>
    </row>
    <row r="1404">
      <c r="A1404" s="1" t="s">
        <v>41</v>
      </c>
      <c r="D1404" s="98"/>
    </row>
    <row r="1405">
      <c r="A1405" s="1"/>
      <c r="D1405" s="98"/>
    </row>
    <row r="1406">
      <c r="A1406" s="1"/>
    </row>
    <row r="1407">
      <c r="A1407" s="78">
        <v>43922.0</v>
      </c>
      <c r="I1407" s="1" t="s">
        <v>8</v>
      </c>
    </row>
    <row r="1408">
      <c r="A1408" s="1" t="s">
        <v>231</v>
      </c>
      <c r="B1408" s="36">
        <v>43920.0</v>
      </c>
      <c r="C1408" s="1">
        <v>100.0</v>
      </c>
      <c r="D1408" s="36">
        <v>8335.0</v>
      </c>
      <c r="G1408" s="1">
        <v>611.65</v>
      </c>
      <c r="I1408">
        <f>842.77+600-589-514-53-100-90</f>
        <v>96.77</v>
      </c>
    </row>
    <row r="1409">
      <c r="A1409" s="1" t="s">
        <v>429</v>
      </c>
      <c r="B1409" s="36">
        <v>43920.0</v>
      </c>
      <c r="C1409" s="1">
        <v>90.0</v>
      </c>
    </row>
    <row r="1410">
      <c r="A1410" s="1" t="s">
        <v>255</v>
      </c>
      <c r="B1410" s="1">
        <v>0.0</v>
      </c>
    </row>
    <row r="1411">
      <c r="A1411" s="1" t="s">
        <v>163</v>
      </c>
      <c r="B1411" s="36">
        <v>43920.0</v>
      </c>
      <c r="C1411" s="1">
        <v>53.0</v>
      </c>
    </row>
    <row r="1412">
      <c r="A1412" s="1" t="s">
        <v>475</v>
      </c>
      <c r="B1412" s="63">
        <v>43920.0</v>
      </c>
      <c r="C1412" s="1">
        <v>514.0</v>
      </c>
      <c r="D1412" s="1" t="s">
        <v>31</v>
      </c>
    </row>
    <row r="1413">
      <c r="A1413" s="1" t="s">
        <v>84</v>
      </c>
      <c r="B1413" s="1">
        <v>0.0</v>
      </c>
      <c r="C1413" s="1"/>
    </row>
    <row r="1414">
      <c r="A1414" s="1" t="s">
        <v>425</v>
      </c>
      <c r="B1414" s="36">
        <v>43932.0</v>
      </c>
      <c r="C1414" s="1">
        <v>21.9</v>
      </c>
      <c r="E1414" s="1" t="s">
        <v>8</v>
      </c>
      <c r="F1414" s="1">
        <v>0.0</v>
      </c>
      <c r="G1414" s="1">
        <v>0.0</v>
      </c>
    </row>
    <row r="1415">
      <c r="A1415" s="1" t="s">
        <v>491</v>
      </c>
      <c r="B1415" s="36">
        <v>43932.0</v>
      </c>
      <c r="C1415" s="1">
        <v>125.0</v>
      </c>
      <c r="D1415" s="22" t="s">
        <v>492</v>
      </c>
      <c r="E1415" s="1" t="s">
        <v>11</v>
      </c>
      <c r="G1415" s="1">
        <f>634.48-125</f>
        <v>509.48</v>
      </c>
    </row>
    <row r="1416">
      <c r="A1416" s="1" t="s">
        <v>364</v>
      </c>
      <c r="B1416" s="1">
        <v>0.0</v>
      </c>
      <c r="C1416" s="1"/>
      <c r="H1416" s="1" t="s">
        <v>11</v>
      </c>
      <c r="I1416" s="1" t="s">
        <v>8</v>
      </c>
      <c r="J1416" s="1" t="s">
        <v>84</v>
      </c>
    </row>
    <row r="1417">
      <c r="A1417" s="1" t="s">
        <v>414</v>
      </c>
      <c r="B1417" s="36">
        <v>43932.0</v>
      </c>
      <c r="C1417" s="1">
        <v>76.78</v>
      </c>
      <c r="D1417" s="1">
        <v>2.37467492E8</v>
      </c>
      <c r="E1417" s="1" t="s">
        <v>8</v>
      </c>
      <c r="H1417">
        <f>1049.09-200-613.57-125</f>
        <v>110.52</v>
      </c>
      <c r="I1417">
        <f>1206.16-21.9-76.78-120-40</f>
        <v>947.48</v>
      </c>
      <c r="J1417" s="1">
        <v>160.0</v>
      </c>
    </row>
    <row r="1418">
      <c r="A1418" s="1" t="s">
        <v>450</v>
      </c>
      <c r="B1418" s="1">
        <v>0.0</v>
      </c>
      <c r="C1418" s="1"/>
    </row>
    <row r="1419">
      <c r="A1419" s="1" t="s">
        <v>258</v>
      </c>
      <c r="B1419" s="36">
        <v>43932.0</v>
      </c>
      <c r="C1419" s="1">
        <v>120.0</v>
      </c>
      <c r="E1419" s="1" t="s">
        <v>8</v>
      </c>
    </row>
    <row r="1420">
      <c r="A1420" s="1" t="s">
        <v>286</v>
      </c>
      <c r="B1420" s="36">
        <v>43932.0</v>
      </c>
      <c r="C1420" s="1">
        <v>200.0</v>
      </c>
      <c r="D1420" s="76" t="s">
        <v>493</v>
      </c>
      <c r="E1420" s="1" t="s">
        <v>11</v>
      </c>
      <c r="G1420" s="1">
        <v>8088.0</v>
      </c>
    </row>
    <row r="1421">
      <c r="A1421" s="1" t="s">
        <v>35</v>
      </c>
      <c r="B1421" s="1">
        <v>0.0</v>
      </c>
      <c r="C1421" s="1"/>
    </row>
    <row r="1422">
      <c r="A1422" s="1" t="s">
        <v>226</v>
      </c>
      <c r="B1422" s="1">
        <v>0.0</v>
      </c>
      <c r="C1422" s="1"/>
    </row>
    <row r="1423">
      <c r="A1423" s="1" t="s">
        <v>453</v>
      </c>
      <c r="B1423" s="36">
        <v>43932.0</v>
      </c>
      <c r="C1423" s="1">
        <v>40.0</v>
      </c>
    </row>
    <row r="1424">
      <c r="A1424" s="1" t="s">
        <v>336</v>
      </c>
      <c r="B1424" s="1">
        <v>0.0</v>
      </c>
    </row>
    <row r="1425">
      <c r="A1425" s="1" t="s">
        <v>239</v>
      </c>
      <c r="B1425" s="1">
        <v>0.0</v>
      </c>
    </row>
    <row r="1426">
      <c r="A1426" s="1" t="s">
        <v>375</v>
      </c>
      <c r="B1426" s="1">
        <v>0.0</v>
      </c>
    </row>
    <row r="1427">
      <c r="A1427" s="1" t="s">
        <v>360</v>
      </c>
      <c r="B1427" s="36">
        <v>43951.0</v>
      </c>
      <c r="C1427" s="1">
        <v>589.0</v>
      </c>
      <c r="E1427" s="1" t="s">
        <v>8</v>
      </c>
      <c r="H1427" s="1" t="s">
        <v>11</v>
      </c>
      <c r="I1427" s="1" t="s">
        <v>8</v>
      </c>
      <c r="J1427" s="1" t="s">
        <v>41</v>
      </c>
      <c r="K1427">
        <f>589+90+90+210+200+30</f>
        <v>1209</v>
      </c>
    </row>
    <row r="1428">
      <c r="A1428" s="1" t="s">
        <v>41</v>
      </c>
      <c r="H1428">
        <f t="shared" ref="H1428:H1429" si="8">710.52-610.52</f>
        <v>100</v>
      </c>
      <c r="I1428" s="1">
        <f>2636.36-589-27.5-77.68-120-90-288-404.32</f>
        <v>1039.86</v>
      </c>
      <c r="J1428">
        <f>H1428+I1428</f>
        <v>1139.86</v>
      </c>
      <c r="K1428">
        <f>J1428-K1427</f>
        <v>-69.14</v>
      </c>
    </row>
    <row r="1429">
      <c r="A1429" s="1"/>
      <c r="H1429">
        <f t="shared" si="8"/>
        <v>100</v>
      </c>
    </row>
    <row r="1430">
      <c r="A1430" s="1"/>
    </row>
    <row r="1431">
      <c r="A1431" s="78">
        <v>43952.0</v>
      </c>
    </row>
    <row r="1432">
      <c r="A1432" s="1" t="s">
        <v>231</v>
      </c>
      <c r="B1432" s="36">
        <v>43932.0</v>
      </c>
      <c r="C1432" s="1">
        <v>613.57</v>
      </c>
      <c r="D1432" s="36">
        <v>3390.0</v>
      </c>
      <c r="E1432" s="1" t="s">
        <v>11</v>
      </c>
      <c r="F1432" s="1">
        <v>1.92</v>
      </c>
      <c r="G1432" s="1">
        <v>0.0</v>
      </c>
    </row>
    <row r="1433">
      <c r="A1433" s="1" t="s">
        <v>429</v>
      </c>
      <c r="B1433" s="36">
        <v>43951.0</v>
      </c>
      <c r="C1433" s="1">
        <v>90.0</v>
      </c>
      <c r="I1433" s="1" t="s">
        <v>84</v>
      </c>
      <c r="K1433" s="1">
        <v>4.2946595E7</v>
      </c>
    </row>
    <row r="1434">
      <c r="A1434" s="1" t="s">
        <v>255</v>
      </c>
      <c r="B1434" s="1">
        <v>0.0</v>
      </c>
      <c r="I1434">
        <f>90+120</f>
        <v>210</v>
      </c>
    </row>
    <row r="1435">
      <c r="A1435" s="1" t="s">
        <v>163</v>
      </c>
      <c r="B1435" s="36">
        <v>43951.0</v>
      </c>
      <c r="C1435" s="1">
        <v>404.32</v>
      </c>
      <c r="D1435" s="52">
        <v>4.14310923E8</v>
      </c>
      <c r="E1435" s="1" t="s">
        <v>8</v>
      </c>
      <c r="G1435" s="1">
        <v>0.0</v>
      </c>
    </row>
    <row r="1436">
      <c r="A1436" s="1" t="s">
        <v>475</v>
      </c>
      <c r="B1436" s="1">
        <v>0.0</v>
      </c>
    </row>
    <row r="1437">
      <c r="A1437" s="1" t="s">
        <v>84</v>
      </c>
      <c r="B1437" s="1">
        <v>0.0</v>
      </c>
    </row>
    <row r="1438">
      <c r="A1438" s="1" t="s">
        <v>425</v>
      </c>
      <c r="B1438" s="36">
        <v>43951.0</v>
      </c>
      <c r="C1438" s="1">
        <v>27.5</v>
      </c>
      <c r="E1438" s="1" t="s">
        <v>8</v>
      </c>
      <c r="G1438" s="1">
        <v>0.0</v>
      </c>
    </row>
    <row r="1439">
      <c r="A1439" s="1" t="s">
        <v>491</v>
      </c>
      <c r="B1439" s="36">
        <v>43951.0</v>
      </c>
      <c r="C1439" s="1">
        <v>610.52</v>
      </c>
      <c r="D1439" s="22" t="s">
        <v>494</v>
      </c>
      <c r="E1439" s="1" t="s">
        <v>11</v>
      </c>
      <c r="F1439" s="1">
        <v>0.0</v>
      </c>
      <c r="G1439">
        <f>747.93-610.52</f>
        <v>137.41</v>
      </c>
    </row>
    <row r="1440">
      <c r="A1440" s="1" t="s">
        <v>364</v>
      </c>
      <c r="B1440" s="1">
        <v>0.0</v>
      </c>
    </row>
    <row r="1441">
      <c r="A1441" s="1" t="s">
        <v>414</v>
      </c>
      <c r="B1441" s="36">
        <v>43951.0</v>
      </c>
      <c r="C1441" s="1">
        <v>77.68</v>
      </c>
      <c r="D1441" s="35">
        <v>2.38105871E8</v>
      </c>
      <c r="E1441" s="1" t="s">
        <v>8</v>
      </c>
    </row>
    <row r="1442">
      <c r="A1442" s="1" t="s">
        <v>450</v>
      </c>
      <c r="B1442" s="1">
        <v>0.0</v>
      </c>
    </row>
    <row r="1443">
      <c r="A1443" s="1" t="s">
        <v>258</v>
      </c>
      <c r="B1443" s="36">
        <v>43951.0</v>
      </c>
      <c r="C1443" s="1">
        <v>120.0</v>
      </c>
      <c r="D1443" s="1" t="s">
        <v>84</v>
      </c>
      <c r="E1443" s="1" t="s">
        <v>8</v>
      </c>
    </row>
    <row r="1444">
      <c r="A1444" s="1" t="s">
        <v>286</v>
      </c>
      <c r="B1444" s="36">
        <v>43951.0</v>
      </c>
      <c r="C1444" s="1">
        <v>288.0</v>
      </c>
      <c r="D1444" s="76" t="s">
        <v>495</v>
      </c>
      <c r="E1444" s="1" t="s">
        <v>8</v>
      </c>
      <c r="G1444" s="1">
        <v>7800.0</v>
      </c>
      <c r="H1444" s="1" t="s">
        <v>496</v>
      </c>
      <c r="I1444" s="1" t="s">
        <v>8</v>
      </c>
    </row>
    <row r="1445">
      <c r="A1445" s="1" t="s">
        <v>35</v>
      </c>
      <c r="B1445" s="1">
        <v>0.0</v>
      </c>
      <c r="I1445" s="1">
        <f>1039</f>
        <v>1039</v>
      </c>
      <c r="J1445">
        <f>589+45</f>
        <v>634</v>
      </c>
      <c r="K1445">
        <f>I1445-J1445</f>
        <v>405</v>
      </c>
    </row>
    <row r="1446">
      <c r="A1446" s="1" t="s">
        <v>226</v>
      </c>
      <c r="B1446" s="1">
        <v>0.0</v>
      </c>
    </row>
    <row r="1447">
      <c r="A1447" s="1" t="s">
        <v>453</v>
      </c>
      <c r="B1447" s="63">
        <v>43980.0</v>
      </c>
      <c r="C1447" s="1">
        <v>45.0</v>
      </c>
    </row>
    <row r="1448">
      <c r="A1448" s="1" t="s">
        <v>336</v>
      </c>
      <c r="B1448" s="1">
        <v>0.0</v>
      </c>
    </row>
    <row r="1449">
      <c r="A1449" s="1" t="s">
        <v>239</v>
      </c>
      <c r="B1449" s="1">
        <v>0.0</v>
      </c>
    </row>
    <row r="1450">
      <c r="A1450" s="1" t="s">
        <v>375</v>
      </c>
      <c r="B1450" s="1">
        <v>0.0</v>
      </c>
    </row>
    <row r="1451">
      <c r="A1451" s="1" t="s">
        <v>497</v>
      </c>
      <c r="B1451" s="36">
        <v>43980.0</v>
      </c>
      <c r="C1451" s="1">
        <v>589.0</v>
      </c>
      <c r="E1451" s="1" t="s">
        <v>8</v>
      </c>
    </row>
    <row r="1452">
      <c r="A1452" s="1" t="s">
        <v>41</v>
      </c>
      <c r="C1452">
        <f>sum(C1432:C1451)</f>
        <v>2865.59</v>
      </c>
    </row>
    <row r="1453">
      <c r="A1453" s="1"/>
    </row>
    <row r="1454">
      <c r="A1454" s="1"/>
    </row>
    <row r="1455">
      <c r="A1455" s="78">
        <v>43983.0</v>
      </c>
      <c r="I1455" s="1" t="s">
        <v>11</v>
      </c>
      <c r="J1455" s="1" t="s">
        <v>8</v>
      </c>
      <c r="K1455" s="1" t="s">
        <v>84</v>
      </c>
    </row>
    <row r="1456">
      <c r="A1456" s="1" t="s">
        <v>231</v>
      </c>
      <c r="B1456" s="36">
        <v>43980.0</v>
      </c>
      <c r="C1456" s="1">
        <v>102.68</v>
      </c>
      <c r="D1456" s="1">
        <v>8337.0</v>
      </c>
      <c r="E1456" s="1" t="s">
        <v>8</v>
      </c>
      <c r="G1456" s="1">
        <v>0.0</v>
      </c>
      <c r="I1456">
        <f>100-50</f>
        <v>50</v>
      </c>
      <c r="J1456">
        <f>1296.21-589-102.68-90-21.98-47.98-45-120</f>
        <v>279.57</v>
      </c>
      <c r="K1456">
        <f>90+45</f>
        <v>135</v>
      </c>
    </row>
    <row r="1457">
      <c r="A1457" s="1" t="s">
        <v>429</v>
      </c>
      <c r="B1457" s="36">
        <v>43980.0</v>
      </c>
      <c r="C1457" s="1">
        <v>90.0</v>
      </c>
      <c r="D1457" s="1" t="s">
        <v>84</v>
      </c>
      <c r="K1457">
        <f>850-758</f>
        <v>92</v>
      </c>
    </row>
    <row r="1458">
      <c r="A1458" s="1" t="s">
        <v>255</v>
      </c>
      <c r="B1458" s="36">
        <v>43980.0</v>
      </c>
      <c r="C1458" s="36"/>
      <c r="D1458" s="36"/>
      <c r="E1458" s="36"/>
    </row>
    <row r="1459">
      <c r="A1459" s="1" t="s">
        <v>163</v>
      </c>
      <c r="B1459" s="36">
        <v>43980.0</v>
      </c>
      <c r="C1459" s="1">
        <v>21.98</v>
      </c>
      <c r="D1459" s="36">
        <v>4.14577184E8</v>
      </c>
      <c r="E1459" s="36"/>
    </row>
    <row r="1460">
      <c r="A1460" s="1" t="s">
        <v>475</v>
      </c>
      <c r="B1460" s="1">
        <v>0.0</v>
      </c>
    </row>
    <row r="1461">
      <c r="A1461" s="1" t="s">
        <v>84</v>
      </c>
      <c r="B1461" s="1">
        <v>0.0</v>
      </c>
      <c r="J1461" s="100" t="s">
        <v>498</v>
      </c>
      <c r="K1461" s="101">
        <v>4987.81</v>
      </c>
      <c r="L1461" s="102">
        <v>0.0</v>
      </c>
      <c r="M1461" s="103">
        <v>43989.0</v>
      </c>
    </row>
    <row r="1462">
      <c r="A1462" s="1" t="s">
        <v>425</v>
      </c>
      <c r="B1462" s="1">
        <v>0.0</v>
      </c>
      <c r="G1462" s="1">
        <v>0.0</v>
      </c>
      <c r="J1462" s="104" t="s">
        <v>499</v>
      </c>
      <c r="K1462" s="101">
        <v>4611.47</v>
      </c>
      <c r="L1462" s="102">
        <v>0.0</v>
      </c>
      <c r="M1462" s="103">
        <v>43989.0</v>
      </c>
    </row>
    <row r="1463">
      <c r="A1463" s="1" t="s">
        <v>491</v>
      </c>
      <c r="B1463" s="1" t="s">
        <v>500</v>
      </c>
      <c r="C1463" s="1" t="s">
        <v>501</v>
      </c>
      <c r="D1463" s="22" t="s">
        <v>502</v>
      </c>
      <c r="G1463" t="str">
        <f>629.86-50/0</f>
        <v>#DIV/0!</v>
      </c>
      <c r="J1463" s="104" t="s">
        <v>503</v>
      </c>
      <c r="K1463" s="101">
        <v>4976.93</v>
      </c>
      <c r="L1463" s="102">
        <v>0.0</v>
      </c>
      <c r="M1463" s="103">
        <v>43989.0</v>
      </c>
    </row>
    <row r="1464">
      <c r="A1464" s="1" t="s">
        <v>364</v>
      </c>
      <c r="B1464" s="1">
        <v>0.0</v>
      </c>
      <c r="J1464" s="104" t="s">
        <v>504</v>
      </c>
      <c r="K1464" s="101">
        <v>7180.2</v>
      </c>
      <c r="L1464" s="102">
        <v>0.0</v>
      </c>
      <c r="M1464" s="103">
        <v>43989.0</v>
      </c>
    </row>
    <row r="1465">
      <c r="A1465" s="1" t="s">
        <v>414</v>
      </c>
      <c r="B1465" s="36">
        <v>43980.0</v>
      </c>
      <c r="C1465" s="1">
        <v>47.98</v>
      </c>
      <c r="D1465" s="35">
        <v>2.39200091E8</v>
      </c>
      <c r="J1465" s="104" t="s">
        <v>505</v>
      </c>
      <c r="K1465" s="101">
        <v>4961.09</v>
      </c>
      <c r="L1465" s="102">
        <v>0.0</v>
      </c>
      <c r="M1465" s="103">
        <v>43989.0</v>
      </c>
    </row>
    <row r="1466">
      <c r="A1466" s="1" t="s">
        <v>450</v>
      </c>
      <c r="B1466" s="1">
        <v>0.0</v>
      </c>
      <c r="G1466" s="1">
        <v>65.17</v>
      </c>
      <c r="J1466" s="104" t="s">
        <v>506</v>
      </c>
      <c r="K1466" s="101">
        <v>6813.74</v>
      </c>
      <c r="L1466" s="102">
        <v>0.0</v>
      </c>
      <c r="M1466" s="103">
        <v>43989.0</v>
      </c>
    </row>
    <row r="1467">
      <c r="A1467" s="1" t="s">
        <v>258</v>
      </c>
      <c r="B1467" s="36"/>
      <c r="J1467" s="104" t="s">
        <v>507</v>
      </c>
      <c r="K1467" s="101">
        <v>4981.67</v>
      </c>
      <c r="L1467" s="102">
        <v>0.0</v>
      </c>
      <c r="M1467" s="103">
        <v>43989.0</v>
      </c>
    </row>
    <row r="1468">
      <c r="A1468" s="1" t="s">
        <v>286</v>
      </c>
      <c r="G1468" s="1">
        <v>7800.0</v>
      </c>
      <c r="J1468" s="104" t="s">
        <v>508</v>
      </c>
      <c r="K1468" s="101">
        <v>6648.91</v>
      </c>
    </row>
    <row r="1469">
      <c r="A1469" s="1" t="s">
        <v>35</v>
      </c>
      <c r="J1469" s="1" t="s">
        <v>41</v>
      </c>
      <c r="K1469" s="105">
        <f>sum(K1461:K1468)</f>
        <v>45161.82</v>
      </c>
    </row>
    <row r="1470">
      <c r="A1470" s="1" t="s">
        <v>226</v>
      </c>
    </row>
    <row r="1471">
      <c r="A1471" s="1" t="s">
        <v>453</v>
      </c>
      <c r="J1471" s="106" t="s">
        <v>278</v>
      </c>
      <c r="K1471" s="107" t="str">
        <f>G1476+K1469</f>
        <v>#DIV/0!</v>
      </c>
    </row>
    <row r="1472">
      <c r="A1472" s="1" t="s">
        <v>336</v>
      </c>
    </row>
    <row r="1473">
      <c r="A1473" s="1" t="s">
        <v>239</v>
      </c>
    </row>
    <row r="1474">
      <c r="A1474" s="1" t="s">
        <v>375</v>
      </c>
    </row>
    <row r="1475">
      <c r="A1475" s="1" t="s">
        <v>282</v>
      </c>
    </row>
    <row r="1476">
      <c r="A1476" s="1" t="s">
        <v>41</v>
      </c>
      <c r="G1476" s="108" t="str">
        <f>sum(G1456:G1475)</f>
        <v>#DIV/0!</v>
      </c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</sheetData>
  <hyperlinks>
    <hyperlink r:id="rId1" ref="J1461"/>
    <hyperlink r:id="rId2" ref="J1462"/>
    <hyperlink r:id="rId3" ref="J1463"/>
    <hyperlink r:id="rId4" ref="J1464"/>
    <hyperlink r:id="rId5" ref="J1465"/>
    <hyperlink r:id="rId6" ref="J1466"/>
    <hyperlink r:id="rId7" ref="J1467"/>
    <hyperlink r:id="rId8" ref="J1468"/>
  </hyperlinks>
  <drawing r:id="rId9"/>
</worksheet>
</file>