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sarah/Documents/Berkeley/Virulence_traits/Extension/code_and_data/data/"/>
    </mc:Choice>
  </mc:AlternateContent>
  <xr:revisionPtr revIDLastSave="0" documentId="13_ncr:1_{13B0001D-A440-E14F-BE9E-93E49393AC7F}" xr6:coauthVersionLast="46" xr6:coauthVersionMax="46" xr10:uidLastSave="{00000000-0000-0000-0000-000000000000}"/>
  <bookViews>
    <workbookView xWindow="1940" yWindow="460" windowWidth="25600" windowHeight="14840" activeTab="1" xr2:uid="{00000000-000D-0000-FFFF-FFFF00000000}"/>
  </bookViews>
  <sheets>
    <sheet name="rodent-borne_hantaviruses" sheetId="2" r:id="rId1"/>
    <sheet name="dobrava" sheetId="4" r:id="rId2"/>
    <sheet name="powassan" sheetId="5" r:id="rId3"/>
    <sheet name="omsk_hemorrhagic_fever" sheetId="6" r:id="rId4"/>
    <sheet name="dengue" sheetId="7" r:id="rId5"/>
    <sheet name="dengue_old" sheetId="8" r:id="rId6"/>
    <sheet name="sin_nombre" sheetId="9" r:id="rId7"/>
    <sheet name="venezuelan_equine_encephalitis" sheetId="10" r:id="rId8"/>
    <sheet name="west_nile" sheetId="11" r:id="rId9"/>
    <sheet name="saint_louis_encephalitis" sheetId="12" r:id="rId10"/>
    <sheet name="rift_valley_phlebovirus" sheetId="13" r:id="rId11"/>
    <sheet name="Influenza_A_virus" sheetId="14" r:id="rId12"/>
    <sheet name="lassa_mammarenavirus" sheetId="15" r:id="rId13"/>
    <sheet name="japanese_encephalitis" sheetId="16"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6" l="1"/>
  <c r="B15" i="16"/>
  <c r="C13" i="14"/>
  <c r="C12" i="14"/>
  <c r="C18" i="12"/>
  <c r="C15" i="12"/>
  <c r="C7" i="12"/>
  <c r="C6" i="12"/>
  <c r="C5" i="12"/>
  <c r="C3" i="12"/>
  <c r="C2" i="12"/>
  <c r="C19" i="12" s="1"/>
  <c r="B25" i="11"/>
  <c r="B24" i="11"/>
  <c r="B20" i="11"/>
  <c r="B12" i="11"/>
  <c r="B11" i="11"/>
  <c r="B9" i="11"/>
  <c r="B6" i="11"/>
  <c r="B2" i="11"/>
  <c r="B26" i="11" s="1"/>
  <c r="C12" i="10"/>
  <c r="C11" i="10"/>
  <c r="C9" i="10"/>
  <c r="C14" i="10" s="1"/>
  <c r="C4" i="9"/>
  <c r="C3" i="9"/>
  <c r="C2" i="9"/>
  <c r="C52" i="8"/>
  <c r="C51" i="8"/>
  <c r="C50" i="8"/>
  <c r="C49" i="8"/>
  <c r="C47" i="8"/>
  <c r="C44" i="8"/>
  <c r="C42" i="8"/>
  <c r="C38" i="8"/>
  <c r="C37" i="8"/>
  <c r="C36" i="8"/>
  <c r="C35" i="8"/>
  <c r="E32" i="8"/>
  <c r="C32" i="8"/>
  <c r="E31" i="8"/>
  <c r="C31" i="8"/>
  <c r="C26" i="8"/>
  <c r="E25" i="8"/>
  <c r="C25" i="8" s="1"/>
  <c r="H6" i="8" s="1"/>
  <c r="C23" i="8"/>
  <c r="C21" i="8"/>
  <c r="C20" i="8"/>
  <c r="E5" i="8"/>
  <c r="C5" i="8"/>
  <c r="C3" i="8"/>
  <c r="C57" i="8" s="1"/>
  <c r="E6" i="7"/>
  <c r="C6" i="7"/>
  <c r="C5" i="7"/>
  <c r="E4" i="7"/>
  <c r="C4" i="7" s="1"/>
  <c r="C10" i="7" s="1"/>
  <c r="C2" i="7"/>
  <c r="B4" i="6"/>
  <c r="B2" i="6"/>
  <c r="B5" i="6" s="1"/>
  <c r="C16" i="5"/>
  <c r="F6" i="5"/>
  <c r="C52" i="2"/>
  <c r="C53" i="2" s="1"/>
  <c r="C51" i="2"/>
  <c r="C46" i="2"/>
  <c r="C45" i="2"/>
  <c r="C47" i="2" s="1"/>
  <c r="C44" i="2"/>
  <c r="C37" i="2"/>
  <c r="C36" i="2"/>
  <c r="C35" i="2"/>
  <c r="C34" i="2"/>
  <c r="C38" i="2" s="1"/>
  <c r="C24" i="2"/>
  <c r="C26" i="2" s="1"/>
  <c r="C8" i="2"/>
  <c r="C6" i="2"/>
  <c r="C17" i="2" s="1"/>
</calcChain>
</file>

<file path=xl/sharedStrings.xml><?xml version="1.0" encoding="utf-8"?>
<sst xmlns="http://schemas.openxmlformats.org/spreadsheetml/2006/main" count="681" uniqueCount="298">
  <si>
    <t>notes</t>
  </si>
  <si>
    <t>spill_type</t>
  </si>
  <si>
    <t>NA</t>
  </si>
  <si>
    <t>USA</t>
  </si>
  <si>
    <t>bridged</t>
  </si>
  <si>
    <t>GIDEON</t>
  </si>
  <si>
    <t>direct</t>
  </si>
  <si>
    <t>Brazil</t>
  </si>
  <si>
    <t>Colombia</t>
  </si>
  <si>
    <t>China</t>
  </si>
  <si>
    <t>2013-2018</t>
  </si>
  <si>
    <t>H7N9</t>
  </si>
  <si>
    <t>Japan</t>
  </si>
  <si>
    <t>GIDEON; Kumar Pant et al. 2017</t>
  </si>
  <si>
    <t>India</t>
  </si>
  <si>
    <t>Andes orthohantavirus</t>
  </si>
  <si>
    <t>Argentina</t>
  </si>
  <si>
    <t>Chile</t>
  </si>
  <si>
    <t>South Africa</t>
  </si>
  <si>
    <t>Tanzania</t>
  </si>
  <si>
    <t>Bayou orthohantavirus</t>
  </si>
  <si>
    <t>Black Creek Canal orthohantavirus</t>
  </si>
  <si>
    <t>Peru</t>
  </si>
  <si>
    <t>Bolivia</t>
  </si>
  <si>
    <t>Dobrava-Belgrade orthohantavirus</t>
  </si>
  <si>
    <t>Germany</t>
  </si>
  <si>
    <t>Slovenia</t>
  </si>
  <si>
    <t>1985-1995</t>
  </si>
  <si>
    <t>Zupanc et al. 1999</t>
  </si>
  <si>
    <t>Kenya</t>
  </si>
  <si>
    <t>Finland</t>
  </si>
  <si>
    <t>Venezuela</t>
  </si>
  <si>
    <t>Hantaan orthohantavirus</t>
  </si>
  <si>
    <t>Korea</t>
  </si>
  <si>
    <t>Laguna Negra orthohantavirus</t>
  </si>
  <si>
    <t>Nigeria</t>
  </si>
  <si>
    <t>Sierra Leone</t>
  </si>
  <si>
    <t>Malaysia</t>
  </si>
  <si>
    <t>Ruzek et al. 2010</t>
  </si>
  <si>
    <t>1946-1958</t>
  </si>
  <si>
    <t>http://ghdx.healthdata.org/gbd-results-tool</t>
  </si>
  <si>
    <t>Canada</t>
  </si>
  <si>
    <t>https://www.cdc.gov/powassan/statistics.html</t>
  </si>
  <si>
    <t>Croatia</t>
  </si>
  <si>
    <t>Puumala orthohantavirus</t>
  </si>
  <si>
    <t>Sweden</t>
  </si>
  <si>
    <t>Sudan</t>
  </si>
  <si>
    <t>Taiwan</t>
  </si>
  <si>
    <t>Seoul orthohantavirus</t>
  </si>
  <si>
    <t>Sin Nombre orthohantavirus</t>
  </si>
  <si>
    <t>Tula orthohantavirus</t>
  </si>
  <si>
    <t>Czech Republic</t>
  </si>
  <si>
    <t>Panama</t>
  </si>
  <si>
    <t>Choclo orthohantavirus</t>
  </si>
  <si>
    <t>Morocco</t>
  </si>
  <si>
    <t>Europe</t>
  </si>
  <si>
    <t>Very difficult to differentiate between DOBV and PUUV. In some cases, sources specified. In cases where sources did not specify, we assumed that deaths in southern Europe (closer to Greece) were attributable to DOBV, whereas deaths in Northern Europe were caused by PUUV</t>
  </si>
  <si>
    <t>Europe, more virulent but rare</t>
  </si>
  <si>
    <t>country</t>
  </si>
  <si>
    <t>year</t>
  </si>
  <si>
    <t>deaths</t>
  </si>
  <si>
    <t>reference</t>
  </si>
  <si>
    <t>Greece</t>
  </si>
  <si>
    <t>1982-2006</t>
  </si>
  <si>
    <t>Assumed deaths based on high CFR of total case count; 3 deaths 1982-1987, 39 cases 1997-2006, estimated death count with 12% average CFR</t>
  </si>
  <si>
    <t>2001-2017</t>
  </si>
  <si>
    <t>Caused by the virulent SOCV genotype of DOBV</t>
  </si>
  <si>
    <t>Faber et al. 2019</t>
  </si>
  <si>
    <t>Bosnia and Herzegovina</t>
  </si>
  <si>
    <t>1989; 1995</t>
  </si>
  <si>
    <t>1987-2002</t>
  </si>
  <si>
    <t>Bulgaria</t>
  </si>
  <si>
    <t>1954-1986</t>
  </si>
  <si>
    <t>2009-2010</t>
  </si>
  <si>
    <t>2013-2014</t>
  </si>
  <si>
    <t>Christova et al. 2017; GIDEON</t>
  </si>
  <si>
    <t xml:space="preserve">Epidemic of Dobrava and Puumala virus: confirmed Dobrava in the one fatal case </t>
  </si>
  <si>
    <t>Lovric et al. 2018</t>
  </si>
  <si>
    <t>https://www.ecdc.europa.eu/en/hantavirus-infection/surveillance-and-disease-data/annual-epidemiological-report</t>
  </si>
  <si>
    <t>Europe, mild and the most common</t>
  </si>
  <si>
    <t>1997-2009</t>
  </si>
  <si>
    <t>Connolly-Anderson et al. 2013</t>
  </si>
  <si>
    <t>1995-2008</t>
  </si>
  <si>
    <t>Vaheri et al. 2010</t>
  </si>
  <si>
    <t>No deaths</t>
  </si>
  <si>
    <t>Asia</t>
  </si>
  <si>
    <t>Restricted to Asia, specifically Korea and China. Also known as the Korean Hemorrhagic Fever. We assumed that all HFRS deaths in Korea and China were caused by Hantaan virus</t>
  </si>
  <si>
    <t>1950-2007</t>
  </si>
  <si>
    <t>2007-2016</t>
  </si>
  <si>
    <t>Unable to find case or death reports post-2016</t>
  </si>
  <si>
    <t>1977-2020</t>
  </si>
  <si>
    <t>10400 cases, estimated death count with 10% average CFR</t>
  </si>
  <si>
    <t>1961-1975</t>
  </si>
  <si>
    <t>2912 cases, estimated death count with 10% average CFR</t>
  </si>
  <si>
    <t>1951-1960; 1976</t>
  </si>
  <si>
    <t>2591 hospitalized cases, estimated death count with 10% average CFR</t>
  </si>
  <si>
    <t>The Americas</t>
  </si>
  <si>
    <t>Has caused human disease in Argentina, Bolivia, Brazil, Chile, and Paraguay (GIDEON)</t>
  </si>
  <si>
    <t>Paraguay</t>
  </si>
  <si>
    <t>1995-2018</t>
  </si>
  <si>
    <t>1993-2019</t>
  </si>
  <si>
    <t>851 cases total, estimated death count with 15% average CFR</t>
  </si>
  <si>
    <t>Panama only</t>
  </si>
  <si>
    <t>The Americas: mostly Chile and Argentina (GIDEON)</t>
  </si>
  <si>
    <t>1995-2019</t>
  </si>
  <si>
    <t>We assumed all HPS cases in Chile were caused by Andes virus as opposed to Laguna Negra</t>
  </si>
  <si>
    <t>1995-2017</t>
  </si>
  <si>
    <t>We assumed all HPS cases in Argentina were caused by Andes virus as opposed to Laguna Negra. 297 deaths 1995-2017; 254 cases 2018-2019, estimated death count with 31% average CFR</t>
  </si>
  <si>
    <t>USA only: 5 confirmed cases, three lethal</t>
  </si>
  <si>
    <t>USA only: one confirmed non-lethal case</t>
  </si>
  <si>
    <t>USA only</t>
  </si>
  <si>
    <t>2000-2017</t>
  </si>
  <si>
    <t>1958-1998</t>
  </si>
  <si>
    <t>USA and Canada</t>
  </si>
  <si>
    <t>27 cases</t>
  </si>
  <si>
    <t>Fatmi et al. 2017</t>
  </si>
  <si>
    <t>27 cases total 1958-1998, estimated death count (3) with global CFR estimate; 11 deaths 1999-2016; 14 deaths 2016-2019</t>
  </si>
  <si>
    <t>1999-2016</t>
  </si>
  <si>
    <t>1 death</t>
  </si>
  <si>
    <t>1999-2005</t>
  </si>
  <si>
    <t>9 cases</t>
  </si>
  <si>
    <t>2006-2016</t>
  </si>
  <si>
    <t>99 cases, 11 fatal</t>
  </si>
  <si>
    <t>2 deaths</t>
  </si>
  <si>
    <t>no deaths</t>
  </si>
  <si>
    <t xml:space="preserve">2010-2019 </t>
  </si>
  <si>
    <t>21 deaths and 181 cases</t>
  </si>
  <si>
    <t>2016-2019</t>
  </si>
  <si>
    <t>CFR_proxy</t>
  </si>
  <si>
    <t>CFR_proxy_notes</t>
  </si>
  <si>
    <t>972 cases total</t>
  </si>
  <si>
    <t>Average CFR estimate from our database</t>
  </si>
  <si>
    <t>1960-1970</t>
  </si>
  <si>
    <t>no_data</t>
  </si>
  <si>
    <t>1988-1997</t>
  </si>
  <si>
    <t>165 cases total</t>
  </si>
  <si>
    <t>location</t>
  </si>
  <si>
    <t>1950-1955</t>
  </si>
  <si>
    <t>global</t>
  </si>
  <si>
    <t>Only cases reported in Australia (no deaths reported) and Philippines (23 deaths)</t>
  </si>
  <si>
    <t>1956-1980</t>
  </si>
  <si>
    <t>1981-1984</t>
  </si>
  <si>
    <t>GIDEON reported 295591 cases worldwide on average 1980-1989. We proxied total global case count as 295591*4 = 1182364. Estimated death count with the global CFR estimate of 0.116%</t>
  </si>
  <si>
    <t>average global CFR estimate from our database</t>
  </si>
  <si>
    <t>Southeast Asia</t>
  </si>
  <si>
    <t>Americas</t>
  </si>
  <si>
    <t>158181 cases total, estimated death count with CFR in the Americas in 1995 (calculated from GIDEON)</t>
  </si>
  <si>
    <t>Western Pacific</t>
  </si>
  <si>
    <t>Outbreak in Indonesia</t>
  </si>
  <si>
    <t>1986-1990</t>
  </si>
  <si>
    <t>1991-2019</t>
  </si>
  <si>
    <t>Took the lower estimates</t>
  </si>
  <si>
    <t>Global death counts from GIDEON</t>
  </si>
  <si>
    <t>post-1990</t>
  </si>
  <si>
    <t>Missing years: 1985, 1991-1995, 1997, 2000-2004, 2006-2009, 2011-2014, 2018-2020</t>
  </si>
  <si>
    <t>There are three major regions with dengue deaths: Southeast Asia, the Americas, and the Western Pacific; death records in Africa are sparse</t>
  </si>
  <si>
    <t>1991-1995</t>
  </si>
  <si>
    <t>2000-2004</t>
  </si>
  <si>
    <t>250458 cases total, death count unavailable</t>
  </si>
  <si>
    <t>2006 CFR calculated from GIDEON</t>
  </si>
  <si>
    <t>2008-2009</t>
  </si>
  <si>
    <t>2011-2014; 2018-2019</t>
  </si>
  <si>
    <t>1991-1994</t>
  </si>
  <si>
    <t>257501 cases reported 1991-1992. No data 1993-1994; we estimated total cases 1991-1994 by multipling 1991-1992 cases by 2. Estimated death count with CFR in the Americas in 1995 (calculated from GIDEON). This estimate appears to be consistent with the 1990-1999 death count presented in Martin et al. 2020</t>
  </si>
  <si>
    <t>2006-2009</t>
  </si>
  <si>
    <t>2011-2014</t>
  </si>
  <si>
    <t>2018-2020</t>
  </si>
  <si>
    <t>2000-2003</t>
  </si>
  <si>
    <t>2007-2008</t>
  </si>
  <si>
    <t>WHO Dengue 2019</t>
  </si>
  <si>
    <t>Africa and Middle East</t>
  </si>
  <si>
    <t>Very difficult to find death counts</t>
  </si>
  <si>
    <t>1991-1995, 1997, 2000-2004, 2006-2009, 2011-2014</t>
  </si>
  <si>
    <t>Took the lower estimate</t>
  </si>
  <si>
    <t>Total global deaths 1950-2020</t>
  </si>
  <si>
    <t>1998-2018</t>
  </si>
  <si>
    <t>1993-1998</t>
  </si>
  <si>
    <t>149 cases total, estimated death count with 38% average CFR</t>
  </si>
  <si>
    <t>Aguilar et al. 2011</t>
  </si>
  <si>
    <t xml:space="preserve">Ecuador </t>
  </si>
  <si>
    <t>Mexico</t>
  </si>
  <si>
    <t>55 cases total, estimated death count with CFR average 0.195%</t>
  </si>
  <si>
    <t>Venezuela/Colombia</t>
  </si>
  <si>
    <t>entire_history</t>
  </si>
  <si>
    <t>30 cases total, estimated death count with CFR average 0.195%</t>
  </si>
  <si>
    <t>source</t>
  </si>
  <si>
    <t>Israel</t>
  </si>
  <si>
    <t>France</t>
  </si>
  <si>
    <t>Unable to find case or death counts for every recorded epidemic</t>
  </si>
  <si>
    <t>South Sudan</t>
  </si>
  <si>
    <t>Spain</t>
  </si>
  <si>
    <t>Romania</t>
  </si>
  <si>
    <t>Tunisia</t>
  </si>
  <si>
    <t>Russia: 1999, 2005, 2010</t>
  </si>
  <si>
    <t>Russia: 2007-2019 additional cases</t>
  </si>
  <si>
    <t>2105 cases total, estimated death count using 4.6% average CFR</t>
  </si>
  <si>
    <t>Italy: 2008-2011</t>
  </si>
  <si>
    <t>First case record in GIDEON is 2008, though it sounds like the first cases were in the 1960s</t>
  </si>
  <si>
    <t>Italy: 2017</t>
  </si>
  <si>
    <t>Italy: 2018</t>
  </si>
  <si>
    <t>Italy: 2019</t>
  </si>
  <si>
    <t>Italy: 2020</t>
  </si>
  <si>
    <t>Madagascar</t>
  </si>
  <si>
    <t>Sounds like there were cases in the 1970s, but case records start in 2005</t>
  </si>
  <si>
    <t>Hungary</t>
  </si>
  <si>
    <t>Northern Macedonia</t>
  </si>
  <si>
    <t>Kosovo</t>
  </si>
  <si>
    <t>Undereported (e.g., massive epidemic in 1974), but the African strain almost always causes a mild infection. Only one fatality recorded through 2001, one more in 2014</t>
  </si>
  <si>
    <t>Jupp 2006; Bertram et al. 2020</t>
  </si>
  <si>
    <t>timeline</t>
  </si>
  <si>
    <t>post-1950</t>
  </si>
  <si>
    <t>81 cases total, estimated death count with 10% average global CFR estimate</t>
  </si>
  <si>
    <t>probably underestimated because some cases in South America that are attributed to dengu</t>
  </si>
  <si>
    <t>74 cases total, estimated death count with 10% average global CFR estimate</t>
  </si>
  <si>
    <t>2005-2010</t>
  </si>
  <si>
    <t>68 cases total, estimated death count with 10% average global CFR estimate</t>
  </si>
  <si>
    <t>USA-California</t>
  </si>
  <si>
    <t>268 cases total, estimated death count with 10% average global CFR estimate</t>
  </si>
  <si>
    <t>Diaz et al. 2018</t>
  </si>
  <si>
    <t>38 cases total, estimated death count with 10% average global CFR estimate</t>
  </si>
  <si>
    <t>USA-Kentucky</t>
  </si>
  <si>
    <t>13 cases total</t>
  </si>
  <si>
    <t>Ranzenhofer et al. 1956</t>
  </si>
  <si>
    <t>USA-Texas</t>
  </si>
  <si>
    <t>373 cases total</t>
  </si>
  <si>
    <t>Chin et al. 1957</t>
  </si>
  <si>
    <t>USA-Colorado</t>
  </si>
  <si>
    <t>Primary source cited in GIDEON indicated that there were no fatalities</t>
  </si>
  <si>
    <t>114 clinical cases total</t>
  </si>
  <si>
    <t>Brody and Browning 1960</t>
  </si>
  <si>
    <t>USA-Florida</t>
  </si>
  <si>
    <t>68 cases total</t>
  </si>
  <si>
    <t>Day 2001</t>
  </si>
  <si>
    <t>222 cases total</t>
  </si>
  <si>
    <t>USA-Delaware</t>
  </si>
  <si>
    <t>712 cases total, estimated death count with 10% average global CFR estimate</t>
  </si>
  <si>
    <t>USA-Missouri</t>
  </si>
  <si>
    <t>Kriel et al. 1969</t>
  </si>
  <si>
    <t>248 cases total</t>
  </si>
  <si>
    <t>USA-multiple_locations</t>
  </si>
  <si>
    <t>1968-2020</t>
  </si>
  <si>
    <t>cases</t>
  </si>
  <si>
    <t>1950-51</t>
  </si>
  <si>
    <t>Nanyingi et al. 2015</t>
  </si>
  <si>
    <t>1977-78</t>
  </si>
  <si>
    <t>Egypt</t>
  </si>
  <si>
    <t>Zimbabwe</t>
  </si>
  <si>
    <t>Mauritania</t>
  </si>
  <si>
    <t>1987-89</t>
  </si>
  <si>
    <t>Senegal</t>
  </si>
  <si>
    <t>Somalia</t>
  </si>
  <si>
    <t>Saudi Arabia</t>
  </si>
  <si>
    <t>Yemeni</t>
  </si>
  <si>
    <t>total</t>
  </si>
  <si>
    <t>direct spillover from avian reservoirs</t>
  </si>
  <si>
    <t>deaths_source</t>
  </si>
  <si>
    <t>spill_type_source</t>
  </si>
  <si>
    <t>H2H2</t>
  </si>
  <si>
    <t>Nelson and Worobey 2018</t>
  </si>
  <si>
    <t>H3N2</t>
  </si>
  <si>
    <t>H5N1</t>
  </si>
  <si>
    <t>https://www.who.int/csr/don/2003_04_24/en/</t>
  </si>
  <si>
    <t>Netherlands</t>
  </si>
  <si>
    <t>H7N7</t>
  </si>
  <si>
    <t>H1N1</t>
  </si>
  <si>
    <t>2003-2020</t>
  </si>
  <si>
    <t>WHO 2020</t>
  </si>
  <si>
    <t>https://www.who.int/csr/don/05-september-2018-ah7n9-china/en/</t>
  </si>
  <si>
    <t>No new cases of avian flu</t>
  </si>
  <si>
    <t>https://www.who.int/docs/default-source/wpro---documents/emergency/surveillance/avian-influenza/ai-20210226v2.pdf?sfvrsn=30d65594_110</t>
  </si>
  <si>
    <t>direct spillover deaths</t>
  </si>
  <si>
    <t>bridged spillover deaths</t>
  </si>
  <si>
    <t>Country</t>
  </si>
  <si>
    <t>Liberia</t>
  </si>
  <si>
    <t>Benin</t>
  </si>
  <si>
    <t>Ghana</t>
  </si>
  <si>
    <t>Togo</t>
  </si>
  <si>
    <t>Thailand</t>
  </si>
  <si>
    <t>1977-2019</t>
  </si>
  <si>
    <t>First outbreak = 1973. GIDEON gave death counts from 1978 -2019. Two outbreaks pre-1078: 763 cases in 1973 and 1190 cases in 1977--estimated death counts for these epidemics using the case fatality from the first outbreak with both death and case count data (the 1991 epidemic, CFR = 37.58%)</t>
  </si>
  <si>
    <t>286 cases from 1986-1995; estimated death count using CFR (6.98%) from the 172 subset of cases reported from 1989-1993. 10 cases reported in 1974; estimated death counts with the 6.98% CFR. GIDEON gave death counts per year for 1994-2017</t>
  </si>
  <si>
    <t>5227 deaths from 1950-1979; 58 deaths 1982-2004; 6 deaths 2007-2016; GIDEON reported 17 cases from 2017-2020, estimated the death count (3) using the 18% CFR reported for 1982-2004</t>
  </si>
  <si>
    <t>Nepal</t>
  </si>
  <si>
    <t>5381 deaths from 1978-2004; 205 deaths from 2005-2010; Kumar Pant et al. 2017 reported 11 deaths from 2011-2015; GIDEON reported 289 cases from 2016-2019 and we estimated death counts with the 6.6% CFR reported in Kumar Pant et al. 2017</t>
  </si>
  <si>
    <t>Sri Lanka</t>
  </si>
  <si>
    <t>74 deaths 1985-86; 96 deaths 1987-2011; GIDEON reported 260 cases from 2012-2019, estimated the death count (65) using the 25% average global CFR estimate</t>
  </si>
  <si>
    <t>Northern Marianas</t>
  </si>
  <si>
    <t>Only one outbreak in 1990</t>
  </si>
  <si>
    <t>Vietnam</t>
  </si>
  <si>
    <t>986 deaths from 1991-2000; 8026 cases reported from 1975-1990, estimated death count (2,007) using 25% average global CFR estimate; 7 deaths in 2010; 32 deaths in 2014; 2154 additional cases reported 2007-2019, estimated death count (539) using 25% average global CFR estimate</t>
  </si>
  <si>
    <t>Philippines</t>
  </si>
  <si>
    <t>5406 cases from 1961-2018, estimated death count using the 25% average global CFR estimate</t>
  </si>
  <si>
    <t>8665 deaths reported 1950-2017; GIDEON reported 57 cases 2018-2020, estimated death count (14) using the 25% average global CFR estimate</t>
  </si>
  <si>
    <t>Myanmar</t>
  </si>
  <si>
    <t>79 deaths from 2012-2017; 102 cases reported 1978-2011, estimated death count (26) using the 25% average global CFR estimate</t>
  </si>
  <si>
    <t>Indonesia</t>
  </si>
  <si>
    <t>9 Deaths reported 2001-2004. Very poor surveillance</t>
  </si>
  <si>
    <t>451 deaths reported 1955-2018; 13 cases reported 2019, estimated death count (3) using the 25% average global CFR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</si>
</sst>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
    <numFmt numFmtId="165" formatCode="yyyy\-m"/>
  </numFmts>
  <fonts count="12">
    <font>
      <sz val="10"/>
      <color rgb="FF000000"/>
      <name val="Arial"/>
    </font>
    <font>
      <sz val="12"/>
      <color rgb="FF000000"/>
      <name val="Calibri"/>
      <family val="2"/>
    </font>
    <font>
      <u/>
      <sz val="12"/>
      <color rgb="FF000000"/>
      <name val="Calibri"/>
      <family val="2"/>
    </font>
    <font>
      <sz val="10"/>
      <color theme="1"/>
      <name val="Arial"/>
      <family val="2"/>
    </font>
    <font>
      <sz val="11"/>
      <color rgb="FF000000"/>
      <name val="Inconsolata"/>
    </font>
    <font>
      <b/>
      <i/>
      <sz val="12"/>
      <color rgb="FF000000"/>
      <name val="Calibri"/>
      <family val="2"/>
    </font>
    <font>
      <b/>
      <sz val="12"/>
      <color rgb="FF000000"/>
      <name val="Calibri"/>
      <family val="2"/>
    </font>
    <font>
      <b/>
      <sz val="10"/>
      <color theme="1"/>
      <name val="Arial"/>
      <family val="2"/>
    </font>
    <font>
      <u/>
      <sz val="10"/>
      <color rgb="FF0000FF"/>
      <name val="Arial"/>
      <family val="2"/>
    </font>
    <font>
      <sz val="11"/>
      <color theme="1"/>
      <name val="Inconsolata"/>
    </font>
    <font>
      <sz val="13"/>
      <color rgb="FF000000"/>
      <name val="Helvetica"/>
      <family val="2"/>
    </font>
    <font>
      <u/>
      <sz val="10"/>
      <color rgb="FF1155CC"/>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xf numFmtId="0" fontId="2" fillId="0" borderId="0" xfId="0" applyFont="1" applyAlignment="1"/>
    <xf numFmtId="0" fontId="3"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3" fillId="0" borderId="0" xfId="0" applyFont="1"/>
    <xf numFmtId="0" fontId="8" fillId="0" borderId="0" xfId="0" applyFont="1" applyAlignment="1"/>
    <xf numFmtId="0" fontId="7" fillId="0" borderId="0" xfId="0" applyFont="1"/>
    <xf numFmtId="0" fontId="3" fillId="0" borderId="0" xfId="0" applyFont="1"/>
    <xf numFmtId="0" fontId="3" fillId="0" borderId="0" xfId="0" applyFont="1" applyAlignment="1">
      <alignment horizontal="right"/>
    </xf>
    <xf numFmtId="0" fontId="3" fillId="0" borderId="0" xfId="0" applyFont="1" applyAlignment="1"/>
    <xf numFmtId="0" fontId="3" fillId="0" borderId="0" xfId="0" applyFont="1" applyAlignment="1">
      <alignment horizontal="right"/>
    </xf>
    <xf numFmtId="0" fontId="3" fillId="0" borderId="0" xfId="0" applyFont="1" applyAlignment="1"/>
    <xf numFmtId="0" fontId="3" fillId="0" borderId="0" xfId="0" applyFont="1" applyAlignment="1">
      <alignment horizontal="right"/>
    </xf>
    <xf numFmtId="0" fontId="3" fillId="0" borderId="0" xfId="0" applyFont="1" applyAlignment="1">
      <alignment horizontal="left"/>
    </xf>
    <xf numFmtId="0" fontId="9" fillId="0" borderId="0" xfId="0" applyFont="1"/>
    <xf numFmtId="0" fontId="3" fillId="0" borderId="1" xfId="0" applyFont="1" applyBorder="1" applyAlignment="1"/>
    <xf numFmtId="0" fontId="4" fillId="2" borderId="0" xfId="0" applyFont="1" applyFill="1" applyAlignment="1"/>
    <xf numFmtId="0" fontId="10" fillId="0" borderId="0" xfId="0" applyFont="1" applyAlignment="1"/>
    <xf numFmtId="164" fontId="1" fillId="0" borderId="0" xfId="0" applyNumberFormat="1" applyFont="1" applyAlignment="1"/>
    <xf numFmtId="165" fontId="1" fillId="0" borderId="0" xfId="0" applyNumberFormat="1" applyFont="1" applyAlignment="1"/>
    <xf numFmtId="0" fontId="11" fillId="0" borderId="0" xfId="0" applyFont="1" applyAlignment="1"/>
    <xf numFmtId="0" fontId="0" fillId="0" borderId="0" xfId="0" applyFont="1" applyFill="1" applyAlignment="1"/>
    <xf numFmtId="0" fontId="3" fillId="0" borderId="0" xfId="0" applyFont="1" applyFill="1" applyAlignment="1"/>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cdc.europa.eu/en/hantavirus-infection/surveillance-and-disease-data/annual-epidemiological-report" TargetMode="External"/><Relationship Id="rId2" Type="http://schemas.openxmlformats.org/officeDocument/2006/relationships/hyperlink" Target="https://www.ecdc.europa.eu/en/hantavirus-infection/surveillance-and-disease-data/annual-epidemiological-report" TargetMode="External"/><Relationship Id="rId1" Type="http://schemas.openxmlformats.org/officeDocument/2006/relationships/hyperlink" Target="https://www.ecdc.europa.eu/en/hantavirus-infection/surveillance-and-disease-data/annual-epidemiological-report"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who.int/csr/don/05-september-2018-ah7n9-china/en/" TargetMode="External"/><Relationship Id="rId2" Type="http://schemas.openxmlformats.org/officeDocument/2006/relationships/hyperlink" Target="https://www.who.int/csr/don/2003_04_24/en/" TargetMode="External"/><Relationship Id="rId1" Type="http://schemas.openxmlformats.org/officeDocument/2006/relationships/hyperlink" Target="https://www.who.int/csr/don/2003_04_24/en/" TargetMode="External"/><Relationship Id="rId4" Type="http://schemas.openxmlformats.org/officeDocument/2006/relationships/hyperlink" Target="https://www.who.int/docs/default-source/wpro---documents/emergency/surveillance/avian-influenza/ai-20210226v2.pdf?sfvrsn=30d65594_1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c.gov/powassan/statistic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hdx.healthdata.org/gbd-results-too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ghdx.healthdata.org/gbd-results-tool" TargetMode="External"/><Relationship Id="rId1" Type="http://schemas.openxmlformats.org/officeDocument/2006/relationships/hyperlink" Target="http://ghdx.healthdata.org/gbd-results-to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Z57"/>
  <sheetViews>
    <sheetView topLeftCell="A38" workbookViewId="0">
      <selection activeCell="A49" sqref="A49"/>
    </sheetView>
  </sheetViews>
  <sheetFormatPr baseColWidth="10" defaultColWidth="14.5" defaultRowHeight="15.75" customHeight="1"/>
  <cols>
    <col min="1" max="1" width="29.5" customWidth="1"/>
  </cols>
  <sheetData>
    <row r="2" spans="1:26" ht="16">
      <c r="A2" s="1"/>
    </row>
    <row r="3" spans="1:26" ht="16">
      <c r="A3" s="6" t="s">
        <v>55</v>
      </c>
      <c r="B3" s="5" t="s">
        <v>56</v>
      </c>
    </row>
    <row r="4" spans="1:26" ht="16">
      <c r="A4" s="7" t="s">
        <v>24</v>
      </c>
      <c r="B4" s="8" t="s">
        <v>57</v>
      </c>
      <c r="C4" s="9"/>
      <c r="D4" s="9"/>
      <c r="E4" s="9"/>
      <c r="F4" s="9"/>
      <c r="G4" s="9"/>
      <c r="H4" s="9"/>
      <c r="I4" s="9"/>
      <c r="J4" s="9"/>
      <c r="K4" s="9"/>
      <c r="L4" s="9"/>
      <c r="M4" s="9"/>
      <c r="N4" s="9"/>
      <c r="O4" s="9"/>
      <c r="P4" s="9"/>
      <c r="Q4" s="9"/>
      <c r="R4" s="9"/>
      <c r="S4" s="9"/>
      <c r="T4" s="9"/>
      <c r="U4" s="9"/>
      <c r="V4" s="9"/>
      <c r="W4" s="9"/>
      <c r="X4" s="9"/>
      <c r="Y4" s="9"/>
      <c r="Z4" s="9"/>
    </row>
    <row r="5" spans="1:26" ht="16">
      <c r="A5" s="1" t="s">
        <v>58</v>
      </c>
      <c r="B5" s="5" t="s">
        <v>59</v>
      </c>
      <c r="C5" s="5" t="s">
        <v>60</v>
      </c>
      <c r="D5" s="5" t="s">
        <v>0</v>
      </c>
      <c r="E5" s="5" t="s">
        <v>61</v>
      </c>
    </row>
    <row r="6" spans="1:26" ht="16">
      <c r="A6" s="1" t="s">
        <v>62</v>
      </c>
      <c r="B6" s="5" t="s">
        <v>63</v>
      </c>
      <c r="C6" s="5">
        <f>ROUND(3 + (39*0.12),0)</f>
        <v>8</v>
      </c>
      <c r="D6" s="5" t="s">
        <v>64</v>
      </c>
      <c r="E6" s="5"/>
    </row>
    <row r="7" spans="1:26" ht="16">
      <c r="A7" s="1" t="s">
        <v>25</v>
      </c>
      <c r="B7" s="5" t="s">
        <v>65</v>
      </c>
      <c r="C7" s="5">
        <v>1</v>
      </c>
      <c r="D7" s="5" t="s">
        <v>66</v>
      </c>
      <c r="E7" s="5" t="s">
        <v>67</v>
      </c>
    </row>
    <row r="8" spans="1:26" ht="15.75" customHeight="1">
      <c r="A8" s="5" t="s">
        <v>68</v>
      </c>
      <c r="B8" s="5" t="s">
        <v>69</v>
      </c>
      <c r="C8" s="10">
        <f>5 + 15</f>
        <v>20</v>
      </c>
      <c r="E8" s="5" t="s">
        <v>5</v>
      </c>
    </row>
    <row r="9" spans="1:26" ht="16">
      <c r="A9" s="1" t="s">
        <v>43</v>
      </c>
      <c r="B9" s="5" t="s">
        <v>70</v>
      </c>
      <c r="C9" s="5">
        <v>6</v>
      </c>
      <c r="D9" s="5"/>
      <c r="E9" s="5" t="s">
        <v>5</v>
      </c>
    </row>
    <row r="10" spans="1:26" ht="16">
      <c r="A10" s="1" t="s">
        <v>71</v>
      </c>
      <c r="B10" s="5" t="s">
        <v>72</v>
      </c>
      <c r="C10" s="5">
        <v>399</v>
      </c>
      <c r="D10" s="5"/>
      <c r="E10" s="5" t="s">
        <v>5</v>
      </c>
    </row>
    <row r="11" spans="1:26" ht="16">
      <c r="A11" s="1" t="s">
        <v>71</v>
      </c>
      <c r="B11" s="5" t="s">
        <v>73</v>
      </c>
      <c r="C11" s="5">
        <v>2</v>
      </c>
      <c r="E11" s="5" t="s">
        <v>5</v>
      </c>
    </row>
    <row r="12" spans="1:26" ht="16">
      <c r="A12" s="1" t="s">
        <v>71</v>
      </c>
      <c r="B12" s="5" t="s">
        <v>74</v>
      </c>
      <c r="C12" s="5">
        <v>2</v>
      </c>
      <c r="E12" s="5" t="s">
        <v>75</v>
      </c>
    </row>
    <row r="13" spans="1:26" ht="15.75" customHeight="1">
      <c r="A13" s="5" t="s">
        <v>43</v>
      </c>
      <c r="B13" s="5">
        <v>2017</v>
      </c>
      <c r="C13" s="5">
        <v>1</v>
      </c>
      <c r="D13" s="5" t="s">
        <v>76</v>
      </c>
      <c r="E13" s="5" t="s">
        <v>77</v>
      </c>
    </row>
    <row r="14" spans="1:26" ht="16">
      <c r="A14" s="1" t="s">
        <v>55</v>
      </c>
      <c r="B14" s="5">
        <v>2015</v>
      </c>
      <c r="C14" s="5">
        <v>4</v>
      </c>
      <c r="E14" s="11" t="s">
        <v>78</v>
      </c>
    </row>
    <row r="15" spans="1:26" ht="16">
      <c r="A15" s="1" t="s">
        <v>55</v>
      </c>
      <c r="B15" s="5">
        <v>2014</v>
      </c>
      <c r="C15" s="5">
        <v>3</v>
      </c>
      <c r="E15" s="11" t="s">
        <v>78</v>
      </c>
    </row>
    <row r="16" spans="1:26" ht="16">
      <c r="A16" s="2" t="s">
        <v>26</v>
      </c>
      <c r="B16" s="1" t="s">
        <v>27</v>
      </c>
      <c r="C16" s="1">
        <v>3</v>
      </c>
      <c r="D16" s="1"/>
      <c r="E16" s="1" t="s">
        <v>28</v>
      </c>
      <c r="F16" s="9"/>
      <c r="G16" s="9"/>
      <c r="H16" s="9"/>
      <c r="I16" s="9"/>
      <c r="J16" s="9"/>
      <c r="K16" s="9"/>
      <c r="L16" s="9"/>
      <c r="M16" s="9"/>
      <c r="N16" s="9"/>
      <c r="O16" s="9"/>
      <c r="P16" s="9"/>
      <c r="Q16" s="9"/>
      <c r="R16" s="9"/>
      <c r="S16" s="9"/>
      <c r="T16" s="9"/>
      <c r="U16" s="9"/>
      <c r="V16" s="9"/>
      <c r="W16" s="9"/>
      <c r="X16" s="9"/>
      <c r="Y16" s="9"/>
      <c r="Z16" s="9"/>
    </row>
    <row r="17" spans="1:26" ht="16">
      <c r="A17" s="7"/>
      <c r="B17" s="8"/>
      <c r="C17" s="10">
        <f>SUM(C6:C16)</f>
        <v>449</v>
      </c>
      <c r="D17" s="9"/>
      <c r="E17" s="9"/>
      <c r="F17" s="9"/>
      <c r="G17" s="9"/>
      <c r="H17" s="9"/>
      <c r="I17" s="9"/>
      <c r="J17" s="9"/>
      <c r="K17" s="9"/>
      <c r="L17" s="9"/>
      <c r="M17" s="9"/>
      <c r="N17" s="9"/>
      <c r="O17" s="9"/>
      <c r="P17" s="9"/>
      <c r="Q17" s="9"/>
      <c r="R17" s="9"/>
      <c r="S17" s="9"/>
      <c r="T17" s="9"/>
      <c r="U17" s="9"/>
      <c r="V17" s="9"/>
      <c r="W17" s="9"/>
      <c r="X17" s="9"/>
      <c r="Y17" s="9"/>
      <c r="Z17" s="9"/>
    </row>
    <row r="18" spans="1:26" ht="16">
      <c r="A18" s="7"/>
      <c r="B18" s="8"/>
      <c r="C18" s="9"/>
      <c r="D18" s="9"/>
      <c r="E18" s="9"/>
      <c r="F18" s="9"/>
      <c r="G18" s="9"/>
      <c r="H18" s="9"/>
      <c r="I18" s="9"/>
      <c r="J18" s="9"/>
      <c r="K18" s="9"/>
      <c r="L18" s="9"/>
      <c r="M18" s="9"/>
      <c r="N18" s="9"/>
      <c r="O18" s="9"/>
      <c r="P18" s="9"/>
      <c r="Q18" s="9"/>
      <c r="R18" s="9"/>
      <c r="S18" s="9"/>
      <c r="T18" s="9"/>
      <c r="U18" s="9"/>
      <c r="V18" s="9"/>
      <c r="W18" s="9"/>
      <c r="X18" s="9"/>
      <c r="Y18" s="9"/>
      <c r="Z18" s="9"/>
    </row>
    <row r="19" spans="1:26" ht="16">
      <c r="A19" s="7" t="s">
        <v>44</v>
      </c>
      <c r="B19" s="8" t="s">
        <v>79</v>
      </c>
      <c r="C19" s="9"/>
      <c r="D19" s="9"/>
      <c r="E19" s="9"/>
      <c r="F19" s="9"/>
      <c r="G19" s="9"/>
      <c r="H19" s="9"/>
      <c r="I19" s="9"/>
      <c r="J19" s="9"/>
      <c r="K19" s="9"/>
      <c r="L19" s="9"/>
      <c r="M19" s="9"/>
      <c r="N19" s="9"/>
      <c r="O19" s="9"/>
      <c r="P19" s="9"/>
      <c r="Q19" s="9"/>
      <c r="R19" s="9"/>
      <c r="S19" s="9"/>
      <c r="T19" s="9"/>
      <c r="U19" s="9"/>
      <c r="V19" s="9"/>
      <c r="W19" s="9"/>
      <c r="X19" s="9"/>
      <c r="Y19" s="9"/>
      <c r="Z19" s="9"/>
    </row>
    <row r="20" spans="1:26" ht="16">
      <c r="A20" s="1" t="s">
        <v>58</v>
      </c>
      <c r="B20" s="5" t="s">
        <v>59</v>
      </c>
      <c r="C20" s="5" t="s">
        <v>60</v>
      </c>
      <c r="D20" s="5" t="s">
        <v>0</v>
      </c>
      <c r="E20" s="5" t="s">
        <v>61</v>
      </c>
      <c r="F20" s="9"/>
      <c r="G20" s="9"/>
      <c r="H20" s="9"/>
      <c r="I20" s="9"/>
      <c r="J20" s="9"/>
      <c r="K20" s="9"/>
      <c r="L20" s="9"/>
      <c r="M20" s="9"/>
      <c r="N20" s="9"/>
      <c r="O20" s="9"/>
      <c r="P20" s="9"/>
      <c r="Q20" s="9"/>
      <c r="R20" s="9"/>
      <c r="S20" s="9"/>
      <c r="T20" s="9"/>
      <c r="U20" s="9"/>
      <c r="V20" s="9"/>
      <c r="W20" s="9"/>
      <c r="X20" s="9"/>
      <c r="Y20" s="9"/>
      <c r="Z20" s="9"/>
    </row>
    <row r="21" spans="1:26" ht="16">
      <c r="A21" s="1" t="s">
        <v>25</v>
      </c>
      <c r="B21" s="5" t="s">
        <v>65</v>
      </c>
      <c r="C21" s="5">
        <v>3</v>
      </c>
      <c r="E21" s="5" t="s">
        <v>5</v>
      </c>
    </row>
    <row r="22" spans="1:26" ht="16">
      <c r="A22" s="1" t="s">
        <v>45</v>
      </c>
      <c r="B22" s="5" t="s">
        <v>80</v>
      </c>
      <c r="C22" s="5">
        <v>238</v>
      </c>
      <c r="E22" s="5" t="s">
        <v>81</v>
      </c>
    </row>
    <row r="23" spans="1:26" ht="16">
      <c r="A23" s="1" t="s">
        <v>30</v>
      </c>
      <c r="B23" s="5" t="s">
        <v>82</v>
      </c>
      <c r="C23" s="5">
        <v>13</v>
      </c>
      <c r="E23" s="5" t="s">
        <v>83</v>
      </c>
    </row>
    <row r="24" spans="1:26" ht="16">
      <c r="A24" s="1" t="s">
        <v>43</v>
      </c>
      <c r="B24" s="5" t="s">
        <v>70</v>
      </c>
      <c r="C24" s="5">
        <f>5 + 6</f>
        <v>11</v>
      </c>
      <c r="E24" s="5" t="s">
        <v>5</v>
      </c>
    </row>
    <row r="25" spans="1:26" ht="16">
      <c r="A25" s="1" t="s">
        <v>55</v>
      </c>
      <c r="B25" s="5">
        <v>2018</v>
      </c>
      <c r="C25" s="5">
        <v>2</v>
      </c>
      <c r="E25" s="11" t="s">
        <v>78</v>
      </c>
    </row>
    <row r="26" spans="1:26" ht="15.75" customHeight="1">
      <c r="C26" s="10">
        <f>SUM(C21:C25)</f>
        <v>267</v>
      </c>
    </row>
    <row r="27" spans="1:26" ht="16">
      <c r="A27" s="7"/>
      <c r="C27" s="9"/>
      <c r="D27" s="9"/>
      <c r="E27" s="9"/>
      <c r="F27" s="9"/>
      <c r="G27" s="9"/>
      <c r="H27" s="9"/>
      <c r="I27" s="9"/>
      <c r="J27" s="9"/>
      <c r="K27" s="9"/>
      <c r="L27" s="9"/>
      <c r="M27" s="9"/>
      <c r="N27" s="9"/>
      <c r="O27" s="9"/>
      <c r="P27" s="9"/>
      <c r="Q27" s="9"/>
      <c r="R27" s="9"/>
      <c r="S27" s="9"/>
      <c r="T27" s="9"/>
      <c r="U27" s="9"/>
      <c r="V27" s="9"/>
      <c r="W27" s="9"/>
      <c r="X27" s="9"/>
      <c r="Y27" s="9"/>
      <c r="Z27" s="9"/>
    </row>
    <row r="28" spans="1:26" ht="16">
      <c r="A28" s="7" t="s">
        <v>50</v>
      </c>
      <c r="B28" s="8" t="s">
        <v>84</v>
      </c>
      <c r="C28" s="9"/>
      <c r="D28" s="9"/>
      <c r="E28" s="9"/>
      <c r="F28" s="9"/>
      <c r="G28" s="9"/>
      <c r="H28" s="9"/>
      <c r="I28" s="9"/>
      <c r="J28" s="9"/>
      <c r="K28" s="9"/>
      <c r="L28" s="9"/>
      <c r="M28" s="9"/>
      <c r="N28" s="9"/>
      <c r="O28" s="9"/>
      <c r="P28" s="9"/>
      <c r="Q28" s="9"/>
      <c r="R28" s="9"/>
      <c r="S28" s="9"/>
      <c r="T28" s="9"/>
      <c r="U28" s="9"/>
      <c r="V28" s="9"/>
      <c r="W28" s="9"/>
      <c r="X28" s="9"/>
      <c r="Y28" s="9"/>
      <c r="Z28" s="9"/>
    </row>
    <row r="29" spans="1:26" ht="16">
      <c r="A29" s="6"/>
      <c r="B29" s="5"/>
      <c r="C29" s="5"/>
    </row>
    <row r="30" spans="1:26" ht="16">
      <c r="A30" s="6" t="s">
        <v>85</v>
      </c>
      <c r="B30" s="5"/>
      <c r="C30" s="5"/>
    </row>
    <row r="31" spans="1:26" ht="16">
      <c r="A31" s="7" t="s">
        <v>32</v>
      </c>
      <c r="B31" s="8" t="s">
        <v>86</v>
      </c>
      <c r="C31" s="9"/>
      <c r="D31" s="9"/>
      <c r="E31" s="9"/>
      <c r="F31" s="9"/>
      <c r="G31" s="9"/>
      <c r="H31" s="9"/>
      <c r="I31" s="9"/>
      <c r="J31" s="9"/>
      <c r="K31" s="9"/>
      <c r="L31" s="9"/>
      <c r="M31" s="9"/>
      <c r="N31" s="9"/>
      <c r="O31" s="9"/>
      <c r="P31" s="9"/>
      <c r="Q31" s="9"/>
      <c r="R31" s="9"/>
      <c r="S31" s="9"/>
      <c r="T31" s="9"/>
      <c r="U31" s="9"/>
      <c r="V31" s="9"/>
      <c r="W31" s="9"/>
      <c r="X31" s="9"/>
      <c r="Y31" s="9"/>
      <c r="Z31" s="9"/>
    </row>
    <row r="32" spans="1:26" ht="16">
      <c r="A32" s="1" t="s">
        <v>58</v>
      </c>
      <c r="B32" s="5" t="s">
        <v>59</v>
      </c>
      <c r="C32" s="5" t="s">
        <v>60</v>
      </c>
      <c r="D32" s="5" t="s">
        <v>0</v>
      </c>
      <c r="E32" s="5" t="s">
        <v>61</v>
      </c>
    </row>
    <row r="33" spans="1:26" ht="16">
      <c r="A33" s="1" t="s">
        <v>9</v>
      </c>
      <c r="B33" s="5" t="s">
        <v>87</v>
      </c>
      <c r="C33" s="5">
        <v>46247</v>
      </c>
      <c r="E33" s="5" t="s">
        <v>5</v>
      </c>
    </row>
    <row r="34" spans="1:26" ht="16">
      <c r="A34" s="1" t="s">
        <v>9</v>
      </c>
      <c r="B34" s="5" t="s">
        <v>88</v>
      </c>
      <c r="C34" s="10">
        <f>145 + 103 + 104 + 118 + 119 + 104 + 109 + 79 + 62 + 48</f>
        <v>991</v>
      </c>
      <c r="D34" s="5" t="s">
        <v>89</v>
      </c>
      <c r="E34" s="5" t="s">
        <v>5</v>
      </c>
    </row>
    <row r="35" spans="1:26" ht="16">
      <c r="A35" s="1" t="s">
        <v>33</v>
      </c>
      <c r="B35" s="5" t="s">
        <v>90</v>
      </c>
      <c r="C35" s="10">
        <f>(176 + 100 + 73 + 20 + 46 + 32 + 29 + 36 + 64 + 52 + 58 + 55 + 58 + 106 + 85 + 76 + 109 + 132 + 89 + 118 + 104 + 215 + 196 + 203 + 323 + 336 + 392 + 427 + 421 + 422 + 450 + 375 + 334 + 473 + 370 + 364 + 527 + 344 + 384 + 575 + 531 + 433 + 424 + 263)*0.1</f>
        <v>1040</v>
      </c>
      <c r="D35" s="5" t="s">
        <v>91</v>
      </c>
      <c r="E35" s="5" t="s">
        <v>5</v>
      </c>
    </row>
    <row r="36" spans="1:26" ht="16">
      <c r="A36" s="1" t="s">
        <v>33</v>
      </c>
      <c r="B36" s="5" t="s">
        <v>92</v>
      </c>
      <c r="C36" s="5">
        <f>(2912)*0.1</f>
        <v>291.2</v>
      </c>
      <c r="D36" s="5" t="s">
        <v>93</v>
      </c>
      <c r="E36" s="5" t="s">
        <v>5</v>
      </c>
    </row>
    <row r="37" spans="1:26" ht="16">
      <c r="A37" s="1" t="s">
        <v>33</v>
      </c>
      <c r="B37" s="1" t="s">
        <v>94</v>
      </c>
      <c r="C37" s="10">
        <f>(827 + 833 + 455 + 307 + 20 + 28 + 13 + 15 + 79 + 10 +4)*0.1</f>
        <v>259.10000000000002</v>
      </c>
      <c r="D37" s="5" t="s">
        <v>95</v>
      </c>
    </row>
    <row r="38" spans="1:26" ht="16">
      <c r="A38" s="1"/>
      <c r="B38" s="5"/>
      <c r="C38" s="10">
        <f>ROUND(SUM(C33:C37),0)</f>
        <v>48828</v>
      </c>
    </row>
    <row r="39" spans="1:26" ht="16">
      <c r="A39" s="7" t="s">
        <v>48</v>
      </c>
      <c r="B39" s="8" t="s">
        <v>84</v>
      </c>
      <c r="C39" s="9"/>
      <c r="D39" s="9"/>
      <c r="E39" s="9"/>
      <c r="F39" s="9"/>
      <c r="G39" s="9"/>
      <c r="H39" s="9"/>
      <c r="I39" s="9"/>
      <c r="J39" s="9"/>
      <c r="K39" s="9"/>
      <c r="L39" s="9"/>
      <c r="M39" s="9"/>
      <c r="N39" s="9"/>
      <c r="O39" s="9"/>
      <c r="P39" s="9"/>
      <c r="Q39" s="9"/>
      <c r="R39" s="9"/>
      <c r="S39" s="9"/>
      <c r="T39" s="9"/>
      <c r="U39" s="9"/>
      <c r="V39" s="9"/>
      <c r="W39" s="9"/>
      <c r="X39" s="9"/>
      <c r="Y39" s="9"/>
      <c r="Z39" s="9"/>
    </row>
    <row r="40" spans="1:26" ht="16">
      <c r="A40" s="7"/>
      <c r="B40" s="8"/>
      <c r="C40" s="9"/>
      <c r="D40" s="9"/>
      <c r="E40" s="9"/>
      <c r="F40" s="9"/>
      <c r="G40" s="9"/>
      <c r="H40" s="9"/>
      <c r="I40" s="9"/>
      <c r="J40" s="9"/>
      <c r="K40" s="9"/>
      <c r="L40" s="9"/>
      <c r="M40" s="9"/>
      <c r="N40" s="9"/>
      <c r="O40" s="9"/>
      <c r="P40" s="9"/>
      <c r="Q40" s="9"/>
      <c r="R40" s="9"/>
      <c r="S40" s="9"/>
      <c r="T40" s="9"/>
      <c r="U40" s="9"/>
      <c r="V40" s="9"/>
      <c r="W40" s="9"/>
      <c r="X40" s="9"/>
      <c r="Y40" s="9"/>
      <c r="Z40" s="9"/>
    </row>
    <row r="41" spans="1:26" ht="16">
      <c r="A41" s="6" t="s">
        <v>96</v>
      </c>
      <c r="B41" s="8"/>
      <c r="C41" s="9"/>
      <c r="D41" s="9"/>
      <c r="E41" s="9"/>
      <c r="F41" s="9"/>
      <c r="G41" s="9"/>
      <c r="H41" s="9"/>
      <c r="I41" s="9"/>
      <c r="J41" s="9"/>
      <c r="K41" s="9"/>
      <c r="L41" s="9"/>
      <c r="M41" s="9"/>
      <c r="N41" s="9"/>
      <c r="O41" s="9"/>
      <c r="P41" s="9"/>
      <c r="Q41" s="9"/>
      <c r="R41" s="9"/>
      <c r="S41" s="9"/>
      <c r="T41" s="9"/>
      <c r="U41" s="9"/>
      <c r="V41" s="9"/>
      <c r="W41" s="9"/>
      <c r="X41" s="9"/>
      <c r="Y41" s="9"/>
      <c r="Z41" s="9"/>
    </row>
    <row r="42" spans="1:26" ht="16">
      <c r="A42" s="7" t="s">
        <v>34</v>
      </c>
      <c r="B42" s="8" t="s">
        <v>97</v>
      </c>
      <c r="C42" s="9"/>
      <c r="D42" s="9"/>
      <c r="E42" s="9"/>
      <c r="F42" s="9"/>
      <c r="G42" s="9"/>
      <c r="H42" s="9"/>
      <c r="I42" s="9"/>
      <c r="J42" s="9"/>
      <c r="K42" s="9"/>
      <c r="L42" s="9"/>
      <c r="M42" s="9"/>
      <c r="N42" s="9"/>
      <c r="O42" s="9"/>
      <c r="P42" s="9"/>
      <c r="Q42" s="9"/>
      <c r="R42" s="9"/>
      <c r="S42" s="9"/>
      <c r="T42" s="9"/>
      <c r="U42" s="9"/>
      <c r="V42" s="9"/>
      <c r="W42" s="9"/>
      <c r="X42" s="9"/>
      <c r="Y42" s="9"/>
      <c r="Z42" s="9"/>
    </row>
    <row r="43" spans="1:26" ht="16">
      <c r="A43" s="1" t="s">
        <v>58</v>
      </c>
      <c r="B43" s="5" t="s">
        <v>59</v>
      </c>
      <c r="C43" s="5" t="s">
        <v>60</v>
      </c>
      <c r="D43" s="5" t="s">
        <v>0</v>
      </c>
      <c r="E43" s="5" t="s">
        <v>61</v>
      </c>
    </row>
    <row r="44" spans="1:26" ht="16">
      <c r="A44" s="1" t="s">
        <v>98</v>
      </c>
      <c r="B44" s="5" t="s">
        <v>99</v>
      </c>
      <c r="C44" s="10">
        <f>2 + 1 +1 + 1 + 5 + 1 + 5 + 3 + 4 + 2 + 1 + 1 + 13 + 4 + 1 + 4 + 2 + 1 + 7</f>
        <v>59</v>
      </c>
      <c r="D44" s="9"/>
      <c r="E44" s="5" t="s">
        <v>5</v>
      </c>
      <c r="F44" s="9"/>
      <c r="G44" s="9"/>
      <c r="H44" s="9"/>
      <c r="I44" s="9"/>
      <c r="J44" s="9"/>
      <c r="K44" s="9"/>
      <c r="L44" s="9"/>
      <c r="M44" s="9"/>
      <c r="N44" s="9"/>
      <c r="O44" s="9"/>
      <c r="P44" s="9"/>
      <c r="Q44" s="9"/>
      <c r="R44" s="9"/>
      <c r="S44" s="9"/>
      <c r="T44" s="9"/>
      <c r="U44" s="9"/>
      <c r="V44" s="9"/>
      <c r="W44" s="9"/>
      <c r="X44" s="9"/>
      <c r="Y44" s="9"/>
      <c r="Z44" s="9"/>
    </row>
    <row r="45" spans="1:26" ht="16">
      <c r="A45" s="1" t="s">
        <v>7</v>
      </c>
      <c r="B45" s="5" t="s">
        <v>100</v>
      </c>
      <c r="C45" s="10">
        <f>2 + 2 + 2 + 8 + 14 + 19 + 33 + 40+40 + 59 + 58 + 63 + 38 + 47 + 44 + 61 + 59 + 38 + 55 + 34 + 36 + 44 + 24 + 19 + 15</f>
        <v>854</v>
      </c>
      <c r="E45" s="5" t="s">
        <v>5</v>
      </c>
    </row>
    <row r="46" spans="1:26" ht="16">
      <c r="A46" s="1" t="s">
        <v>23</v>
      </c>
      <c r="B46" s="5" t="s">
        <v>100</v>
      </c>
      <c r="C46" s="10">
        <f>ROUND((3 + 1 + 1 + 7 + 6 + 2 + 1 + 5 + 8 + 11 + 7 + 60 + 76 + 60 + 53 + 78 + 51 + 102 + 50 + 38 + 65 + 35 + 22 + 21 + 47 + 41)*0.15,0)</f>
        <v>128</v>
      </c>
      <c r="D46" s="5" t="s">
        <v>101</v>
      </c>
      <c r="E46" s="5" t="s">
        <v>5</v>
      </c>
    </row>
    <row r="47" spans="1:26" ht="16">
      <c r="A47" s="7"/>
      <c r="B47" s="8"/>
      <c r="C47" s="10">
        <f>SUM(C44:C46)</f>
        <v>1041</v>
      </c>
      <c r="D47" s="9"/>
      <c r="E47" s="9"/>
      <c r="F47" s="9"/>
      <c r="G47" s="9"/>
      <c r="H47" s="9"/>
      <c r="I47" s="9"/>
      <c r="J47" s="9"/>
      <c r="K47" s="9"/>
      <c r="L47" s="9"/>
      <c r="M47" s="9"/>
      <c r="N47" s="9"/>
      <c r="O47" s="9"/>
      <c r="P47" s="9"/>
      <c r="Q47" s="9"/>
      <c r="R47" s="9"/>
      <c r="S47" s="9"/>
      <c r="T47" s="9"/>
      <c r="U47" s="9"/>
      <c r="V47" s="9"/>
      <c r="W47" s="9"/>
      <c r="X47" s="9"/>
      <c r="Y47" s="9"/>
      <c r="Z47" s="9"/>
    </row>
    <row r="48" spans="1:26" ht="16">
      <c r="A48" s="7" t="s">
        <v>53</v>
      </c>
      <c r="B48" s="8" t="s">
        <v>102</v>
      </c>
      <c r="C48" s="9"/>
      <c r="D48" s="9"/>
      <c r="E48" s="9"/>
      <c r="F48" s="9"/>
      <c r="G48" s="9"/>
      <c r="H48" s="9"/>
      <c r="I48" s="9"/>
      <c r="J48" s="9"/>
      <c r="K48" s="9"/>
      <c r="L48" s="9"/>
      <c r="M48" s="9"/>
      <c r="N48" s="9"/>
      <c r="O48" s="9"/>
      <c r="P48" s="9"/>
      <c r="Q48" s="9"/>
      <c r="R48" s="9"/>
      <c r="S48" s="9"/>
      <c r="T48" s="9"/>
      <c r="U48" s="9"/>
      <c r="V48" s="9"/>
      <c r="W48" s="9"/>
      <c r="X48" s="9"/>
      <c r="Y48" s="9"/>
      <c r="Z48" s="9"/>
    </row>
    <row r="49" spans="1:26" ht="16">
      <c r="A49" s="7" t="s">
        <v>15</v>
      </c>
      <c r="B49" s="8" t="s">
        <v>103</v>
      </c>
      <c r="C49" s="9"/>
      <c r="D49" s="9"/>
      <c r="E49" s="9"/>
      <c r="F49" s="9"/>
      <c r="G49" s="9"/>
      <c r="H49" s="9"/>
      <c r="I49" s="9"/>
      <c r="J49" s="9"/>
      <c r="K49" s="9"/>
      <c r="L49" s="9"/>
      <c r="M49" s="9"/>
      <c r="N49" s="9"/>
      <c r="O49" s="9"/>
      <c r="P49" s="9"/>
      <c r="Q49" s="9"/>
      <c r="R49" s="9"/>
      <c r="S49" s="9"/>
      <c r="T49" s="9"/>
      <c r="U49" s="9"/>
      <c r="V49" s="9"/>
      <c r="W49" s="9"/>
      <c r="X49" s="9"/>
      <c r="Y49" s="9"/>
      <c r="Z49" s="9"/>
    </row>
    <row r="50" spans="1:26" ht="16">
      <c r="A50" s="1" t="s">
        <v>58</v>
      </c>
      <c r="B50" s="5" t="s">
        <v>59</v>
      </c>
      <c r="C50" s="5" t="s">
        <v>60</v>
      </c>
      <c r="D50" s="5" t="s">
        <v>0</v>
      </c>
      <c r="E50" s="5" t="s">
        <v>61</v>
      </c>
    </row>
    <row r="51" spans="1:26" ht="13">
      <c r="A51" s="5" t="s">
        <v>17</v>
      </c>
      <c r="B51" s="5" t="s">
        <v>104</v>
      </c>
      <c r="C51" s="10">
        <f>2 + 18 + 20 + 11 + 12 + 29 + 19 + 17 + 18 + 21 + 12 + 7 + 9 + 22 + 21 + 17 + 18 + 18 + 25 + 11 + 25 + 7 + 18</f>
        <v>377</v>
      </c>
      <c r="D51" s="5" t="s">
        <v>105</v>
      </c>
      <c r="E51" s="5" t="s">
        <v>5</v>
      </c>
    </row>
    <row r="52" spans="1:26" ht="13">
      <c r="A52" s="5" t="s">
        <v>16</v>
      </c>
      <c r="B52" s="5" t="s">
        <v>106</v>
      </c>
      <c r="C52" s="10">
        <f>ROUND(183 + 114 + (254*0.31),0)</f>
        <v>376</v>
      </c>
      <c r="D52" s="5" t="s">
        <v>107</v>
      </c>
      <c r="E52" s="5" t="s">
        <v>5</v>
      </c>
    </row>
    <row r="53" spans="1:26" ht="13">
      <c r="C53" s="10">
        <f>SUM(C51:C52)</f>
        <v>753</v>
      </c>
    </row>
    <row r="54" spans="1:26" ht="16">
      <c r="A54" s="6" t="s">
        <v>3</v>
      </c>
      <c r="B54" s="8"/>
      <c r="C54" s="9"/>
      <c r="D54" s="9"/>
      <c r="E54" s="9"/>
      <c r="F54" s="9"/>
      <c r="G54" s="9"/>
      <c r="H54" s="9"/>
      <c r="I54" s="9"/>
      <c r="J54" s="9"/>
      <c r="K54" s="9"/>
      <c r="L54" s="9"/>
      <c r="M54" s="9"/>
      <c r="N54" s="9"/>
      <c r="O54" s="9"/>
      <c r="P54" s="9"/>
      <c r="Q54" s="9"/>
      <c r="R54" s="9"/>
      <c r="S54" s="9"/>
      <c r="T54" s="9"/>
      <c r="U54" s="9"/>
      <c r="V54" s="9"/>
      <c r="W54" s="9"/>
      <c r="X54" s="9"/>
      <c r="Y54" s="9"/>
      <c r="Z54" s="9"/>
    </row>
    <row r="55" spans="1:26" ht="16">
      <c r="A55" s="7" t="s">
        <v>20</v>
      </c>
      <c r="B55" s="8" t="s">
        <v>108</v>
      </c>
      <c r="C55" s="9"/>
      <c r="D55" s="9"/>
      <c r="E55" s="9"/>
      <c r="F55" s="9"/>
      <c r="G55" s="9"/>
      <c r="H55" s="9"/>
      <c r="I55" s="9"/>
      <c r="J55" s="9"/>
      <c r="K55" s="9"/>
      <c r="L55" s="9"/>
      <c r="M55" s="9"/>
      <c r="N55" s="9"/>
      <c r="O55" s="9"/>
      <c r="P55" s="9"/>
      <c r="Q55" s="9"/>
      <c r="R55" s="9"/>
      <c r="S55" s="9"/>
      <c r="T55" s="9"/>
      <c r="U55" s="9"/>
      <c r="V55" s="9"/>
      <c r="W55" s="9"/>
      <c r="X55" s="9"/>
      <c r="Y55" s="9"/>
      <c r="Z55" s="9"/>
    </row>
    <row r="56" spans="1:26" ht="16">
      <c r="A56" s="7" t="s">
        <v>21</v>
      </c>
      <c r="B56" s="8" t="s">
        <v>109</v>
      </c>
      <c r="C56" s="9"/>
      <c r="D56" s="9"/>
      <c r="E56" s="9"/>
      <c r="F56" s="9"/>
      <c r="G56" s="9"/>
      <c r="H56" s="9"/>
      <c r="I56" s="9"/>
      <c r="J56" s="9"/>
      <c r="K56" s="9"/>
      <c r="L56" s="9"/>
      <c r="M56" s="9"/>
      <c r="N56" s="9"/>
      <c r="O56" s="9"/>
      <c r="P56" s="9"/>
      <c r="Q56" s="9"/>
      <c r="R56" s="9"/>
      <c r="S56" s="9"/>
      <c r="T56" s="9"/>
      <c r="U56" s="9"/>
      <c r="V56" s="9"/>
      <c r="W56" s="9"/>
      <c r="X56" s="9"/>
      <c r="Y56" s="9"/>
      <c r="Z56" s="9"/>
    </row>
    <row r="57" spans="1:26" ht="16">
      <c r="A57" s="7" t="s">
        <v>49</v>
      </c>
      <c r="B57" s="8" t="s">
        <v>110</v>
      </c>
      <c r="C57" s="9"/>
      <c r="D57" s="9"/>
      <c r="E57" s="9"/>
      <c r="F57" s="9"/>
      <c r="G57" s="9"/>
      <c r="H57" s="9"/>
      <c r="I57" s="9"/>
      <c r="J57" s="9"/>
      <c r="K57" s="9"/>
      <c r="L57" s="9"/>
      <c r="M57" s="9"/>
      <c r="N57" s="9"/>
      <c r="O57" s="9"/>
      <c r="P57" s="9"/>
      <c r="Q57" s="9"/>
      <c r="R57" s="9"/>
      <c r="S57" s="9"/>
      <c r="T57" s="9"/>
      <c r="U57" s="9"/>
      <c r="V57" s="9"/>
      <c r="W57" s="9"/>
      <c r="X57" s="9"/>
      <c r="Y57" s="9"/>
      <c r="Z57" s="9"/>
    </row>
  </sheetData>
  <hyperlinks>
    <hyperlink ref="E14" r:id="rId1" xr:uid="{00000000-0004-0000-0100-000000000000}"/>
    <hyperlink ref="E15" r:id="rId2" xr:uid="{00000000-0004-0000-0100-000001000000}"/>
    <hyperlink ref="E25" r:id="rId3" xr:uid="{00000000-0004-0000-0100-00000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9"/>
  <sheetViews>
    <sheetView workbookViewId="0"/>
  </sheetViews>
  <sheetFormatPr baseColWidth="10" defaultColWidth="14.5" defaultRowHeight="15.75" customHeight="1"/>
  <sheetData>
    <row r="1" spans="1:6" ht="15.75" customHeight="1">
      <c r="A1" s="5" t="s">
        <v>58</v>
      </c>
      <c r="B1" s="5" t="s">
        <v>209</v>
      </c>
      <c r="C1" s="5" t="s">
        <v>60</v>
      </c>
      <c r="D1" s="5" t="s">
        <v>0</v>
      </c>
      <c r="E1" s="5" t="s">
        <v>185</v>
      </c>
    </row>
    <row r="2" spans="1:6" ht="15.75" customHeight="1">
      <c r="A2" s="5" t="s">
        <v>16</v>
      </c>
      <c r="B2" s="5" t="s">
        <v>210</v>
      </c>
      <c r="C2" s="10">
        <f>(1 + 1 + 2 + 3 +42 + 12 + 7 + 1 + 2 + 1 + 8 + 1)*0.1</f>
        <v>8.1</v>
      </c>
      <c r="D2" s="5" t="s">
        <v>211</v>
      </c>
      <c r="E2" s="5" t="s">
        <v>5</v>
      </c>
      <c r="F2" s="5" t="s">
        <v>212</v>
      </c>
    </row>
    <row r="3" spans="1:6" ht="15.75" customHeight="1">
      <c r="A3" s="5" t="s">
        <v>41</v>
      </c>
      <c r="B3" s="5" t="s">
        <v>210</v>
      </c>
      <c r="C3" s="5">
        <f>74*0.1</f>
        <v>7.4</v>
      </c>
      <c r="D3" s="5" t="s">
        <v>213</v>
      </c>
      <c r="E3" s="5" t="s">
        <v>5</v>
      </c>
    </row>
    <row r="4" spans="1:6" ht="15.75" customHeight="1">
      <c r="A4" s="5" t="s">
        <v>180</v>
      </c>
      <c r="B4" s="5" t="s">
        <v>210</v>
      </c>
      <c r="C4" s="5">
        <v>10</v>
      </c>
      <c r="E4" s="5" t="s">
        <v>5</v>
      </c>
    </row>
    <row r="5" spans="1:6" ht="15.75" customHeight="1">
      <c r="A5" s="5" t="s">
        <v>16</v>
      </c>
      <c r="B5" s="5" t="s">
        <v>214</v>
      </c>
      <c r="C5" s="10">
        <f>(44 + 11 + 13)*0.1</f>
        <v>6.8000000000000007</v>
      </c>
      <c r="D5" s="5" t="s">
        <v>215</v>
      </c>
      <c r="E5" s="5" t="s">
        <v>5</v>
      </c>
    </row>
    <row r="6" spans="1:6" ht="15.75" customHeight="1">
      <c r="A6" s="5" t="s">
        <v>216</v>
      </c>
      <c r="B6" s="5">
        <v>1950</v>
      </c>
      <c r="C6" s="5">
        <f>268*0.1</f>
        <v>26.8</v>
      </c>
      <c r="D6" s="5" t="s">
        <v>217</v>
      </c>
      <c r="E6" s="5" t="s">
        <v>218</v>
      </c>
    </row>
    <row r="7" spans="1:6" ht="15.75" customHeight="1">
      <c r="A7" s="5" t="s">
        <v>216</v>
      </c>
      <c r="B7" s="5">
        <v>1952</v>
      </c>
      <c r="C7" s="10">
        <f>38*0.1</f>
        <v>3.8000000000000003</v>
      </c>
      <c r="D7" s="5" t="s">
        <v>219</v>
      </c>
    </row>
    <row r="8" spans="1:6" ht="15.75" customHeight="1">
      <c r="A8" s="5" t="s">
        <v>220</v>
      </c>
      <c r="B8" s="5">
        <v>1955</v>
      </c>
      <c r="C8" s="5">
        <v>2</v>
      </c>
      <c r="D8" s="5" t="s">
        <v>221</v>
      </c>
      <c r="E8" s="5" t="s">
        <v>222</v>
      </c>
    </row>
    <row r="9" spans="1:6" ht="15.75" customHeight="1">
      <c r="A9" s="5" t="s">
        <v>223</v>
      </c>
      <c r="B9" s="5">
        <v>1954</v>
      </c>
      <c r="C9" s="5">
        <v>10</v>
      </c>
      <c r="D9" s="5" t="s">
        <v>224</v>
      </c>
      <c r="E9" s="5" t="s">
        <v>225</v>
      </c>
    </row>
    <row r="10" spans="1:6" ht="15.75" customHeight="1">
      <c r="A10" s="5" t="s">
        <v>226</v>
      </c>
      <c r="B10" s="5">
        <v>1956</v>
      </c>
      <c r="C10" s="5">
        <v>0</v>
      </c>
      <c r="D10" s="5" t="s">
        <v>227</v>
      </c>
      <c r="E10" s="5" t="s">
        <v>5</v>
      </c>
    </row>
    <row r="11" spans="1:6" ht="15.75" customHeight="1">
      <c r="A11" s="5" t="s">
        <v>223</v>
      </c>
      <c r="B11" s="5">
        <v>1957</v>
      </c>
      <c r="C11" s="5">
        <v>3</v>
      </c>
      <c r="D11" s="5" t="s">
        <v>228</v>
      </c>
      <c r="E11" s="5" t="s">
        <v>229</v>
      </c>
    </row>
    <row r="12" spans="1:6" ht="15.75" customHeight="1">
      <c r="A12" s="5" t="s">
        <v>230</v>
      </c>
      <c r="B12" s="5">
        <v>1959</v>
      </c>
      <c r="C12" s="5">
        <v>5</v>
      </c>
      <c r="D12" s="5" t="s">
        <v>231</v>
      </c>
      <c r="E12" s="5" t="s">
        <v>232</v>
      </c>
    </row>
    <row r="13" spans="1:6" ht="15.75" customHeight="1">
      <c r="A13" s="5" t="s">
        <v>230</v>
      </c>
      <c r="B13" s="5">
        <v>1962</v>
      </c>
      <c r="C13" s="5">
        <v>43</v>
      </c>
      <c r="D13" s="5" t="s">
        <v>233</v>
      </c>
      <c r="E13" s="5" t="s">
        <v>232</v>
      </c>
    </row>
    <row r="14" spans="1:6" ht="15.75" customHeight="1">
      <c r="A14" s="5" t="s">
        <v>234</v>
      </c>
      <c r="B14" s="5">
        <v>1964</v>
      </c>
      <c r="C14" s="5">
        <v>11</v>
      </c>
      <c r="E14" s="5" t="s">
        <v>5</v>
      </c>
    </row>
    <row r="15" spans="1:6" ht="15.75" customHeight="1">
      <c r="A15" s="5" t="s">
        <v>223</v>
      </c>
      <c r="B15" s="5">
        <v>1964</v>
      </c>
      <c r="C15" s="5">
        <f>712*0.1</f>
        <v>71.2</v>
      </c>
      <c r="D15" s="5" t="s">
        <v>235</v>
      </c>
      <c r="E15" s="5" t="s">
        <v>218</v>
      </c>
    </row>
    <row r="16" spans="1:6" ht="15.75" customHeight="1">
      <c r="A16" s="5" t="s">
        <v>236</v>
      </c>
      <c r="B16" s="5">
        <v>1966</v>
      </c>
      <c r="C16" s="5">
        <v>3</v>
      </c>
      <c r="E16" s="5" t="s">
        <v>237</v>
      </c>
    </row>
    <row r="17" spans="1:5" ht="15.75" customHeight="1">
      <c r="A17" s="5" t="s">
        <v>223</v>
      </c>
      <c r="B17" s="5">
        <v>1966</v>
      </c>
      <c r="C17" s="5">
        <v>16</v>
      </c>
      <c r="D17" s="5" t="s">
        <v>238</v>
      </c>
      <c r="E17" s="5" t="s">
        <v>232</v>
      </c>
    </row>
    <row r="18" spans="1:5" ht="15.75" customHeight="1">
      <c r="A18" s="5" t="s">
        <v>239</v>
      </c>
      <c r="B18" s="5" t="s">
        <v>240</v>
      </c>
      <c r="C18" s="10">
        <f>1 + 1 + 2 + 3 + 63 + 24 + 3 + 2 + 1 + 3 + 2 + 2 + 1 + 13 + 9 + 2 + 1 + 3 + 6 + 1 + 1 + 2 + 3 + 2 + 2 + 1 + 2 + 1 + 2 + 1 + 2 + 2 + 1</f>
        <v>165</v>
      </c>
      <c r="E18" s="5" t="s">
        <v>5</v>
      </c>
    </row>
    <row r="19" spans="1:5" ht="15.75" customHeight="1">
      <c r="C19" s="10">
        <f>ROUND(SUM(C2:C18),0)</f>
        <v>392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22"/>
  <sheetViews>
    <sheetView workbookViewId="0"/>
  </sheetViews>
  <sheetFormatPr baseColWidth="10" defaultColWidth="14.5" defaultRowHeight="15.75" customHeight="1"/>
  <sheetData>
    <row r="1" spans="1:5">
      <c r="A1" s="1" t="s">
        <v>59</v>
      </c>
      <c r="B1" s="1" t="s">
        <v>58</v>
      </c>
      <c r="C1" s="1" t="s">
        <v>241</v>
      </c>
      <c r="D1" s="1" t="s">
        <v>60</v>
      </c>
      <c r="E1" s="3"/>
    </row>
    <row r="2" spans="1:5">
      <c r="A2" s="1" t="s">
        <v>242</v>
      </c>
      <c r="B2" s="1" t="s">
        <v>18</v>
      </c>
      <c r="C2" s="1" t="s">
        <v>133</v>
      </c>
      <c r="D2" s="1" t="s">
        <v>133</v>
      </c>
      <c r="E2" s="23" t="s">
        <v>243</v>
      </c>
    </row>
    <row r="3" spans="1:5">
      <c r="A3" s="1" t="s">
        <v>244</v>
      </c>
      <c r="B3" s="1" t="s">
        <v>245</v>
      </c>
      <c r="C3" s="2">
        <v>200000</v>
      </c>
      <c r="D3" s="2">
        <v>598</v>
      </c>
      <c r="E3" s="23" t="s">
        <v>243</v>
      </c>
    </row>
    <row r="4" spans="1:5">
      <c r="A4" s="2">
        <v>1978</v>
      </c>
      <c r="B4" s="1" t="s">
        <v>246</v>
      </c>
      <c r="C4" s="1" t="s">
        <v>133</v>
      </c>
      <c r="D4" s="1" t="s">
        <v>133</v>
      </c>
      <c r="E4" s="23" t="s">
        <v>243</v>
      </c>
    </row>
    <row r="5" spans="1:5">
      <c r="A5" s="2">
        <v>1988</v>
      </c>
      <c r="B5" s="1" t="s">
        <v>247</v>
      </c>
      <c r="C5" s="1" t="s">
        <v>133</v>
      </c>
      <c r="D5" s="2">
        <v>224</v>
      </c>
      <c r="E5" s="23" t="s">
        <v>243</v>
      </c>
    </row>
    <row r="6" spans="1:5">
      <c r="A6" s="1" t="s">
        <v>248</v>
      </c>
      <c r="B6" s="1" t="s">
        <v>249</v>
      </c>
      <c r="C6" s="2">
        <v>273</v>
      </c>
      <c r="D6" s="2">
        <v>16</v>
      </c>
      <c r="E6" s="23" t="s">
        <v>243</v>
      </c>
    </row>
    <row r="7" spans="1:5">
      <c r="A7" s="2">
        <v>1997</v>
      </c>
      <c r="B7" s="1" t="s">
        <v>29</v>
      </c>
      <c r="C7" s="2">
        <v>160000</v>
      </c>
      <c r="D7" s="2">
        <v>450</v>
      </c>
      <c r="E7" s="23" t="s">
        <v>243</v>
      </c>
    </row>
    <row r="8" spans="1:5">
      <c r="A8" s="2">
        <v>1998</v>
      </c>
      <c r="B8" s="1" t="s">
        <v>250</v>
      </c>
      <c r="C8" s="2">
        <v>28000</v>
      </c>
      <c r="D8" s="2">
        <v>170</v>
      </c>
      <c r="E8" s="23" t="s">
        <v>243</v>
      </c>
    </row>
    <row r="9" spans="1:5">
      <c r="A9" s="2">
        <v>1998</v>
      </c>
      <c r="B9" s="1" t="s">
        <v>19</v>
      </c>
      <c r="C9" s="2">
        <v>89000</v>
      </c>
      <c r="D9" s="2">
        <v>478</v>
      </c>
      <c r="E9" s="23" t="s">
        <v>243</v>
      </c>
    </row>
    <row r="10" spans="1:5">
      <c r="A10" s="2">
        <v>1998</v>
      </c>
      <c r="B10" s="1" t="s">
        <v>247</v>
      </c>
      <c r="C10" s="2">
        <v>90</v>
      </c>
      <c r="D10" s="2">
        <v>1</v>
      </c>
      <c r="E10" s="23" t="s">
        <v>243</v>
      </c>
    </row>
    <row r="11" spans="1:5">
      <c r="A11" s="2">
        <v>2000</v>
      </c>
      <c r="B11" s="1" t="s">
        <v>251</v>
      </c>
      <c r="C11" s="2">
        <v>883</v>
      </c>
      <c r="D11" s="2">
        <v>245</v>
      </c>
      <c r="E11" s="23" t="s">
        <v>243</v>
      </c>
    </row>
    <row r="12" spans="1:5">
      <c r="A12" s="2">
        <v>2000</v>
      </c>
      <c r="B12" s="1" t="s">
        <v>252</v>
      </c>
      <c r="C12" s="2">
        <v>1328</v>
      </c>
      <c r="D12" s="2">
        <v>166</v>
      </c>
      <c r="E12" s="23" t="s">
        <v>243</v>
      </c>
    </row>
    <row r="13" spans="1:5">
      <c r="A13" s="2">
        <v>2003</v>
      </c>
      <c r="B13" s="1" t="s">
        <v>245</v>
      </c>
      <c r="C13" s="2">
        <v>45</v>
      </c>
      <c r="D13" s="2">
        <v>17</v>
      </c>
      <c r="E13" s="23" t="s">
        <v>243</v>
      </c>
    </row>
    <row r="14" spans="1:5">
      <c r="A14" s="24">
        <v>39295</v>
      </c>
      <c r="B14" s="1" t="s">
        <v>46</v>
      </c>
      <c r="C14" s="2">
        <v>75000</v>
      </c>
      <c r="D14" s="2">
        <v>222</v>
      </c>
      <c r="E14" s="23" t="s">
        <v>243</v>
      </c>
    </row>
    <row r="15" spans="1:5">
      <c r="A15" s="24">
        <v>39692</v>
      </c>
      <c r="B15" s="1" t="s">
        <v>202</v>
      </c>
      <c r="C15" s="2">
        <v>10000</v>
      </c>
      <c r="D15" s="2">
        <v>26</v>
      </c>
      <c r="E15" s="23" t="s">
        <v>243</v>
      </c>
    </row>
    <row r="16" spans="1:5">
      <c r="A16" s="2">
        <v>2006</v>
      </c>
      <c r="B16" s="1" t="s">
        <v>250</v>
      </c>
      <c r="C16" s="2">
        <v>35000</v>
      </c>
      <c r="D16" s="2">
        <v>51</v>
      </c>
      <c r="E16" s="23" t="s">
        <v>243</v>
      </c>
    </row>
    <row r="17" spans="1:5">
      <c r="A17" s="2">
        <v>2007</v>
      </c>
      <c r="B17" s="1" t="s">
        <v>19</v>
      </c>
      <c r="C17" s="2">
        <v>114</v>
      </c>
      <c r="D17" s="2">
        <v>109</v>
      </c>
      <c r="E17" s="23" t="s">
        <v>243</v>
      </c>
    </row>
    <row r="18" spans="1:5">
      <c r="A18" s="2">
        <v>2007</v>
      </c>
      <c r="B18" s="1" t="s">
        <v>29</v>
      </c>
      <c r="C18" s="2">
        <v>40000</v>
      </c>
      <c r="D18" s="2">
        <v>158</v>
      </c>
      <c r="E18" s="23" t="s">
        <v>243</v>
      </c>
    </row>
    <row r="19" spans="1:5">
      <c r="A19" s="25">
        <v>40483</v>
      </c>
      <c r="B19" s="1" t="s">
        <v>18</v>
      </c>
      <c r="C19" s="2">
        <v>242</v>
      </c>
      <c r="D19" s="2">
        <v>26</v>
      </c>
      <c r="E19" s="23" t="s">
        <v>243</v>
      </c>
    </row>
    <row r="20" spans="1:5">
      <c r="A20" s="2">
        <v>2012</v>
      </c>
      <c r="B20" s="1" t="s">
        <v>247</v>
      </c>
      <c r="C20" s="2">
        <v>41</v>
      </c>
      <c r="D20" s="2">
        <v>17</v>
      </c>
      <c r="E20" s="1" t="s">
        <v>5</v>
      </c>
    </row>
    <row r="21" spans="1:5">
      <c r="A21" s="2">
        <v>2019</v>
      </c>
      <c r="B21" s="1" t="s">
        <v>46</v>
      </c>
      <c r="C21" s="2">
        <v>1962</v>
      </c>
      <c r="D21" s="2">
        <v>79</v>
      </c>
      <c r="E21" s="1" t="s">
        <v>5</v>
      </c>
    </row>
    <row r="22" spans="1:5">
      <c r="A22" s="3"/>
      <c r="B22" s="3"/>
      <c r="C22" s="1" t="s">
        <v>253</v>
      </c>
      <c r="D22" s="2">
        <v>3053</v>
      </c>
      <c r="E22"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27"/>
  <sheetViews>
    <sheetView workbookViewId="0">
      <selection activeCell="G7" sqref="G7"/>
    </sheetView>
  </sheetViews>
  <sheetFormatPr baseColWidth="10" defaultColWidth="14.5" defaultRowHeight="15.75" customHeight="1"/>
  <sheetData>
    <row r="1" spans="1:7" ht="16">
      <c r="A1" s="29" t="s">
        <v>254</v>
      </c>
      <c r="B1" s="30"/>
      <c r="C1" s="30"/>
      <c r="D1" s="3"/>
      <c r="E1" s="3"/>
      <c r="F1" s="3"/>
    </row>
    <row r="2" spans="1:7" ht="16">
      <c r="A2" s="1" t="s">
        <v>59</v>
      </c>
      <c r="B2" s="1" t="s">
        <v>136</v>
      </c>
      <c r="C2" s="1" t="s">
        <v>60</v>
      </c>
      <c r="D2" s="1" t="s">
        <v>0</v>
      </c>
      <c r="E2" s="1" t="s">
        <v>1</v>
      </c>
      <c r="F2" s="1" t="s">
        <v>255</v>
      </c>
      <c r="G2" s="5" t="s">
        <v>256</v>
      </c>
    </row>
    <row r="3" spans="1:7" ht="16">
      <c r="A3" s="2">
        <v>1957</v>
      </c>
      <c r="B3" s="1" t="s">
        <v>138</v>
      </c>
      <c r="C3" s="2">
        <v>1000000</v>
      </c>
      <c r="D3" s="1" t="s">
        <v>257</v>
      </c>
      <c r="E3" s="1" t="s">
        <v>4</v>
      </c>
      <c r="F3" s="1" t="s">
        <v>5</v>
      </c>
      <c r="G3" s="5" t="s">
        <v>258</v>
      </c>
    </row>
    <row r="4" spans="1:7" ht="16">
      <c r="A4" s="2">
        <v>1968</v>
      </c>
      <c r="B4" s="1" t="s">
        <v>138</v>
      </c>
      <c r="C4" s="2">
        <v>1000000</v>
      </c>
      <c r="D4" s="1" t="s">
        <v>259</v>
      </c>
      <c r="E4" s="1" t="s">
        <v>4</v>
      </c>
      <c r="F4" s="1" t="s">
        <v>5</v>
      </c>
      <c r="G4" s="5" t="s">
        <v>258</v>
      </c>
    </row>
    <row r="5" spans="1:7" ht="16">
      <c r="A5" s="2">
        <v>1997</v>
      </c>
      <c r="B5" s="1" t="s">
        <v>9</v>
      </c>
      <c r="C5" s="2">
        <v>6</v>
      </c>
      <c r="D5" s="1" t="s">
        <v>260</v>
      </c>
      <c r="E5" s="1" t="s">
        <v>6</v>
      </c>
      <c r="F5" s="1" t="s">
        <v>5</v>
      </c>
      <c r="G5" s="11" t="s">
        <v>261</v>
      </c>
    </row>
    <row r="6" spans="1:7" ht="16">
      <c r="A6" s="2">
        <v>2003</v>
      </c>
      <c r="B6" s="1" t="s">
        <v>262</v>
      </c>
      <c r="C6" s="2">
        <v>1</v>
      </c>
      <c r="D6" s="1" t="s">
        <v>263</v>
      </c>
      <c r="E6" s="1" t="s">
        <v>6</v>
      </c>
      <c r="F6" s="1" t="s">
        <v>5</v>
      </c>
      <c r="G6" s="11" t="s">
        <v>261</v>
      </c>
    </row>
    <row r="7" spans="1:7" ht="16">
      <c r="A7" s="1" t="s">
        <v>73</v>
      </c>
      <c r="B7" s="1" t="s">
        <v>138</v>
      </c>
      <c r="C7" s="2">
        <v>18449</v>
      </c>
      <c r="D7" s="1" t="s">
        <v>264</v>
      </c>
      <c r="E7" s="1" t="s">
        <v>4</v>
      </c>
      <c r="F7" s="1" t="s">
        <v>5</v>
      </c>
      <c r="G7" s="5" t="s">
        <v>258</v>
      </c>
    </row>
    <row r="8" spans="1:7" ht="16">
      <c r="A8" s="1" t="s">
        <v>265</v>
      </c>
      <c r="B8" s="1" t="s">
        <v>138</v>
      </c>
      <c r="C8" s="2">
        <v>455</v>
      </c>
      <c r="D8" s="1" t="s">
        <v>260</v>
      </c>
      <c r="E8" s="1" t="s">
        <v>6</v>
      </c>
      <c r="F8" s="1" t="s">
        <v>266</v>
      </c>
      <c r="G8" s="5" t="s">
        <v>258</v>
      </c>
    </row>
    <row r="9" spans="1:7" ht="16">
      <c r="A9" s="1" t="s">
        <v>10</v>
      </c>
      <c r="B9" s="1" t="s">
        <v>138</v>
      </c>
      <c r="C9" s="2">
        <v>615</v>
      </c>
      <c r="D9" s="1" t="s">
        <v>11</v>
      </c>
      <c r="E9" s="1" t="s">
        <v>6</v>
      </c>
      <c r="F9" s="4" t="s">
        <v>267</v>
      </c>
      <c r="G9" s="5" t="s">
        <v>258</v>
      </c>
    </row>
    <row r="10" spans="1:7" ht="16">
      <c r="A10" s="1" t="s">
        <v>166</v>
      </c>
      <c r="B10" s="1" t="s">
        <v>138</v>
      </c>
      <c r="C10" s="2">
        <v>0</v>
      </c>
      <c r="D10" s="1" t="s">
        <v>268</v>
      </c>
      <c r="E10" s="1"/>
      <c r="F10" s="4" t="s">
        <v>269</v>
      </c>
      <c r="G10" s="5" t="s">
        <v>2</v>
      </c>
    </row>
    <row r="11" spans="1:7" ht="16">
      <c r="A11" s="3"/>
      <c r="B11" s="3"/>
      <c r="C11" s="2">
        <v>2019526</v>
      </c>
      <c r="D11" s="3"/>
      <c r="E11" s="3"/>
      <c r="F11" s="3"/>
    </row>
    <row r="12" spans="1:7" ht="15.75" customHeight="1">
      <c r="B12" s="5" t="s">
        <v>270</v>
      </c>
      <c r="C12" s="10">
        <f>SUM(C5:C6,C8:C9)</f>
        <v>1077</v>
      </c>
    </row>
    <row r="13" spans="1:7" ht="15.75" customHeight="1">
      <c r="B13" s="5" t="s">
        <v>271</v>
      </c>
      <c r="C13" s="10">
        <f>SUM(C3:C4,C7)</f>
        <v>2018449</v>
      </c>
    </row>
    <row r="15" spans="1:7" ht="15.75" customHeight="1">
      <c r="G15" s="26"/>
    </row>
    <row r="21" spans="4:5" ht="15.75" customHeight="1">
      <c r="D21" s="27"/>
      <c r="E21" s="27"/>
    </row>
    <row r="22" spans="4:5" ht="15.75" customHeight="1">
      <c r="D22" s="27"/>
      <c r="E22" s="27"/>
    </row>
    <row r="23" spans="4:5" ht="15.75" customHeight="1">
      <c r="D23" s="28"/>
      <c r="E23" s="27"/>
    </row>
    <row r="24" spans="4:5" ht="15.75" customHeight="1">
      <c r="D24" s="28"/>
      <c r="E24" s="27"/>
    </row>
    <row r="25" spans="4:5" ht="15.75" customHeight="1">
      <c r="D25" s="28"/>
      <c r="E25" s="27"/>
    </row>
    <row r="26" spans="4:5" ht="15.75" customHeight="1">
      <c r="D26" s="27"/>
      <c r="E26" s="27"/>
    </row>
    <row r="27" spans="4:5" ht="15.75" customHeight="1">
      <c r="D27" s="27"/>
      <c r="E27" s="27"/>
    </row>
  </sheetData>
  <mergeCells count="1">
    <mergeCell ref="A1:C1"/>
  </mergeCells>
  <hyperlinks>
    <hyperlink ref="G5" r:id="rId1" xr:uid="{00000000-0004-0000-0D00-000000000000}"/>
    <hyperlink ref="G6" r:id="rId2" xr:uid="{00000000-0004-0000-0D00-000001000000}"/>
    <hyperlink ref="F9" r:id="rId3" xr:uid="{00000000-0004-0000-0D00-000002000000}"/>
    <hyperlink ref="F10" r:id="rId4" xr:uid="{00000000-0004-0000-0D00-000003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8"/>
  <sheetViews>
    <sheetView workbookViewId="0"/>
  </sheetViews>
  <sheetFormatPr baseColWidth="10" defaultColWidth="14.5" defaultRowHeight="15.75" customHeight="1"/>
  <sheetData>
    <row r="1" spans="1:3">
      <c r="A1" s="1" t="s">
        <v>272</v>
      </c>
      <c r="B1" s="1" t="s">
        <v>60</v>
      </c>
      <c r="C1" s="3"/>
    </row>
    <row r="2" spans="1:3">
      <c r="A2" s="1" t="s">
        <v>273</v>
      </c>
      <c r="B2" s="2">
        <v>102</v>
      </c>
      <c r="C2" s="1" t="s">
        <v>5</v>
      </c>
    </row>
    <row r="3" spans="1:3">
      <c r="A3" s="1" t="s">
        <v>36</v>
      </c>
      <c r="B3" s="2">
        <v>391</v>
      </c>
      <c r="C3" s="1" t="s">
        <v>5</v>
      </c>
    </row>
    <row r="4" spans="1:3">
      <c r="A4" s="1" t="s">
        <v>274</v>
      </c>
      <c r="B4" s="2">
        <v>43</v>
      </c>
      <c r="C4" s="1" t="s">
        <v>5</v>
      </c>
    </row>
    <row r="5" spans="1:3">
      <c r="A5" s="1" t="s">
        <v>275</v>
      </c>
      <c r="B5" s="2">
        <v>1</v>
      </c>
      <c r="C5" s="1" t="s">
        <v>5</v>
      </c>
    </row>
    <row r="6" spans="1:3">
      <c r="A6" s="1" t="s">
        <v>276</v>
      </c>
      <c r="B6" s="2">
        <v>4</v>
      </c>
      <c r="C6" s="1" t="s">
        <v>5</v>
      </c>
    </row>
    <row r="7" spans="1:3">
      <c r="A7" s="1" t="s">
        <v>35</v>
      </c>
      <c r="B7" s="2">
        <v>1092</v>
      </c>
      <c r="C7" s="1" t="s">
        <v>5</v>
      </c>
    </row>
    <row r="8" spans="1:3">
      <c r="A8" s="3"/>
      <c r="B8" s="2">
        <v>1633</v>
      </c>
      <c r="C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16"/>
  <sheetViews>
    <sheetView workbookViewId="0"/>
  </sheetViews>
  <sheetFormatPr baseColWidth="10" defaultColWidth="14.5" defaultRowHeight="15.75" customHeight="1"/>
  <sheetData>
    <row r="1" spans="1:4">
      <c r="A1" s="1" t="s">
        <v>272</v>
      </c>
      <c r="B1" s="1" t="s">
        <v>60</v>
      </c>
      <c r="C1" s="1" t="s">
        <v>0</v>
      </c>
      <c r="D1" s="1" t="s">
        <v>61</v>
      </c>
    </row>
    <row r="2" spans="1:4">
      <c r="A2" s="1" t="s">
        <v>277</v>
      </c>
      <c r="B2" s="2">
        <v>974</v>
      </c>
      <c r="C2" s="1" t="s">
        <v>278</v>
      </c>
      <c r="D2" s="1" t="s">
        <v>5</v>
      </c>
    </row>
    <row r="3" spans="1:4">
      <c r="A3" s="1" t="s">
        <v>14</v>
      </c>
      <c r="B3" s="2">
        <v>36802</v>
      </c>
      <c r="C3" s="1" t="s">
        <v>279</v>
      </c>
      <c r="D3" s="1" t="s">
        <v>5</v>
      </c>
    </row>
    <row r="4" spans="1:4">
      <c r="A4" s="1" t="s">
        <v>37</v>
      </c>
      <c r="B4" s="2">
        <v>248</v>
      </c>
      <c r="C4" s="1" t="s">
        <v>280</v>
      </c>
      <c r="D4" s="1" t="s">
        <v>5</v>
      </c>
    </row>
    <row r="5" spans="1:4">
      <c r="A5" s="1" t="s">
        <v>12</v>
      </c>
      <c r="B5" s="2">
        <v>5291</v>
      </c>
      <c r="C5" s="1" t="s">
        <v>281</v>
      </c>
      <c r="D5" s="1" t="s">
        <v>5</v>
      </c>
    </row>
    <row r="6" spans="1:4">
      <c r="A6" s="1" t="s">
        <v>282</v>
      </c>
      <c r="B6" s="2">
        <v>5619</v>
      </c>
      <c r="C6" s="1" t="s">
        <v>283</v>
      </c>
      <c r="D6" s="1" t="s">
        <v>13</v>
      </c>
    </row>
    <row r="7" spans="1:4">
      <c r="A7" s="1" t="s">
        <v>284</v>
      </c>
      <c r="B7" s="2">
        <v>235</v>
      </c>
      <c r="C7" s="1" t="s">
        <v>285</v>
      </c>
      <c r="D7" s="1" t="s">
        <v>5</v>
      </c>
    </row>
    <row r="8" spans="1:4">
      <c r="A8" s="1" t="s">
        <v>286</v>
      </c>
      <c r="B8" s="2">
        <v>2</v>
      </c>
      <c r="C8" s="1" t="s">
        <v>287</v>
      </c>
      <c r="D8" s="1" t="s">
        <v>5</v>
      </c>
    </row>
    <row r="9" spans="1:4">
      <c r="A9" s="1" t="s">
        <v>288</v>
      </c>
      <c r="B9" s="2">
        <v>1564</v>
      </c>
      <c r="C9" s="1" t="s">
        <v>289</v>
      </c>
      <c r="D9" s="1" t="s">
        <v>5</v>
      </c>
    </row>
    <row r="10" spans="1:4">
      <c r="A10" s="1" t="s">
        <v>9</v>
      </c>
      <c r="B10" s="2">
        <v>11745</v>
      </c>
      <c r="C10" s="3"/>
      <c r="D10" s="1" t="s">
        <v>5</v>
      </c>
    </row>
    <row r="11" spans="1:4">
      <c r="A11" s="1" t="s">
        <v>290</v>
      </c>
      <c r="B11" s="2">
        <v>1352</v>
      </c>
      <c r="C11" s="1" t="s">
        <v>291</v>
      </c>
      <c r="D11" s="1" t="s">
        <v>5</v>
      </c>
    </row>
    <row r="12" spans="1:4">
      <c r="A12" s="1" t="s">
        <v>33</v>
      </c>
      <c r="B12" s="2">
        <v>8679</v>
      </c>
      <c r="C12" s="1" t="s">
        <v>292</v>
      </c>
      <c r="D12" s="1" t="s">
        <v>5</v>
      </c>
    </row>
    <row r="13" spans="1:4">
      <c r="A13" s="1" t="s">
        <v>293</v>
      </c>
      <c r="B13" s="2">
        <v>105</v>
      </c>
      <c r="C13" s="1" t="s">
        <v>294</v>
      </c>
      <c r="D13" s="1" t="s">
        <v>5</v>
      </c>
    </row>
    <row r="14" spans="1:4">
      <c r="A14" s="1" t="s">
        <v>295</v>
      </c>
      <c r="B14" s="2">
        <v>9</v>
      </c>
      <c r="C14" s="1" t="s">
        <v>296</v>
      </c>
      <c r="D14" s="1" t="s">
        <v>5</v>
      </c>
    </row>
    <row r="15" spans="1:4">
      <c r="A15" s="1" t="s">
        <v>47</v>
      </c>
      <c r="B15" s="2">
        <f>451 + 3</f>
        <v>454</v>
      </c>
      <c r="C15" s="1" t="s">
        <v>297</v>
      </c>
      <c r="D15" s="1" t="s">
        <v>5</v>
      </c>
    </row>
    <row r="16" spans="1:4">
      <c r="A16" s="3"/>
      <c r="B16" s="2">
        <f>SUM(B2:B15)</f>
        <v>73079</v>
      </c>
      <c r="C16" s="3"/>
      <c r="D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tabSelected="1" workbookViewId="0"/>
  </sheetViews>
  <sheetFormatPr baseColWidth="10" defaultColWidth="14.5" defaultRowHeig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F16"/>
  <sheetViews>
    <sheetView workbookViewId="0"/>
  </sheetViews>
  <sheetFormatPr baseColWidth="10" defaultColWidth="14.5" defaultRowHeight="15.75" customHeight="1"/>
  <sheetData>
    <row r="2" spans="1:6" ht="15.75" customHeight="1">
      <c r="A2" s="5" t="s">
        <v>112</v>
      </c>
      <c r="B2" s="5" t="s">
        <v>113</v>
      </c>
      <c r="C2" s="5" t="s">
        <v>114</v>
      </c>
      <c r="D2" s="5" t="s">
        <v>115</v>
      </c>
      <c r="F2" s="5" t="s">
        <v>116</v>
      </c>
    </row>
    <row r="3" spans="1:6" ht="15.75" customHeight="1">
      <c r="A3" s="5" t="s">
        <v>117</v>
      </c>
      <c r="B3" s="5" t="s">
        <v>41</v>
      </c>
      <c r="C3" s="5" t="s">
        <v>118</v>
      </c>
    </row>
    <row r="4" spans="1:6" ht="15.75" customHeight="1">
      <c r="A4" s="5" t="s">
        <v>119</v>
      </c>
      <c r="B4" s="5" t="s">
        <v>3</v>
      </c>
      <c r="C4" s="5" t="s">
        <v>120</v>
      </c>
    </row>
    <row r="5" spans="1:6" ht="15.75" customHeight="1">
      <c r="A5" s="5" t="s">
        <v>121</v>
      </c>
      <c r="B5" s="5" t="s">
        <v>3</v>
      </c>
      <c r="C5" s="5" t="s">
        <v>122</v>
      </c>
    </row>
    <row r="6" spans="1:6" ht="15.75" customHeight="1">
      <c r="A6" s="5">
        <v>2017</v>
      </c>
      <c r="B6" s="5" t="s">
        <v>3</v>
      </c>
      <c r="C6" s="5" t="s">
        <v>123</v>
      </c>
      <c r="F6" s="10">
        <f>3 + 11 + 14</f>
        <v>28</v>
      </c>
    </row>
    <row r="7" spans="1:6" ht="15.75" customHeight="1">
      <c r="A7" s="5">
        <v>2020</v>
      </c>
      <c r="C7" s="5" t="s">
        <v>124</v>
      </c>
    </row>
    <row r="8" spans="1:6" ht="15.75" customHeight="1">
      <c r="A8" s="5" t="s">
        <v>125</v>
      </c>
      <c r="B8" s="5" t="s">
        <v>3</v>
      </c>
      <c r="C8" s="5" t="s">
        <v>126</v>
      </c>
    </row>
    <row r="9" spans="1:6" ht="16">
      <c r="A9" s="5" t="s">
        <v>127</v>
      </c>
      <c r="C9" s="5">
        <v>14</v>
      </c>
      <c r="D9" s="4" t="s">
        <v>42</v>
      </c>
    </row>
    <row r="16" spans="1:6" ht="15.75" customHeight="1">
      <c r="C16" s="10">
        <f>27*0.11</f>
        <v>2.97</v>
      </c>
    </row>
  </sheetData>
  <hyperlinks>
    <hyperlink ref="D9" r:id="rId1" xr:uid="{00000000-0004-0000-04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5"/>
  <sheetViews>
    <sheetView workbookViewId="0"/>
  </sheetViews>
  <sheetFormatPr baseColWidth="10" defaultColWidth="14.5" defaultRowHeight="15.75" customHeight="1"/>
  <sheetData>
    <row r="1" spans="1:6" ht="15.75" customHeight="1">
      <c r="A1" s="5" t="s">
        <v>59</v>
      </c>
      <c r="B1" s="5" t="s">
        <v>60</v>
      </c>
      <c r="C1" s="5" t="s">
        <v>0</v>
      </c>
      <c r="D1" s="5" t="s">
        <v>128</v>
      </c>
      <c r="E1" s="5" t="s">
        <v>129</v>
      </c>
      <c r="F1" s="5" t="s">
        <v>61</v>
      </c>
    </row>
    <row r="2" spans="1:6" ht="15.75" customHeight="1">
      <c r="A2" s="5" t="s">
        <v>39</v>
      </c>
      <c r="B2" s="5">
        <f>972*D2</f>
        <v>14.58</v>
      </c>
      <c r="C2" s="5" t="s">
        <v>130</v>
      </c>
      <c r="D2" s="5">
        <v>1.4999999999999999E-2</v>
      </c>
      <c r="E2" s="5" t="s">
        <v>131</v>
      </c>
      <c r="F2" s="5" t="s">
        <v>38</v>
      </c>
    </row>
    <row r="3" spans="1:6" ht="15.75" customHeight="1">
      <c r="A3" s="5" t="s">
        <v>132</v>
      </c>
      <c r="B3" s="5" t="s">
        <v>133</v>
      </c>
      <c r="F3" s="5" t="s">
        <v>38</v>
      </c>
    </row>
    <row r="4" spans="1:6" ht="15.75" customHeight="1">
      <c r="A4" s="5" t="s">
        <v>134</v>
      </c>
      <c r="B4" s="5">
        <f>165*D4</f>
        <v>2.4750000000000001</v>
      </c>
      <c r="C4" s="5" t="s">
        <v>135</v>
      </c>
      <c r="D4" s="5">
        <v>1.4999999999999999E-2</v>
      </c>
      <c r="E4" s="5" t="s">
        <v>131</v>
      </c>
      <c r="F4" s="5" t="s">
        <v>38</v>
      </c>
    </row>
    <row r="5" spans="1:6" ht="15.75" customHeight="1">
      <c r="B5" s="10">
        <f>ROUND(SUM(B2:B4),0)</f>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
  <sheetViews>
    <sheetView workbookViewId="0"/>
  </sheetViews>
  <sheetFormatPr baseColWidth="10" defaultColWidth="14.5" defaultRowHeight="15.75" customHeight="1"/>
  <sheetData>
    <row r="1" spans="1:29" ht="15.75" customHeight="1">
      <c r="A1" s="12" t="s">
        <v>59</v>
      </c>
      <c r="B1" s="12" t="s">
        <v>136</v>
      </c>
      <c r="C1" s="12" t="s">
        <v>60</v>
      </c>
      <c r="D1" s="12" t="s">
        <v>0</v>
      </c>
      <c r="E1" s="8" t="s">
        <v>128</v>
      </c>
      <c r="F1" s="8" t="s">
        <v>129</v>
      </c>
      <c r="G1" s="8" t="s">
        <v>61</v>
      </c>
      <c r="H1" s="9"/>
      <c r="I1" s="9"/>
      <c r="J1" s="9"/>
      <c r="K1" s="9"/>
      <c r="L1" s="9"/>
      <c r="M1" s="9"/>
      <c r="N1" s="9"/>
      <c r="O1" s="9"/>
      <c r="P1" s="9"/>
      <c r="Q1" s="9"/>
      <c r="R1" s="9"/>
      <c r="S1" s="9"/>
      <c r="T1" s="9"/>
      <c r="U1" s="9"/>
      <c r="V1" s="9"/>
      <c r="W1" s="9"/>
      <c r="X1" s="9"/>
      <c r="Y1" s="9"/>
      <c r="Z1" s="9"/>
      <c r="AA1" s="9"/>
      <c r="AB1" s="9"/>
      <c r="AC1" s="9"/>
    </row>
    <row r="2" spans="1:29" ht="15.75" customHeight="1">
      <c r="A2" s="13" t="s">
        <v>137</v>
      </c>
      <c r="B2" s="10" t="s">
        <v>138</v>
      </c>
      <c r="C2" s="10">
        <f>(10 + 13)</f>
        <v>23</v>
      </c>
      <c r="D2" s="13" t="s">
        <v>139</v>
      </c>
      <c r="E2" s="13" t="s">
        <v>2</v>
      </c>
      <c r="G2" s="5" t="s">
        <v>5</v>
      </c>
    </row>
    <row r="3" spans="1:29" ht="15.75" customHeight="1">
      <c r="A3" s="10" t="s">
        <v>140</v>
      </c>
      <c r="B3" s="10" t="s">
        <v>138</v>
      </c>
      <c r="C3" s="10">
        <v>21345</v>
      </c>
      <c r="E3" s="13" t="s">
        <v>2</v>
      </c>
      <c r="G3" s="5" t="s">
        <v>5</v>
      </c>
    </row>
    <row r="4" spans="1:29" ht="15.75" customHeight="1">
      <c r="A4" s="13" t="s">
        <v>141</v>
      </c>
      <c r="B4" s="10" t="s">
        <v>138</v>
      </c>
      <c r="C4" s="10">
        <f>(295591*4)*E4</f>
        <v>1371.273209256093</v>
      </c>
      <c r="D4" s="10" t="s">
        <v>142</v>
      </c>
      <c r="E4" s="5">
        <f>0.115977246368808/100</f>
        <v>1.15977246368808E-3</v>
      </c>
      <c r="F4" s="5" t="s">
        <v>143</v>
      </c>
      <c r="G4" s="5" t="s">
        <v>5</v>
      </c>
    </row>
    <row r="5" spans="1:29" ht="15.75" customHeight="1">
      <c r="A5" s="14">
        <v>1985</v>
      </c>
      <c r="B5" s="15" t="s">
        <v>144</v>
      </c>
      <c r="C5" s="14">
        <f>1136</f>
        <v>1136</v>
      </c>
      <c r="E5" s="13" t="s">
        <v>2</v>
      </c>
      <c r="G5" s="5" t="s">
        <v>5</v>
      </c>
      <c r="K5" s="15"/>
      <c r="L5" s="15"/>
      <c r="M5" s="15"/>
      <c r="N5" s="15"/>
      <c r="O5" s="15"/>
      <c r="P5" s="15"/>
      <c r="Q5" s="15"/>
      <c r="R5" s="15"/>
      <c r="S5" s="15"/>
      <c r="T5" s="15"/>
      <c r="U5" s="15"/>
      <c r="V5" s="15"/>
      <c r="W5" s="15"/>
      <c r="X5" s="15"/>
      <c r="Y5" s="15"/>
      <c r="Z5" s="15"/>
      <c r="AA5" s="15"/>
      <c r="AB5" s="15"/>
      <c r="AC5" s="15"/>
    </row>
    <row r="6" spans="1:29" ht="15.75" customHeight="1">
      <c r="A6" s="14">
        <v>1985</v>
      </c>
      <c r="B6" s="15" t="s">
        <v>145</v>
      </c>
      <c r="C6" s="14">
        <f>158181*E6</f>
        <v>62.831357233999917</v>
      </c>
      <c r="D6" s="10" t="s">
        <v>146</v>
      </c>
      <c r="E6" s="10">
        <f>113/284483</f>
        <v>3.9721178418394067E-4</v>
      </c>
      <c r="G6" s="5" t="s">
        <v>5</v>
      </c>
      <c r="K6" s="15"/>
      <c r="L6" s="15"/>
      <c r="M6" s="15"/>
      <c r="N6" s="15"/>
      <c r="O6" s="15"/>
      <c r="P6" s="15"/>
      <c r="Q6" s="15"/>
      <c r="R6" s="15"/>
      <c r="S6" s="15"/>
      <c r="T6" s="15"/>
      <c r="U6" s="15"/>
      <c r="V6" s="15"/>
      <c r="W6" s="15"/>
      <c r="X6" s="15"/>
      <c r="Y6" s="15"/>
      <c r="Z6" s="15"/>
      <c r="AA6" s="15"/>
      <c r="AB6" s="15"/>
      <c r="AC6" s="15"/>
    </row>
    <row r="7" spans="1:29" ht="15.75" customHeight="1">
      <c r="A7" s="16">
        <v>1985</v>
      </c>
      <c r="B7" s="15" t="s">
        <v>147</v>
      </c>
      <c r="C7" s="17">
        <v>460</v>
      </c>
      <c r="D7" s="5" t="s">
        <v>148</v>
      </c>
      <c r="G7" s="5" t="s">
        <v>5</v>
      </c>
      <c r="K7" s="15"/>
      <c r="L7" s="15"/>
      <c r="M7" s="15"/>
      <c r="N7" s="15"/>
      <c r="O7" s="15"/>
      <c r="P7" s="15"/>
      <c r="Q7" s="15"/>
      <c r="R7" s="15"/>
      <c r="S7" s="15"/>
      <c r="T7" s="15"/>
      <c r="U7" s="15"/>
      <c r="V7" s="15"/>
      <c r="W7" s="15"/>
      <c r="X7" s="15"/>
      <c r="Y7" s="15"/>
      <c r="Z7" s="15"/>
      <c r="AA7" s="15"/>
      <c r="AB7" s="15"/>
      <c r="AC7" s="15"/>
    </row>
    <row r="8" spans="1:29" ht="15.75" customHeight="1">
      <c r="A8" s="10" t="s">
        <v>149</v>
      </c>
      <c r="B8" s="10" t="s">
        <v>138</v>
      </c>
      <c r="C8" s="10">
        <v>15940</v>
      </c>
      <c r="E8" s="13" t="s">
        <v>2</v>
      </c>
      <c r="G8" s="5" t="s">
        <v>5</v>
      </c>
    </row>
    <row r="9" spans="1:29" ht="15.75" customHeight="1">
      <c r="A9" s="5" t="s">
        <v>150</v>
      </c>
      <c r="B9" s="5" t="s">
        <v>138</v>
      </c>
      <c r="C9" s="5">
        <v>229393</v>
      </c>
      <c r="D9" s="5" t="s">
        <v>151</v>
      </c>
      <c r="G9" s="11" t="s">
        <v>40</v>
      </c>
    </row>
    <row r="10" spans="1:29" ht="15.75" customHeight="1">
      <c r="C10" s="10">
        <f>SUM(C2:C9)</f>
        <v>269731.1045664901</v>
      </c>
    </row>
  </sheetData>
  <hyperlinks>
    <hyperlink ref="G9" r:id="rId1" xr:uid="{00000000-0004-0000-06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57"/>
  <sheetViews>
    <sheetView workbookViewId="0"/>
  </sheetViews>
  <sheetFormatPr baseColWidth="10" defaultColWidth="14.5" defaultRowHeight="15.75" customHeight="1"/>
  <cols>
    <col min="1" max="1" width="17.5" customWidth="1"/>
  </cols>
  <sheetData>
    <row r="1" spans="1:29" ht="15.75" customHeight="1">
      <c r="A1" s="8" t="s">
        <v>152</v>
      </c>
    </row>
    <row r="2" spans="1:29" ht="15.75" customHeight="1">
      <c r="A2" s="12" t="s">
        <v>59</v>
      </c>
      <c r="B2" s="12" t="s">
        <v>136</v>
      </c>
      <c r="C2" s="12" t="s">
        <v>60</v>
      </c>
      <c r="D2" s="12" t="s">
        <v>0</v>
      </c>
      <c r="E2" s="8" t="s">
        <v>128</v>
      </c>
      <c r="F2" s="8" t="s">
        <v>129</v>
      </c>
      <c r="G2" s="8" t="s">
        <v>61</v>
      </c>
      <c r="H2" s="9"/>
      <c r="I2" s="9"/>
      <c r="J2" s="9"/>
      <c r="K2" s="9"/>
      <c r="L2" s="9"/>
      <c r="M2" s="9"/>
      <c r="N2" s="9"/>
      <c r="O2" s="9"/>
      <c r="P2" s="9"/>
      <c r="Q2" s="9"/>
      <c r="R2" s="9"/>
      <c r="S2" s="9"/>
      <c r="T2" s="9"/>
      <c r="U2" s="9"/>
      <c r="V2" s="9"/>
      <c r="W2" s="9"/>
      <c r="X2" s="9"/>
      <c r="Y2" s="9"/>
      <c r="Z2" s="9"/>
      <c r="AA2" s="9"/>
      <c r="AB2" s="9"/>
      <c r="AC2" s="9"/>
    </row>
    <row r="3" spans="1:29" ht="15.75" customHeight="1">
      <c r="A3" s="13" t="s">
        <v>137</v>
      </c>
      <c r="B3" s="10" t="s">
        <v>138</v>
      </c>
      <c r="C3" s="10">
        <f>(10 + 13)</f>
        <v>23</v>
      </c>
      <c r="D3" s="13" t="s">
        <v>139</v>
      </c>
      <c r="E3" s="13" t="s">
        <v>2</v>
      </c>
      <c r="G3" s="5" t="s">
        <v>5</v>
      </c>
    </row>
    <row r="4" spans="1:29" ht="15.75" customHeight="1">
      <c r="A4" s="10" t="s">
        <v>140</v>
      </c>
      <c r="B4" s="10" t="s">
        <v>138</v>
      </c>
      <c r="C4" s="10">
        <v>21345</v>
      </c>
      <c r="E4" s="13" t="s">
        <v>2</v>
      </c>
      <c r="G4" s="5" t="s">
        <v>5</v>
      </c>
    </row>
    <row r="5" spans="1:29" ht="15.75" customHeight="1">
      <c r="A5" s="13" t="s">
        <v>141</v>
      </c>
      <c r="B5" s="10" t="s">
        <v>138</v>
      </c>
      <c r="C5" s="10">
        <f>(295591*4)*E5</f>
        <v>1371.273209256093</v>
      </c>
      <c r="D5" s="10" t="s">
        <v>142</v>
      </c>
      <c r="E5" s="5">
        <f>0.115977246368808/100</f>
        <v>1.15977246368808E-3</v>
      </c>
      <c r="F5" s="5" t="s">
        <v>143</v>
      </c>
      <c r="G5" s="5" t="s">
        <v>5</v>
      </c>
      <c r="H5" s="5" t="s">
        <v>153</v>
      </c>
    </row>
    <row r="6" spans="1:29" ht="15.75" customHeight="1">
      <c r="A6" s="10" t="s">
        <v>149</v>
      </c>
      <c r="B6" s="10" t="s">
        <v>138</v>
      </c>
      <c r="C6" s="10">
        <v>15940</v>
      </c>
      <c r="E6" s="13" t="s">
        <v>2</v>
      </c>
      <c r="G6" s="5" t="s">
        <v>5</v>
      </c>
      <c r="H6" s="10">
        <f>SUM(C7:C14,C21:C27,C32:C38,C42:C52)</f>
        <v>1622933.9055910646</v>
      </c>
    </row>
    <row r="7" spans="1:29" ht="15.75" customHeight="1">
      <c r="A7" s="10">
        <v>1996</v>
      </c>
      <c r="B7" s="10" t="s">
        <v>138</v>
      </c>
      <c r="C7" s="10">
        <v>1380000</v>
      </c>
      <c r="E7" s="13" t="s">
        <v>2</v>
      </c>
      <c r="G7" s="5" t="s">
        <v>5</v>
      </c>
    </row>
    <row r="8" spans="1:29" ht="15.75" customHeight="1">
      <c r="A8" s="10">
        <v>1998</v>
      </c>
      <c r="B8" s="10" t="s">
        <v>138</v>
      </c>
      <c r="C8" s="10">
        <v>15000</v>
      </c>
      <c r="E8" s="13" t="s">
        <v>2</v>
      </c>
      <c r="G8" s="5" t="s">
        <v>5</v>
      </c>
    </row>
    <row r="9" spans="1:29" ht="15.75" customHeight="1">
      <c r="A9" s="10">
        <v>1999</v>
      </c>
      <c r="B9" s="10" t="s">
        <v>138</v>
      </c>
      <c r="C9" s="10">
        <v>13000</v>
      </c>
      <c r="E9" s="13" t="s">
        <v>2</v>
      </c>
      <c r="G9" s="5" t="s">
        <v>5</v>
      </c>
    </row>
    <row r="10" spans="1:29" ht="15.75" customHeight="1">
      <c r="A10" s="13">
        <v>2005</v>
      </c>
      <c r="B10" s="10" t="s">
        <v>138</v>
      </c>
      <c r="C10" s="10">
        <v>12300</v>
      </c>
      <c r="E10" s="13" t="s">
        <v>2</v>
      </c>
      <c r="G10" s="5" t="s">
        <v>5</v>
      </c>
    </row>
    <row r="11" spans="1:29" ht="15.75" customHeight="1">
      <c r="A11" s="18">
        <v>2010</v>
      </c>
      <c r="B11" s="15" t="s">
        <v>138</v>
      </c>
      <c r="C11" s="14">
        <v>14700</v>
      </c>
      <c r="E11" s="13" t="s">
        <v>2</v>
      </c>
      <c r="G11" s="5" t="s">
        <v>5</v>
      </c>
      <c r="K11" s="15"/>
      <c r="L11" s="15"/>
      <c r="M11" s="15"/>
      <c r="N11" s="15"/>
      <c r="O11" s="15"/>
      <c r="P11" s="15"/>
      <c r="Q11" s="15"/>
      <c r="R11" s="15"/>
      <c r="S11" s="15"/>
      <c r="T11" s="15"/>
      <c r="U11" s="15"/>
      <c r="V11" s="15"/>
      <c r="W11" s="15"/>
      <c r="X11" s="15"/>
      <c r="Y11" s="15"/>
      <c r="Z11" s="15"/>
      <c r="AA11" s="15"/>
      <c r="AB11" s="15"/>
      <c r="AC11" s="15"/>
    </row>
    <row r="12" spans="1:29" ht="15.75" customHeight="1">
      <c r="A12" s="18">
        <v>2015</v>
      </c>
      <c r="B12" s="15" t="s">
        <v>138</v>
      </c>
      <c r="C12" s="14">
        <v>18400</v>
      </c>
      <c r="E12" s="13" t="s">
        <v>2</v>
      </c>
      <c r="G12" s="5" t="s">
        <v>5</v>
      </c>
      <c r="K12" s="15"/>
      <c r="L12" s="15"/>
      <c r="M12" s="15"/>
      <c r="N12" s="15"/>
      <c r="O12" s="15"/>
      <c r="P12" s="15"/>
      <c r="Q12" s="15"/>
      <c r="R12" s="15"/>
      <c r="S12" s="15"/>
      <c r="T12" s="15"/>
      <c r="U12" s="15"/>
      <c r="V12" s="15"/>
      <c r="W12" s="15"/>
      <c r="X12" s="15"/>
      <c r="Y12" s="15"/>
      <c r="Z12" s="15"/>
      <c r="AA12" s="15"/>
      <c r="AB12" s="15"/>
      <c r="AC12" s="15"/>
    </row>
    <row r="13" spans="1:29" ht="15.75" customHeight="1">
      <c r="A13" s="18">
        <v>2016</v>
      </c>
      <c r="B13" s="15" t="s">
        <v>138</v>
      </c>
      <c r="C13" s="14">
        <v>37780</v>
      </c>
      <c r="E13" s="13" t="s">
        <v>2</v>
      </c>
      <c r="G13" s="5" t="s">
        <v>5</v>
      </c>
      <c r="K13" s="15"/>
      <c r="L13" s="15"/>
      <c r="M13" s="15"/>
      <c r="N13" s="15"/>
      <c r="O13" s="15"/>
      <c r="P13" s="15"/>
      <c r="Q13" s="15"/>
      <c r="R13" s="15"/>
      <c r="S13" s="15"/>
      <c r="T13" s="15"/>
      <c r="U13" s="15"/>
      <c r="V13" s="15"/>
      <c r="W13" s="15"/>
      <c r="X13" s="15"/>
      <c r="Y13" s="15"/>
      <c r="Z13" s="15"/>
      <c r="AA13" s="15"/>
      <c r="AB13" s="15"/>
      <c r="AC13" s="15"/>
    </row>
    <row r="14" spans="1:29" ht="15.75" customHeight="1">
      <c r="A14" s="18">
        <v>2017</v>
      </c>
      <c r="B14" s="15" t="s">
        <v>138</v>
      </c>
      <c r="C14" s="14">
        <v>40500</v>
      </c>
      <c r="E14" s="13" t="s">
        <v>2</v>
      </c>
      <c r="G14" s="5" t="s">
        <v>5</v>
      </c>
      <c r="K14" s="15"/>
      <c r="L14" s="15"/>
      <c r="M14" s="15"/>
      <c r="N14" s="15"/>
      <c r="O14" s="15"/>
      <c r="P14" s="15"/>
      <c r="Q14" s="15"/>
      <c r="R14" s="15"/>
      <c r="S14" s="15"/>
      <c r="T14" s="15"/>
      <c r="U14" s="15"/>
      <c r="V14" s="15"/>
      <c r="W14" s="15"/>
      <c r="X14" s="15"/>
      <c r="Y14" s="15"/>
      <c r="Z14" s="15"/>
      <c r="AA14" s="15"/>
      <c r="AB14" s="15"/>
      <c r="AC14" s="15"/>
    </row>
    <row r="15" spans="1:29" ht="15.75" customHeight="1">
      <c r="A15" s="5"/>
    </row>
    <row r="16" spans="1:29" ht="15.75" customHeight="1">
      <c r="A16" s="5" t="s">
        <v>154</v>
      </c>
    </row>
    <row r="17" spans="1:29" ht="15.75" customHeight="1">
      <c r="A17" s="5" t="s">
        <v>155</v>
      </c>
    </row>
    <row r="18" spans="1:29" ht="15.75" customHeight="1">
      <c r="A18" s="5"/>
    </row>
    <row r="19" spans="1:29" ht="15.75" customHeight="1">
      <c r="A19" s="8" t="s">
        <v>144</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5.75" customHeight="1">
      <c r="A20" s="14">
        <v>1985</v>
      </c>
      <c r="B20" s="15" t="s">
        <v>144</v>
      </c>
      <c r="C20" s="14">
        <f>1136</f>
        <v>1136</v>
      </c>
      <c r="E20" s="13" t="s">
        <v>2</v>
      </c>
      <c r="G20" s="5" t="s">
        <v>5</v>
      </c>
      <c r="K20" s="15"/>
      <c r="L20" s="15"/>
      <c r="M20" s="15"/>
      <c r="N20" s="15"/>
      <c r="O20" s="15"/>
      <c r="P20" s="15"/>
      <c r="Q20" s="15"/>
      <c r="R20" s="15"/>
      <c r="S20" s="15"/>
      <c r="T20" s="15"/>
      <c r="U20" s="15"/>
      <c r="V20" s="15"/>
      <c r="W20" s="15"/>
      <c r="X20" s="15"/>
      <c r="Y20" s="15"/>
      <c r="Z20" s="15"/>
      <c r="AA20" s="15"/>
      <c r="AB20" s="15"/>
      <c r="AC20" s="15"/>
    </row>
    <row r="21" spans="1:29" ht="15.75" customHeight="1">
      <c r="A21" s="15" t="s">
        <v>156</v>
      </c>
      <c r="B21" s="15" t="s">
        <v>144</v>
      </c>
      <c r="C21" s="14">
        <f>1031 + 709 + 750 + 1083 + 1142</f>
        <v>4715</v>
      </c>
      <c r="E21" s="13" t="s">
        <v>2</v>
      </c>
      <c r="G21" s="5" t="s">
        <v>5</v>
      </c>
      <c r="K21" s="15"/>
      <c r="L21" s="15"/>
      <c r="M21" s="15"/>
      <c r="N21" s="15"/>
      <c r="O21" s="15"/>
      <c r="P21" s="15"/>
      <c r="Q21" s="15"/>
      <c r="R21" s="15"/>
      <c r="S21" s="15"/>
      <c r="T21" s="15"/>
      <c r="U21" s="15"/>
      <c r="V21" s="15"/>
      <c r="W21" s="15"/>
      <c r="X21" s="15"/>
      <c r="Y21" s="15"/>
      <c r="Z21" s="15"/>
      <c r="AA21" s="15"/>
      <c r="AB21" s="15"/>
      <c r="AC21" s="15"/>
    </row>
    <row r="22" spans="1:29" ht="15.75" customHeight="1">
      <c r="A22" s="14">
        <v>1997</v>
      </c>
      <c r="B22" s="15" t="s">
        <v>144</v>
      </c>
      <c r="C22" s="14">
        <v>1069</v>
      </c>
      <c r="E22" s="13" t="s">
        <v>2</v>
      </c>
      <c r="G22" s="5" t="s">
        <v>5</v>
      </c>
      <c r="K22" s="15"/>
      <c r="L22" s="15"/>
      <c r="M22" s="15"/>
      <c r="N22" s="15"/>
      <c r="O22" s="15"/>
      <c r="P22" s="15"/>
      <c r="Q22" s="15"/>
      <c r="R22" s="15"/>
      <c r="S22" s="15"/>
      <c r="T22" s="15"/>
      <c r="U22" s="15"/>
      <c r="V22" s="15"/>
      <c r="W22" s="15"/>
      <c r="X22" s="15"/>
      <c r="Y22" s="15"/>
      <c r="Z22" s="15"/>
      <c r="AA22" s="15"/>
      <c r="AB22" s="15"/>
      <c r="AC22" s="15"/>
    </row>
    <row r="23" spans="1:29" ht="15.75" customHeight="1">
      <c r="A23" s="15" t="s">
        <v>157</v>
      </c>
      <c r="B23" s="15" t="s">
        <v>144</v>
      </c>
      <c r="C23" s="14">
        <f>656 + 1097 + 1035 + 1202 + 1235</f>
        <v>5225</v>
      </c>
      <c r="E23" s="13" t="s">
        <v>2</v>
      </c>
      <c r="G23" s="5" t="s">
        <v>5</v>
      </c>
      <c r="K23" s="15"/>
      <c r="L23" s="15"/>
      <c r="M23" s="15"/>
      <c r="N23" s="15"/>
      <c r="O23" s="15"/>
      <c r="P23" s="15"/>
      <c r="Q23" s="15"/>
      <c r="R23" s="15"/>
      <c r="S23" s="15"/>
      <c r="T23" s="15"/>
      <c r="U23" s="15"/>
      <c r="V23" s="15"/>
      <c r="W23" s="15"/>
      <c r="X23" s="15"/>
      <c r="Y23" s="15"/>
      <c r="Z23" s="15"/>
      <c r="AA23" s="15"/>
      <c r="AB23" s="15"/>
      <c r="AC23" s="15"/>
    </row>
    <row r="24" spans="1:29" ht="15.75" customHeight="1">
      <c r="A24" s="16">
        <v>2006</v>
      </c>
      <c r="B24" s="15" t="s">
        <v>144</v>
      </c>
      <c r="C24" s="16">
        <v>1558</v>
      </c>
      <c r="E24" s="13" t="s">
        <v>2</v>
      </c>
      <c r="G24" s="5" t="s">
        <v>5</v>
      </c>
      <c r="K24" s="15"/>
      <c r="L24" s="15"/>
      <c r="M24" s="15"/>
      <c r="N24" s="15"/>
      <c r="O24" s="15"/>
      <c r="P24" s="15"/>
      <c r="Q24" s="15"/>
      <c r="R24" s="15"/>
      <c r="S24" s="15"/>
      <c r="T24" s="15"/>
      <c r="U24" s="15"/>
      <c r="V24" s="15"/>
      <c r="W24" s="15"/>
      <c r="X24" s="15"/>
      <c r="Y24" s="15"/>
      <c r="Z24" s="15"/>
      <c r="AA24" s="15"/>
      <c r="AB24" s="15"/>
      <c r="AC24" s="15"/>
    </row>
    <row r="25" spans="1:29" ht="15.75" customHeight="1">
      <c r="A25" s="16">
        <v>2007</v>
      </c>
      <c r="B25" s="15" t="s">
        <v>144</v>
      </c>
      <c r="C25" s="10">
        <f>250458*E25</f>
        <v>2055.5731594251756</v>
      </c>
      <c r="D25" s="19" t="s">
        <v>158</v>
      </c>
      <c r="E25" s="10">
        <f>1558/189832</f>
        <v>8.2072569429811615E-3</v>
      </c>
      <c r="F25" s="5" t="s">
        <v>159</v>
      </c>
      <c r="G25" s="5" t="s">
        <v>5</v>
      </c>
      <c r="K25" s="15"/>
      <c r="L25" s="15"/>
      <c r="M25" s="15"/>
      <c r="N25" s="15"/>
      <c r="O25" s="15"/>
      <c r="P25" s="15"/>
      <c r="Q25" s="15"/>
      <c r="R25" s="15"/>
      <c r="S25" s="15"/>
      <c r="T25" s="15"/>
      <c r="U25" s="15"/>
      <c r="V25" s="15"/>
      <c r="W25" s="15"/>
      <c r="X25" s="15"/>
      <c r="Y25" s="15"/>
      <c r="Z25" s="15"/>
      <c r="AA25" s="15"/>
      <c r="AB25" s="15"/>
      <c r="AC25" s="15"/>
    </row>
    <row r="26" spans="1:29" ht="15.75" customHeight="1">
      <c r="A26" s="17" t="s">
        <v>160</v>
      </c>
      <c r="B26" s="15" t="s">
        <v>144</v>
      </c>
      <c r="C26" s="14">
        <f>1250 + 2031</f>
        <v>3281</v>
      </c>
      <c r="G26" s="5" t="s">
        <v>5</v>
      </c>
      <c r="K26" s="15"/>
      <c r="L26" s="15"/>
      <c r="M26" s="15"/>
      <c r="N26" s="15"/>
      <c r="O26" s="15"/>
      <c r="P26" s="15"/>
      <c r="Q26" s="15"/>
      <c r="R26" s="15"/>
      <c r="S26" s="15"/>
      <c r="T26" s="15"/>
      <c r="U26" s="15"/>
      <c r="V26" s="15"/>
      <c r="W26" s="15"/>
      <c r="X26" s="15"/>
      <c r="Y26" s="15"/>
      <c r="Z26" s="15"/>
      <c r="AA26" s="15"/>
      <c r="AB26" s="15"/>
      <c r="AC26" s="15"/>
    </row>
    <row r="27" spans="1:29" ht="15.75" customHeight="1">
      <c r="A27" s="16" t="s">
        <v>161</v>
      </c>
      <c r="B27" s="15" t="s">
        <v>144</v>
      </c>
      <c r="C27" s="16">
        <v>40379</v>
      </c>
      <c r="D27" s="5" t="s">
        <v>151</v>
      </c>
      <c r="G27" s="5" t="s">
        <v>5</v>
      </c>
      <c r="K27" s="15"/>
      <c r="L27" s="15"/>
      <c r="M27" s="15"/>
      <c r="N27" s="15"/>
      <c r="O27" s="15"/>
      <c r="P27" s="15"/>
      <c r="Q27" s="15"/>
      <c r="R27" s="15"/>
      <c r="S27" s="15"/>
      <c r="T27" s="15"/>
      <c r="U27" s="15"/>
      <c r="V27" s="15"/>
      <c r="W27" s="15"/>
      <c r="X27" s="15"/>
      <c r="Y27" s="15"/>
      <c r="Z27" s="15"/>
      <c r="AA27" s="15"/>
      <c r="AB27" s="15"/>
      <c r="AC27" s="15"/>
    </row>
    <row r="28" spans="1:29" ht="15.75" customHeight="1">
      <c r="A28" s="16">
        <v>2020</v>
      </c>
      <c r="B28" s="15" t="s">
        <v>144</v>
      </c>
      <c r="C28" s="16" t="s">
        <v>133</v>
      </c>
      <c r="K28" s="15"/>
      <c r="L28" s="15"/>
      <c r="M28" s="15"/>
      <c r="N28" s="15"/>
      <c r="O28" s="15"/>
      <c r="P28" s="15"/>
      <c r="Q28" s="15"/>
      <c r="R28" s="15"/>
      <c r="S28" s="15"/>
      <c r="T28" s="15"/>
      <c r="U28" s="15"/>
      <c r="V28" s="15"/>
      <c r="W28" s="15"/>
      <c r="X28" s="15"/>
      <c r="Y28" s="15"/>
      <c r="Z28" s="15"/>
      <c r="AA28" s="15"/>
      <c r="AB28" s="15"/>
      <c r="AC28" s="15"/>
    </row>
    <row r="29" spans="1:29" ht="15.75" customHeight="1">
      <c r="A29" s="5"/>
    </row>
    <row r="30" spans="1:29" ht="15.75" customHeight="1">
      <c r="A30" s="8" t="s">
        <v>145</v>
      </c>
      <c r="B30" s="9"/>
      <c r="C30" s="9"/>
      <c r="D30" s="9"/>
      <c r="E30" s="9"/>
      <c r="F30" s="9"/>
      <c r="H30" s="9"/>
      <c r="I30" s="9"/>
      <c r="J30" s="9"/>
      <c r="K30" s="9"/>
      <c r="L30" s="9"/>
      <c r="M30" s="9"/>
      <c r="N30" s="9"/>
      <c r="O30" s="9"/>
      <c r="P30" s="9"/>
      <c r="Q30" s="9"/>
      <c r="R30" s="9"/>
      <c r="S30" s="9"/>
      <c r="T30" s="9"/>
      <c r="U30" s="9"/>
      <c r="V30" s="9"/>
      <c r="W30" s="9"/>
      <c r="X30" s="9"/>
      <c r="Y30" s="9"/>
      <c r="Z30" s="9"/>
      <c r="AA30" s="9"/>
      <c r="AB30" s="9"/>
      <c r="AC30" s="9"/>
    </row>
    <row r="31" spans="1:29" ht="15.75" customHeight="1">
      <c r="A31" s="14">
        <v>1985</v>
      </c>
      <c r="B31" s="15" t="s">
        <v>145</v>
      </c>
      <c r="C31" s="14">
        <f>158181*E31</f>
        <v>62.831357233999917</v>
      </c>
      <c r="D31" s="10" t="s">
        <v>146</v>
      </c>
      <c r="E31" s="10">
        <f t="shared" ref="E31:E32" si="0">113/284483</f>
        <v>3.9721178418394067E-4</v>
      </c>
      <c r="G31" s="5" t="s">
        <v>5</v>
      </c>
      <c r="K31" s="15"/>
      <c r="L31" s="15"/>
      <c r="M31" s="15"/>
      <c r="N31" s="15"/>
      <c r="O31" s="15"/>
      <c r="P31" s="15"/>
      <c r="Q31" s="15"/>
      <c r="R31" s="15"/>
      <c r="S31" s="15"/>
      <c r="T31" s="15"/>
      <c r="U31" s="15"/>
      <c r="V31" s="15"/>
      <c r="W31" s="15"/>
      <c r="X31" s="15"/>
      <c r="Y31" s="15"/>
      <c r="Z31" s="15"/>
      <c r="AA31" s="15"/>
      <c r="AB31" s="15"/>
      <c r="AC31" s="15"/>
    </row>
    <row r="32" spans="1:29" ht="15.75" customHeight="1">
      <c r="A32" s="15" t="s">
        <v>162</v>
      </c>
      <c r="B32" s="17" t="s">
        <v>145</v>
      </c>
      <c r="C32" s="14">
        <f>257501*E32</f>
        <v>102.28243163914891</v>
      </c>
      <c r="D32" s="10" t="s">
        <v>163</v>
      </c>
      <c r="E32" s="20">
        <f t="shared" si="0"/>
        <v>3.9721178418394067E-4</v>
      </c>
      <c r="G32" s="5" t="s">
        <v>5</v>
      </c>
      <c r="K32" s="21"/>
      <c r="L32" s="21"/>
      <c r="M32" s="21"/>
      <c r="N32" s="21"/>
      <c r="O32" s="21"/>
      <c r="P32" s="21"/>
      <c r="Q32" s="21"/>
      <c r="R32" s="21"/>
      <c r="S32" s="21"/>
      <c r="T32" s="21"/>
      <c r="U32" s="21"/>
      <c r="V32" s="21"/>
      <c r="W32" s="21"/>
      <c r="X32" s="15"/>
      <c r="Y32" s="15"/>
      <c r="Z32" s="15"/>
      <c r="AA32" s="15"/>
      <c r="AB32" s="15"/>
      <c r="AC32" s="15"/>
    </row>
    <row r="33" spans="1:29" ht="15.75" customHeight="1">
      <c r="A33" s="14">
        <v>1995</v>
      </c>
      <c r="B33" s="15" t="s">
        <v>145</v>
      </c>
      <c r="C33" s="14">
        <v>113</v>
      </c>
      <c r="E33" s="5" t="s">
        <v>2</v>
      </c>
      <c r="G33" s="5" t="s">
        <v>5</v>
      </c>
      <c r="K33" s="15"/>
      <c r="L33" s="15"/>
      <c r="M33" s="15"/>
      <c r="N33" s="15"/>
      <c r="O33" s="15"/>
      <c r="P33" s="15"/>
      <c r="Q33" s="15"/>
      <c r="R33" s="15"/>
      <c r="S33" s="15"/>
      <c r="T33" s="15"/>
      <c r="U33" s="15"/>
      <c r="V33" s="15"/>
      <c r="W33" s="15"/>
      <c r="X33" s="15"/>
      <c r="Y33" s="15"/>
      <c r="Z33" s="15"/>
      <c r="AA33" s="15"/>
      <c r="AB33" s="15"/>
      <c r="AC33" s="15"/>
    </row>
    <row r="34" spans="1:29" ht="15.75" customHeight="1">
      <c r="A34" s="14">
        <v>1997</v>
      </c>
      <c r="B34" s="15" t="s">
        <v>145</v>
      </c>
      <c r="C34" s="14">
        <v>107</v>
      </c>
      <c r="E34" s="5" t="s">
        <v>2</v>
      </c>
      <c r="G34" s="5" t="s">
        <v>5</v>
      </c>
      <c r="K34" s="15"/>
      <c r="L34" s="15"/>
      <c r="M34" s="15"/>
      <c r="N34" s="15"/>
      <c r="O34" s="15"/>
      <c r="P34" s="15"/>
      <c r="Q34" s="15"/>
      <c r="R34" s="15"/>
      <c r="S34" s="15"/>
      <c r="T34" s="15"/>
      <c r="U34" s="15"/>
      <c r="V34" s="15"/>
      <c r="W34" s="15"/>
      <c r="X34" s="15"/>
      <c r="Y34" s="15"/>
      <c r="Z34" s="15"/>
      <c r="AA34" s="15"/>
      <c r="AB34" s="15"/>
      <c r="AC34" s="15"/>
    </row>
    <row r="35" spans="1:29" ht="15.75" customHeight="1">
      <c r="A35" s="15" t="s">
        <v>157</v>
      </c>
      <c r="B35" s="15" t="s">
        <v>145</v>
      </c>
      <c r="C35" s="14">
        <f>92 + 138 + 225 + 164 + 71</f>
        <v>690</v>
      </c>
      <c r="E35" s="5" t="s">
        <v>2</v>
      </c>
      <c r="G35" s="5" t="s">
        <v>5</v>
      </c>
      <c r="K35" s="15"/>
      <c r="L35" s="15"/>
      <c r="M35" s="15"/>
      <c r="N35" s="15"/>
      <c r="O35" s="15"/>
      <c r="P35" s="15"/>
      <c r="Q35" s="15"/>
      <c r="R35" s="15"/>
      <c r="S35" s="15"/>
      <c r="T35" s="15"/>
      <c r="U35" s="15"/>
      <c r="V35" s="15"/>
      <c r="W35" s="15"/>
      <c r="X35" s="15"/>
      <c r="Y35" s="15"/>
      <c r="Z35" s="15"/>
      <c r="AA35" s="15"/>
      <c r="AB35" s="15"/>
      <c r="AC35" s="15"/>
    </row>
    <row r="36" spans="1:29" ht="15.75" customHeight="1">
      <c r="A36" s="15" t="s">
        <v>164</v>
      </c>
      <c r="B36" s="15" t="s">
        <v>145</v>
      </c>
      <c r="C36" s="14">
        <f>194 + 317 + 306 + 598</f>
        <v>1415</v>
      </c>
      <c r="E36" s="5" t="s">
        <v>2</v>
      </c>
      <c r="G36" s="5" t="s">
        <v>5</v>
      </c>
      <c r="K36" s="15"/>
      <c r="L36" s="15"/>
      <c r="M36" s="15"/>
      <c r="N36" s="15"/>
      <c r="O36" s="15"/>
      <c r="P36" s="15"/>
      <c r="Q36" s="15"/>
      <c r="R36" s="15"/>
      <c r="S36" s="15"/>
      <c r="T36" s="15"/>
      <c r="U36" s="15"/>
      <c r="V36" s="15"/>
      <c r="W36" s="15"/>
      <c r="X36" s="15"/>
      <c r="Y36" s="15"/>
      <c r="Z36" s="15"/>
      <c r="AA36" s="15"/>
      <c r="AB36" s="15"/>
      <c r="AC36" s="15"/>
    </row>
    <row r="37" spans="1:29" ht="15.75" customHeight="1">
      <c r="A37" s="15" t="s">
        <v>165</v>
      </c>
      <c r="B37" s="15" t="s">
        <v>145</v>
      </c>
      <c r="C37" s="14">
        <f>763 + 784 + 11318 + 683</f>
        <v>13548</v>
      </c>
      <c r="E37" s="5" t="s">
        <v>2</v>
      </c>
      <c r="G37" s="5" t="s">
        <v>5</v>
      </c>
      <c r="K37" s="15"/>
      <c r="L37" s="15"/>
      <c r="M37" s="15"/>
      <c r="N37" s="15"/>
      <c r="O37" s="15"/>
      <c r="P37" s="15"/>
      <c r="Q37" s="15"/>
      <c r="R37" s="15"/>
      <c r="S37" s="15"/>
      <c r="T37" s="15"/>
      <c r="U37" s="15"/>
      <c r="V37" s="15"/>
      <c r="W37" s="15"/>
      <c r="X37" s="15"/>
      <c r="Y37" s="15"/>
      <c r="Z37" s="15"/>
      <c r="AA37" s="15"/>
      <c r="AB37" s="15"/>
      <c r="AC37" s="15"/>
    </row>
    <row r="38" spans="1:29" ht="15.75" customHeight="1">
      <c r="A38" s="15" t="s">
        <v>166</v>
      </c>
      <c r="B38" s="15" t="s">
        <v>145</v>
      </c>
      <c r="C38" s="14">
        <f>340 + 1535 + 991</f>
        <v>2866</v>
      </c>
      <c r="E38" s="5" t="s">
        <v>2</v>
      </c>
      <c r="G38" s="5" t="s">
        <v>5</v>
      </c>
      <c r="K38" s="15"/>
      <c r="L38" s="15"/>
      <c r="M38" s="15"/>
      <c r="N38" s="15"/>
      <c r="O38" s="15"/>
      <c r="P38" s="15"/>
      <c r="Q38" s="15"/>
      <c r="R38" s="15"/>
      <c r="S38" s="15"/>
      <c r="T38" s="15"/>
      <c r="U38" s="15"/>
      <c r="V38" s="15"/>
      <c r="W38" s="15"/>
      <c r="X38" s="15"/>
      <c r="Y38" s="15"/>
      <c r="Z38" s="15"/>
      <c r="AA38" s="15"/>
      <c r="AB38" s="15"/>
      <c r="AC38" s="15"/>
    </row>
    <row r="39" spans="1:29" ht="15.75" customHeight="1">
      <c r="A39" s="5"/>
    </row>
    <row r="40" spans="1:29" ht="15.75" customHeight="1">
      <c r="A40" s="8" t="s">
        <v>147</v>
      </c>
      <c r="B40" s="9"/>
      <c r="C40" s="9"/>
      <c r="D40" s="9"/>
      <c r="E40" s="9"/>
      <c r="F40" s="9"/>
      <c r="H40" s="9"/>
      <c r="I40" s="9"/>
      <c r="J40" s="9"/>
      <c r="K40" s="9"/>
      <c r="L40" s="9"/>
      <c r="M40" s="9"/>
      <c r="N40" s="9"/>
      <c r="O40" s="9"/>
      <c r="P40" s="9"/>
      <c r="Q40" s="9"/>
      <c r="R40" s="9"/>
      <c r="S40" s="9"/>
      <c r="T40" s="9"/>
      <c r="U40" s="9"/>
      <c r="V40" s="9"/>
      <c r="W40" s="9"/>
      <c r="X40" s="9"/>
      <c r="Y40" s="9"/>
      <c r="Z40" s="9"/>
      <c r="AA40" s="9"/>
      <c r="AB40" s="9"/>
      <c r="AC40" s="9"/>
    </row>
    <row r="41" spans="1:29" ht="15.75" customHeight="1">
      <c r="A41" s="16">
        <v>1985</v>
      </c>
      <c r="B41" s="15" t="s">
        <v>147</v>
      </c>
      <c r="C41" s="17">
        <v>460</v>
      </c>
      <c r="D41" s="5" t="s">
        <v>148</v>
      </c>
      <c r="G41" s="5" t="s">
        <v>5</v>
      </c>
      <c r="K41" s="15"/>
      <c r="L41" s="15"/>
      <c r="M41" s="15"/>
      <c r="N41" s="15"/>
      <c r="O41" s="15"/>
      <c r="P41" s="15"/>
      <c r="Q41" s="15"/>
      <c r="R41" s="15"/>
      <c r="S41" s="15"/>
      <c r="T41" s="15"/>
      <c r="U41" s="15"/>
      <c r="V41" s="15"/>
      <c r="W41" s="15"/>
      <c r="X41" s="15"/>
      <c r="Y41" s="15"/>
      <c r="Z41" s="15"/>
      <c r="AA41" s="15"/>
      <c r="AB41" s="15"/>
      <c r="AC41" s="15"/>
    </row>
    <row r="42" spans="1:29" ht="15.75" customHeight="1">
      <c r="A42" s="16" t="s">
        <v>156</v>
      </c>
      <c r="B42" s="17" t="s">
        <v>133</v>
      </c>
      <c r="C42" s="14">
        <f>586.49 + 597.87 + 594.39 + 569.43 + 875.69</f>
        <v>3223.87</v>
      </c>
      <c r="D42" s="5" t="s">
        <v>151</v>
      </c>
      <c r="G42" s="11" t="s">
        <v>40</v>
      </c>
      <c r="K42" s="15"/>
      <c r="L42" s="15"/>
      <c r="M42" s="15"/>
      <c r="N42" s="15"/>
      <c r="O42" s="15"/>
      <c r="P42" s="15"/>
      <c r="Q42" s="15"/>
      <c r="R42" s="15"/>
      <c r="S42" s="15"/>
      <c r="T42" s="15"/>
      <c r="U42" s="15"/>
      <c r="V42" s="15"/>
      <c r="W42" s="15"/>
      <c r="X42" s="15"/>
      <c r="Y42" s="15"/>
      <c r="Z42" s="15"/>
      <c r="AA42" s="15"/>
      <c r="AB42" s="15"/>
      <c r="AC42" s="15"/>
    </row>
    <row r="43" spans="1:29" ht="13">
      <c r="A43" s="14">
        <v>1997</v>
      </c>
      <c r="B43" s="15" t="s">
        <v>147</v>
      </c>
      <c r="C43" s="14">
        <v>787</v>
      </c>
      <c r="G43" s="5" t="s">
        <v>5</v>
      </c>
      <c r="K43" s="15"/>
      <c r="L43" s="15"/>
      <c r="M43" s="15"/>
      <c r="N43" s="15"/>
      <c r="O43" s="15"/>
      <c r="P43" s="15"/>
      <c r="Q43" s="15"/>
      <c r="R43" s="15"/>
      <c r="S43" s="15"/>
      <c r="T43" s="15"/>
      <c r="U43" s="15"/>
      <c r="V43" s="15"/>
      <c r="W43" s="15"/>
      <c r="X43" s="15"/>
      <c r="Y43" s="15"/>
      <c r="Z43" s="15"/>
      <c r="AA43" s="15"/>
      <c r="AB43" s="15"/>
      <c r="AC43" s="15"/>
    </row>
    <row r="44" spans="1:29" ht="13">
      <c r="A44" s="16" t="s">
        <v>167</v>
      </c>
      <c r="B44" s="15" t="s">
        <v>147</v>
      </c>
      <c r="C44" s="14">
        <f>618.78 + 648.28 + 636.88 + 626.14</f>
        <v>2530.08</v>
      </c>
      <c r="D44" s="5" t="s">
        <v>151</v>
      </c>
      <c r="G44" s="5" t="s">
        <v>5</v>
      </c>
      <c r="K44" s="15"/>
      <c r="L44" s="15"/>
      <c r="M44" s="15"/>
      <c r="N44" s="15"/>
      <c r="O44" s="15"/>
      <c r="P44" s="15"/>
      <c r="Q44" s="15"/>
      <c r="R44" s="15"/>
      <c r="S44" s="15"/>
      <c r="T44" s="15"/>
      <c r="U44" s="15"/>
      <c r="V44" s="15"/>
      <c r="W44" s="15"/>
      <c r="X44" s="15"/>
      <c r="Y44" s="15"/>
      <c r="Z44" s="15"/>
      <c r="AA44" s="15"/>
      <c r="AB44" s="15"/>
      <c r="AC44" s="15"/>
    </row>
    <row r="45" spans="1:29" ht="13">
      <c r="A45" s="14">
        <v>2004</v>
      </c>
      <c r="B45" s="15" t="s">
        <v>147</v>
      </c>
      <c r="C45" s="14">
        <v>571</v>
      </c>
      <c r="G45" s="5" t="s">
        <v>5</v>
      </c>
      <c r="K45" s="15"/>
      <c r="L45" s="15"/>
      <c r="M45" s="15"/>
      <c r="N45" s="15"/>
      <c r="O45" s="15"/>
      <c r="P45" s="15"/>
      <c r="Q45" s="15"/>
      <c r="R45" s="15"/>
      <c r="S45" s="15"/>
      <c r="T45" s="15"/>
      <c r="U45" s="15"/>
      <c r="V45" s="15"/>
      <c r="W45" s="15"/>
      <c r="X45" s="15"/>
      <c r="Y45" s="15"/>
      <c r="Z45" s="15"/>
      <c r="AA45" s="15"/>
      <c r="AB45" s="15"/>
      <c r="AC45" s="15"/>
    </row>
    <row r="46" spans="1:29" ht="13">
      <c r="A46" s="14">
        <v>2006</v>
      </c>
      <c r="B46" s="15" t="s">
        <v>147</v>
      </c>
      <c r="C46" s="14">
        <v>694</v>
      </c>
      <c r="G46" s="5" t="s">
        <v>5</v>
      </c>
      <c r="K46" s="15"/>
      <c r="L46" s="15"/>
      <c r="M46" s="15"/>
      <c r="N46" s="15"/>
      <c r="O46" s="15"/>
      <c r="P46" s="15"/>
      <c r="Q46" s="15"/>
      <c r="R46" s="15"/>
      <c r="S46" s="15"/>
      <c r="T46" s="15"/>
      <c r="U46" s="15"/>
      <c r="V46" s="15"/>
      <c r="W46" s="15"/>
      <c r="X46" s="15"/>
      <c r="Y46" s="15"/>
      <c r="Z46" s="15"/>
      <c r="AA46" s="15"/>
      <c r="AB46" s="15"/>
      <c r="AC46" s="15"/>
    </row>
    <row r="47" spans="1:29" ht="13">
      <c r="A47" s="16" t="s">
        <v>168</v>
      </c>
      <c r="B47" s="15" t="s">
        <v>147</v>
      </c>
      <c r="C47" s="14">
        <f>649.49 + 893.33</f>
        <v>1542.8200000000002</v>
      </c>
      <c r="G47" s="5" t="s">
        <v>5</v>
      </c>
      <c r="K47" s="15"/>
      <c r="L47" s="15"/>
      <c r="M47" s="15"/>
      <c r="N47" s="15"/>
      <c r="O47" s="15"/>
      <c r="P47" s="15"/>
      <c r="Q47" s="15"/>
      <c r="R47" s="15"/>
      <c r="S47" s="15"/>
      <c r="T47" s="15"/>
      <c r="U47" s="15"/>
      <c r="V47" s="15"/>
      <c r="W47" s="15"/>
      <c r="X47" s="15"/>
      <c r="Y47" s="15"/>
      <c r="Z47" s="15"/>
      <c r="AA47" s="15"/>
      <c r="AB47" s="15"/>
      <c r="AC47" s="15"/>
    </row>
    <row r="48" spans="1:29" ht="13">
      <c r="A48" s="14">
        <v>2009</v>
      </c>
      <c r="B48" s="15" t="s">
        <v>147</v>
      </c>
      <c r="C48" s="14">
        <v>4</v>
      </c>
      <c r="G48" s="5" t="s">
        <v>5</v>
      </c>
      <c r="K48" s="15"/>
      <c r="L48" s="15"/>
      <c r="M48" s="15"/>
      <c r="N48" s="15"/>
      <c r="O48" s="15"/>
      <c r="P48" s="15"/>
      <c r="Q48" s="15"/>
      <c r="R48" s="15"/>
      <c r="S48" s="15"/>
      <c r="T48" s="15"/>
      <c r="U48" s="15"/>
      <c r="V48" s="15"/>
      <c r="W48" s="15"/>
      <c r="X48" s="15"/>
      <c r="Y48" s="15"/>
      <c r="Z48" s="15"/>
      <c r="AA48" s="15"/>
      <c r="AB48" s="15"/>
      <c r="AC48" s="15"/>
    </row>
    <row r="49" spans="1:7" ht="13">
      <c r="A49" s="5" t="s">
        <v>165</v>
      </c>
      <c r="B49" s="15" t="s">
        <v>147</v>
      </c>
      <c r="C49" s="10">
        <f>666.01 + 670.09 + 719.53 + 745.65</f>
        <v>2801.28</v>
      </c>
      <c r="D49" s="5" t="s">
        <v>151</v>
      </c>
      <c r="G49" s="5" t="s">
        <v>5</v>
      </c>
    </row>
    <row r="50" spans="1:7" ht="13">
      <c r="A50" s="5">
        <v>2018</v>
      </c>
      <c r="B50" s="15" t="s">
        <v>147</v>
      </c>
      <c r="C50" s="10">
        <f>135</f>
        <v>135</v>
      </c>
      <c r="G50" s="5" t="s">
        <v>5</v>
      </c>
    </row>
    <row r="51" spans="1:7" ht="13">
      <c r="A51" s="5">
        <v>2019</v>
      </c>
      <c r="B51" s="15" t="s">
        <v>147</v>
      </c>
      <c r="C51" s="10">
        <f>70 + 174 + 1122 + 43 + 2</f>
        <v>1411</v>
      </c>
      <c r="G51" s="5" t="s">
        <v>169</v>
      </c>
    </row>
    <row r="52" spans="1:7" ht="13">
      <c r="A52" s="5">
        <v>2020</v>
      </c>
      <c r="B52" s="15" t="s">
        <v>147</v>
      </c>
      <c r="C52" s="10">
        <f>14 + 12 + 133 + 271</f>
        <v>430</v>
      </c>
    </row>
    <row r="54" spans="1:7" ht="13">
      <c r="A54" s="8" t="s">
        <v>170</v>
      </c>
      <c r="B54" s="5" t="s">
        <v>171</v>
      </c>
    </row>
    <row r="55" spans="1:7" ht="14">
      <c r="A55" s="22" t="s">
        <v>172</v>
      </c>
      <c r="B55" s="5" t="s">
        <v>170</v>
      </c>
      <c r="C55" s="5">
        <v>388</v>
      </c>
      <c r="D55" s="5" t="s">
        <v>173</v>
      </c>
      <c r="G55" s="11" t="s">
        <v>40</v>
      </c>
    </row>
    <row r="57" spans="1:7" ht="13">
      <c r="A57" s="8" t="s">
        <v>174</v>
      </c>
      <c r="C57" s="10">
        <f>SUM(C3:C55)</f>
        <v>1663660.0101575549</v>
      </c>
    </row>
  </sheetData>
  <hyperlinks>
    <hyperlink ref="G42" r:id="rId1" xr:uid="{00000000-0004-0000-0700-000000000000}"/>
    <hyperlink ref="G55" r:id="rId2" xr:uid="{00000000-0004-0000-07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D4"/>
  <sheetViews>
    <sheetView workbookViewId="0"/>
  </sheetViews>
  <sheetFormatPr baseColWidth="10" defaultColWidth="14.5" defaultRowHeight="15.75" customHeight="1"/>
  <sheetData>
    <row r="2" spans="1:4" ht="16">
      <c r="A2" s="5" t="s">
        <v>3</v>
      </c>
      <c r="B2" s="5" t="s">
        <v>175</v>
      </c>
      <c r="C2" s="3">
        <f>9 + 2 + 4 + 8 + 6 + 9 + 2 + 8 + 4 + 4 + 5 + 4 + 10 + 4 + 4</f>
        <v>83</v>
      </c>
    </row>
    <row r="3" spans="1:4" ht="15.75" customHeight="1">
      <c r="A3" s="5" t="s">
        <v>3</v>
      </c>
      <c r="B3" s="5" t="s">
        <v>176</v>
      </c>
      <c r="C3" s="10">
        <f>(48 + 32 + 24 + 22 + 23)*0.38</f>
        <v>56.62</v>
      </c>
      <c r="D3" s="5" t="s">
        <v>177</v>
      </c>
    </row>
    <row r="4" spans="1:4" ht="15.75" customHeight="1">
      <c r="C4" s="10">
        <f>ROUND(SUM(C2:C3),0)</f>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4"/>
  <sheetViews>
    <sheetView workbookViewId="0"/>
  </sheetViews>
  <sheetFormatPr baseColWidth="10" defaultColWidth="14.5" defaultRowHeight="15.75" customHeight="1"/>
  <sheetData>
    <row r="1" spans="1:5" ht="15.75" customHeight="1">
      <c r="A1" s="5" t="s">
        <v>58</v>
      </c>
      <c r="B1" s="5" t="s">
        <v>59</v>
      </c>
      <c r="C1" s="5" t="s">
        <v>60</v>
      </c>
      <c r="D1" s="5" t="s">
        <v>0</v>
      </c>
      <c r="E1" s="5" t="s">
        <v>61</v>
      </c>
    </row>
    <row r="2" spans="1:5" ht="15.75" customHeight="1">
      <c r="A2" s="5" t="s">
        <v>178</v>
      </c>
      <c r="D2" s="5"/>
      <c r="E2" s="5"/>
    </row>
    <row r="3" spans="1:5" ht="15.75" customHeight="1">
      <c r="A3" s="5" t="s">
        <v>8</v>
      </c>
      <c r="B3" s="5">
        <v>1962</v>
      </c>
      <c r="C3" s="5">
        <v>20</v>
      </c>
      <c r="D3" s="5"/>
      <c r="E3" s="5" t="s">
        <v>178</v>
      </c>
    </row>
    <row r="4" spans="1:5" ht="15.75" customHeight="1">
      <c r="A4" s="5" t="s">
        <v>31</v>
      </c>
      <c r="B4" s="5">
        <v>1962</v>
      </c>
      <c r="C4" s="5">
        <v>156</v>
      </c>
      <c r="D4" s="5"/>
      <c r="E4" s="5" t="s">
        <v>178</v>
      </c>
    </row>
    <row r="5" spans="1:5" ht="15.75" customHeight="1">
      <c r="A5" s="5" t="s">
        <v>179</v>
      </c>
      <c r="B5" s="5">
        <v>1969</v>
      </c>
      <c r="C5" s="5">
        <v>310</v>
      </c>
      <c r="D5" s="5"/>
      <c r="E5" s="5" t="s">
        <v>178</v>
      </c>
    </row>
    <row r="6" spans="1:5" ht="15.75" customHeight="1">
      <c r="A6" s="5" t="s">
        <v>180</v>
      </c>
      <c r="B6" s="5">
        <v>1969</v>
      </c>
      <c r="C6" s="5">
        <v>93</v>
      </c>
      <c r="D6" s="5"/>
      <c r="E6" s="5" t="s">
        <v>178</v>
      </c>
    </row>
    <row r="7" spans="1:5" ht="15.75" customHeight="1">
      <c r="A7" s="5" t="s">
        <v>3</v>
      </c>
      <c r="B7" s="5">
        <v>1971</v>
      </c>
      <c r="C7" s="5">
        <v>110</v>
      </c>
      <c r="D7" s="5"/>
      <c r="E7" s="5" t="s">
        <v>178</v>
      </c>
    </row>
    <row r="8" spans="1:5" ht="15.75" customHeight="1">
      <c r="A8" s="5" t="s">
        <v>31</v>
      </c>
      <c r="B8" s="5">
        <v>1973</v>
      </c>
      <c r="C8" s="5">
        <v>2</v>
      </c>
      <c r="D8" s="5"/>
      <c r="E8" s="5" t="s">
        <v>178</v>
      </c>
    </row>
    <row r="9" spans="1:5" ht="15.75" customHeight="1">
      <c r="A9" s="5" t="s">
        <v>31</v>
      </c>
      <c r="B9" s="5">
        <v>1993</v>
      </c>
      <c r="C9" s="10">
        <f>55*0.00195</f>
        <v>0.10725</v>
      </c>
      <c r="D9" s="5" t="s">
        <v>181</v>
      </c>
      <c r="E9" s="5" t="s">
        <v>178</v>
      </c>
    </row>
    <row r="10" spans="1:5" ht="15.75" customHeight="1">
      <c r="A10" s="5" t="s">
        <v>182</v>
      </c>
      <c r="B10" s="5">
        <v>1995</v>
      </c>
      <c r="C10" s="5">
        <v>300</v>
      </c>
      <c r="D10" s="5"/>
      <c r="E10" s="5" t="s">
        <v>178</v>
      </c>
    </row>
    <row r="11" spans="1:5" ht="15.75" customHeight="1">
      <c r="A11" s="5" t="s">
        <v>8</v>
      </c>
      <c r="B11" s="5" t="s">
        <v>111</v>
      </c>
      <c r="C11" s="10">
        <f>ROUND((9 + 5 + 1 + 5 + 1 + 9 + 5 + 1 + 2 + 6 + 4 + 23 + 3)*0.00195, 0) +20</f>
        <v>20</v>
      </c>
      <c r="D11" s="5"/>
      <c r="E11" s="5" t="s">
        <v>5</v>
      </c>
    </row>
    <row r="12" spans="1:5" ht="15.75" customHeight="1">
      <c r="A12" s="5" t="s">
        <v>52</v>
      </c>
      <c r="B12" s="5" t="s">
        <v>183</v>
      </c>
      <c r="C12" s="10">
        <f>(1 + 1 + 8 + 19 + 1)*0.00195</f>
        <v>5.8499999999999996E-2</v>
      </c>
      <c r="D12" s="5" t="s">
        <v>184</v>
      </c>
      <c r="E12" s="5" t="s">
        <v>5</v>
      </c>
    </row>
    <row r="13" spans="1:5" ht="15.75" customHeight="1">
      <c r="A13" s="5" t="s">
        <v>22</v>
      </c>
      <c r="B13" s="5" t="s">
        <v>183</v>
      </c>
      <c r="C13" s="5">
        <v>2</v>
      </c>
      <c r="D13" s="5"/>
      <c r="E13" s="5" t="s">
        <v>5</v>
      </c>
    </row>
    <row r="14" spans="1:5" ht="15.75" customHeight="1">
      <c r="A14" s="5"/>
      <c r="C14" s="10">
        <f>ROUND(SUM(C3:C13), 0)</f>
        <v>1013</v>
      </c>
      <c r="D14" s="5"/>
      <c r="E14"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26"/>
  <sheetViews>
    <sheetView workbookViewId="0"/>
  </sheetViews>
  <sheetFormatPr baseColWidth="10" defaultColWidth="14.5" defaultRowHeight="15.75" customHeight="1"/>
  <sheetData>
    <row r="1" spans="1:4" ht="15.75" customHeight="1">
      <c r="A1" s="5" t="s">
        <v>58</v>
      </c>
      <c r="B1" s="5" t="s">
        <v>60</v>
      </c>
      <c r="C1" s="5" t="s">
        <v>0</v>
      </c>
      <c r="D1" s="5" t="s">
        <v>185</v>
      </c>
    </row>
    <row r="2" spans="1:4" ht="15.75" customHeight="1">
      <c r="A2" s="5" t="s">
        <v>186</v>
      </c>
      <c r="B2" s="10">
        <f>3+29 + 3 + 2 + 2 +5 + 4 + 3 + 3 + 4 + 1 + 24</f>
        <v>83</v>
      </c>
      <c r="D2" s="5" t="s">
        <v>5</v>
      </c>
    </row>
    <row r="3" spans="1:4" ht="15.75" customHeight="1">
      <c r="A3" s="5" t="s">
        <v>187</v>
      </c>
      <c r="B3" s="5">
        <v>1</v>
      </c>
      <c r="C3" s="5" t="s">
        <v>188</v>
      </c>
      <c r="D3" s="5" t="s">
        <v>5</v>
      </c>
    </row>
    <row r="4" spans="1:4" ht="15.75" customHeight="1">
      <c r="A4" s="5" t="s">
        <v>189</v>
      </c>
      <c r="B4" s="5">
        <v>4</v>
      </c>
      <c r="D4" s="5" t="s">
        <v>5</v>
      </c>
    </row>
    <row r="5" spans="1:4" ht="15.75" customHeight="1">
      <c r="A5" s="5" t="s">
        <v>190</v>
      </c>
      <c r="B5" s="5">
        <v>7</v>
      </c>
      <c r="D5" s="5" t="s">
        <v>5</v>
      </c>
    </row>
    <row r="6" spans="1:4" ht="15.75" customHeight="1">
      <c r="A6" s="5" t="s">
        <v>191</v>
      </c>
      <c r="B6" s="10">
        <f>8 +14 + 43 + 8+1</f>
        <v>74</v>
      </c>
      <c r="D6" s="5" t="s">
        <v>5</v>
      </c>
    </row>
    <row r="7" spans="1:4" ht="15.75" customHeight="1">
      <c r="A7" s="5" t="s">
        <v>14</v>
      </c>
      <c r="B7" s="5">
        <v>1</v>
      </c>
      <c r="D7" s="5" t="s">
        <v>5</v>
      </c>
    </row>
    <row r="8" spans="1:4" ht="15.75" customHeight="1">
      <c r="A8" s="5" t="s">
        <v>54</v>
      </c>
      <c r="B8" s="5">
        <v>55</v>
      </c>
      <c r="D8" s="5" t="s">
        <v>5</v>
      </c>
    </row>
    <row r="9" spans="1:4" ht="15.75" customHeight="1">
      <c r="A9" s="5" t="s">
        <v>192</v>
      </c>
      <c r="B9" s="10">
        <f>23 + 8 + 9 + 12 + 12 + 1</f>
        <v>65</v>
      </c>
      <c r="D9" s="5" t="s">
        <v>5</v>
      </c>
    </row>
    <row r="10" spans="1:4" ht="15.75" customHeight="1">
      <c r="A10" s="5" t="s">
        <v>51</v>
      </c>
      <c r="B10" s="5">
        <v>1</v>
      </c>
      <c r="D10" s="5" t="s">
        <v>5</v>
      </c>
    </row>
    <row r="11" spans="1:4" ht="15.75" customHeight="1">
      <c r="A11" s="5" t="s">
        <v>193</v>
      </c>
      <c r="B11" s="10">
        <f>40+36+6</f>
        <v>82</v>
      </c>
      <c r="D11" s="5" t="s">
        <v>5</v>
      </c>
    </row>
    <row r="12" spans="1:4" ht="15.75" customHeight="1">
      <c r="A12" s="5" t="s">
        <v>194</v>
      </c>
      <c r="B12" s="10">
        <f>(115 + 2 + 10 + 521 + 163 + 455 + 209 + 27 + 41 + 134 + 76 + 352)*0.046</f>
        <v>96.83</v>
      </c>
      <c r="C12" s="5" t="s">
        <v>195</v>
      </c>
      <c r="D12" s="5" t="s">
        <v>5</v>
      </c>
    </row>
    <row r="13" spans="1:4" ht="15.75" customHeight="1">
      <c r="A13" s="5" t="s">
        <v>196</v>
      </c>
      <c r="B13" s="5">
        <v>7</v>
      </c>
      <c r="C13" s="5" t="s">
        <v>197</v>
      </c>
      <c r="D13" s="5" t="s">
        <v>5</v>
      </c>
    </row>
    <row r="14" spans="1:4" ht="15.75" customHeight="1">
      <c r="A14" s="5" t="s">
        <v>198</v>
      </c>
      <c r="B14" s="5">
        <v>1</v>
      </c>
      <c r="D14" s="5" t="s">
        <v>5</v>
      </c>
    </row>
    <row r="15" spans="1:4" ht="15.75" customHeight="1">
      <c r="A15" s="5" t="s">
        <v>199</v>
      </c>
      <c r="B15" s="5">
        <v>49</v>
      </c>
      <c r="D15" s="5" t="s">
        <v>5</v>
      </c>
    </row>
    <row r="16" spans="1:4" ht="15.75" customHeight="1">
      <c r="A16" s="5" t="s">
        <v>200</v>
      </c>
      <c r="B16" s="5">
        <v>4</v>
      </c>
      <c r="D16" s="5" t="s">
        <v>5</v>
      </c>
    </row>
    <row r="17" spans="1:4" ht="15.75" customHeight="1">
      <c r="A17" s="5" t="s">
        <v>201</v>
      </c>
      <c r="B17" s="5">
        <v>5</v>
      </c>
      <c r="D17" s="5" t="s">
        <v>5</v>
      </c>
    </row>
    <row r="18" spans="1:4" ht="15.75" customHeight="1">
      <c r="A18" s="5" t="s">
        <v>202</v>
      </c>
      <c r="B18" s="5">
        <v>1</v>
      </c>
      <c r="D18" s="5" t="s">
        <v>5</v>
      </c>
    </row>
    <row r="19" spans="1:4" ht="16">
      <c r="A19" s="5" t="s">
        <v>3</v>
      </c>
      <c r="B19" s="2">
        <v>2390</v>
      </c>
      <c r="D19" s="5" t="s">
        <v>5</v>
      </c>
    </row>
    <row r="20" spans="1:4" ht="15.75" customHeight="1">
      <c r="A20" s="5" t="s">
        <v>62</v>
      </c>
      <c r="B20" s="10">
        <f>35 + 9 + 18 + 11 + 6 + 5 + 51 + 23</f>
        <v>158</v>
      </c>
      <c r="C20" s="5" t="s">
        <v>203</v>
      </c>
      <c r="D20" s="5" t="s">
        <v>5</v>
      </c>
    </row>
    <row r="21" spans="1:4" ht="15.75" customHeight="1">
      <c r="A21" s="5" t="s">
        <v>204</v>
      </c>
      <c r="B21" s="5">
        <v>17</v>
      </c>
      <c r="D21" s="5" t="s">
        <v>5</v>
      </c>
    </row>
    <row r="22" spans="1:4" ht="15.75" customHeight="1">
      <c r="A22" s="5" t="s">
        <v>205</v>
      </c>
      <c r="B22" s="5">
        <v>2</v>
      </c>
      <c r="D22" s="5" t="s">
        <v>5</v>
      </c>
    </row>
    <row r="23" spans="1:4" ht="15.75" customHeight="1">
      <c r="A23" s="5" t="s">
        <v>43</v>
      </c>
      <c r="B23" s="5">
        <v>5</v>
      </c>
      <c r="D23" s="5" t="s">
        <v>5</v>
      </c>
    </row>
    <row r="24" spans="1:4" ht="15.75" customHeight="1">
      <c r="A24" s="5" t="s">
        <v>206</v>
      </c>
      <c r="B24" s="10">
        <f>2 + 25 + 1</f>
        <v>28</v>
      </c>
      <c r="D24" s="5" t="s">
        <v>5</v>
      </c>
    </row>
    <row r="25" spans="1:4" ht="15.75" customHeight="1">
      <c r="A25" s="5" t="s">
        <v>18</v>
      </c>
      <c r="B25" s="5">
        <f>1 + 1</f>
        <v>2</v>
      </c>
      <c r="C25" s="5" t="s">
        <v>207</v>
      </c>
      <c r="D25" s="5" t="s">
        <v>208</v>
      </c>
    </row>
    <row r="26" spans="1:4" ht="15.75" customHeight="1">
      <c r="B26" s="10">
        <f>ROUND(SUM(B2:B25),0)</f>
        <v>3139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rodent-borne_hantaviruses</vt:lpstr>
      <vt:lpstr>dobrava</vt:lpstr>
      <vt:lpstr>powassan</vt:lpstr>
      <vt:lpstr>omsk_hemorrhagic_fever</vt:lpstr>
      <vt:lpstr>dengue</vt:lpstr>
      <vt:lpstr>dengue_old</vt:lpstr>
      <vt:lpstr>sin_nombre</vt:lpstr>
      <vt:lpstr>venezuelan_equine_encephalitis</vt:lpstr>
      <vt:lpstr>west_nile</vt:lpstr>
      <vt:lpstr>saint_louis_encephalitis</vt:lpstr>
      <vt:lpstr>rift_valley_phlebovirus</vt:lpstr>
      <vt:lpstr>Influenza_A_virus</vt:lpstr>
      <vt:lpstr>lassa_mammarenavirus</vt:lpstr>
      <vt:lpstr>japanese_encephalitis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2021-05-01T16:01:58Z</dcterms:created>
  <dcterms:modified xsi:type="dcterms:W3CDTF">2021-05-20T21:13:20Z</dcterms:modified>
</cp:coreProperties>
</file>