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9060" tabRatio="818" activeTab="2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Tengah'!$B$1:$H$166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8" i="2" l="1"/>
  <c r="G108" i="2"/>
  <c r="I161" i="2" l="1"/>
  <c r="I162" i="2" s="1"/>
  <c r="N80" i="2" l="1"/>
  <c r="N81" i="2"/>
  <c r="O81" i="2" l="1"/>
  <c r="P81" i="2" s="1"/>
  <c r="O80" i="2"/>
  <c r="P80" i="2" s="1"/>
  <c r="N79" i="2"/>
  <c r="O79" i="2" s="1"/>
  <c r="P79" i="2" s="1"/>
  <c r="N78" i="2"/>
  <c r="O78" i="2" s="1"/>
  <c r="P78" i="2" l="1"/>
  <c r="P82" i="2" s="1"/>
  <c r="O82" i="2"/>
  <c r="O83" i="2" s="1"/>
  <c r="O84" i="2" s="1"/>
  <c r="K192" i="4" l="1"/>
  <c r="K13" i="2" l="1"/>
  <c r="K1048576" i="2"/>
  <c r="K93" i="2"/>
  <c r="K91" i="2"/>
  <c r="G101" i="2"/>
  <c r="G26" i="2"/>
  <c r="G13" i="2"/>
  <c r="G13" i="8"/>
  <c r="G82" i="2" l="1"/>
  <c r="G185" i="4"/>
  <c r="G184" i="4"/>
  <c r="F184" i="4"/>
  <c r="F185" i="4"/>
  <c r="F195" i="3"/>
  <c r="H175" i="8"/>
  <c r="H174" i="8"/>
  <c r="H194" i="3"/>
  <c r="H195" i="3"/>
  <c r="H180" i="4"/>
  <c r="H184" i="4"/>
  <c r="I185" i="4" l="1"/>
  <c r="K185" i="4" s="1"/>
  <c r="I184" i="4"/>
  <c r="K184" i="4" s="1"/>
  <c r="H89" i="4" l="1"/>
  <c r="N146" i="8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8" i="4"/>
  <c r="K109" i="4"/>
  <c r="F179" i="4" l="1"/>
  <c r="F38" i="4"/>
  <c r="F39" i="4"/>
  <c r="H77" i="2" l="1"/>
  <c r="H182" i="4" l="1"/>
  <c r="H178" i="4"/>
  <c r="H63" i="3" l="1"/>
  <c r="K134" i="4" l="1"/>
  <c r="K135" i="4"/>
  <c r="K136" i="4"/>
  <c r="K137" i="4"/>
  <c r="K141" i="4"/>
  <c r="K143" i="4"/>
  <c r="H158" i="8"/>
  <c r="H178" i="3"/>
  <c r="H180" i="3"/>
  <c r="H176" i="3"/>
  <c r="H154" i="8"/>
  <c r="H172" i="3"/>
  <c r="H150" i="8"/>
  <c r="H146" i="8"/>
  <c r="H134" i="8"/>
  <c r="H123" i="3" l="1"/>
  <c r="H121" i="3"/>
  <c r="H119" i="3"/>
  <c r="H117" i="3"/>
  <c r="H122" i="3"/>
  <c r="H118" i="3"/>
  <c r="H136" i="8"/>
  <c r="H159" i="8"/>
  <c r="H124" i="3"/>
  <c r="H120" i="3"/>
  <c r="H116" i="3"/>
  <c r="H175" i="3"/>
  <c r="H135" i="8"/>
  <c r="H115" i="3"/>
  <c r="H155" i="8"/>
  <c r="H171" i="3"/>
  <c r="H143" i="3"/>
  <c r="H157" i="8"/>
  <c r="H149" i="3"/>
  <c r="H167" i="3"/>
  <c r="H139" i="8"/>
  <c r="H129" i="8"/>
  <c r="H142" i="3"/>
  <c r="H174" i="3"/>
  <c r="H170" i="3"/>
  <c r="H166" i="3"/>
  <c r="H138" i="8"/>
  <c r="H128" i="8"/>
  <c r="H156" i="8"/>
  <c r="H152" i="8"/>
  <c r="H153" i="8"/>
  <c r="H150" i="3"/>
  <c r="H177" i="3"/>
  <c r="H173" i="3"/>
  <c r="H169" i="3"/>
  <c r="H132" i="8"/>
  <c r="H123" i="8"/>
  <c r="H151" i="8"/>
  <c r="H147" i="8"/>
  <c r="H140" i="8"/>
  <c r="H130" i="8"/>
  <c r="H122" i="8"/>
  <c r="H168" i="3" l="1"/>
  <c r="H148" i="8"/>
  <c r="G35" i="4"/>
  <c r="H181" i="4" l="1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I11" i="4" s="1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40" i="4" l="1"/>
  <c r="G40" i="4"/>
  <c r="H44" i="8"/>
  <c r="H43" i="8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8" i="8"/>
  <c r="H116" i="8"/>
  <c r="H115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L75" i="8"/>
  <c r="H75" i="8"/>
  <c r="L74" i="8"/>
  <c r="H74" i="8"/>
  <c r="L73" i="8"/>
  <c r="H73" i="8"/>
  <c r="L72" i="8"/>
  <c r="L71" i="8"/>
  <c r="L70" i="8"/>
  <c r="H70" i="8"/>
  <c r="L69" i="8"/>
  <c r="K69" i="8"/>
  <c r="L68" i="8"/>
  <c r="K68" i="8"/>
  <c r="L67" i="8"/>
  <c r="K67" i="8"/>
  <c r="H67" i="8"/>
  <c r="L66" i="8"/>
  <c r="K66" i="8"/>
  <c r="G33" i="4" s="1"/>
  <c r="H65" i="8"/>
  <c r="G61" i="4"/>
  <c r="H64" i="8"/>
  <c r="H63" i="8"/>
  <c r="H62" i="8"/>
  <c r="L61" i="8"/>
  <c r="L60" i="8"/>
  <c r="L59" i="8"/>
  <c r="H59" i="8"/>
  <c r="L58" i="8"/>
  <c r="H58" i="8"/>
  <c r="L57" i="8"/>
  <c r="H57" i="8"/>
  <c r="L56" i="8"/>
  <c r="H56" i="8"/>
  <c r="L55" i="8"/>
  <c r="H55" i="8"/>
  <c r="L52" i="8"/>
  <c r="K52" i="8"/>
  <c r="H52" i="8"/>
  <c r="L51" i="8"/>
  <c r="K51" i="8"/>
  <c r="H51" i="8"/>
  <c r="L50" i="8"/>
  <c r="K50" i="8"/>
  <c r="L49" i="8"/>
  <c r="K49" i="8"/>
  <c r="H49" i="8"/>
  <c r="L48" i="8"/>
  <c r="K48" i="8"/>
  <c r="H48" i="8"/>
  <c r="H47" i="8"/>
  <c r="L46" i="8"/>
  <c r="H46" i="8"/>
  <c r="L45" i="8"/>
  <c r="H45" i="8"/>
  <c r="L42" i="8"/>
  <c r="H42" i="8"/>
  <c r="L41" i="8"/>
  <c r="H41" i="8"/>
  <c r="L40" i="8"/>
  <c r="H40" i="8"/>
  <c r="L39" i="8"/>
  <c r="H39" i="8"/>
  <c r="L38" i="8"/>
  <c r="K38" i="8"/>
  <c r="H38" i="8"/>
  <c r="L37" i="8"/>
  <c r="K37" i="8"/>
  <c r="H37" i="8"/>
  <c r="L36" i="8"/>
  <c r="K36" i="8"/>
  <c r="H36" i="8"/>
  <c r="L35" i="8"/>
  <c r="K35" i="8"/>
  <c r="L34" i="8"/>
  <c r="K34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13" i="8"/>
  <c r="H12" i="8"/>
  <c r="H11" i="8"/>
  <c r="H10" i="8"/>
  <c r="H9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H117" i="8"/>
  <c r="G127" i="4"/>
  <c r="L63" i="8"/>
  <c r="H54" i="8"/>
  <c r="G50" i="4"/>
  <c r="H66" i="8"/>
  <c r="G62" i="4"/>
  <c r="H145" i="8"/>
  <c r="G155" i="4"/>
  <c r="H20" i="8"/>
  <c r="G22" i="4"/>
  <c r="G23" i="4"/>
  <c r="I39" i="4"/>
  <c r="K39" i="4" s="1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H71" i="8"/>
  <c r="G67" i="4"/>
  <c r="K40" i="4"/>
  <c r="H178" i="8" l="1"/>
  <c r="H179" i="8" s="1"/>
  <c r="H180" i="8" s="1"/>
  <c r="H181" i="8" s="1"/>
  <c r="H182" i="8" s="1"/>
  <c r="F21" i="4" l="1"/>
  <c r="F19" i="4"/>
  <c r="F31" i="4"/>
  <c r="F27" i="4" l="1"/>
  <c r="I150" i="4" l="1"/>
  <c r="K150" i="4" s="1"/>
  <c r="I149" i="4"/>
  <c r="K149" i="4" s="1"/>
  <c r="H160" i="3"/>
  <c r="F124" i="4"/>
  <c r="H49" i="4" l="1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80" i="4" l="1"/>
  <c r="H32" i="4"/>
  <c r="I24" i="4"/>
  <c r="F34" i="4"/>
  <c r="F33" i="4"/>
  <c r="F32" i="4"/>
  <c r="F30" i="4"/>
  <c r="I64" i="3"/>
  <c r="I63" i="3"/>
  <c r="I62" i="3"/>
  <c r="I61" i="3"/>
  <c r="I60" i="3"/>
  <c r="I59" i="3"/>
  <c r="I58" i="3"/>
  <c r="F23" i="4"/>
  <c r="N44" i="2"/>
  <c r="N43" i="2"/>
  <c r="N42" i="2"/>
  <c r="N38" i="2"/>
  <c r="N36" i="2"/>
  <c r="H23" i="4"/>
  <c r="H19" i="4"/>
  <c r="H21" i="4" l="1"/>
  <c r="I21" i="4" s="1"/>
  <c r="H27" i="4"/>
  <c r="I27" i="4" s="1"/>
  <c r="F20" i="4"/>
  <c r="I32" i="4"/>
  <c r="F37" i="4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52" i="3"/>
  <c r="H136" i="3"/>
  <c r="H130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42" i="2"/>
  <c r="H44" i="2"/>
  <c r="H46" i="2"/>
  <c r="H52" i="2"/>
  <c r="H55" i="2"/>
  <c r="H57" i="2"/>
  <c r="H60" i="2"/>
  <c r="H63" i="2"/>
  <c r="H69" i="2"/>
  <c r="H83" i="2"/>
  <c r="H85" i="2"/>
  <c r="H96" i="2"/>
  <c r="H101" i="2"/>
  <c r="H103" i="2"/>
  <c r="H105" i="2"/>
  <c r="H126" i="2"/>
  <c r="H128" i="2"/>
  <c r="H146" i="2"/>
  <c r="H13" i="2"/>
  <c r="H132" i="3" l="1"/>
  <c r="H95" i="3"/>
  <c r="H129" i="3"/>
  <c r="H57" i="3"/>
  <c r="H93" i="3"/>
  <c r="H92" i="3"/>
  <c r="H94" i="3"/>
  <c r="H127" i="3"/>
  <c r="H112" i="3" l="1"/>
  <c r="H91" i="3"/>
  <c r="H179" i="3"/>
  <c r="F169" i="4"/>
  <c r="H14" i="3"/>
  <c r="H17" i="3"/>
  <c r="H10" i="3"/>
  <c r="H12" i="3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F155" i="4"/>
  <c r="H162" i="3" l="1"/>
  <c r="F183" i="4"/>
  <c r="H183" i="4" l="1"/>
  <c r="I183" i="4" s="1"/>
  <c r="K183" i="4" l="1"/>
  <c r="I124" i="4" l="1"/>
  <c r="I123" i="4"/>
  <c r="I80" i="4"/>
  <c r="I79" i="4"/>
  <c r="I78" i="4"/>
  <c r="I77" i="4"/>
  <c r="I12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8" i="4" l="1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75" i="4" l="1"/>
  <c r="I175" i="4" s="1"/>
  <c r="K175" i="4" s="1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56" i="3" l="1"/>
  <c r="H155" i="3" l="1"/>
  <c r="H139" i="3" l="1"/>
  <c r="H21" i="3"/>
  <c r="H16" i="3" s="1"/>
  <c r="H9" i="3"/>
  <c r="H8" i="3" s="1"/>
  <c r="H22" i="3"/>
  <c r="K11" i="4"/>
  <c r="K24" i="4" l="1"/>
  <c r="K23" i="4"/>
  <c r="H99" i="3"/>
  <c r="H100" i="3"/>
  <c r="H58" i="3"/>
  <c r="H29" i="3"/>
  <c r="H101" i="3" l="1"/>
  <c r="K30" i="4"/>
  <c r="K37" i="4"/>
  <c r="H26" i="3"/>
  <c r="H24" i="3" s="1"/>
  <c r="H26" i="2"/>
  <c r="K79" i="4"/>
  <c r="K78" i="4"/>
  <c r="H59" i="3" l="1"/>
  <c r="K80" i="4"/>
  <c r="H98" i="3" l="1"/>
  <c r="K44" i="4"/>
  <c r="H97" i="3" l="1"/>
  <c r="H193" i="3"/>
  <c r="K46" i="4"/>
  <c r="K77" i="4"/>
  <c r="H182" i="3" l="1"/>
  <c r="H81" i="3"/>
  <c r="H67" i="3"/>
  <c r="H73" i="3"/>
  <c r="H71" i="3"/>
  <c r="H75" i="3"/>
  <c r="K52" i="4"/>
  <c r="K47" i="4"/>
  <c r="K48" i="4"/>
  <c r="H83" i="3" l="1"/>
  <c r="K54" i="4"/>
  <c r="K61" i="4"/>
  <c r="H72" i="3"/>
  <c r="H76" i="3"/>
  <c r="H61" i="3" s="1"/>
  <c r="K62" i="4"/>
  <c r="H86" i="3"/>
  <c r="H80" i="3"/>
  <c r="K56" i="4"/>
  <c r="K53" i="4"/>
  <c r="H39" i="3" l="1"/>
  <c r="H84" i="3"/>
  <c r="H87" i="3"/>
  <c r="K57" i="4"/>
  <c r="K64" i="4"/>
  <c r="K65" i="4"/>
  <c r="H78" i="3" l="1"/>
  <c r="H50" i="3"/>
  <c r="K32" i="4"/>
  <c r="K68" i="4"/>
  <c r="K67" i="4"/>
  <c r="K33" i="4" l="1"/>
  <c r="K186" i="4" s="1"/>
  <c r="K187" i="4" s="1"/>
  <c r="K189" i="4" s="1"/>
  <c r="K190" i="4" s="1"/>
  <c r="K191" i="4" s="1"/>
  <c r="H51" i="3"/>
  <c r="K193" i="4" l="1"/>
  <c r="H28" i="3"/>
  <c r="H197" i="3" s="1"/>
  <c r="H198" i="3" s="1"/>
  <c r="H199" i="3" s="1"/>
  <c r="H200" i="3" l="1"/>
  <c r="H201" i="3" s="1"/>
  <c r="K60" i="2" l="1"/>
  <c r="G48" i="2" l="1"/>
  <c r="G54" i="2" l="1"/>
  <c r="H54" i="2" s="1"/>
  <c r="H48" i="2"/>
  <c r="G58" i="2"/>
  <c r="G45" i="2"/>
  <c r="G51" i="2" l="1"/>
  <c r="H45" i="2"/>
  <c r="G50" i="2"/>
  <c r="G61" i="2"/>
  <c r="H61" i="2" s="1"/>
  <c r="H58" i="2"/>
  <c r="H51" i="2" l="1"/>
  <c r="H50" i="2"/>
  <c r="G102" i="2" l="1"/>
  <c r="H102" i="2" s="1"/>
  <c r="G34" i="2" l="1"/>
  <c r="H34" i="2" s="1"/>
  <c r="K34" i="2"/>
  <c r="G136" i="2" l="1"/>
  <c r="H136" i="2" s="1"/>
  <c r="G157" i="2"/>
  <c r="H157" i="2" s="1"/>
  <c r="G65" i="2"/>
  <c r="H65" i="2" s="1"/>
  <c r="G141" i="2"/>
  <c r="H141" i="2" s="1"/>
  <c r="G66" i="2"/>
  <c r="H66" i="2" s="1"/>
  <c r="G138" i="2"/>
  <c r="H138" i="2" s="1"/>
  <c r="G159" i="2"/>
  <c r="H159" i="2" s="1"/>
  <c r="G107" i="2"/>
  <c r="H107" i="2" s="1"/>
  <c r="G144" i="2"/>
  <c r="H144" i="2" s="1"/>
  <c r="G11" i="2"/>
  <c r="H11" i="2" s="1"/>
  <c r="G12" i="2"/>
  <c r="H12" i="2" s="1"/>
  <c r="G114" i="2"/>
  <c r="H114" i="2" s="1"/>
  <c r="G106" i="2"/>
  <c r="H106" i="2" s="1"/>
  <c r="G143" i="2"/>
  <c r="H143" i="2" s="1"/>
  <c r="G123" i="2"/>
  <c r="H123" i="2" s="1"/>
  <c r="G117" i="2"/>
  <c r="H117" i="2" s="1"/>
  <c r="G151" i="2"/>
  <c r="H151" i="2" s="1"/>
  <c r="G68" i="2"/>
  <c r="H68" i="2" s="1"/>
  <c r="G148" i="2"/>
  <c r="H148" i="2" s="1"/>
  <c r="G17" i="2"/>
  <c r="H17" i="2" s="1"/>
  <c r="G124" i="2"/>
  <c r="H124" i="2" s="1"/>
  <c r="G154" i="2"/>
  <c r="H154" i="2" s="1"/>
  <c r="G115" i="2"/>
  <c r="H115" i="2" s="1"/>
  <c r="G150" i="2"/>
  <c r="H150" i="2" s="1"/>
  <c r="G10" i="2"/>
  <c r="H10" i="2" s="1"/>
  <c r="G135" i="2"/>
  <c r="H135" i="2" s="1"/>
  <c r="G156" i="2"/>
  <c r="H156" i="2" s="1"/>
  <c r="G113" i="2"/>
  <c r="H113" i="2" s="1"/>
  <c r="G153" i="2"/>
  <c r="H153" i="2" s="1"/>
  <c r="G25" i="2"/>
  <c r="H25" i="2" s="1"/>
  <c r="H24" i="2" s="1"/>
  <c r="J24" i="2" s="1"/>
  <c r="G137" i="2"/>
  <c r="H137" i="2" s="1"/>
  <c r="G18" i="2"/>
  <c r="H18" i="2" s="1"/>
  <c r="G125" i="2"/>
  <c r="H125" i="2" s="1"/>
  <c r="G155" i="2"/>
  <c r="H155" i="2" s="1"/>
  <c r="G67" i="2"/>
  <c r="H67" i="2" s="1"/>
  <c r="G139" i="2"/>
  <c r="H139" i="2" s="1"/>
  <c r="G140" i="2"/>
  <c r="H140" i="2" s="1"/>
  <c r="G149" i="2"/>
  <c r="H149" i="2" s="1"/>
  <c r="K148" i="2"/>
  <c r="K149" i="2"/>
  <c r="K106" i="2"/>
  <c r="K123" i="2"/>
  <c r="K117" i="2"/>
  <c r="K153" i="2"/>
  <c r="K25" i="2"/>
  <c r="K124" i="2"/>
  <c r="K154" i="2"/>
  <c r="K150" i="2"/>
  <c r="K10" i="2"/>
  <c r="K135" i="2"/>
  <c r="K156" i="2"/>
  <c r="K65" i="2"/>
  <c r="K11" i="2"/>
  <c r="K140" i="2"/>
  <c r="K12" i="2"/>
  <c r="K141" i="2"/>
  <c r="K66" i="2"/>
  <c r="K138" i="2"/>
  <c r="K159" i="2"/>
  <c r="K144" i="2"/>
  <c r="K68" i="2"/>
  <c r="K17" i="2"/>
  <c r="K114" i="2"/>
  <c r="K143" i="2"/>
  <c r="K151" i="2"/>
  <c r="K113" i="2"/>
  <c r="K115" i="2"/>
  <c r="K136" i="2"/>
  <c r="K157" i="2"/>
  <c r="K137" i="2"/>
  <c r="K18" i="2"/>
  <c r="K125" i="2"/>
  <c r="K155" i="2"/>
  <c r="K67" i="2"/>
  <c r="K139" i="2"/>
  <c r="H64" i="2" l="1"/>
  <c r="J64" i="2" s="1"/>
  <c r="K107" i="2"/>
  <c r="G87" i="2"/>
  <c r="H87" i="2" s="1"/>
  <c r="G80" i="2"/>
  <c r="H80" i="2" s="1"/>
  <c r="G79" i="2"/>
  <c r="H79" i="2" s="1"/>
  <c r="G86" i="2"/>
  <c r="H86" i="2" s="1"/>
  <c r="G88" i="2"/>
  <c r="H88" i="2" s="1"/>
  <c r="G90" i="2"/>
  <c r="H90" i="2" s="1"/>
  <c r="G89" i="2"/>
  <c r="H89" i="2" s="1"/>
  <c r="G95" i="2"/>
  <c r="H95" i="2" s="1"/>
  <c r="G94" i="2"/>
  <c r="H94" i="2" s="1"/>
  <c r="G98" i="2"/>
  <c r="H98" i="2" s="1"/>
  <c r="G142" i="2"/>
  <c r="H142" i="2" s="1"/>
  <c r="G145" i="2"/>
  <c r="H145" i="2" s="1"/>
  <c r="G92" i="2"/>
  <c r="H92" i="2" s="1"/>
  <c r="G152" i="2"/>
  <c r="H152" i="2" s="1"/>
  <c r="G19" i="2"/>
  <c r="H19" i="2" s="1"/>
  <c r="G14" i="2"/>
  <c r="H14" i="2" s="1"/>
  <c r="G99" i="2"/>
  <c r="H99" i="2" s="1"/>
  <c r="K64" i="2"/>
  <c r="K79" i="2"/>
  <c r="K78" i="2" s="1"/>
  <c r="K86" i="2"/>
  <c r="K90" i="2"/>
  <c r="K152" i="2"/>
  <c r="K145" i="2"/>
  <c r="K89" i="2"/>
  <c r="K14" i="2"/>
  <c r="K95" i="2"/>
  <c r="K94" i="2"/>
  <c r="K98" i="2"/>
  <c r="K142" i="2"/>
  <c r="K87" i="2"/>
  <c r="K88" i="2"/>
  <c r="K92" i="2"/>
  <c r="K19" i="2"/>
  <c r="K99" i="2"/>
  <c r="H84" i="2" l="1"/>
  <c r="J84" i="2" s="1"/>
  <c r="H78" i="2"/>
  <c r="J78" i="2" s="1"/>
  <c r="K24" i="2"/>
  <c r="G20" i="2"/>
  <c r="H20" i="2" s="1"/>
  <c r="G75" i="2"/>
  <c r="H75" i="2" s="1"/>
  <c r="G100" i="2"/>
  <c r="H100" i="2" s="1"/>
  <c r="H97" i="2" s="1"/>
  <c r="J97" i="2" s="1"/>
  <c r="G74" i="2"/>
  <c r="H74" i="2" s="1"/>
  <c r="G9" i="2"/>
  <c r="H9" i="2" s="1"/>
  <c r="H8" i="2" s="1"/>
  <c r="G76" i="2"/>
  <c r="H76" i="2" s="1"/>
  <c r="G49" i="2"/>
  <c r="H49" i="2" s="1"/>
  <c r="K84" i="2"/>
  <c r="K76" i="2"/>
  <c r="K102" i="2"/>
  <c r="K75" i="2"/>
  <c r="K9" i="2"/>
  <c r="K74" i="2"/>
  <c r="K49" i="2"/>
  <c r="K20" i="2"/>
  <c r="K100" i="2"/>
  <c r="L49" i="2" l="1"/>
  <c r="J8" i="2"/>
  <c r="G22" i="2"/>
  <c r="H22" i="2" s="1"/>
  <c r="G119" i="2"/>
  <c r="H119" i="2" s="1"/>
  <c r="G73" i="2"/>
  <c r="H73" i="2" s="1"/>
  <c r="G134" i="2"/>
  <c r="H134" i="2" s="1"/>
  <c r="G120" i="2"/>
  <c r="H120" i="2" s="1"/>
  <c r="G130" i="2"/>
  <c r="H130" i="2" s="1"/>
  <c r="G21" i="2"/>
  <c r="H21" i="2" s="1"/>
  <c r="G72" i="2"/>
  <c r="H72" i="2" s="1"/>
  <c r="G129" i="2"/>
  <c r="H129" i="2" s="1"/>
  <c r="K97" i="2"/>
  <c r="K72" i="2"/>
  <c r="K22" i="2"/>
  <c r="K21" i="2"/>
  <c r="K130" i="2"/>
  <c r="K119" i="2"/>
  <c r="K73" i="2"/>
  <c r="K134" i="2"/>
  <c r="K45" i="2"/>
  <c r="K120" i="2"/>
  <c r="K129" i="2"/>
  <c r="H16" i="2" l="1"/>
  <c r="J16" i="2" s="1"/>
  <c r="K8" i="2"/>
  <c r="L8" i="2" s="1"/>
  <c r="G121" i="2"/>
  <c r="H121" i="2" s="1"/>
  <c r="G131" i="2"/>
  <c r="H131" i="2" s="1"/>
  <c r="G122" i="2"/>
  <c r="H122" i="2" s="1"/>
  <c r="H104" i="2" s="1"/>
  <c r="J104" i="2" s="1"/>
  <c r="G47" i="2"/>
  <c r="H47" i="2" s="1"/>
  <c r="L45" i="2"/>
  <c r="K47" i="2"/>
  <c r="K121" i="2"/>
  <c r="K131" i="2"/>
  <c r="K51" i="2"/>
  <c r="L51" i="2" s="1"/>
  <c r="K122" i="2"/>
  <c r="K16" i="2" l="1"/>
  <c r="L47" i="2"/>
  <c r="G53" i="2"/>
  <c r="H53" i="2" s="1"/>
  <c r="H43" i="2" s="1"/>
  <c r="J43" i="2" s="1"/>
  <c r="G133" i="2"/>
  <c r="H133" i="2" s="1"/>
  <c r="G132" i="2"/>
  <c r="H132" i="2" s="1"/>
  <c r="H127" i="2" s="1"/>
  <c r="J127" i="2" s="1"/>
  <c r="K104" i="2"/>
  <c r="K132" i="2"/>
  <c r="K53" i="2"/>
  <c r="K48" i="2"/>
  <c r="L48" i="2" s="1"/>
  <c r="K133" i="2"/>
  <c r="L53" i="2" l="1"/>
  <c r="G59" i="2"/>
  <c r="K127" i="2"/>
  <c r="K59" i="2"/>
  <c r="K50" i="2"/>
  <c r="L50" i="2" s="1"/>
  <c r="K58" i="2"/>
  <c r="K54" i="2"/>
  <c r="L54" i="2" s="1"/>
  <c r="H59" i="2" l="1"/>
  <c r="G62" i="2"/>
  <c r="H62" i="2" s="1"/>
  <c r="K43" i="2"/>
  <c r="K61" i="2"/>
  <c r="K62" i="2"/>
  <c r="H56" i="2" l="1"/>
  <c r="J56" i="2" s="1"/>
  <c r="K56" i="2"/>
  <c r="G29" i="2"/>
  <c r="H29" i="2" s="1"/>
  <c r="K29" i="2"/>
  <c r="L29" i="2" l="1"/>
  <c r="G30" i="2" l="1"/>
  <c r="H30" i="2" s="1"/>
  <c r="K30" i="2"/>
  <c r="L30" i="2" l="1"/>
  <c r="G31" i="2"/>
  <c r="H31" i="2" s="1"/>
  <c r="K31" i="2"/>
  <c r="G39" i="2" l="1"/>
  <c r="H39" i="2" s="1"/>
  <c r="G32" i="2"/>
  <c r="H32" i="2" s="1"/>
  <c r="L31" i="2"/>
  <c r="K39" i="2"/>
  <c r="K32" i="2"/>
  <c r="L39" i="2" l="1"/>
  <c r="L32" i="2"/>
  <c r="G33" i="2" l="1"/>
  <c r="H33" i="2" s="1"/>
  <c r="K33" i="2"/>
  <c r="G40" i="2" l="1"/>
  <c r="H40" i="2" s="1"/>
  <c r="L33" i="2"/>
  <c r="G37" i="2"/>
  <c r="H37" i="2" s="1"/>
  <c r="K37" i="2"/>
  <c r="K40" i="2"/>
  <c r="L40" i="2" l="1"/>
  <c r="L37" i="2"/>
  <c r="G38" i="2" l="1"/>
  <c r="H38" i="2" s="1"/>
  <c r="K38" i="2"/>
  <c r="L38" i="2" l="1"/>
  <c r="G35" i="2"/>
  <c r="H35" i="2" s="1"/>
  <c r="G36" i="2"/>
  <c r="H36" i="2" s="1"/>
  <c r="K36" i="2"/>
  <c r="K35" i="2"/>
  <c r="H28" i="2" l="1"/>
  <c r="L35" i="2"/>
  <c r="L36" i="2"/>
  <c r="G71" i="2"/>
  <c r="H71" i="2" s="1"/>
  <c r="H70" i="2" s="1"/>
  <c r="J70" i="2" s="1"/>
  <c r="K71" i="2"/>
  <c r="K70" i="2" s="1"/>
  <c r="J28" i="2" l="1"/>
  <c r="K28" i="2"/>
  <c r="G158" i="2"/>
  <c r="H158" i="2" s="1"/>
  <c r="H147" i="2" s="1"/>
  <c r="J147" i="2" s="1"/>
  <c r="K158" i="2"/>
  <c r="K147" i="2" s="1"/>
  <c r="K161" i="2" s="1"/>
  <c r="K162" i="2" s="1"/>
  <c r="K163" i="2" s="1"/>
  <c r="H161" i="2" l="1"/>
  <c r="H162" i="2" s="1"/>
  <c r="H163" i="2" s="1"/>
  <c r="H164" i="2" s="1"/>
  <c r="H165" i="2" s="1"/>
  <c r="J161" i="2" l="1"/>
</calcChain>
</file>

<file path=xl/sharedStrings.xml><?xml version="1.0" encoding="utf-8"?>
<sst xmlns="http://schemas.openxmlformats.org/spreadsheetml/2006/main" count="1729" uniqueCount="327">
  <si>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</si>
  <si>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</si>
  <si>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</si>
  <si>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</si>
  <si>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</si>
  <si>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</si>
  <si>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</si>
  <si>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</si>
  <si>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</si>
  <si>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</si>
  <si>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</si>
  <si>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</si>
  <si>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</si>
  <si>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</si>
  <si>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</si>
  <si>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</si>
  <si>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</si>
  <si>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</si>
  <si>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</si>
  <si>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</si>
  <si>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</si>
  <si>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</si>
  <si>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</si>
  <si>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</si>
  <si>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</si>
  <si>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</si>
  <si>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</si>
  <si>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</si>
  <si>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</si>
  <si>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</si>
  <si>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</si>
  <si>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</si>
  <si>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</si>
  <si>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</si>
  <si>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</si>
  <si>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</si>
  <si>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</si>
  <si>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</si>
  <si>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</si>
  <si>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</si>
  <si>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</si>
  <si>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</si>
  <si>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</si>
  <si>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</si>
  <si>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</si>
  <si>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</si>
  <si>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</si>
  <si>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</si>
  <si>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</si>
  <si>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</si>
  <si>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</si>
  <si>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</si>
  <si>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</si>
  <si>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</si>
  <si>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</si>
  <si>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</si>
  <si>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</si>
  <si>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</si>
  <si>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</si>
  <si>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</si>
  <si>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</si>
  <si>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</si>
  <si>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</si>
  <si>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</si>
  <si>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</si>
  <si>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</si>
  <si>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</si>
  <si>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</si>
  <si>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</si>
  <si>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</si>
  <si>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</si>
  <si>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</si>
  <si>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</si>
  <si>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</si>
  <si>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</si>
  <si>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</si>
  <si>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</si>
  <si>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</si>
  <si>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</si>
  <si>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</si>
  <si>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</si>
  <si>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</si>
  <si>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</si>
  <si>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</si>
  <si>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</si>
  <si>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</si>
  <si>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</si>
  <si>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</si>
  <si>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</si>
  <si>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</si>
  <si>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</si>
  <si>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</si>
  <si>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</si>
  <si>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</si>
  <si>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</si>
  <si>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</si>
  <si>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</si>
  <si>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</si>
  <si>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</si>
  <si>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</si>
  <si>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</si>
  <si>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</si>
  <si>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</si>
  <si>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</si>
  <si>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</si>
  <si>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</si>
  <si>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</si>
  <si>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</si>
  <si>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</si>
  <si>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</si>
  <si>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</si>
  <si>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</si>
  <si>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</si>
  <si>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</si>
  <si>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</si>
  <si>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</si>
  <si>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</si>
  <si>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</si>
  <si>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</si>
  <si>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</si>
  <si>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</si>
  <si>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</si>
  <si>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</si>
  <si>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</si>
  <si>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</si>
  <si>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</si>
  <si>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</si>
  <si>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</si>
  <si>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</si>
  <si>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</si>
  <si>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</si>
  <si>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</si>
  <si>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</si>
  <si>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</si>
  <si>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</si>
  <si>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</si>
  <si>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</si>
  <si>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</si>
  <si>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</si>
  <si>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</si>
  <si>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</si>
  <si>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</si>
  <si>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</si>
  <si>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</si>
  <si>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</si>
  <si>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</si>
  <si>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</si>
  <si>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</si>
  <si>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</si>
  <si>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</si>
  <si>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</si>
  <si>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</si>
  <si>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</si>
  <si>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</si>
  <si>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</si>
  <si>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</si>
  <si>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</si>
  <si>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</si>
  <si>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</si>
  <si>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</si>
  <si>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</si>
  <si>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</si>
  <si>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</si>
  <si>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</si>
  <si>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</si>
  <si>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</si>
  <si>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</si>
  <si>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</si>
  <si>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</si>
  <si>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</si>
  <si>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</si>
  <si>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</si>
  <si>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</si>
  <si>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</si>
  <si>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</si>
  <si>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</si>
  <si>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</si>
  <si>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</si>
  <si>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</si>
  <si>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</si>
  <si>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</si>
  <si>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</si>
  <si>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</si>
  <si>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</si>
  <si>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</si>
  <si>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</si>
  <si>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</si>
  <si>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</si>
  <si>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</si>
  <si>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</si>
  <si>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</si>
  <si>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</si>
  <si>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</si>
  <si>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</si>
  <si>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</si>
  <si>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</si>
  <si>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</si>
  <si>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</si>
  <si>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</si>
  <si>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</si>
  <si>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</si>
  <si>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</si>
  <si>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</si>
  <si>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</si>
  <si>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</si>
  <si>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</si>
  <si>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</si>
  <si>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</si>
  <si>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</si>
  <si>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</si>
  <si>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</si>
  <si>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</si>
  <si>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</si>
  <si>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</si>
  <si>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</si>
  <si>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</si>
  <si>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</si>
  <si>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</si>
  <si>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</si>
  <si>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</si>
  <si>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</si>
  <si>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</si>
  <si>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</si>
  <si>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</si>
  <si>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</si>
  <si>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</si>
  <si>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</si>
  <si>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</si>
  <si>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</si>
  <si>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</si>
  <si>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</si>
  <si>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</si>
  <si>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</si>
  <si>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</si>
  <si>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</si>
  <si>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</si>
  <si>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</si>
  <si>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</si>
  <si>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</si>
  <si>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</si>
  <si>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</si>
  <si>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</si>
  <si>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</si>
  <si>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</si>
  <si>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</si>
  <si>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</si>
  <si>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</si>
  <si>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</si>
  <si>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</si>
  <si>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</si>
  <si>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</si>
  <si>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</si>
  <si>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</si>
  <si>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</si>
  <si>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</si>
  <si>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</si>
  <si>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</si>
  <si>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</si>
  <si>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</si>
  <si>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</si>
  <si>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</si>
  <si>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</si>
  <si>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</si>
  <si>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</si>
  <si>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</si>
  <si>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</si>
  <si>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</si>
  <si>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</si>
  <si>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</si>
  <si>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</si>
  <si>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</si>
  <si>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</si>
  <si>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</si>
  <si>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</si>
  <si>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</si>
  <si>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</si>
  <si>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</si>
  <si>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</si>
  <si>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</si>
  <si>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</si>
  <si>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</si>
  <si>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</si>
  <si>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</si>
  <si>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</si>
  <si>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</si>
  <si>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</si>
  <si>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</si>
  <si>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</si>
  <si>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</si>
  <si>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</si>
  <si>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</si>
  <si>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</si>
  <si>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</si>
  <si>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</si>
  <si>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</si>
  <si>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</si>
  <si>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</si>
  <si>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</si>
  <si>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</si>
  <si>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</si>
  <si>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</si>
  <si>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</si>
  <si>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</si>
  <si>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</si>
  <si>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</si>
  <si>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</si>
  <si>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</si>
  <si>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</si>
  <si>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</si>
  <si>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</si>
  <si>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</si>
  <si>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</si>
  <si>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</si>
  <si>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</si>
  <si>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</si>
  <si>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</si>
  <si>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</si>
  <si>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</si>
  <si>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</si>
  <si>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</si>
  <si>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</si>
  <si>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</si>
  <si>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</si>
  <si>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</si>
  <si>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</si>
  <si>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 xml:space="preserve"> 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</si>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</sst>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2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6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169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43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4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0" fontId="11" fillId="0" borderId="0" xfId="2" applyFont="1" applyFill="1" applyAlignment="1">
      <alignment horizontal="center"/>
    </xf>
    <xf numFmtId="164" fontId="11" fillId="0" borderId="30" xfId="1" applyFont="1" applyFill="1" applyBorder="1"/>
    <xf numFmtId="0" fontId="7" fillId="0" borderId="51" xfId="2" applyFont="1" applyFill="1" applyBorder="1" applyAlignment="1">
      <alignment horizontal="center" vertical="center" wrapText="1"/>
    </xf>
    <xf numFmtId="164" fontId="7" fillId="0" borderId="5" xfId="1" applyFont="1" applyFill="1" applyBorder="1"/>
    <xf numFmtId="164" fontId="11" fillId="0" borderId="0" xfId="1" applyFont="1" applyFill="1" applyBorder="1" applyAlignment="1">
      <alignment horizontal="center" vertical="center"/>
    </xf>
    <xf numFmtId="164" fontId="7" fillId="0" borderId="0" xfId="1" applyFont="1" applyFill="1" applyBorder="1"/>
    <xf numFmtId="164" fontId="11" fillId="0" borderId="0" xfId="1" applyFont="1" applyFill="1" applyBorder="1" applyAlignment="1">
      <alignment horizontal="center"/>
    </xf>
    <xf numFmtId="164" fontId="11" fillId="0" borderId="0" xfId="1" applyFont="1" applyFill="1" applyBorder="1"/>
    <xf numFmtId="169" fontId="11" fillId="0" borderId="0" xfId="1" applyNumberFormat="1" applyFont="1" applyFill="1" applyBorder="1"/>
    <xf numFmtId="164" fontId="7" fillId="13" borderId="4" xfId="1" applyFont="1" applyFill="1" applyBorder="1"/>
    <xf numFmtId="0" fontId="11" fillId="0" borderId="0" xfId="2" applyFont="1" applyFill="1" applyAlignment="1">
      <alignment horizontal="center"/>
    </xf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GR02%20-%20Blank%20(3)%20000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A%20RUKO%20CLUSTER%20FRASER%20PARK%20(AR01,GR01,GR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Volume overall (GR02)"/>
      <sheetName val="Sheet1"/>
    </sheetNames>
    <sheetDataSet>
      <sheetData sheetId="0">
        <row r="9">
          <cell r="G9">
            <v>24022.184999999998</v>
          </cell>
          <cell r="H9">
            <v>1032953.9549999998</v>
          </cell>
        </row>
        <row r="10">
          <cell r="G10">
            <v>1842500.0000000002</v>
          </cell>
          <cell r="H10">
            <v>1842500.0000000002</v>
          </cell>
        </row>
        <row r="11">
          <cell r="G11">
            <v>1856250.0000000002</v>
          </cell>
          <cell r="H11">
            <v>1856250.0000000002</v>
          </cell>
        </row>
        <row r="12">
          <cell r="G12">
            <v>742500.00000000012</v>
          </cell>
          <cell r="H12">
            <v>742500.00000000012</v>
          </cell>
        </row>
        <row r="13">
          <cell r="H13">
            <v>0</v>
          </cell>
        </row>
        <row r="14">
          <cell r="G14">
            <v>10175</v>
          </cell>
          <cell r="H14">
            <v>1197394</v>
          </cell>
        </row>
        <row r="15">
          <cell r="H15">
            <v>6671597.9550000001</v>
          </cell>
        </row>
        <row r="17">
          <cell r="G17">
            <v>55000.000000000007</v>
          </cell>
          <cell r="H17">
            <v>492976</v>
          </cell>
        </row>
        <row r="18">
          <cell r="G18">
            <v>66000</v>
          </cell>
          <cell r="H18">
            <v>278143.79999999987</v>
          </cell>
        </row>
        <row r="19">
          <cell r="G19">
            <v>55000.000000000007</v>
          </cell>
          <cell r="H19">
            <v>957392.70000000007</v>
          </cell>
        </row>
        <row r="20">
          <cell r="G20">
            <v>281373.125</v>
          </cell>
          <cell r="H20">
            <v>0</v>
          </cell>
        </row>
        <row r="21">
          <cell r="G21">
            <v>680119.7857142858</v>
          </cell>
          <cell r="H21">
            <v>364833.25605178584</v>
          </cell>
        </row>
        <row r="22">
          <cell r="G22">
            <v>281373.125</v>
          </cell>
          <cell r="H22">
            <v>0</v>
          </cell>
        </row>
        <row r="23">
          <cell r="H23">
            <v>2093345.7560517858</v>
          </cell>
        </row>
        <row r="25">
          <cell r="G25">
            <v>44000</v>
          </cell>
          <cell r="H25">
            <v>352000</v>
          </cell>
        </row>
        <row r="26">
          <cell r="G26">
            <v>0</v>
          </cell>
        </row>
        <row r="27">
          <cell r="H27">
            <v>352000</v>
          </cell>
        </row>
        <row r="29">
          <cell r="G29">
            <v>3667568.0524394847</v>
          </cell>
          <cell r="H29">
            <v>12869129.539204909</v>
          </cell>
        </row>
        <row r="30">
          <cell r="G30">
            <v>2644654.9400601177</v>
          </cell>
          <cell r="H30">
            <v>3279372.1256745458</v>
          </cell>
        </row>
        <row r="31">
          <cell r="G31">
            <v>4169403.8067927901</v>
          </cell>
          <cell r="H31">
            <v>15398321.226536736</v>
          </cell>
        </row>
        <row r="32">
          <cell r="G32">
            <v>4169403.8067927901</v>
          </cell>
          <cell r="H32">
            <v>9816916.6566013601</v>
          </cell>
        </row>
        <row r="33">
          <cell r="G33">
            <v>4874291.020737322</v>
          </cell>
          <cell r="H33">
            <v>15553862.647172794</v>
          </cell>
        </row>
        <row r="34">
          <cell r="G34">
            <v>4316562.4509277912</v>
          </cell>
          <cell r="H34">
            <v>0</v>
          </cell>
        </row>
        <row r="35">
          <cell r="G35">
            <v>3583454.0951257134</v>
          </cell>
          <cell r="H35">
            <v>4209763.0349635957</v>
          </cell>
        </row>
        <row r="36">
          <cell r="G36">
            <v>1860046.9010179578</v>
          </cell>
          <cell r="H36">
            <v>8634159.1500228625</v>
          </cell>
        </row>
        <row r="37">
          <cell r="G37">
            <v>3707903.7878055559</v>
          </cell>
          <cell r="H37">
            <v>26795107.396116246</v>
          </cell>
        </row>
        <row r="38">
          <cell r="G38">
            <v>4053672.0037000002</v>
          </cell>
          <cell r="H38">
            <v>8670926.0260744113</v>
          </cell>
        </row>
        <row r="39">
          <cell r="G39">
            <v>4169403.8067927901</v>
          </cell>
          <cell r="H39">
            <v>1594796.9560982422</v>
          </cell>
        </row>
        <row r="40">
          <cell r="G40">
            <v>4874291.020737322</v>
          </cell>
          <cell r="H40">
            <v>398192.0818479259</v>
          </cell>
        </row>
        <row r="42">
          <cell r="H42">
            <v>107220546.84031361</v>
          </cell>
        </row>
        <row r="47">
          <cell r="G47">
            <v>165240.63836070464</v>
          </cell>
        </row>
        <row r="49">
          <cell r="G49">
            <v>181142.4543116249</v>
          </cell>
        </row>
        <row r="53">
          <cell r="G53">
            <v>165240.63836070464</v>
          </cell>
        </row>
        <row r="58">
          <cell r="H58">
            <v>1875220.4511576628</v>
          </cell>
        </row>
        <row r="59">
          <cell r="G59">
            <v>26285.855690636283</v>
          </cell>
          <cell r="H59">
            <v>853110.71640004858</v>
          </cell>
        </row>
        <row r="60">
          <cell r="H60">
            <v>0</v>
          </cell>
        </row>
        <row r="61">
          <cell r="H61">
            <v>1875220.4511576628</v>
          </cell>
        </row>
        <row r="62">
          <cell r="G62">
            <v>26285.855690636283</v>
          </cell>
          <cell r="H62">
            <v>962719.46466955391</v>
          </cell>
        </row>
        <row r="65">
          <cell r="G65">
            <v>69300</v>
          </cell>
          <cell r="H65">
            <v>6891056.1533236494</v>
          </cell>
        </row>
        <row r="66">
          <cell r="G66">
            <v>23100.000000000004</v>
          </cell>
          <cell r="H66">
            <v>2687916.0000000005</v>
          </cell>
        </row>
        <row r="67">
          <cell r="G67">
            <v>96250.000000000015</v>
          </cell>
          <cell r="H67">
            <v>1466816.3125000002</v>
          </cell>
        </row>
        <row r="68">
          <cell r="G68">
            <v>88000</v>
          </cell>
          <cell r="H68">
            <v>7548169.5519999983</v>
          </cell>
        </row>
        <row r="71">
          <cell r="G71">
            <v>124025.77797467388</v>
          </cell>
          <cell r="H71">
            <v>23543366.940131631</v>
          </cell>
        </row>
        <row r="72">
          <cell r="G72">
            <v>72552.734375</v>
          </cell>
          <cell r="H72">
            <v>1430014.39453125</v>
          </cell>
        </row>
        <row r="73">
          <cell r="G73">
            <v>56943.104166666679</v>
          </cell>
          <cell r="H73">
            <v>21413252.173855212</v>
          </cell>
        </row>
        <row r="74">
          <cell r="G74">
            <v>13199.861375642382</v>
          </cell>
          <cell r="H74">
            <v>4559498.7563466663</v>
          </cell>
        </row>
        <row r="75">
          <cell r="G75">
            <v>70436.437500000015</v>
          </cell>
          <cell r="H75">
            <v>2898107.2209375007</v>
          </cell>
        </row>
        <row r="76">
          <cell r="G76">
            <v>26693.194708975716</v>
          </cell>
          <cell r="H76">
            <v>1098291.4963008058</v>
          </cell>
        </row>
        <row r="79">
          <cell r="G79">
            <v>113300.00000000001</v>
          </cell>
          <cell r="H79">
            <v>6118200.0000000009</v>
          </cell>
        </row>
        <row r="80">
          <cell r="G80">
            <v>183700.00000000003</v>
          </cell>
        </row>
        <row r="86">
          <cell r="G86">
            <v>13394383.200000001</v>
          </cell>
          <cell r="H86">
            <v>13394383.200000001</v>
          </cell>
        </row>
        <row r="87">
          <cell r="G87">
            <v>911240.00000000012</v>
          </cell>
          <cell r="H87">
            <v>1822480.0000000002</v>
          </cell>
        </row>
        <row r="88">
          <cell r="G88">
            <v>3080286.0000000005</v>
          </cell>
          <cell r="H88">
            <v>3080286.0000000005</v>
          </cell>
        </row>
        <row r="89">
          <cell r="G89">
            <v>6055995.0000000009</v>
          </cell>
          <cell r="H89">
            <v>6055995.0000000009</v>
          </cell>
        </row>
        <row r="90">
          <cell r="G90">
            <v>8415550</v>
          </cell>
          <cell r="H90">
            <v>8415550</v>
          </cell>
        </row>
        <row r="92">
          <cell r="G92">
            <v>2343000</v>
          </cell>
          <cell r="H92">
            <v>4686000</v>
          </cell>
        </row>
        <row r="94">
          <cell r="G94">
            <v>326700</v>
          </cell>
          <cell r="H94">
            <v>653400</v>
          </cell>
        </row>
        <row r="95">
          <cell r="G95">
            <v>25025.000000000004</v>
          </cell>
          <cell r="H95">
            <v>150150.00000000003</v>
          </cell>
        </row>
        <row r="98">
          <cell r="G98">
            <v>16720</v>
          </cell>
          <cell r="H98">
            <v>3414545.5924800001</v>
          </cell>
        </row>
        <row r="99">
          <cell r="G99">
            <v>38390</v>
          </cell>
          <cell r="H99">
            <v>3211416.4038000004</v>
          </cell>
        </row>
        <row r="100">
          <cell r="G100">
            <v>16720</v>
          </cell>
          <cell r="H100">
            <v>1917410.9722939599</v>
          </cell>
        </row>
        <row r="101">
          <cell r="G101">
            <v>0</v>
          </cell>
        </row>
        <row r="102">
          <cell r="G102">
            <v>60500.000000000007</v>
          </cell>
          <cell r="H102">
            <v>2862663.3750000005</v>
          </cell>
        </row>
        <row r="106">
          <cell r="G106">
            <v>1644445.0000000002</v>
          </cell>
          <cell r="H106">
            <v>3288890.0000000005</v>
          </cell>
        </row>
        <row r="107">
          <cell r="G107">
            <v>167062.5</v>
          </cell>
          <cell r="H107">
            <v>334125</v>
          </cell>
        </row>
        <row r="108">
          <cell r="G108">
            <v>863115.00000000012</v>
          </cell>
        </row>
        <row r="113">
          <cell r="G113">
            <v>118552.50000000001</v>
          </cell>
          <cell r="H113">
            <v>237105.00000000003</v>
          </cell>
        </row>
        <row r="114">
          <cell r="G114">
            <v>185625.00000000003</v>
          </cell>
          <cell r="H114">
            <v>371250.00000000006</v>
          </cell>
        </row>
        <row r="115">
          <cell r="G115">
            <v>192500.00000000003</v>
          </cell>
          <cell r="H115">
            <v>770000.00000000012</v>
          </cell>
        </row>
        <row r="117">
          <cell r="G117">
            <v>20350</v>
          </cell>
          <cell r="H117">
            <v>691370.76161999989</v>
          </cell>
        </row>
        <row r="119">
          <cell r="G119">
            <v>45736.538124999999</v>
          </cell>
          <cell r="H119">
            <v>62681.010769550005</v>
          </cell>
        </row>
        <row r="120">
          <cell r="G120">
            <v>40770.752124999999</v>
          </cell>
          <cell r="H120">
            <v>516260.79036387202</v>
          </cell>
        </row>
        <row r="121">
          <cell r="G121">
            <v>67743.438250000007</v>
          </cell>
          <cell r="H121">
            <v>4348690.7336756503</v>
          </cell>
        </row>
        <row r="122">
          <cell r="G122">
            <v>93582.230624999997</v>
          </cell>
          <cell r="H122">
            <v>2648377.1266875002</v>
          </cell>
        </row>
        <row r="123">
          <cell r="G123">
            <v>165082.5</v>
          </cell>
          <cell r="H123">
            <v>165082.5</v>
          </cell>
        </row>
        <row r="124">
          <cell r="G124">
            <v>220000.00000000003</v>
          </cell>
          <cell r="H124">
            <v>660000.00000000012</v>
          </cell>
        </row>
        <row r="125">
          <cell r="G125">
            <v>495000.00000000006</v>
          </cell>
          <cell r="H125">
            <v>495000.00000000006</v>
          </cell>
        </row>
        <row r="129">
          <cell r="G129">
            <v>228755.758</v>
          </cell>
          <cell r="H129">
            <v>6176405.466</v>
          </cell>
        </row>
        <row r="130">
          <cell r="G130">
            <v>379483.25800000003</v>
          </cell>
          <cell r="H130">
            <v>758966.51600000006</v>
          </cell>
        </row>
        <row r="131">
          <cell r="G131">
            <v>218272.285</v>
          </cell>
          <cell r="H131">
            <v>1746178.28</v>
          </cell>
        </row>
        <row r="132">
          <cell r="G132">
            <v>218272.285</v>
          </cell>
          <cell r="H132">
            <v>218272.285</v>
          </cell>
        </row>
        <row r="133">
          <cell r="G133">
            <v>218272.285</v>
          </cell>
          <cell r="H133">
            <v>436544.57</v>
          </cell>
        </row>
        <row r="134">
          <cell r="G134">
            <v>231846.22999999998</v>
          </cell>
          <cell r="H134">
            <v>463692.45999999996</v>
          </cell>
        </row>
        <row r="135">
          <cell r="G135">
            <v>13426.6</v>
          </cell>
          <cell r="H135">
            <v>26853.200000000001</v>
          </cell>
        </row>
        <row r="136">
          <cell r="G136">
            <v>21905.4</v>
          </cell>
          <cell r="H136">
            <v>87621.6</v>
          </cell>
        </row>
        <row r="137">
          <cell r="G137">
            <v>15193.2</v>
          </cell>
          <cell r="H137">
            <v>30386.400000000001</v>
          </cell>
        </row>
        <row r="138">
          <cell r="G138">
            <v>20493</v>
          </cell>
          <cell r="H138">
            <v>163944</v>
          </cell>
        </row>
        <row r="139">
          <cell r="G139">
            <v>40631.800000000003</v>
          </cell>
          <cell r="H139">
            <v>81263.600000000006</v>
          </cell>
        </row>
        <row r="140">
          <cell r="G140">
            <v>110000.00000000001</v>
          </cell>
          <cell r="H140">
            <v>110000.00000000001</v>
          </cell>
        </row>
        <row r="141">
          <cell r="G141">
            <v>935000.00000000012</v>
          </cell>
          <cell r="H141">
            <v>1870000.0000000002</v>
          </cell>
        </row>
        <row r="142">
          <cell r="G142">
            <v>935000.00000000012</v>
          </cell>
          <cell r="H142">
            <v>1870000.0000000002</v>
          </cell>
        </row>
        <row r="143">
          <cell r="G143">
            <v>385000.00000000006</v>
          </cell>
          <cell r="H143">
            <v>385000.00000000006</v>
          </cell>
        </row>
        <row r="144">
          <cell r="G144">
            <v>1430000</v>
          </cell>
          <cell r="H144">
            <v>2860000</v>
          </cell>
        </row>
        <row r="145">
          <cell r="G145">
            <v>293040</v>
          </cell>
          <cell r="H145">
            <v>586080</v>
          </cell>
        </row>
        <row r="148">
          <cell r="G148">
            <v>2695000</v>
          </cell>
          <cell r="H148">
            <v>2695000</v>
          </cell>
        </row>
        <row r="149">
          <cell r="G149">
            <v>2264968.2468461883</v>
          </cell>
          <cell r="H149">
            <v>2264968.2468461883</v>
          </cell>
        </row>
        <row r="150">
          <cell r="G150">
            <v>605000</v>
          </cell>
          <cell r="H150">
            <v>8930774.1105000004</v>
          </cell>
        </row>
        <row r="151">
          <cell r="G151">
            <v>88000</v>
          </cell>
          <cell r="H151">
            <v>2493920</v>
          </cell>
        </row>
        <row r="152">
          <cell r="G152">
            <v>88000</v>
          </cell>
          <cell r="H152">
            <v>731280</v>
          </cell>
        </row>
        <row r="153">
          <cell r="G153">
            <v>429000.00000000006</v>
          </cell>
          <cell r="H153">
            <v>858000.00000000012</v>
          </cell>
        </row>
        <row r="154">
          <cell r="G154">
            <v>33000</v>
          </cell>
          <cell r="H154">
            <v>1464210</v>
          </cell>
        </row>
        <row r="155">
          <cell r="G155">
            <v>616343.75</v>
          </cell>
          <cell r="H155">
            <v>616343.75</v>
          </cell>
        </row>
        <row r="156">
          <cell r="G156">
            <v>794062.50000000012</v>
          </cell>
          <cell r="H156">
            <v>794062.50000000012</v>
          </cell>
        </row>
        <row r="157">
          <cell r="G157">
            <v>33000</v>
          </cell>
          <cell r="H157">
            <v>144210</v>
          </cell>
        </row>
        <row r="158">
          <cell r="G158">
            <v>98289.256174836948</v>
          </cell>
          <cell r="H158">
            <v>280124.38009828533</v>
          </cell>
        </row>
        <row r="159">
          <cell r="G159">
            <v>275000</v>
          </cell>
          <cell r="H159">
            <v>275000</v>
          </cell>
        </row>
      </sheetData>
      <sheetData sheetId="1">
        <row r="44">
          <cell r="I44">
            <v>786218.20137317083</v>
          </cell>
        </row>
        <row r="46">
          <cell r="I46">
            <v>9085819.1044882797</v>
          </cell>
        </row>
        <row r="47">
          <cell r="I47">
            <v>408698.32987115794</v>
          </cell>
        </row>
        <row r="48">
          <cell r="I48">
            <v>1736068.8631220022</v>
          </cell>
        </row>
        <row r="49">
          <cell r="I49">
            <v>236288.12342430808</v>
          </cell>
        </row>
        <row r="50">
          <cell r="I50">
            <v>445523.64744479681</v>
          </cell>
        </row>
        <row r="52">
          <cell r="I52">
            <v>9068325.220691178</v>
          </cell>
        </row>
        <row r="53">
          <cell r="I53">
            <v>408714.20756461512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2">
          <cell r="I2">
            <v>1.1000000000000001</v>
          </cell>
        </row>
        <row r="794">
          <cell r="H794">
            <v>175088.16836070467</v>
          </cell>
        </row>
        <row r="813">
          <cell r="H813">
            <v>182122.11836070466</v>
          </cell>
        </row>
        <row r="831">
          <cell r="H831">
            <v>28250.895690636284</v>
          </cell>
        </row>
        <row r="849">
          <cell r="H849">
            <v>176260.49336070466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view="pageBreakPreview" zoomScale="80" zoomScaleNormal="80" zoomScaleSheetLayoutView="80" workbookViewId="0">
      <selection activeCell="G9" sqref="G9"/>
    </sheetView>
  </sheetViews>
  <sheetFormatPr defaultRowHeight="15"/>
  <cols>
    <col min="1" max="1" width="5" style="202" customWidth="1"/>
    <col min="2" max="2" width="9.140625" style="136"/>
    <col min="3" max="3" width="57.7109375" style="136" customWidth="1"/>
    <col min="4" max="4" width="71.85546875" style="237" customWidth="1"/>
    <col min="5" max="5" width="9.140625" style="136"/>
    <col min="6" max="6" width="12" style="136" bestFit="1" customWidth="1"/>
    <col min="7" max="8" width="21.5703125" style="1" customWidth="1"/>
    <col min="9" max="9" width="9.140625" style="202"/>
    <col min="10" max="10" width="20" style="225" bestFit="1" customWidth="1"/>
    <col min="11" max="11" width="20.7109375" style="202" customWidth="1"/>
    <col min="12" max="16384" width="9.140625" style="202"/>
  </cols>
  <sheetData>
    <row r="2" spans="2:8" ht="15.75">
      <c r="B2" s="25" t="s">
        <v>0</v>
      </c>
      <c r="C2" s="226"/>
      <c r="D2" s="7"/>
      <c r="E2" s="227"/>
    </row>
    <row r="3" spans="2:8" ht="15.75">
      <c r="B3" s="25" t="s">
        <v>271</v>
      </c>
      <c r="C3" s="226"/>
      <c r="D3" s="7"/>
      <c r="E3" s="227"/>
    </row>
    <row r="4" spans="2:8" ht="15.75">
      <c r="B4" s="25" t="s">
        <v>1</v>
      </c>
      <c r="C4" s="226"/>
      <c r="D4" s="7"/>
      <c r="E4" s="290" t="s">
        <v>199</v>
      </c>
      <c r="F4" s="290"/>
      <c r="G4" s="290"/>
      <c r="H4" s="290"/>
    </row>
    <row r="5" spans="2:8" ht="15.75" thickBot="1">
      <c r="B5" s="227"/>
      <c r="C5" s="227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0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37"/>
      <c r="H9" s="59">
        <f>F9*G9</f>
        <v>0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37"/>
      <c r="H10" s="59">
        <f t="shared" ref="H10:H96" si="0">F10*G10</f>
        <v>0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37"/>
      <c r="H11" s="59">
        <f t="shared" si="0"/>
        <v>0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37"/>
      <c r="H12" s="59">
        <f t="shared" si="0"/>
        <v>0</v>
      </c>
    </row>
    <row r="13" spans="2:8" ht="15.7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/>
      <c r="H14" s="59">
        <f t="shared" si="0"/>
        <v>0</v>
      </c>
    </row>
    <row r="15" spans="2:8" ht="15.7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0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135"/>
      <c r="H17" s="59">
        <f t="shared" si="0"/>
        <v>0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135"/>
      <c r="H18" s="59">
        <f t="shared" si="0"/>
        <v>0</v>
      </c>
    </row>
    <row r="19" spans="2:8" ht="15.75">
      <c r="B19" s="39"/>
      <c r="C19" s="228" t="s">
        <v>135</v>
      </c>
      <c r="D19" s="229"/>
      <c r="E19" s="6" t="s">
        <v>19</v>
      </c>
      <c r="F19" s="107">
        <v>21.14949</v>
      </c>
      <c r="G19" s="135"/>
      <c r="H19" s="59">
        <f t="shared" si="0"/>
        <v>0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37"/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37"/>
      <c r="H21" s="59">
        <f t="shared" si="0"/>
        <v>0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37"/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37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37"/>
      <c r="H25" s="59">
        <f t="shared" si="0"/>
        <v>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/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0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37"/>
      <c r="H29" s="59">
        <f t="shared" si="0"/>
        <v>0</v>
      </c>
    </row>
    <row r="30" spans="2:8" ht="15.75" hidden="1">
      <c r="B30" s="39"/>
      <c r="C30" s="230" t="s">
        <v>275</v>
      </c>
      <c r="D30" s="163"/>
      <c r="E30" s="231"/>
      <c r="F30" s="232"/>
      <c r="G30" s="135"/>
      <c r="H30" s="59"/>
    </row>
    <row r="31" spans="2:8" ht="15.75" hidden="1">
      <c r="B31" s="39"/>
      <c r="C31" s="230" t="s">
        <v>276</v>
      </c>
      <c r="D31" s="163"/>
      <c r="E31" s="231"/>
      <c r="F31" s="232"/>
      <c r="G31" s="135"/>
      <c r="H31" s="59"/>
    </row>
    <row r="32" spans="2:8" ht="15.75" hidden="1">
      <c r="B32" s="39"/>
      <c r="C32" s="230" t="s">
        <v>277</v>
      </c>
      <c r="D32" s="163"/>
      <c r="E32" s="231"/>
      <c r="F32" s="232"/>
      <c r="G32" s="135"/>
      <c r="H32" s="59"/>
    </row>
    <row r="33" spans="2:8" ht="15.75" hidden="1">
      <c r="B33" s="39"/>
      <c r="C33" s="230" t="s">
        <v>278</v>
      </c>
      <c r="D33" s="163"/>
      <c r="E33" s="231"/>
      <c r="F33" s="232"/>
      <c r="G33" s="135"/>
      <c r="H33" s="59"/>
    </row>
    <row r="34" spans="2:8" ht="15.75" hidden="1">
      <c r="B34" s="39"/>
      <c r="C34" s="230" t="s">
        <v>279</v>
      </c>
      <c r="D34" s="163"/>
      <c r="E34" s="231"/>
      <c r="F34" s="232"/>
      <c r="G34" s="135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/>
      <c r="H35" s="59">
        <f t="shared" si="0"/>
        <v>0</v>
      </c>
    </row>
    <row r="36" spans="2:8" ht="15.75" hidden="1">
      <c r="B36" s="39"/>
      <c r="C36" s="157" t="s">
        <v>280</v>
      </c>
      <c r="D36" s="163"/>
      <c r="E36" s="231"/>
      <c r="F36" s="232"/>
      <c r="G36" s="135"/>
      <c r="H36" s="59"/>
    </row>
    <row r="37" spans="2:8" ht="15.75" hidden="1">
      <c r="B37" s="39"/>
      <c r="C37" s="157" t="s">
        <v>281</v>
      </c>
      <c r="D37" s="163"/>
      <c r="E37" s="231"/>
      <c r="F37" s="232"/>
      <c r="G37" s="135"/>
      <c r="H37" s="59"/>
    </row>
    <row r="38" spans="2:8" ht="15.75" hidden="1">
      <c r="B38" s="39"/>
      <c r="C38" s="157" t="s">
        <v>282</v>
      </c>
      <c r="D38" s="163"/>
      <c r="E38" s="231"/>
      <c r="F38" s="232"/>
      <c r="G38" s="135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37"/>
      <c r="H39" s="59">
        <f t="shared" si="0"/>
        <v>0</v>
      </c>
    </row>
    <row r="40" spans="2:8" ht="15.75" hidden="1">
      <c r="B40" s="39"/>
      <c r="C40" s="157" t="s">
        <v>260</v>
      </c>
      <c r="D40" s="163"/>
      <c r="E40" s="231"/>
      <c r="F40" s="232"/>
      <c r="G40" s="135"/>
      <c r="H40" s="59"/>
    </row>
    <row r="41" spans="2:8" ht="15.75" hidden="1">
      <c r="B41" s="39"/>
      <c r="C41" s="157" t="s">
        <v>256</v>
      </c>
      <c r="D41" s="163"/>
      <c r="E41" s="231"/>
      <c r="F41" s="232"/>
      <c r="G41" s="135"/>
      <c r="H41" s="59"/>
    </row>
    <row r="42" spans="2:8" ht="15.75" hidden="1">
      <c r="B42" s="39"/>
      <c r="C42" s="157" t="s">
        <v>261</v>
      </c>
      <c r="D42" s="163"/>
      <c r="E42" s="231"/>
      <c r="F42" s="232"/>
      <c r="G42" s="135"/>
      <c r="H42" s="59"/>
    </row>
    <row r="43" spans="2:8" ht="15.75" hidden="1">
      <c r="B43" s="39"/>
      <c r="C43" s="157" t="s">
        <v>257</v>
      </c>
      <c r="D43" s="163"/>
      <c r="E43" s="231"/>
      <c r="F43" s="232"/>
      <c r="G43" s="135"/>
      <c r="H43" s="59"/>
    </row>
    <row r="44" spans="2:8" ht="15.75" hidden="1">
      <c r="B44" s="39"/>
      <c r="C44" s="157" t="s">
        <v>262</v>
      </c>
      <c r="D44" s="163"/>
      <c r="E44" s="231"/>
      <c r="F44" s="232"/>
      <c r="G44" s="135"/>
      <c r="H44" s="59"/>
    </row>
    <row r="45" spans="2:8" ht="15.75" hidden="1">
      <c r="B45" s="39"/>
      <c r="C45" s="157" t="s">
        <v>258</v>
      </c>
      <c r="D45" s="163"/>
      <c r="E45" s="231"/>
      <c r="F45" s="232"/>
      <c r="G45" s="135"/>
      <c r="H45" s="59"/>
    </row>
    <row r="46" spans="2:8" ht="15.75" hidden="1">
      <c r="B46" s="39"/>
      <c r="C46" s="157" t="s">
        <v>259</v>
      </c>
      <c r="D46" s="163"/>
      <c r="E46" s="231"/>
      <c r="F46" s="232"/>
      <c r="G46" s="135"/>
      <c r="H46" s="59"/>
    </row>
    <row r="47" spans="2:8" ht="15.75" hidden="1">
      <c r="B47" s="39"/>
      <c r="C47" s="157" t="s">
        <v>283</v>
      </c>
      <c r="D47" s="163"/>
      <c r="E47" s="231"/>
      <c r="F47" s="232"/>
      <c r="G47" s="135"/>
      <c r="H47" s="59"/>
    </row>
    <row r="48" spans="2:8" ht="15.75" hidden="1">
      <c r="B48" s="39"/>
      <c r="C48" s="157" t="s">
        <v>284</v>
      </c>
      <c r="D48" s="163"/>
      <c r="E48" s="231"/>
      <c r="F48" s="232"/>
      <c r="G48" s="135"/>
      <c r="H48" s="59"/>
    </row>
    <row r="49" spans="2:10" ht="15.75" hidden="1">
      <c r="B49" s="39"/>
      <c r="C49" s="157" t="s">
        <v>265</v>
      </c>
      <c r="D49" s="163"/>
      <c r="E49" s="231"/>
      <c r="F49" s="232"/>
      <c r="G49" s="135"/>
      <c r="H49" s="59"/>
    </row>
    <row r="50" spans="2:10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37"/>
      <c r="H50" s="59">
        <f t="shared" si="0"/>
        <v>0</v>
      </c>
    </row>
    <row r="51" spans="2:10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37"/>
      <c r="H51" s="59">
        <f t="shared" si="0"/>
        <v>0</v>
      </c>
    </row>
    <row r="52" spans="2:10" ht="15.75" hidden="1">
      <c r="B52" s="39"/>
      <c r="C52" s="157" t="s">
        <v>288</v>
      </c>
      <c r="D52" s="163"/>
      <c r="E52" s="231"/>
      <c r="F52" s="232"/>
      <c r="G52" s="135"/>
      <c r="H52" s="59"/>
    </row>
    <row r="53" spans="2:10" ht="15.75" hidden="1">
      <c r="B53" s="39"/>
      <c r="C53" s="157" t="s">
        <v>285</v>
      </c>
      <c r="D53" s="163"/>
      <c r="E53" s="231"/>
      <c r="F53" s="232"/>
      <c r="G53" s="135"/>
      <c r="H53" s="59"/>
    </row>
    <row r="54" spans="2:10" ht="15.75" hidden="1">
      <c r="B54" s="39"/>
      <c r="C54" s="157" t="s">
        <v>286</v>
      </c>
      <c r="D54" s="163"/>
      <c r="E54" s="231"/>
      <c r="F54" s="232"/>
      <c r="G54" s="135"/>
      <c r="H54" s="59"/>
    </row>
    <row r="55" spans="2:10" ht="15.75" hidden="1">
      <c r="B55" s="39"/>
      <c r="C55" s="157" t="s">
        <v>287</v>
      </c>
      <c r="D55" s="163"/>
      <c r="E55" s="231"/>
      <c r="F55" s="232"/>
      <c r="G55" s="135"/>
      <c r="H55" s="59"/>
    </row>
    <row r="56" spans="2:10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/>
      <c r="H56" s="59">
        <f t="shared" si="0"/>
        <v>0</v>
      </c>
    </row>
    <row r="57" spans="2:10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/>
      <c r="H57" s="59">
        <f t="shared" si="0"/>
        <v>0</v>
      </c>
    </row>
    <row r="58" spans="2:10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/>
      <c r="H58" s="59">
        <f t="shared" si="0"/>
        <v>0</v>
      </c>
      <c r="I58" s="107">
        <f>(2.9861+2.2813+1.7289+1.2699+16.2477+11.5686+17.042+3.9859+13.3879)*0.08</f>
        <v>5.6398640000000002</v>
      </c>
      <c r="J58" s="137" t="s">
        <v>234</v>
      </c>
    </row>
    <row r="59" spans="2:10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/>
      <c r="H59" s="59">
        <f t="shared" si="0"/>
        <v>0</v>
      </c>
      <c r="I59" s="107">
        <f>(13.7986+11.8381+9.0351+7.5978+2.6896+2.6897)*0.12</f>
        <v>5.7178680000000002</v>
      </c>
      <c r="J59" s="137" t="s">
        <v>235</v>
      </c>
    </row>
    <row r="60" spans="2:10" ht="15.75">
      <c r="B60" s="39"/>
      <c r="C60" s="40"/>
      <c r="D60" s="51"/>
      <c r="E60" s="6"/>
      <c r="F60" s="36"/>
      <c r="G60" s="37"/>
      <c r="H60" s="59">
        <f t="shared" si="0"/>
        <v>0</v>
      </c>
      <c r="I60" s="107">
        <f>(1.2149+2.5049)*0.12</f>
        <v>0.446376</v>
      </c>
      <c r="J60" s="137" t="s">
        <v>236</v>
      </c>
    </row>
    <row r="61" spans="2:10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0</v>
      </c>
      <c r="I61" s="107">
        <f>( 14.6801+0.5562+11.8383+9.0351+7.5973+ 1.3624+ 1.3624)*0.12</f>
        <v>5.5718160000000001</v>
      </c>
      <c r="J61" s="137" t="s">
        <v>237</v>
      </c>
    </row>
    <row r="62" spans="2:10" ht="15.75">
      <c r="B62" s="41"/>
      <c r="C62" s="43" t="s">
        <v>99</v>
      </c>
      <c r="D62" s="80"/>
      <c r="E62" s="6"/>
      <c r="F62" s="36"/>
      <c r="G62" s="37"/>
      <c r="H62" s="66"/>
      <c r="I62" s="107">
        <f>(1.2148+2.5049)*0.12</f>
        <v>0.44636400000000004</v>
      </c>
      <c r="J62" s="137" t="s">
        <v>238</v>
      </c>
    </row>
    <row r="63" spans="2:10" ht="30">
      <c r="B63" s="39">
        <v>1</v>
      </c>
      <c r="C63" s="40" t="s">
        <v>100</v>
      </c>
      <c r="D63" s="163" t="s">
        <v>317</v>
      </c>
      <c r="E63" s="6" t="s">
        <v>15</v>
      </c>
      <c r="F63" s="36">
        <v>4.5</v>
      </c>
      <c r="G63" s="37"/>
      <c r="H63" s="59">
        <f>F63*G63</f>
        <v>0</v>
      </c>
      <c r="I63" s="107">
        <f>3.9244*0.12</f>
        <v>0.47092799999999996</v>
      </c>
      <c r="J63" s="137" t="s">
        <v>239</v>
      </c>
    </row>
    <row r="64" spans="2:10" ht="15.75">
      <c r="B64" s="39">
        <v>2</v>
      </c>
      <c r="C64" s="40" t="s">
        <v>101</v>
      </c>
      <c r="D64" s="160"/>
      <c r="E64" s="6"/>
      <c r="F64" s="36"/>
      <c r="G64" s="37"/>
      <c r="H64" s="59">
        <f t="shared" si="0"/>
        <v>0</v>
      </c>
      <c r="I64" s="87">
        <f>2.7943*0.12</f>
        <v>0.33531599999999995</v>
      </c>
      <c r="J64" s="137" t="s">
        <v>240</v>
      </c>
    </row>
    <row r="65" spans="2:8" ht="15.75">
      <c r="B65" s="39">
        <v>3</v>
      </c>
      <c r="C65" s="40" t="s">
        <v>102</v>
      </c>
      <c r="D65" s="160" t="s">
        <v>166</v>
      </c>
      <c r="E65" s="6" t="s">
        <v>15</v>
      </c>
      <c r="F65" s="36">
        <v>54.985378867000001</v>
      </c>
      <c r="G65" s="37"/>
      <c r="H65" s="59">
        <f>F65*G65</f>
        <v>0</v>
      </c>
    </row>
    <row r="66" spans="2:8" ht="15.75">
      <c r="B66" s="39">
        <v>4</v>
      </c>
      <c r="C66" s="40" t="s">
        <v>103</v>
      </c>
      <c r="D66" s="160" t="s">
        <v>319</v>
      </c>
      <c r="E66" s="6" t="s">
        <v>15</v>
      </c>
      <c r="F66" s="36">
        <v>2.7731172659999999</v>
      </c>
      <c r="G66" s="37"/>
      <c r="H66" s="59">
        <f>F66*G66</f>
        <v>0</v>
      </c>
    </row>
    <row r="67" spans="2:8" ht="15.75">
      <c r="B67" s="39">
        <v>5</v>
      </c>
      <c r="C67" s="40" t="s">
        <v>104</v>
      </c>
      <c r="D67" s="160" t="s">
        <v>166</v>
      </c>
      <c r="E67" s="6" t="s">
        <v>15</v>
      </c>
      <c r="F67" s="36">
        <v>9.5839976869000019</v>
      </c>
      <c r="G67" s="37"/>
      <c r="H67" s="59">
        <f t="shared" si="0"/>
        <v>0</v>
      </c>
    </row>
    <row r="68" spans="2:8" ht="30">
      <c r="B68" s="2">
        <v>6</v>
      </c>
      <c r="C68" s="125" t="s">
        <v>266</v>
      </c>
      <c r="D68" s="163" t="s">
        <v>318</v>
      </c>
      <c r="E68" s="2" t="s">
        <v>9</v>
      </c>
      <c r="F68" s="36">
        <v>7.7</v>
      </c>
      <c r="G68" s="37"/>
      <c r="H68" s="59">
        <f t="shared" si="0"/>
        <v>0</v>
      </c>
    </row>
    <row r="69" spans="2:8" ht="30">
      <c r="B69" s="2">
        <v>7</v>
      </c>
      <c r="C69" s="125" t="s">
        <v>267</v>
      </c>
      <c r="D69" s="163" t="s">
        <v>317</v>
      </c>
      <c r="E69" s="2" t="s">
        <v>15</v>
      </c>
      <c r="F69" s="36">
        <v>2.5499999999999998</v>
      </c>
      <c r="G69" s="37"/>
      <c r="H69" s="59">
        <f t="shared" si="0"/>
        <v>0</v>
      </c>
    </row>
    <row r="70" spans="2:8" ht="15.75">
      <c r="B70" s="41"/>
      <c r="C70" s="43" t="s">
        <v>105</v>
      </c>
      <c r="D70" s="161"/>
      <c r="E70" s="6"/>
      <c r="F70" s="36"/>
      <c r="G70" s="37"/>
      <c r="H70" s="59">
        <f t="shared" si="0"/>
        <v>0</v>
      </c>
    </row>
    <row r="71" spans="2:8" ht="15.75">
      <c r="B71" s="39">
        <v>1</v>
      </c>
      <c r="C71" s="40" t="s">
        <v>102</v>
      </c>
      <c r="D71" s="160" t="s">
        <v>166</v>
      </c>
      <c r="E71" s="6" t="s">
        <v>15</v>
      </c>
      <c r="F71" s="36">
        <v>54.879509729900001</v>
      </c>
      <c r="G71" s="37"/>
      <c r="H71" s="59">
        <f t="shared" si="0"/>
        <v>0</v>
      </c>
    </row>
    <row r="72" spans="2:8" ht="15.75">
      <c r="B72" s="39">
        <v>2</v>
      </c>
      <c r="C72" s="40" t="s">
        <v>103</v>
      </c>
      <c r="D72" s="160" t="s">
        <v>319</v>
      </c>
      <c r="E72" s="6" t="s">
        <v>15</v>
      </c>
      <c r="F72" s="36">
        <v>2.7732250000000001</v>
      </c>
      <c r="G72" s="37"/>
      <c r="H72" s="59">
        <f t="shared" si="0"/>
        <v>0</v>
      </c>
    </row>
    <row r="73" spans="2:8" ht="15.75">
      <c r="B73" s="39">
        <v>3</v>
      </c>
      <c r="C73" s="45" t="s">
        <v>104</v>
      </c>
      <c r="D73" s="160" t="s">
        <v>166</v>
      </c>
      <c r="E73" s="6" t="s">
        <v>15</v>
      </c>
      <c r="F73" s="36">
        <v>7.9472750000000003</v>
      </c>
      <c r="G73" s="37"/>
      <c r="H73" s="59">
        <f t="shared" si="0"/>
        <v>0</v>
      </c>
    </row>
    <row r="74" spans="2:8" ht="15.75">
      <c r="B74" s="46"/>
      <c r="C74" s="47" t="s">
        <v>137</v>
      </c>
      <c r="D74" s="169"/>
      <c r="E74" s="6"/>
      <c r="F74" s="36"/>
      <c r="G74" s="37"/>
      <c r="H74" s="59">
        <f t="shared" si="0"/>
        <v>0</v>
      </c>
    </row>
    <row r="75" spans="2:8" ht="15.75">
      <c r="B75" s="49">
        <v>1</v>
      </c>
      <c r="C75" s="45" t="s">
        <v>102</v>
      </c>
      <c r="D75" s="160" t="s">
        <v>166</v>
      </c>
      <c r="E75" s="6" t="s">
        <v>15</v>
      </c>
      <c r="F75" s="36">
        <v>55.757553000000001</v>
      </c>
      <c r="G75" s="37"/>
      <c r="H75" s="59">
        <f t="shared" si="0"/>
        <v>0</v>
      </c>
    </row>
    <row r="76" spans="2:8" ht="15.75">
      <c r="B76" s="49">
        <v>2</v>
      </c>
      <c r="C76" s="45" t="s">
        <v>103</v>
      </c>
      <c r="D76" s="160" t="s">
        <v>319</v>
      </c>
      <c r="E76" s="6" t="s">
        <v>15</v>
      </c>
      <c r="F76" s="36">
        <v>2.7732250000000001</v>
      </c>
      <c r="G76" s="37"/>
      <c r="H76" s="59">
        <f t="shared" si="0"/>
        <v>0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0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60" t="s">
        <v>320</v>
      </c>
      <c r="E80" s="6" t="s">
        <v>15</v>
      </c>
      <c r="F80" s="36">
        <v>11.807600000000001</v>
      </c>
      <c r="G80" s="37"/>
      <c r="H80" s="59">
        <f t="shared" si="0"/>
        <v>0</v>
      </c>
    </row>
    <row r="81" spans="2:8" ht="15.75">
      <c r="B81" s="39">
        <v>2</v>
      </c>
      <c r="C81" s="40" t="s">
        <v>106</v>
      </c>
      <c r="D81" s="160" t="s">
        <v>167</v>
      </c>
      <c r="E81" s="6" t="s">
        <v>15</v>
      </c>
      <c r="F81" s="36">
        <v>29.47</v>
      </c>
      <c r="G81" s="37"/>
      <c r="H81" s="59">
        <f t="shared" si="0"/>
        <v>0</v>
      </c>
    </row>
    <row r="82" spans="2:8" ht="15.75">
      <c r="B82" s="41"/>
      <c r="C82" s="43" t="s">
        <v>105</v>
      </c>
      <c r="D82" s="161"/>
      <c r="E82" s="6"/>
      <c r="F82" s="36"/>
      <c r="G82" s="37"/>
      <c r="H82" s="59">
        <f t="shared" si="0"/>
        <v>0</v>
      </c>
    </row>
    <row r="83" spans="2:8" ht="15.75">
      <c r="B83" s="39">
        <v>1</v>
      </c>
      <c r="C83" s="40" t="s">
        <v>103</v>
      </c>
      <c r="D83" s="160" t="s">
        <v>320</v>
      </c>
      <c r="E83" s="6" t="s">
        <v>15</v>
      </c>
      <c r="F83" s="36">
        <v>11.807600000000001</v>
      </c>
      <c r="G83" s="37"/>
      <c r="H83" s="59">
        <f t="shared" si="0"/>
        <v>0</v>
      </c>
    </row>
    <row r="84" spans="2:8" ht="15.75">
      <c r="B84" s="39">
        <v>2</v>
      </c>
      <c r="C84" s="40" t="s">
        <v>106</v>
      </c>
      <c r="D84" s="160" t="s">
        <v>167</v>
      </c>
      <c r="E84" s="6" t="s">
        <v>15</v>
      </c>
      <c r="F84" s="36">
        <v>30.337</v>
      </c>
      <c r="G84" s="37"/>
      <c r="H84" s="59">
        <f t="shared" si="0"/>
        <v>0</v>
      </c>
    </row>
    <row r="85" spans="2:8" ht="15.75">
      <c r="B85" s="41"/>
      <c r="C85" s="43" t="s">
        <v>137</v>
      </c>
      <c r="D85" s="161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60" t="s">
        <v>320</v>
      </c>
      <c r="E86" s="6" t="s">
        <v>15</v>
      </c>
      <c r="F86" s="36">
        <v>11.807600000000001</v>
      </c>
      <c r="G86" s="37"/>
      <c r="H86" s="59">
        <f t="shared" si="0"/>
        <v>0</v>
      </c>
    </row>
    <row r="87" spans="2:8" ht="15.75">
      <c r="B87" s="39">
        <v>2</v>
      </c>
      <c r="C87" s="40" t="s">
        <v>106</v>
      </c>
      <c r="D87" s="160" t="s">
        <v>167</v>
      </c>
      <c r="E87" s="6" t="s">
        <v>15</v>
      </c>
      <c r="F87" s="36">
        <v>32.529000000000003</v>
      </c>
      <c r="G87" s="37"/>
      <c r="H87" s="59">
        <f t="shared" si="0"/>
        <v>0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0</v>
      </c>
    </row>
    <row r="92" spans="2:8" ht="15.75">
      <c r="B92" s="50">
        <v>1</v>
      </c>
      <c r="C92" s="51" t="s">
        <v>34</v>
      </c>
      <c r="D92" s="51" t="s">
        <v>304</v>
      </c>
      <c r="E92" s="52" t="s">
        <v>15</v>
      </c>
      <c r="F92" s="61">
        <v>162.91395499999999</v>
      </c>
      <c r="G92" s="135"/>
      <c r="H92" s="59">
        <f t="shared" si="0"/>
        <v>0</v>
      </c>
    </row>
    <row r="93" spans="2:8" ht="15.75">
      <c r="B93" s="39">
        <v>2</v>
      </c>
      <c r="C93" s="40" t="s">
        <v>107</v>
      </c>
      <c r="D93" s="51" t="s">
        <v>305</v>
      </c>
      <c r="E93" s="6" t="s">
        <v>9</v>
      </c>
      <c r="F93" s="36">
        <v>151.91</v>
      </c>
      <c r="G93" s="135"/>
      <c r="H93" s="59">
        <f t="shared" si="0"/>
        <v>0</v>
      </c>
    </row>
    <row r="94" spans="2:8" ht="15.75">
      <c r="B94" s="50">
        <v>3</v>
      </c>
      <c r="C94" s="51" t="s">
        <v>35</v>
      </c>
      <c r="D94" s="51" t="s">
        <v>306</v>
      </c>
      <c r="E94" s="52" t="s">
        <v>15</v>
      </c>
      <c r="F94" s="61">
        <v>18.373175</v>
      </c>
      <c r="G94" s="135"/>
      <c r="H94" s="59">
        <f t="shared" si="0"/>
        <v>0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5"/>
      <c r="H95" s="59">
        <f t="shared" si="0"/>
        <v>0</v>
      </c>
    </row>
    <row r="96" spans="2:8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10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0</v>
      </c>
    </row>
    <row r="98" spans="2:10" s="223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/>
      <c r="H98" s="104">
        <f t="shared" ref="H98:H165" si="1">F98*G98</f>
        <v>0</v>
      </c>
      <c r="J98" s="224"/>
    </row>
    <row r="99" spans="2:10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37"/>
      <c r="H99" s="59">
        <f t="shared" si="1"/>
        <v>0</v>
      </c>
    </row>
    <row r="100" spans="2:10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37"/>
      <c r="H100" s="59">
        <f t="shared" si="1"/>
        <v>0</v>
      </c>
    </row>
    <row r="101" spans="2:10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37"/>
      <c r="H101" s="59">
        <f t="shared" si="1"/>
        <v>0</v>
      </c>
    </row>
    <row r="102" spans="2:10" s="223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75"/>
      <c r="H102" s="104">
        <f t="shared" si="1"/>
        <v>0</v>
      </c>
      <c r="J102" s="224"/>
    </row>
    <row r="103" spans="2:10" s="223" customFormat="1">
      <c r="B103" s="103">
        <v>6</v>
      </c>
      <c r="C103" s="85" t="s">
        <v>268</v>
      </c>
      <c r="D103" s="85" t="s">
        <v>171</v>
      </c>
      <c r="E103" s="86" t="s">
        <v>15</v>
      </c>
      <c r="F103" s="87">
        <v>51.62</v>
      </c>
      <c r="G103" s="75"/>
      <c r="H103" s="104">
        <f t="shared" si="1"/>
        <v>0</v>
      </c>
      <c r="J103" s="224"/>
    </row>
    <row r="104" spans="2:10" ht="15.75">
      <c r="B104" s="39"/>
      <c r="C104" s="40"/>
      <c r="D104" s="51"/>
      <c r="E104" s="6"/>
      <c r="F104" s="36"/>
      <c r="G104" s="37"/>
      <c r="H104" s="59"/>
    </row>
    <row r="105" spans="2:10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0</v>
      </c>
    </row>
    <row r="106" spans="2:10" ht="15.75">
      <c r="B106" s="39">
        <v>1</v>
      </c>
      <c r="C106" s="40" t="s">
        <v>109</v>
      </c>
      <c r="D106" s="266" t="s">
        <v>315</v>
      </c>
      <c r="E106" s="6" t="s">
        <v>15</v>
      </c>
      <c r="F106" s="259">
        <v>53.14</v>
      </c>
      <c r="G106" s="135"/>
      <c r="H106" s="59">
        <f t="shared" si="1"/>
        <v>0</v>
      </c>
    </row>
    <row r="107" spans="2:10" ht="15.75">
      <c r="B107" s="39">
        <v>2</v>
      </c>
      <c r="C107" s="40" t="s">
        <v>110</v>
      </c>
      <c r="D107" s="160" t="s">
        <v>316</v>
      </c>
      <c r="E107" s="6" t="s">
        <v>15</v>
      </c>
      <c r="F107" s="259">
        <v>61.11</v>
      </c>
      <c r="G107" s="135"/>
      <c r="H107" s="59">
        <f t="shared" si="1"/>
        <v>0</v>
      </c>
    </row>
    <row r="108" spans="2:10" ht="15.75">
      <c r="B108" s="39">
        <v>3</v>
      </c>
      <c r="C108" s="40" t="s">
        <v>146</v>
      </c>
      <c r="D108" s="51"/>
      <c r="E108" s="6" t="s">
        <v>9</v>
      </c>
      <c r="F108" s="259">
        <v>24</v>
      </c>
      <c r="G108" s="135"/>
      <c r="H108" s="59">
        <f t="shared" si="1"/>
        <v>0</v>
      </c>
    </row>
    <row r="109" spans="2:10" ht="15.75">
      <c r="B109" s="39">
        <v>4</v>
      </c>
      <c r="C109" s="40" t="s">
        <v>147</v>
      </c>
      <c r="D109" s="51"/>
      <c r="E109" s="6" t="s">
        <v>9</v>
      </c>
      <c r="F109" s="259">
        <v>12.5</v>
      </c>
      <c r="G109" s="135"/>
      <c r="H109" s="59">
        <f t="shared" si="1"/>
        <v>0</v>
      </c>
    </row>
    <row r="110" spans="2:10" ht="15.75">
      <c r="B110" s="39">
        <v>5</v>
      </c>
      <c r="C110" s="40" t="s">
        <v>111</v>
      </c>
      <c r="D110" s="51"/>
      <c r="E110" s="6" t="s">
        <v>9</v>
      </c>
      <c r="F110" s="259">
        <v>0</v>
      </c>
      <c r="G110" s="135"/>
      <c r="H110" s="59">
        <f t="shared" si="1"/>
        <v>0</v>
      </c>
    </row>
    <row r="111" spans="2:10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10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0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297</v>
      </c>
      <c r="E114" s="2" t="s">
        <v>48</v>
      </c>
      <c r="F114" s="36">
        <v>1</v>
      </c>
      <c r="G114" s="37"/>
      <c r="H114" s="59">
        <f t="shared" si="1"/>
        <v>0</v>
      </c>
    </row>
    <row r="115" spans="2:8" ht="42.75" customHeight="1">
      <c r="B115" s="39"/>
      <c r="C115" s="45" t="s">
        <v>86</v>
      </c>
      <c r="D115" s="54" t="s">
        <v>298</v>
      </c>
      <c r="E115" s="6" t="s">
        <v>48</v>
      </c>
      <c r="F115" s="36">
        <v>3</v>
      </c>
      <c r="G115" s="37"/>
      <c r="H115" s="59">
        <f t="shared" si="1"/>
        <v>0</v>
      </c>
    </row>
    <row r="116" spans="2:8" ht="42.75" customHeight="1">
      <c r="B116" s="34"/>
      <c r="C116" s="53" t="s">
        <v>114</v>
      </c>
      <c r="D116" s="54" t="s">
        <v>299</v>
      </c>
      <c r="E116" s="2" t="s">
        <v>48</v>
      </c>
      <c r="F116" s="36">
        <v>1</v>
      </c>
      <c r="G116" s="75"/>
      <c r="H116" s="59">
        <f t="shared" si="1"/>
        <v>0</v>
      </c>
    </row>
    <row r="117" spans="2:8" ht="42.75" customHeight="1">
      <c r="B117" s="34"/>
      <c r="C117" s="53" t="s">
        <v>115</v>
      </c>
      <c r="D117" s="54" t="s">
        <v>299</v>
      </c>
      <c r="E117" s="2" t="s">
        <v>48</v>
      </c>
      <c r="F117" s="36">
        <v>1</v>
      </c>
      <c r="G117" s="37"/>
      <c r="H117" s="59">
        <f t="shared" si="1"/>
        <v>0</v>
      </c>
    </row>
    <row r="118" spans="2:8" ht="42.75" customHeight="1">
      <c r="B118" s="34"/>
      <c r="C118" s="53" t="s">
        <v>138</v>
      </c>
      <c r="D118" s="54" t="s">
        <v>299</v>
      </c>
      <c r="E118" s="2" t="s">
        <v>48</v>
      </c>
      <c r="F118" s="36">
        <v>1</v>
      </c>
      <c r="G118" s="75"/>
      <c r="H118" s="59">
        <f t="shared" si="1"/>
        <v>0</v>
      </c>
    </row>
    <row r="119" spans="2:8" ht="42.75" customHeight="1">
      <c r="B119" s="34"/>
      <c r="C119" s="53" t="s">
        <v>139</v>
      </c>
      <c r="D119" s="54" t="s">
        <v>299</v>
      </c>
      <c r="E119" s="2" t="s">
        <v>48</v>
      </c>
      <c r="F119" s="36">
        <v>1</v>
      </c>
      <c r="G119" s="75"/>
      <c r="H119" s="59">
        <f t="shared" si="1"/>
        <v>0</v>
      </c>
    </row>
    <row r="120" spans="2:8" ht="42.75" customHeight="1">
      <c r="B120" s="34"/>
      <c r="C120" s="53" t="s">
        <v>140</v>
      </c>
      <c r="D120" s="54" t="s">
        <v>299</v>
      </c>
      <c r="E120" s="2" t="s">
        <v>48</v>
      </c>
      <c r="F120" s="36">
        <v>1</v>
      </c>
      <c r="G120" s="75"/>
      <c r="H120" s="59">
        <f t="shared" si="1"/>
        <v>0</v>
      </c>
    </row>
    <row r="121" spans="2:8" ht="42.75" customHeight="1">
      <c r="B121" s="34"/>
      <c r="C121" s="53" t="s">
        <v>141</v>
      </c>
      <c r="D121" s="54" t="s">
        <v>299</v>
      </c>
      <c r="E121" s="2" t="s">
        <v>48</v>
      </c>
      <c r="F121" s="36">
        <v>1</v>
      </c>
      <c r="G121" s="75"/>
      <c r="H121" s="59">
        <f t="shared" si="1"/>
        <v>0</v>
      </c>
    </row>
    <row r="122" spans="2:8" ht="42.75" customHeight="1">
      <c r="B122" s="34"/>
      <c r="C122" s="53" t="s">
        <v>142</v>
      </c>
      <c r="D122" s="54" t="s">
        <v>299</v>
      </c>
      <c r="E122" s="2" t="s">
        <v>48</v>
      </c>
      <c r="F122" s="36">
        <v>1</v>
      </c>
      <c r="G122" s="75"/>
      <c r="H122" s="59">
        <f t="shared" si="1"/>
        <v>0</v>
      </c>
    </row>
    <row r="123" spans="2:8" ht="42.75" customHeight="1">
      <c r="B123" s="34"/>
      <c r="C123" s="53" t="s">
        <v>143</v>
      </c>
      <c r="D123" s="54" t="s">
        <v>299</v>
      </c>
      <c r="E123" s="2" t="s">
        <v>48</v>
      </c>
      <c r="F123" s="36">
        <v>1</v>
      </c>
      <c r="G123" s="75"/>
      <c r="H123" s="59">
        <f t="shared" si="1"/>
        <v>0</v>
      </c>
    </row>
    <row r="124" spans="2:8" ht="42.75" customHeight="1">
      <c r="B124" s="34"/>
      <c r="C124" s="53" t="s">
        <v>144</v>
      </c>
      <c r="D124" s="54" t="s">
        <v>299</v>
      </c>
      <c r="E124" s="2" t="s">
        <v>48</v>
      </c>
      <c r="F124" s="36">
        <v>1</v>
      </c>
      <c r="G124" s="75"/>
      <c r="H124" s="59">
        <f t="shared" si="1"/>
        <v>0</v>
      </c>
    </row>
    <row r="125" spans="2:8" ht="42.75" customHeight="1">
      <c r="B125" s="34"/>
      <c r="C125" s="35"/>
      <c r="D125" s="51"/>
      <c r="E125" s="2"/>
      <c r="F125" s="228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307</v>
      </c>
      <c r="E127" s="6" t="s">
        <v>48</v>
      </c>
      <c r="F127" s="36">
        <v>3</v>
      </c>
      <c r="G127" s="75"/>
      <c r="H127" s="59">
        <f t="shared" si="1"/>
        <v>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75"/>
      <c r="H128" s="59"/>
    </row>
    <row r="129" spans="2:10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75"/>
      <c r="H129" s="59">
        <f t="shared" si="1"/>
        <v>0</v>
      </c>
    </row>
    <row r="130" spans="2:10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75"/>
      <c r="H130" s="59">
        <f t="shared" si="1"/>
        <v>0</v>
      </c>
    </row>
    <row r="131" spans="2:10" ht="15.75">
      <c r="B131" s="39"/>
      <c r="C131" s="40"/>
      <c r="D131" s="51"/>
      <c r="E131" s="6"/>
      <c r="F131" s="36"/>
      <c r="G131" s="37"/>
      <c r="H131" s="59"/>
    </row>
    <row r="132" spans="2:10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0</v>
      </c>
    </row>
    <row r="133" spans="2:10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135"/>
      <c r="H133" s="59">
        <f t="shared" si="1"/>
        <v>0</v>
      </c>
    </row>
    <row r="134" spans="2:10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135"/>
      <c r="H134" s="59">
        <f t="shared" si="1"/>
        <v>0</v>
      </c>
    </row>
    <row r="135" spans="2:10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135"/>
      <c r="H135" s="59">
        <f t="shared" si="1"/>
        <v>0</v>
      </c>
    </row>
    <row r="136" spans="2:10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135"/>
      <c r="H136" s="59">
        <f t="shared" si="1"/>
        <v>0</v>
      </c>
    </row>
    <row r="137" spans="2:10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135"/>
      <c r="H137" s="59">
        <f t="shared" si="1"/>
        <v>0</v>
      </c>
    </row>
    <row r="138" spans="2:10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10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0</v>
      </c>
    </row>
    <row r="140" spans="2:10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10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37"/>
      <c r="H141" s="59">
        <f t="shared" si="1"/>
        <v>0</v>
      </c>
    </row>
    <row r="142" spans="2:10" s="223" customFormat="1" ht="30">
      <c r="B142" s="265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48"/>
      <c r="H142" s="264">
        <f t="shared" si="1"/>
        <v>0</v>
      </c>
      <c r="J142" s="224"/>
    </row>
    <row r="143" spans="2:10" ht="15.75">
      <c r="B143" s="56" t="s">
        <v>14</v>
      </c>
      <c r="C143" s="40" t="s">
        <v>120</v>
      </c>
      <c r="D143" s="172" t="s">
        <v>310</v>
      </c>
      <c r="E143" s="6" t="s">
        <v>50</v>
      </c>
      <c r="F143" s="36">
        <v>3</v>
      </c>
      <c r="G143" s="44"/>
      <c r="H143" s="59">
        <f t="shared" si="1"/>
        <v>0</v>
      </c>
    </row>
    <row r="144" spans="2:10" ht="15.75">
      <c r="B144" s="56"/>
      <c r="C144" s="40"/>
      <c r="D144" s="51" t="s">
        <v>184</v>
      </c>
      <c r="E144" s="6"/>
      <c r="F144" s="36"/>
      <c r="G144" s="37"/>
      <c r="H144" s="59"/>
    </row>
    <row r="145" spans="2:8" ht="15.75">
      <c r="B145" s="56"/>
      <c r="C145" s="40"/>
      <c r="D145" s="51" t="s">
        <v>185</v>
      </c>
      <c r="E145" s="6"/>
      <c r="F145" s="36"/>
      <c r="G145" s="37"/>
      <c r="H145" s="59"/>
    </row>
    <row r="146" spans="2:8" ht="15.75">
      <c r="B146" s="56"/>
      <c r="C146" s="40"/>
      <c r="D146" s="51" t="s">
        <v>186</v>
      </c>
      <c r="E146" s="6"/>
      <c r="F146" s="36"/>
      <c r="G146" s="37"/>
      <c r="H146" s="59"/>
    </row>
    <row r="147" spans="2:8" ht="15.75">
      <c r="B147" s="56"/>
      <c r="C147" s="40"/>
      <c r="D147" s="51" t="s">
        <v>187</v>
      </c>
      <c r="E147" s="6"/>
      <c r="F147" s="36"/>
      <c r="G147" s="37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37"/>
      <c r="H148" s="59">
        <f t="shared" si="1"/>
        <v>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37"/>
      <c r="H149" s="59">
        <f t="shared" si="1"/>
        <v>0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37"/>
      <c r="H150" s="59">
        <f t="shared" si="1"/>
        <v>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/>
      <c r="H152" s="59">
        <f t="shared" si="1"/>
        <v>0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/>
      <c r="H154" s="59">
        <f t="shared" si="1"/>
        <v>0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/>
      <c r="H155" s="59">
        <f t="shared" si="1"/>
        <v>0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/>
      <c r="H156" s="59">
        <f t="shared" si="1"/>
        <v>0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/>
      <c r="H157" s="59">
        <f t="shared" si="1"/>
        <v>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/>
      <c r="H158" s="59">
        <f t="shared" si="1"/>
        <v>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/>
      <c r="H159" s="59">
        <f t="shared" si="1"/>
        <v>0</v>
      </c>
    </row>
    <row r="160" spans="2:8">
      <c r="B160" s="105" t="s">
        <v>14</v>
      </c>
      <c r="C160" s="85" t="s">
        <v>269</v>
      </c>
      <c r="D160" s="172" t="s">
        <v>309</v>
      </c>
      <c r="E160" s="86" t="s">
        <v>50</v>
      </c>
      <c r="F160" s="87">
        <v>1</v>
      </c>
      <c r="G160" s="75"/>
      <c r="H160" s="104">
        <f t="shared" si="1"/>
        <v>0</v>
      </c>
    </row>
    <row r="161" spans="2:8" ht="15.75">
      <c r="B161" s="39"/>
      <c r="C161" s="40"/>
      <c r="D161" s="51"/>
      <c r="E161" s="6"/>
      <c r="F161" s="228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0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37"/>
      <c r="H164" s="59">
        <f t="shared" si="1"/>
        <v>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37"/>
      <c r="H165" s="59">
        <f t="shared" si="1"/>
        <v>0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37"/>
      <c r="H166" s="59">
        <f t="shared" ref="H166:H180" si="2">F166*G166</f>
        <v>0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37"/>
      <c r="H167" s="59">
        <f t="shared" si="2"/>
        <v>0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37"/>
      <c r="H168" s="59">
        <f t="shared" si="2"/>
        <v>0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37"/>
      <c r="H169" s="59">
        <f t="shared" si="2"/>
        <v>0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37"/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37"/>
      <c r="H171" s="59">
        <f t="shared" si="2"/>
        <v>0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37"/>
      <c r="H172" s="59">
        <f t="shared" si="2"/>
        <v>0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37"/>
      <c r="H173" s="59">
        <f t="shared" si="2"/>
        <v>0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37"/>
      <c r="H174" s="59">
        <f t="shared" si="2"/>
        <v>0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37"/>
      <c r="H175" s="59">
        <f t="shared" si="2"/>
        <v>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37"/>
      <c r="H176" s="59">
        <f t="shared" si="2"/>
        <v>0</v>
      </c>
    </row>
    <row r="177" spans="1:8" ht="15.75">
      <c r="A177" s="205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37"/>
      <c r="H177" s="59">
        <f t="shared" si="2"/>
        <v>0</v>
      </c>
    </row>
    <row r="178" spans="1:8" ht="15.75">
      <c r="A178" s="205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37"/>
      <c r="H178" s="59">
        <f t="shared" si="2"/>
        <v>0</v>
      </c>
    </row>
    <row r="179" spans="1:8" ht="15.75">
      <c r="A179" s="205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37"/>
      <c r="H179" s="59">
        <f t="shared" si="2"/>
        <v>0</v>
      </c>
    </row>
    <row r="180" spans="1:8" ht="15.75">
      <c r="A180" s="205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37"/>
      <c r="H180" s="59">
        <f t="shared" si="2"/>
        <v>0</v>
      </c>
    </row>
    <row r="181" spans="1:8" ht="15.75">
      <c r="A181" s="205"/>
      <c r="B181" s="39"/>
      <c r="C181" s="40"/>
      <c r="D181" s="51"/>
      <c r="E181" s="6"/>
      <c r="F181" s="36"/>
      <c r="G181" s="37"/>
      <c r="H181" s="59"/>
    </row>
    <row r="182" spans="1:8" ht="15.75">
      <c r="A182" s="205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SUM(H183:H193)</f>
        <v>0</v>
      </c>
    </row>
    <row r="183" spans="1:8" ht="15.75">
      <c r="A183" s="205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37"/>
      <c r="H183" s="59">
        <f t="shared" ref="H183:H195" si="3">F183*G183</f>
        <v>0</v>
      </c>
    </row>
    <row r="184" spans="1:8" ht="15.75">
      <c r="A184" s="205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37"/>
      <c r="H184" s="59">
        <f t="shared" si="3"/>
        <v>0</v>
      </c>
    </row>
    <row r="185" spans="1:8" ht="15.75">
      <c r="A185" s="205"/>
      <c r="B185" s="39">
        <v>3</v>
      </c>
      <c r="C185" s="40" t="s">
        <v>321</v>
      </c>
      <c r="D185" s="51" t="s">
        <v>322</v>
      </c>
      <c r="E185" s="6" t="s">
        <v>9</v>
      </c>
      <c r="F185" s="36">
        <v>26.977</v>
      </c>
      <c r="G185" s="135"/>
      <c r="H185" s="59">
        <f t="shared" si="3"/>
        <v>0</v>
      </c>
    </row>
    <row r="186" spans="1:8" ht="15.75">
      <c r="A186" s="205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135"/>
      <c r="H186" s="59">
        <f t="shared" si="3"/>
        <v>0</v>
      </c>
    </row>
    <row r="187" spans="1:8" ht="15.75">
      <c r="A187" s="205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135"/>
      <c r="H187" s="59">
        <f t="shared" si="3"/>
        <v>0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135"/>
      <c r="H188" s="59">
        <f t="shared" si="3"/>
        <v>0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135"/>
      <c r="H189" s="59">
        <f t="shared" si="3"/>
        <v>0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135"/>
      <c r="H190" s="59">
        <f t="shared" si="3"/>
        <v>0</v>
      </c>
    </row>
    <row r="191" spans="1:8" ht="30">
      <c r="A191" s="7"/>
      <c r="B191" s="50">
        <v>9</v>
      </c>
      <c r="C191" s="51" t="s">
        <v>133</v>
      </c>
      <c r="D191" s="54" t="s">
        <v>308</v>
      </c>
      <c r="E191" s="52" t="s">
        <v>47</v>
      </c>
      <c r="F191" s="61">
        <v>1</v>
      </c>
      <c r="G191" s="135"/>
      <c r="H191" s="59">
        <f t="shared" si="3"/>
        <v>0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135"/>
      <c r="H192" s="59">
        <f t="shared" si="3"/>
        <v>0</v>
      </c>
    </row>
    <row r="193" spans="1:9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135"/>
      <c r="H193" s="59">
        <f t="shared" si="3"/>
        <v>0</v>
      </c>
    </row>
    <row r="194" spans="1:9" ht="30">
      <c r="A194" s="7"/>
      <c r="B194" s="262">
        <v>12</v>
      </c>
      <c r="C194" s="172" t="s">
        <v>311</v>
      </c>
      <c r="D194" s="163" t="s">
        <v>323</v>
      </c>
      <c r="E194" s="173" t="s">
        <v>314</v>
      </c>
      <c r="F194" s="263">
        <v>1</v>
      </c>
      <c r="G194" s="44"/>
      <c r="H194" s="59">
        <f t="shared" si="3"/>
        <v>0</v>
      </c>
    </row>
    <row r="195" spans="1:9" ht="15.75">
      <c r="A195" s="7"/>
      <c r="B195" s="50">
        <v>13</v>
      </c>
      <c r="C195" s="51" t="s">
        <v>313</v>
      </c>
      <c r="D195" s="51" t="s">
        <v>176</v>
      </c>
      <c r="E195" s="52" t="s">
        <v>9</v>
      </c>
      <c r="F195" s="61">
        <f>9.89-0.6</f>
        <v>9.2900000000000009</v>
      </c>
      <c r="G195" s="135"/>
      <c r="H195" s="59">
        <f t="shared" si="3"/>
        <v>0</v>
      </c>
    </row>
    <row r="196" spans="1:9" ht="15.75">
      <c r="B196" s="233"/>
      <c r="C196" s="45"/>
      <c r="D196" s="133"/>
      <c r="E196" s="45"/>
      <c r="F196" s="45"/>
      <c r="G196" s="64"/>
      <c r="H196" s="59"/>
      <c r="I196" s="234"/>
    </row>
    <row r="197" spans="1:9" ht="15.75">
      <c r="B197" s="233"/>
      <c r="C197" s="45"/>
      <c r="D197" s="81"/>
      <c r="E197" s="65"/>
      <c r="F197" s="65"/>
      <c r="G197" s="60" t="s">
        <v>200</v>
      </c>
      <c r="H197" s="268">
        <f>SUM(H8:H196)/2</f>
        <v>0</v>
      </c>
    </row>
    <row r="198" spans="1:9" ht="15.75">
      <c r="B198" s="233"/>
      <c r="C198" s="45"/>
      <c r="D198" s="81"/>
      <c r="E198" s="65"/>
      <c r="F198" s="65"/>
      <c r="G198" s="60" t="s">
        <v>201</v>
      </c>
      <c r="H198" s="66">
        <f>ROUNDDOWN(H197,-5)</f>
        <v>0</v>
      </c>
    </row>
    <row r="199" spans="1:9" ht="15.75">
      <c r="B199" s="233"/>
      <c r="C199" s="45"/>
      <c r="D199" s="81"/>
      <c r="E199" s="65"/>
      <c r="F199" s="65"/>
      <c r="G199" s="60" t="s">
        <v>150</v>
      </c>
      <c r="H199" s="66">
        <f>H198</f>
        <v>0</v>
      </c>
    </row>
    <row r="200" spans="1:9" ht="15.75">
      <c r="B200" s="233"/>
      <c r="C200" s="45"/>
      <c r="D200" s="81"/>
      <c r="E200" s="65"/>
      <c r="F200" s="65"/>
      <c r="G200" s="60" t="s">
        <v>202</v>
      </c>
      <c r="H200" s="66">
        <f>H199*0.1</f>
        <v>0</v>
      </c>
    </row>
    <row r="201" spans="1:9" ht="16.5" thickBot="1">
      <c r="B201" s="235"/>
      <c r="C201" s="236"/>
      <c r="D201" s="82"/>
      <c r="E201" s="68"/>
      <c r="F201" s="68"/>
      <c r="G201" s="67" t="s">
        <v>203</v>
      </c>
      <c r="H201" s="69">
        <f>H199+H200</f>
        <v>0</v>
      </c>
    </row>
    <row r="202" spans="1:9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view="pageBreakPreview" topLeftCell="A13" zoomScale="85" zoomScaleNormal="85" zoomScaleSheetLayoutView="85" workbookViewId="0">
      <selection activeCell="C53" sqref="C53"/>
    </sheetView>
  </sheetViews>
  <sheetFormatPr defaultRowHeight="15"/>
  <cols>
    <col min="1" max="1" width="5" style="223" customWidth="1"/>
    <col min="2" max="2" width="9.140625" style="241"/>
    <col min="3" max="3" width="36" style="241" customWidth="1"/>
    <col min="4" max="4" width="71.28515625" style="241" customWidth="1"/>
    <col min="5" max="5" width="9.85546875" style="241" customWidth="1"/>
    <col min="6" max="6" width="12" style="241" bestFit="1" customWidth="1"/>
    <col min="7" max="8" width="21.5703125" style="89" customWidth="1"/>
    <col min="9" max="16384" width="9.140625" style="223"/>
  </cols>
  <sheetData>
    <row r="2" spans="2:8" ht="15.75">
      <c r="B2" s="88" t="s">
        <v>0</v>
      </c>
      <c r="C2" s="239"/>
      <c r="D2" s="240"/>
      <c r="E2" s="240"/>
    </row>
    <row r="3" spans="2:8" ht="15.75">
      <c r="B3" s="88" t="s">
        <v>271</v>
      </c>
      <c r="C3" s="239"/>
      <c r="D3" s="240"/>
      <c r="E3" s="240"/>
    </row>
    <row r="4" spans="2:8" ht="15.75">
      <c r="B4" s="88" t="s">
        <v>1</v>
      </c>
      <c r="C4" s="239"/>
      <c r="D4" s="240"/>
      <c r="E4" s="291" t="s">
        <v>273</v>
      </c>
      <c r="F4" s="291"/>
      <c r="G4" s="291"/>
      <c r="H4" s="291"/>
    </row>
    <row r="5" spans="2:8" ht="15.75" thickBot="1">
      <c r="B5" s="240"/>
      <c r="C5" s="240"/>
      <c r="D5" s="240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/>
    </row>
    <row r="9" spans="2:8">
      <c r="B9" s="103">
        <v>1</v>
      </c>
      <c r="C9" s="85" t="s">
        <v>8</v>
      </c>
      <c r="D9" s="85"/>
      <c r="E9" s="86" t="s">
        <v>9</v>
      </c>
      <c r="F9" s="87">
        <v>43</v>
      </c>
      <c r="G9" s="75">
        <v>0</v>
      </c>
      <c r="H9" s="104">
        <f>F9*G9</f>
        <v>0</v>
      </c>
    </row>
    <row r="10" spans="2:8">
      <c r="B10" s="103">
        <v>2</v>
      </c>
      <c r="C10" s="85" t="s">
        <v>10</v>
      </c>
      <c r="D10" s="85"/>
      <c r="E10" s="86" t="s">
        <v>11</v>
      </c>
      <c r="F10" s="87">
        <v>1</v>
      </c>
      <c r="G10" s="75">
        <v>0</v>
      </c>
      <c r="H10" s="104">
        <f t="shared" ref="H10:H82" si="0">F10*G10</f>
        <v>0</v>
      </c>
    </row>
    <row r="11" spans="2:8">
      <c r="B11" s="103">
        <v>3</v>
      </c>
      <c r="C11" s="85" t="s">
        <v>12</v>
      </c>
      <c r="D11" s="85"/>
      <c r="E11" s="86" t="s">
        <v>11</v>
      </c>
      <c r="F11" s="87">
        <v>1</v>
      </c>
      <c r="G11" s="75">
        <v>0</v>
      </c>
      <c r="H11" s="104">
        <f t="shared" si="0"/>
        <v>0</v>
      </c>
    </row>
    <row r="12" spans="2:8">
      <c r="B12" s="103">
        <v>4</v>
      </c>
      <c r="C12" s="85" t="s">
        <v>13</v>
      </c>
      <c r="D12" s="85"/>
      <c r="E12" s="86" t="s">
        <v>11</v>
      </c>
      <c r="F12" s="87">
        <v>1</v>
      </c>
      <c r="G12" s="75">
        <v>0</v>
      </c>
      <c r="H12" s="104">
        <f t="shared" si="0"/>
        <v>0</v>
      </c>
    </row>
    <row r="13" spans="2:8">
      <c r="B13" s="103">
        <v>5</v>
      </c>
      <c r="C13" s="85" t="s">
        <v>87</v>
      </c>
      <c r="D13" s="85"/>
      <c r="E13" s="86"/>
      <c r="F13" s="87"/>
      <c r="G13" s="75">
        <f>'[17] Ruko 2 Lantai Kombinasi'!G13</f>
        <v>0</v>
      </c>
      <c r="H13" s="104">
        <f t="shared" si="0"/>
        <v>0</v>
      </c>
    </row>
    <row r="14" spans="2:8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75">
        <v>0</v>
      </c>
      <c r="H14" s="104">
        <f t="shared" si="0"/>
        <v>0</v>
      </c>
    </row>
    <row r="15" spans="2:8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75"/>
      <c r="H16" s="104">
        <f t="shared" si="0"/>
        <v>0</v>
      </c>
    </row>
    <row r="17" spans="2:8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75"/>
      <c r="H17" s="104">
        <f t="shared" si="0"/>
        <v>0</v>
      </c>
    </row>
    <row r="18" spans="2:8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75"/>
      <c r="H18" s="104">
        <f t="shared" si="0"/>
        <v>0</v>
      </c>
    </row>
    <row r="19" spans="2:8">
      <c r="B19" s="103">
        <v>3</v>
      </c>
      <c r="C19" s="53" t="s">
        <v>20</v>
      </c>
      <c r="D19" s="242"/>
      <c r="E19" s="86" t="s">
        <v>19</v>
      </c>
      <c r="F19" s="107">
        <v>4.4486692000000003</v>
      </c>
      <c r="G19" s="75"/>
      <c r="H19" s="104">
        <f t="shared" si="0"/>
        <v>0</v>
      </c>
    </row>
    <row r="20" spans="2:8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75"/>
      <c r="H20" s="104">
        <f t="shared" si="0"/>
        <v>0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/>
      <c r="H21" s="104">
        <f t="shared" si="0"/>
        <v>0</v>
      </c>
    </row>
    <row r="22" spans="2:8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75"/>
      <c r="H23" s="104">
        <f t="shared" si="0"/>
        <v>0</v>
      </c>
    </row>
    <row r="24" spans="2:8">
      <c r="B24" s="103">
        <v>1</v>
      </c>
      <c r="C24" s="85" t="s">
        <v>90</v>
      </c>
      <c r="D24" s="85"/>
      <c r="E24" s="86" t="s">
        <v>72</v>
      </c>
      <c r="F24" s="107">
        <v>10</v>
      </c>
      <c r="G24" s="75"/>
      <c r="H24" s="104">
        <f t="shared" si="0"/>
        <v>0</v>
      </c>
    </row>
    <row r="25" spans="2:8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75"/>
      <c r="H26" s="104">
        <f t="shared" si="0"/>
        <v>0</v>
      </c>
    </row>
    <row r="27" spans="2:8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/>
      <c r="H27" s="104">
        <f t="shared" si="0"/>
        <v>0</v>
      </c>
    </row>
    <row r="28" spans="2:8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/>
      <c r="H28" s="104">
        <f t="shared" si="0"/>
        <v>0</v>
      </c>
    </row>
    <row r="29" spans="2:8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/>
      <c r="H29" s="104">
        <f t="shared" si="0"/>
        <v>0</v>
      </c>
    </row>
    <row r="30" spans="2:8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/>
      <c r="H30" s="104">
        <f t="shared" si="0"/>
        <v>0</v>
      </c>
    </row>
    <row r="31" spans="2:8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/>
      <c r="H31" s="104">
        <f t="shared" si="0"/>
        <v>0</v>
      </c>
    </row>
    <row r="32" spans="2:8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/>
      <c r="H32" s="104">
        <f t="shared" si="0"/>
        <v>0</v>
      </c>
    </row>
    <row r="33" spans="2:12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/>
      <c r="H33" s="104">
        <f t="shared" si="0"/>
        <v>0</v>
      </c>
      <c r="J33" s="223" t="s">
        <v>255</v>
      </c>
    </row>
    <row r="34" spans="2:12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/>
      <c r="H34" s="104">
        <f t="shared" si="0"/>
        <v>0</v>
      </c>
      <c r="J34" s="223" t="s">
        <v>256</v>
      </c>
      <c r="K34" s="223">
        <f>1.7*0.2*0.3*0.5</f>
        <v>5.1000000000000004E-2</v>
      </c>
      <c r="L34" s="223">
        <f>0.2*0.3*1.7</f>
        <v>0.10199999999999999</v>
      </c>
    </row>
    <row r="35" spans="2:12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75"/>
      <c r="H35" s="104">
        <f t="shared" si="0"/>
        <v>0</v>
      </c>
      <c r="J35" s="223" t="s">
        <v>257</v>
      </c>
      <c r="K35" s="223">
        <f>0.2*0.4*5*0.5</f>
        <v>0.20000000000000004</v>
      </c>
      <c r="L35" s="223">
        <f>0.2*0.4*5</f>
        <v>0.40000000000000008</v>
      </c>
    </row>
    <row r="36" spans="2:12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75"/>
      <c r="H36" s="104">
        <f t="shared" si="0"/>
        <v>0</v>
      </c>
      <c r="J36" s="223" t="s">
        <v>257</v>
      </c>
      <c r="K36" s="223">
        <f>0.2*0.4*3.65*0.5</f>
        <v>0.14600000000000002</v>
      </c>
      <c r="L36" s="223">
        <f>0.2*0.4*3.65*1</f>
        <v>0.29200000000000004</v>
      </c>
    </row>
    <row r="37" spans="2:12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75"/>
      <c r="H37" s="104">
        <f t="shared" si="0"/>
        <v>0</v>
      </c>
      <c r="J37" s="223" t="s">
        <v>257</v>
      </c>
      <c r="K37" s="223">
        <f>3.65*0.2*0.4*0.5</f>
        <v>0.14599999999999999</v>
      </c>
      <c r="L37" s="223">
        <f>3.65*0.2*0.4</f>
        <v>0.29199999999999998</v>
      </c>
    </row>
    <row r="38" spans="2:12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75"/>
      <c r="H38" s="104">
        <f t="shared" si="0"/>
        <v>0</v>
      </c>
      <c r="J38" s="223" t="s">
        <v>259</v>
      </c>
      <c r="K38" s="223">
        <f>1*0.2*0.4*0.5</f>
        <v>4.0000000000000008E-2</v>
      </c>
      <c r="L38" s="223">
        <f>0.2*0.4*1*1</f>
        <v>8.0000000000000016E-2</v>
      </c>
    </row>
    <row r="39" spans="2:12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75"/>
      <c r="H39" s="104">
        <f t="shared" si="0"/>
        <v>0</v>
      </c>
      <c r="J39" s="223" t="s">
        <v>260</v>
      </c>
      <c r="L39" s="223">
        <f>1.7*0.15*0.3*2</f>
        <v>0.153</v>
      </c>
    </row>
    <row r="40" spans="2:12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75"/>
      <c r="H40" s="104">
        <f t="shared" si="0"/>
        <v>0</v>
      </c>
      <c r="J40" s="223" t="s">
        <v>261</v>
      </c>
      <c r="L40" s="223">
        <f>0.2*0.4*4.5</f>
        <v>0.3600000000000001</v>
      </c>
    </row>
    <row r="41" spans="2:12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75"/>
      <c r="H41" s="104">
        <f t="shared" si="0"/>
        <v>0</v>
      </c>
      <c r="J41" s="223" t="s">
        <v>262</v>
      </c>
      <c r="L41" s="223">
        <f>0.25*0.5*4.5*2</f>
        <v>1.125</v>
      </c>
    </row>
    <row r="42" spans="2:12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/>
      <c r="H42" s="104">
        <f t="shared" si="0"/>
        <v>0</v>
      </c>
      <c r="J42" s="223" t="s">
        <v>257</v>
      </c>
      <c r="L42" s="223">
        <f>0.2*0.4*4.5*2</f>
        <v>0.7200000000000002</v>
      </c>
    </row>
    <row r="43" spans="2:12" ht="4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75"/>
      <c r="H43" s="104">
        <f t="shared" si="0"/>
        <v>0</v>
      </c>
    </row>
    <row r="44" spans="2:12">
      <c r="B44" s="103">
        <v>11</v>
      </c>
      <c r="C44" s="85" t="s">
        <v>251</v>
      </c>
      <c r="D44" s="108"/>
      <c r="E44" s="86" t="s">
        <v>19</v>
      </c>
      <c r="F44" s="87">
        <v>8.1692307692307703E-2</v>
      </c>
      <c r="G44" s="75"/>
      <c r="H44" s="104">
        <f t="shared" si="0"/>
        <v>0</v>
      </c>
    </row>
    <row r="45" spans="2:12">
      <c r="B45" s="103"/>
      <c r="C45" s="85"/>
      <c r="D45" s="85"/>
      <c r="E45" s="86"/>
      <c r="F45" s="87"/>
      <c r="G45" s="75"/>
      <c r="H45" s="104">
        <f t="shared" si="0"/>
        <v>0</v>
      </c>
      <c r="J45" s="223" t="s">
        <v>258</v>
      </c>
      <c r="L45" s="223">
        <f>0.15*0.4*4.5</f>
        <v>0.27</v>
      </c>
    </row>
    <row r="46" spans="2:12" ht="15.75">
      <c r="B46" s="100" t="s">
        <v>28</v>
      </c>
      <c r="C46" s="106" t="s">
        <v>29</v>
      </c>
      <c r="D46" s="106"/>
      <c r="E46" s="86"/>
      <c r="F46" s="87"/>
      <c r="G46" s="75"/>
      <c r="H46" s="104">
        <f t="shared" si="0"/>
        <v>0</v>
      </c>
      <c r="J46" s="223" t="s">
        <v>257</v>
      </c>
      <c r="L46" s="223">
        <f>0.2*0.4*5</f>
        <v>0.40000000000000008</v>
      </c>
    </row>
    <row r="47" spans="2:12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  <c r="J47" s="223" t="s">
        <v>263</v>
      </c>
    </row>
    <row r="48" spans="2:12" ht="30">
      <c r="B48" s="103">
        <v>1</v>
      </c>
      <c r="C48" s="85" t="s">
        <v>100</v>
      </c>
      <c r="D48" s="163" t="s">
        <v>317</v>
      </c>
      <c r="E48" s="86" t="s">
        <v>15</v>
      </c>
      <c r="F48" s="87">
        <v>4.5</v>
      </c>
      <c r="G48" s="75"/>
      <c r="H48" s="104">
        <f t="shared" si="0"/>
        <v>0</v>
      </c>
      <c r="J48" s="223" t="s">
        <v>256</v>
      </c>
      <c r="K48" s="223">
        <f>1.7*0.2*0.3*0.5</f>
        <v>5.1000000000000004E-2</v>
      </c>
      <c r="L48" s="223">
        <f>0.2*0.3*1.7</f>
        <v>0.10199999999999999</v>
      </c>
    </row>
    <row r="49" spans="2:12">
      <c r="B49" s="103">
        <v>2</v>
      </c>
      <c r="C49" s="85" t="s">
        <v>101</v>
      </c>
      <c r="D49" s="160"/>
      <c r="E49" s="86"/>
      <c r="F49" s="87"/>
      <c r="G49" s="75"/>
      <c r="H49" s="104">
        <f t="shared" si="0"/>
        <v>0</v>
      </c>
      <c r="J49" s="223" t="s">
        <v>257</v>
      </c>
      <c r="K49" s="223">
        <f>0.2*0.4*5*0.5</f>
        <v>0.20000000000000004</v>
      </c>
      <c r="L49" s="223">
        <f>0.2*0.4*5</f>
        <v>0.40000000000000008</v>
      </c>
    </row>
    <row r="50" spans="2:12">
      <c r="B50" s="103">
        <v>3</v>
      </c>
      <c r="C50" s="85" t="s">
        <v>102</v>
      </c>
      <c r="D50" s="160" t="s">
        <v>166</v>
      </c>
      <c r="E50" s="86" t="s">
        <v>15</v>
      </c>
      <c r="F50" s="87">
        <v>54.985378867000001</v>
      </c>
      <c r="G50" s="75"/>
      <c r="H50" s="104">
        <f t="shared" si="0"/>
        <v>0</v>
      </c>
      <c r="J50" s="223" t="s">
        <v>257</v>
      </c>
      <c r="K50" s="223">
        <f>0.2*0.4*3.65*0.5</f>
        <v>0.14600000000000002</v>
      </c>
      <c r="L50" s="223">
        <f>0.2*0.4*3.65*1</f>
        <v>0.29200000000000004</v>
      </c>
    </row>
    <row r="51" spans="2:12">
      <c r="B51" s="103">
        <v>4</v>
      </c>
      <c r="C51" s="85" t="s">
        <v>103</v>
      </c>
      <c r="D51" s="160" t="s">
        <v>319</v>
      </c>
      <c r="E51" s="86" t="s">
        <v>15</v>
      </c>
      <c r="F51" s="87">
        <v>2.7731172659999999</v>
      </c>
      <c r="G51" s="75"/>
      <c r="H51" s="104">
        <f t="shared" si="0"/>
        <v>0</v>
      </c>
      <c r="J51" s="223" t="s">
        <v>257</v>
      </c>
      <c r="K51" s="223">
        <f>3.65*0.2*0.4*0.5</f>
        <v>0.14599999999999999</v>
      </c>
      <c r="L51" s="223">
        <f>3.65*0.2*0.4</f>
        <v>0.29199999999999998</v>
      </c>
    </row>
    <row r="52" spans="2:12">
      <c r="B52" s="103">
        <v>5</v>
      </c>
      <c r="C52" s="85" t="s">
        <v>104</v>
      </c>
      <c r="D52" s="160" t="s">
        <v>166</v>
      </c>
      <c r="E52" s="86" t="s">
        <v>15</v>
      </c>
      <c r="F52" s="87">
        <v>9.5839976869000019</v>
      </c>
      <c r="G52" s="75"/>
      <c r="H52" s="104">
        <f t="shared" si="0"/>
        <v>0</v>
      </c>
      <c r="J52" s="223" t="s">
        <v>259</v>
      </c>
      <c r="K52" s="223">
        <f>1*0.2*0.4*0.5</f>
        <v>4.0000000000000008E-2</v>
      </c>
      <c r="L52" s="223">
        <f>0.2*0.4*1*1</f>
        <v>8.0000000000000016E-2</v>
      </c>
    </row>
    <row r="53" spans="2:12" ht="30">
      <c r="B53" s="103">
        <v>6</v>
      </c>
      <c r="C53" s="85" t="s">
        <v>266</v>
      </c>
      <c r="D53" s="163" t="s">
        <v>318</v>
      </c>
      <c r="E53" s="86" t="s">
        <v>9</v>
      </c>
      <c r="F53" s="87">
        <v>7.7</v>
      </c>
      <c r="G53" s="75"/>
      <c r="H53" s="104">
        <f t="shared" si="0"/>
        <v>0</v>
      </c>
    </row>
    <row r="54" spans="2:12" ht="30">
      <c r="B54" s="103">
        <v>7</v>
      </c>
      <c r="C54" s="85" t="s">
        <v>267</v>
      </c>
      <c r="D54" s="163" t="s">
        <v>317</v>
      </c>
      <c r="E54" s="86" t="s">
        <v>15</v>
      </c>
      <c r="F54" s="87">
        <v>2.5499999999999998</v>
      </c>
      <c r="G54" s="75"/>
      <c r="H54" s="104">
        <f t="shared" si="0"/>
        <v>0</v>
      </c>
    </row>
    <row r="55" spans="2:12" ht="15.75">
      <c r="B55" s="100"/>
      <c r="C55" s="106" t="s">
        <v>105</v>
      </c>
      <c r="D55" s="161"/>
      <c r="E55" s="86"/>
      <c r="F55" s="87"/>
      <c r="G55" s="75"/>
      <c r="H55" s="104">
        <f t="shared" si="0"/>
        <v>0</v>
      </c>
      <c r="J55" s="223" t="s">
        <v>260</v>
      </c>
      <c r="L55" s="223">
        <f>1.7*0.15*0.3*2</f>
        <v>0.153</v>
      </c>
    </row>
    <row r="56" spans="2:12">
      <c r="B56" s="103">
        <v>1</v>
      </c>
      <c r="C56" s="85" t="s">
        <v>102</v>
      </c>
      <c r="D56" s="160" t="s">
        <v>166</v>
      </c>
      <c r="E56" s="86" t="s">
        <v>15</v>
      </c>
      <c r="F56" s="87">
        <v>54.879509729900001</v>
      </c>
      <c r="G56" s="75"/>
      <c r="H56" s="104">
        <f t="shared" si="0"/>
        <v>0</v>
      </c>
      <c r="J56" s="223" t="s">
        <v>261</v>
      </c>
      <c r="L56" s="223">
        <f>0.2*0.4*4.5</f>
        <v>0.3600000000000001</v>
      </c>
    </row>
    <row r="57" spans="2:12">
      <c r="B57" s="103">
        <v>2</v>
      </c>
      <c r="C57" s="85" t="s">
        <v>103</v>
      </c>
      <c r="D57" s="160" t="s">
        <v>319</v>
      </c>
      <c r="E57" s="86" t="s">
        <v>15</v>
      </c>
      <c r="F57" s="87">
        <v>2.7732250000000001</v>
      </c>
      <c r="G57" s="75"/>
      <c r="H57" s="104">
        <f t="shared" si="0"/>
        <v>0</v>
      </c>
      <c r="J57" s="223" t="s">
        <v>262</v>
      </c>
      <c r="L57" s="223">
        <f>0.25*0.5*4.5*1</f>
        <v>0.5625</v>
      </c>
    </row>
    <row r="58" spans="2:12">
      <c r="B58" s="103">
        <v>3</v>
      </c>
      <c r="C58" s="53" t="s">
        <v>104</v>
      </c>
      <c r="D58" s="160" t="s">
        <v>166</v>
      </c>
      <c r="E58" s="86" t="s">
        <v>15</v>
      </c>
      <c r="F58" s="87">
        <v>7.9472750000000003</v>
      </c>
      <c r="G58" s="75"/>
      <c r="H58" s="104">
        <f t="shared" si="0"/>
        <v>0</v>
      </c>
      <c r="J58" s="223" t="s">
        <v>257</v>
      </c>
      <c r="L58" s="223">
        <f>0.2*0.4*4.5*2</f>
        <v>0.7200000000000002</v>
      </c>
    </row>
    <row r="59" spans="2:12" ht="15.75">
      <c r="B59" s="110"/>
      <c r="C59" s="55" t="s">
        <v>137</v>
      </c>
      <c r="D59" s="169"/>
      <c r="E59" s="86"/>
      <c r="F59" s="87"/>
      <c r="G59" s="75"/>
      <c r="H59" s="104">
        <f t="shared" si="0"/>
        <v>0</v>
      </c>
      <c r="J59" s="223" t="s">
        <v>258</v>
      </c>
      <c r="L59" s="223">
        <f>0.15*0.4*4.5</f>
        <v>0.27</v>
      </c>
    </row>
    <row r="60" spans="2:12">
      <c r="B60" s="111">
        <v>1</v>
      </c>
      <c r="C60" s="53" t="s">
        <v>102</v>
      </c>
      <c r="D60" s="160" t="s">
        <v>166</v>
      </c>
      <c r="E60" s="86" t="s">
        <v>15</v>
      </c>
      <c r="F60" s="87">
        <v>55.757553000000001</v>
      </c>
      <c r="G60" s="75"/>
      <c r="H60" s="104">
        <f t="shared" si="0"/>
        <v>0</v>
      </c>
      <c r="J60" s="223" t="s">
        <v>260</v>
      </c>
      <c r="L60" s="223">
        <f>1*0.15*0.3</f>
        <v>4.4999999999999998E-2</v>
      </c>
    </row>
    <row r="61" spans="2:12">
      <c r="B61" s="111">
        <v>2</v>
      </c>
      <c r="C61" s="53" t="s">
        <v>103</v>
      </c>
      <c r="D61" s="160" t="s">
        <v>319</v>
      </c>
      <c r="E61" s="86" t="s">
        <v>15</v>
      </c>
      <c r="F61" s="87">
        <v>2.7732250000000001</v>
      </c>
      <c r="G61" s="75"/>
      <c r="H61" s="104">
        <f t="shared" si="0"/>
        <v>0</v>
      </c>
      <c r="J61" s="223" t="s">
        <v>257</v>
      </c>
      <c r="L61" s="223">
        <f>0.2*0.4*5</f>
        <v>0.40000000000000008</v>
      </c>
    </row>
    <row r="62" spans="2:12">
      <c r="B62" s="103"/>
      <c r="C62" s="85"/>
      <c r="D62" s="112"/>
      <c r="E62" s="86"/>
      <c r="F62" s="87"/>
      <c r="G62" s="75"/>
      <c r="H62" s="104">
        <f t="shared" si="0"/>
        <v>0</v>
      </c>
    </row>
    <row r="63" spans="2:12" ht="15.75">
      <c r="B63" s="100" t="s">
        <v>30</v>
      </c>
      <c r="C63" s="106" t="s">
        <v>31</v>
      </c>
      <c r="D63" s="109"/>
      <c r="E63" s="86"/>
      <c r="F63" s="87"/>
      <c r="G63" s="75"/>
      <c r="H63" s="104">
        <f t="shared" si="0"/>
        <v>0</v>
      </c>
      <c r="L63" s="223">
        <f>SUM(K34:L61)</f>
        <v>9.036500000000002</v>
      </c>
    </row>
    <row r="64" spans="2:12" ht="15.75">
      <c r="B64" s="100"/>
      <c r="C64" s="106" t="s">
        <v>99</v>
      </c>
      <c r="D64" s="109"/>
      <c r="E64" s="86"/>
      <c r="F64" s="87"/>
      <c r="G64" s="75"/>
      <c r="H64" s="104">
        <f t="shared" si="0"/>
        <v>0</v>
      </c>
    </row>
    <row r="65" spans="2:12">
      <c r="B65" s="103">
        <v>1</v>
      </c>
      <c r="C65" s="85" t="s">
        <v>103</v>
      </c>
      <c r="D65" s="160" t="s">
        <v>320</v>
      </c>
      <c r="E65" s="86" t="s">
        <v>15</v>
      </c>
      <c r="F65" s="87">
        <v>11.807600000000001</v>
      </c>
      <c r="G65" s="75"/>
      <c r="H65" s="104">
        <f t="shared" si="0"/>
        <v>0</v>
      </c>
      <c r="J65" s="223" t="s">
        <v>264</v>
      </c>
    </row>
    <row r="66" spans="2:12">
      <c r="B66" s="103">
        <v>2</v>
      </c>
      <c r="C66" s="85" t="s">
        <v>106</v>
      </c>
      <c r="D66" s="160" t="s">
        <v>167</v>
      </c>
      <c r="E66" s="86" t="s">
        <v>15</v>
      </c>
      <c r="F66" s="87">
        <v>29.47</v>
      </c>
      <c r="G66" s="75"/>
      <c r="H66" s="104">
        <f t="shared" si="0"/>
        <v>0</v>
      </c>
      <c r="J66" s="223" t="s">
        <v>256</v>
      </c>
      <c r="K66" s="223">
        <f>1.7*0.2*0.3</f>
        <v>0.10200000000000001</v>
      </c>
      <c r="L66" s="223">
        <f>0.2*0.3*1.7</f>
        <v>0.10199999999999999</v>
      </c>
    </row>
    <row r="67" spans="2:12" ht="15.75">
      <c r="B67" s="100"/>
      <c r="C67" s="106" t="s">
        <v>105</v>
      </c>
      <c r="D67" s="161"/>
      <c r="E67" s="86"/>
      <c r="F67" s="87"/>
      <c r="G67" s="75"/>
      <c r="H67" s="104">
        <f t="shared" si="0"/>
        <v>0</v>
      </c>
      <c r="J67" s="223" t="s">
        <v>258</v>
      </c>
      <c r="K67" s="223">
        <f>0.15*0.4*5</f>
        <v>0.3</v>
      </c>
      <c r="L67" s="223">
        <f>0.15*0.4*5</f>
        <v>0.3</v>
      </c>
    </row>
    <row r="68" spans="2:12">
      <c r="B68" s="103">
        <v>1</v>
      </c>
      <c r="C68" s="85" t="s">
        <v>103</v>
      </c>
      <c r="D68" s="160" t="s">
        <v>320</v>
      </c>
      <c r="E68" s="86" t="s">
        <v>15</v>
      </c>
      <c r="F68" s="87">
        <v>11.807600000000001</v>
      </c>
      <c r="G68" s="75"/>
      <c r="H68" s="104">
        <f t="shared" si="0"/>
        <v>0</v>
      </c>
      <c r="J68" s="223" t="s">
        <v>265</v>
      </c>
      <c r="K68" s="223">
        <f>0.15*0.3*3.65</f>
        <v>0.16424999999999998</v>
      </c>
      <c r="L68" s="223">
        <f>0.15*0.3*3.65</f>
        <v>0.16424999999999998</v>
      </c>
    </row>
    <row r="69" spans="2:12">
      <c r="B69" s="103">
        <v>2</v>
      </c>
      <c r="C69" s="85" t="s">
        <v>106</v>
      </c>
      <c r="D69" s="160" t="s">
        <v>167</v>
      </c>
      <c r="E69" s="86" t="s">
        <v>15</v>
      </c>
      <c r="F69" s="87">
        <v>30.337</v>
      </c>
      <c r="G69" s="75"/>
      <c r="H69" s="104">
        <f t="shared" si="0"/>
        <v>0</v>
      </c>
      <c r="J69" s="223" t="s">
        <v>258</v>
      </c>
      <c r="K69" s="223">
        <f>0.15*0.4*3.65</f>
        <v>0.219</v>
      </c>
      <c r="L69" s="223">
        <f>0.15*0.4*3.65</f>
        <v>0.219</v>
      </c>
    </row>
    <row r="70" spans="2:12" ht="15.75">
      <c r="B70" s="100"/>
      <c r="C70" s="106" t="s">
        <v>137</v>
      </c>
      <c r="D70" s="161"/>
      <c r="E70" s="86"/>
      <c r="F70" s="87"/>
      <c r="G70" s="75"/>
      <c r="H70" s="104">
        <f t="shared" si="0"/>
        <v>0</v>
      </c>
      <c r="J70" s="223" t="s">
        <v>260</v>
      </c>
      <c r="L70" s="223">
        <f>1.7*0.15*0.3</f>
        <v>7.6499999999999999E-2</v>
      </c>
    </row>
    <row r="71" spans="2:12">
      <c r="B71" s="103">
        <v>1</v>
      </c>
      <c r="C71" s="85" t="s">
        <v>103</v>
      </c>
      <c r="D71" s="160" t="s">
        <v>320</v>
      </c>
      <c r="E71" s="86" t="s">
        <v>15</v>
      </c>
      <c r="F71" s="87">
        <v>11.807600000000001</v>
      </c>
      <c r="G71" s="75"/>
      <c r="H71" s="104">
        <f t="shared" si="0"/>
        <v>0</v>
      </c>
      <c r="J71" s="223" t="s">
        <v>261</v>
      </c>
      <c r="L71" s="223">
        <f>0.2*0.4*2*4.5</f>
        <v>0.7200000000000002</v>
      </c>
    </row>
    <row r="72" spans="2:12">
      <c r="B72" s="103">
        <v>2</v>
      </c>
      <c r="C72" s="85" t="s">
        <v>106</v>
      </c>
      <c r="D72" s="160" t="s">
        <v>167</v>
      </c>
      <c r="E72" s="86" t="s">
        <v>15</v>
      </c>
      <c r="F72" s="87">
        <v>32.529000000000003</v>
      </c>
      <c r="G72" s="75"/>
      <c r="H72" s="104">
        <f t="shared" si="0"/>
        <v>0</v>
      </c>
      <c r="J72" s="223" t="s">
        <v>258</v>
      </c>
      <c r="L72" s="223">
        <f>0.15*0.4*4.5</f>
        <v>0.27</v>
      </c>
    </row>
    <row r="73" spans="2:12">
      <c r="B73" s="103"/>
      <c r="C73" s="85"/>
      <c r="D73" s="112"/>
      <c r="E73" s="86"/>
      <c r="F73" s="87"/>
      <c r="G73" s="75"/>
      <c r="H73" s="104">
        <f t="shared" si="0"/>
        <v>0</v>
      </c>
      <c r="J73" s="223" t="s">
        <v>265</v>
      </c>
      <c r="L73" s="223">
        <f>0.15*0.3*4.5*2</f>
        <v>0.40499999999999997</v>
      </c>
    </row>
    <row r="74" spans="2:12">
      <c r="B74" s="103"/>
      <c r="C74" s="85"/>
      <c r="D74" s="112"/>
      <c r="E74" s="86"/>
      <c r="F74" s="87"/>
      <c r="G74" s="75"/>
      <c r="H74" s="104">
        <f t="shared" si="0"/>
        <v>0</v>
      </c>
      <c r="J74" s="223" t="s">
        <v>258</v>
      </c>
      <c r="L74" s="223">
        <f>0.15*0.4*4.5</f>
        <v>0.27</v>
      </c>
    </row>
    <row r="75" spans="2:12">
      <c r="B75" s="103"/>
      <c r="C75" s="85"/>
      <c r="D75" s="85"/>
      <c r="E75" s="86"/>
      <c r="F75" s="87"/>
      <c r="G75" s="75"/>
      <c r="H75" s="104">
        <f t="shared" si="0"/>
        <v>0</v>
      </c>
      <c r="J75" s="223" t="s">
        <v>258</v>
      </c>
      <c r="L75" s="223">
        <f>0.15*0.4*2*4.5</f>
        <v>0.54</v>
      </c>
    </row>
    <row r="76" spans="2:12" ht="15.75">
      <c r="B76" s="100" t="s">
        <v>32</v>
      </c>
      <c r="C76" s="106" t="s">
        <v>33</v>
      </c>
      <c r="D76" s="106"/>
      <c r="E76" s="86"/>
      <c r="F76" s="87"/>
      <c r="G76" s="75"/>
      <c r="H76" s="104">
        <f t="shared" si="0"/>
        <v>0</v>
      </c>
    </row>
    <row r="77" spans="2:12">
      <c r="B77" s="113">
        <v>1</v>
      </c>
      <c r="C77" s="112" t="s">
        <v>34</v>
      </c>
      <c r="D77" s="51" t="s">
        <v>304</v>
      </c>
      <c r="E77" s="114" t="s">
        <v>15</v>
      </c>
      <c r="F77" s="115">
        <v>162.91395499999999</v>
      </c>
      <c r="G77" s="75"/>
      <c r="H77" s="104">
        <f t="shared" si="0"/>
        <v>0</v>
      </c>
    </row>
    <row r="78" spans="2:12">
      <c r="B78" s="103">
        <v>2</v>
      </c>
      <c r="C78" s="85" t="s">
        <v>107</v>
      </c>
      <c r="D78" s="51" t="s">
        <v>305</v>
      </c>
      <c r="E78" s="86" t="s">
        <v>9</v>
      </c>
      <c r="F78" s="87">
        <v>151.91</v>
      </c>
      <c r="G78" s="75"/>
      <c r="H78" s="104">
        <f t="shared" si="0"/>
        <v>0</v>
      </c>
    </row>
    <row r="79" spans="2:12">
      <c r="B79" s="113">
        <v>3</v>
      </c>
      <c r="C79" s="112" t="s">
        <v>35</v>
      </c>
      <c r="D79" s="51" t="s">
        <v>306</v>
      </c>
      <c r="E79" s="114" t="s">
        <v>15</v>
      </c>
      <c r="F79" s="115">
        <v>18.373175</v>
      </c>
      <c r="G79" s="75"/>
      <c r="H79" s="104">
        <f t="shared" si="0"/>
        <v>0</v>
      </c>
    </row>
    <row r="80" spans="2:12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/>
      <c r="H80" s="104">
        <f t="shared" si="0"/>
        <v>0</v>
      </c>
    </row>
    <row r="81" spans="2:8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75">
      <c r="B82" s="100" t="s">
        <v>37</v>
      </c>
      <c r="C82" s="106" t="s">
        <v>38</v>
      </c>
      <c r="D82" s="106"/>
      <c r="E82" s="86"/>
      <c r="F82" s="87"/>
      <c r="G82" s="75"/>
      <c r="H82" s="104">
        <f t="shared" si="0"/>
        <v>0</v>
      </c>
    </row>
    <row r="83" spans="2:8" ht="30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75"/>
      <c r="H83" s="104">
        <f t="shared" ref="H83:H145" si="1">F83*G83</f>
        <v>0</v>
      </c>
    </row>
    <row r="84" spans="2:8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75"/>
      <c r="H84" s="104">
        <f t="shared" si="1"/>
        <v>0</v>
      </c>
    </row>
    <row r="85" spans="2:8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75"/>
      <c r="H85" s="104">
        <f t="shared" si="1"/>
        <v>0</v>
      </c>
    </row>
    <row r="86" spans="2:8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75"/>
      <c r="H86" s="104">
        <f t="shared" si="1"/>
        <v>0</v>
      </c>
    </row>
    <row r="87" spans="2:8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75"/>
      <c r="H87" s="104">
        <f t="shared" si="1"/>
        <v>0</v>
      </c>
    </row>
    <row r="88" spans="2:8">
      <c r="B88" s="103">
        <v>6</v>
      </c>
      <c r="C88" s="85" t="s">
        <v>268</v>
      </c>
      <c r="D88" s="85" t="s">
        <v>171</v>
      </c>
      <c r="E88" s="86" t="s">
        <v>15</v>
      </c>
      <c r="F88" s="87">
        <v>51.62</v>
      </c>
      <c r="G88" s="75"/>
      <c r="H88" s="104">
        <f t="shared" si="1"/>
        <v>0</v>
      </c>
    </row>
    <row r="89" spans="2:8">
      <c r="B89" s="103"/>
      <c r="C89" s="85"/>
      <c r="D89" s="85"/>
      <c r="E89" s="86"/>
      <c r="F89" s="87"/>
      <c r="G89" s="75"/>
      <c r="H89" s="104">
        <f t="shared" si="1"/>
        <v>0</v>
      </c>
    </row>
    <row r="90" spans="2:8" ht="15.75">
      <c r="B90" s="100" t="s">
        <v>42</v>
      </c>
      <c r="C90" s="106" t="s">
        <v>43</v>
      </c>
      <c r="D90" s="106"/>
      <c r="E90" s="86"/>
      <c r="F90" s="87"/>
      <c r="G90" s="75"/>
      <c r="H90" s="104">
        <f t="shared" si="1"/>
        <v>0</v>
      </c>
    </row>
    <row r="91" spans="2:8">
      <c r="B91" s="103">
        <v>1</v>
      </c>
      <c r="C91" s="85" t="s">
        <v>109</v>
      </c>
      <c r="D91" s="266" t="s">
        <v>315</v>
      </c>
      <c r="E91" s="86" t="s">
        <v>15</v>
      </c>
      <c r="F91" s="259">
        <v>51.341000000000001</v>
      </c>
      <c r="G91" s="135"/>
      <c r="H91" s="104">
        <f t="shared" si="1"/>
        <v>0</v>
      </c>
    </row>
    <row r="92" spans="2:8">
      <c r="B92" s="103">
        <v>2</v>
      </c>
      <c r="C92" s="85" t="s">
        <v>110</v>
      </c>
      <c r="D92" s="160" t="s">
        <v>316</v>
      </c>
      <c r="E92" s="86" t="s">
        <v>15</v>
      </c>
      <c r="F92" s="259">
        <v>52.362000000000002</v>
      </c>
      <c r="G92" s="135"/>
      <c r="H92" s="104">
        <f t="shared" si="1"/>
        <v>0</v>
      </c>
    </row>
    <row r="93" spans="2:8">
      <c r="B93" s="103">
        <v>3</v>
      </c>
      <c r="C93" s="85" t="s">
        <v>146</v>
      </c>
      <c r="D93" s="85"/>
      <c r="E93" s="86" t="s">
        <v>9</v>
      </c>
      <c r="F93" s="259">
        <v>21.34</v>
      </c>
      <c r="G93" s="135"/>
      <c r="H93" s="104">
        <f t="shared" si="1"/>
        <v>0</v>
      </c>
    </row>
    <row r="94" spans="2:8">
      <c r="B94" s="103">
        <v>4</v>
      </c>
      <c r="C94" s="85" t="s">
        <v>147</v>
      </c>
      <c r="D94" s="85"/>
      <c r="E94" s="86" t="s">
        <v>9</v>
      </c>
      <c r="F94" s="259">
        <v>10.210000000000001</v>
      </c>
      <c r="G94" s="135"/>
      <c r="H94" s="104">
        <f t="shared" si="1"/>
        <v>0</v>
      </c>
    </row>
    <row r="95" spans="2:8">
      <c r="B95" s="103">
        <v>5</v>
      </c>
      <c r="C95" s="85" t="s">
        <v>111</v>
      </c>
      <c r="D95" s="85"/>
      <c r="E95" s="86" t="s">
        <v>9</v>
      </c>
      <c r="F95" s="259">
        <v>0</v>
      </c>
      <c r="G95" s="135"/>
      <c r="H95" s="104">
        <f t="shared" si="1"/>
        <v>0</v>
      </c>
    </row>
    <row r="96" spans="2:8">
      <c r="B96" s="103"/>
      <c r="C96" s="85"/>
      <c r="D96" s="85"/>
      <c r="E96" s="86"/>
      <c r="F96" s="87"/>
      <c r="G96" s="75"/>
      <c r="H96" s="104">
        <f t="shared" si="1"/>
        <v>0</v>
      </c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04">
        <f t="shared" si="1"/>
        <v>0</v>
      </c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>
        <f t="shared" si="1"/>
        <v>0</v>
      </c>
    </row>
    <row r="99" spans="2:8" ht="47.25" customHeight="1">
      <c r="B99" s="103"/>
      <c r="C99" s="53" t="s">
        <v>113</v>
      </c>
      <c r="D99" s="54" t="s">
        <v>297</v>
      </c>
      <c r="E99" s="86" t="s">
        <v>48</v>
      </c>
      <c r="F99" s="87">
        <v>1</v>
      </c>
      <c r="G99" s="75"/>
      <c r="H99" s="104">
        <f t="shared" si="1"/>
        <v>0</v>
      </c>
    </row>
    <row r="100" spans="2:8">
      <c r="B100" s="103"/>
      <c r="C100" s="53" t="s">
        <v>86</v>
      </c>
      <c r="D100" s="54" t="s">
        <v>298</v>
      </c>
      <c r="E100" s="86" t="s">
        <v>48</v>
      </c>
      <c r="F100" s="87">
        <v>3</v>
      </c>
      <c r="G100" s="75"/>
      <c r="H100" s="104">
        <f t="shared" si="1"/>
        <v>0</v>
      </c>
    </row>
    <row r="101" spans="2:8" ht="46.5" customHeight="1">
      <c r="B101" s="103"/>
      <c r="C101" s="53" t="s">
        <v>114</v>
      </c>
      <c r="D101" s="54" t="s">
        <v>299</v>
      </c>
      <c r="E101" s="86" t="s">
        <v>48</v>
      </c>
      <c r="F101" s="87">
        <v>1</v>
      </c>
      <c r="G101" s="75"/>
      <c r="H101" s="104">
        <f t="shared" si="1"/>
        <v>0</v>
      </c>
    </row>
    <row r="102" spans="2:8" ht="54" customHeight="1">
      <c r="B102" s="103"/>
      <c r="C102" s="53" t="s">
        <v>115</v>
      </c>
      <c r="D102" s="54" t="s">
        <v>299</v>
      </c>
      <c r="E102" s="86" t="s">
        <v>48</v>
      </c>
      <c r="F102" s="87">
        <v>1</v>
      </c>
      <c r="G102" s="75"/>
      <c r="H102" s="104">
        <f t="shared" si="1"/>
        <v>0</v>
      </c>
    </row>
    <row r="103" spans="2:8" ht="45.75" customHeight="1">
      <c r="B103" s="103"/>
      <c r="C103" s="53" t="s">
        <v>134</v>
      </c>
      <c r="D103" s="54" t="s">
        <v>299</v>
      </c>
      <c r="E103" s="86" t="s">
        <v>48</v>
      </c>
      <c r="F103" s="87">
        <v>1</v>
      </c>
      <c r="G103" s="75"/>
      <c r="H103" s="104">
        <f t="shared" si="1"/>
        <v>0</v>
      </c>
    </row>
    <row r="104" spans="2:8" ht="45" customHeight="1">
      <c r="B104" s="103"/>
      <c r="C104" s="53" t="s">
        <v>140</v>
      </c>
      <c r="D104" s="54" t="s">
        <v>299</v>
      </c>
      <c r="E104" s="86" t="s">
        <v>48</v>
      </c>
      <c r="F104" s="87">
        <v>1</v>
      </c>
      <c r="G104" s="75"/>
      <c r="H104" s="104">
        <f t="shared" si="1"/>
        <v>0</v>
      </c>
    </row>
    <row r="105" spans="2:8">
      <c r="B105" s="103"/>
      <c r="C105" s="85"/>
      <c r="D105" s="85"/>
      <c r="E105" s="86"/>
      <c r="F105" s="242"/>
      <c r="G105" s="75"/>
      <c r="H105" s="104">
        <f t="shared" si="1"/>
        <v>0</v>
      </c>
    </row>
    <row r="106" spans="2:8" ht="15.75">
      <c r="B106" s="100">
        <v>2</v>
      </c>
      <c r="C106" s="106" t="s">
        <v>116</v>
      </c>
      <c r="D106" s="106"/>
      <c r="E106" s="86"/>
      <c r="F106" s="87"/>
      <c r="G106" s="63"/>
      <c r="H106" s="104">
        <f t="shared" si="1"/>
        <v>0</v>
      </c>
    </row>
    <row r="107" spans="2:8">
      <c r="B107" s="103"/>
      <c r="C107" s="85" t="s">
        <v>86</v>
      </c>
      <c r="D107" s="54" t="s">
        <v>307</v>
      </c>
      <c r="E107" s="86" t="s">
        <v>48</v>
      </c>
      <c r="F107" s="87">
        <v>3</v>
      </c>
      <c r="G107" s="75"/>
      <c r="H107" s="104">
        <f t="shared" si="1"/>
        <v>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/>
      <c r="H108" s="104">
        <f t="shared" si="1"/>
        <v>0</v>
      </c>
    </row>
    <row r="109" spans="2:8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75"/>
      <c r="H109" s="104">
        <f t="shared" si="1"/>
        <v>0</v>
      </c>
    </row>
    <row r="110" spans="2:8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/>
      <c r="H110" s="104">
        <f t="shared" si="1"/>
        <v>0</v>
      </c>
    </row>
    <row r="111" spans="2:8">
      <c r="B111" s="103"/>
      <c r="C111" s="85"/>
      <c r="D111" s="85"/>
      <c r="E111" s="86"/>
      <c r="F111" s="87"/>
      <c r="G111" s="75"/>
      <c r="H111" s="104">
        <f t="shared" si="1"/>
        <v>0</v>
      </c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/>
      <c r="H112" s="104">
        <f t="shared" si="1"/>
        <v>0</v>
      </c>
    </row>
    <row r="113" spans="2:8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75"/>
      <c r="H113" s="104">
        <f t="shared" si="1"/>
        <v>0</v>
      </c>
    </row>
    <row r="114" spans="2:8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75"/>
      <c r="H114" s="104">
        <f t="shared" si="1"/>
        <v>0</v>
      </c>
    </row>
    <row r="115" spans="2:8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75"/>
      <c r="H115" s="104">
        <f t="shared" si="1"/>
        <v>0</v>
      </c>
    </row>
    <row r="116" spans="2:8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75"/>
      <c r="H116" s="104">
        <f t="shared" si="1"/>
        <v>0</v>
      </c>
    </row>
    <row r="117" spans="2:8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75"/>
      <c r="H117" s="104">
        <f t="shared" si="1"/>
        <v>0</v>
      </c>
    </row>
    <row r="118" spans="2:8">
      <c r="B118" s="103"/>
      <c r="C118" s="85"/>
      <c r="D118" s="85"/>
      <c r="E118" s="86"/>
      <c r="F118" s="87"/>
      <c r="G118" s="75"/>
      <c r="H118" s="104">
        <f t="shared" si="1"/>
        <v>0</v>
      </c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04"/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/>
      <c r="H121" s="104">
        <f t="shared" si="1"/>
        <v>0</v>
      </c>
    </row>
    <row r="122" spans="2:8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/>
      <c r="H122" s="104">
        <f t="shared" si="1"/>
        <v>0</v>
      </c>
    </row>
    <row r="123" spans="2:8">
      <c r="B123" s="105" t="s">
        <v>14</v>
      </c>
      <c r="C123" s="85" t="s">
        <v>120</v>
      </c>
      <c r="D123" s="172" t="s">
        <v>310</v>
      </c>
      <c r="E123" s="86" t="s">
        <v>50</v>
      </c>
      <c r="F123" s="87">
        <v>3</v>
      </c>
      <c r="G123" s="44"/>
      <c r="H123" s="104">
        <f t="shared" si="1"/>
        <v>0</v>
      </c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/>
      <c r="H128" s="104">
        <f t="shared" si="1"/>
        <v>0</v>
      </c>
    </row>
    <row r="129" spans="2:8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/>
      <c r="H129" s="104">
        <f t="shared" si="1"/>
        <v>0</v>
      </c>
    </row>
    <row r="130" spans="2:8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/>
      <c r="H130" s="104">
        <f t="shared" si="1"/>
        <v>0</v>
      </c>
    </row>
    <row r="131" spans="2:8">
      <c r="B131" s="103">
        <v>6</v>
      </c>
      <c r="C131" s="85" t="s">
        <v>63</v>
      </c>
      <c r="D131" s="51" t="s">
        <v>191</v>
      </c>
      <c r="E131" s="86"/>
      <c r="F131" s="87"/>
      <c r="G131" s="75"/>
      <c r="H131" s="104"/>
    </row>
    <row r="132" spans="2:8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/>
      <c r="H132" s="104">
        <f t="shared" si="1"/>
        <v>0</v>
      </c>
    </row>
    <row r="133" spans="2:8">
      <c r="B133" s="105">
        <v>7</v>
      </c>
      <c r="C133" s="85" t="s">
        <v>65</v>
      </c>
      <c r="D133" s="51"/>
      <c r="E133" s="86"/>
      <c r="F133" s="87"/>
      <c r="G133" s="75"/>
      <c r="H133" s="104"/>
    </row>
    <row r="134" spans="2:8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/>
      <c r="H134" s="104">
        <f t="shared" si="1"/>
        <v>0</v>
      </c>
    </row>
    <row r="135" spans="2:8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/>
      <c r="H135" s="104">
        <f t="shared" si="1"/>
        <v>0</v>
      </c>
    </row>
    <row r="136" spans="2:8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/>
      <c r="H136" s="104">
        <f t="shared" si="1"/>
        <v>0</v>
      </c>
    </row>
    <row r="137" spans="2:8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/>
      <c r="H137" s="104">
        <f t="shared" si="1"/>
        <v>0</v>
      </c>
    </row>
    <row r="138" spans="2:8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/>
      <c r="H138" s="104">
        <f t="shared" si="1"/>
        <v>0</v>
      </c>
    </row>
    <row r="139" spans="2:8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/>
      <c r="H139" s="104">
        <f t="shared" si="1"/>
        <v>0</v>
      </c>
    </row>
    <row r="140" spans="2:8">
      <c r="B140" s="105" t="s">
        <v>14</v>
      </c>
      <c r="C140" s="85" t="s">
        <v>269</v>
      </c>
      <c r="D140" s="172" t="s">
        <v>309</v>
      </c>
      <c r="E140" s="86" t="s">
        <v>50</v>
      </c>
      <c r="F140" s="87">
        <v>1</v>
      </c>
      <c r="G140" s="75"/>
      <c r="H140" s="104">
        <f t="shared" si="1"/>
        <v>0</v>
      </c>
    </row>
    <row r="141" spans="2:8">
      <c r="B141" s="103"/>
      <c r="C141" s="85"/>
      <c r="D141" s="85"/>
      <c r="E141" s="86"/>
      <c r="F141" s="242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04"/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/>
      <c r="H144" s="104">
        <f t="shared" si="1"/>
        <v>0</v>
      </c>
    </row>
    <row r="145" spans="1:14" ht="45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/>
      <c r="H145" s="104">
        <f t="shared" si="1"/>
        <v>0</v>
      </c>
    </row>
    <row r="146" spans="1:14" ht="30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/>
      <c r="H146" s="104">
        <f t="shared" ref="H146:H160" si="2">F146*G146</f>
        <v>0</v>
      </c>
      <c r="N146" s="249">
        <f>100000/14400</f>
        <v>6.9444444444444446</v>
      </c>
    </row>
    <row r="147" spans="1:14" ht="30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/>
      <c r="H147" s="104">
        <f t="shared" si="2"/>
        <v>0</v>
      </c>
    </row>
    <row r="148" spans="1:14" ht="30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/>
      <c r="H148" s="104">
        <f t="shared" si="2"/>
        <v>0</v>
      </c>
    </row>
    <row r="149" spans="1:14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/>
      <c r="H149" s="104">
        <f t="shared" si="2"/>
        <v>0</v>
      </c>
    </row>
    <row r="150" spans="1:14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/>
      <c r="H150" s="104">
        <f t="shared" si="2"/>
        <v>0</v>
      </c>
    </row>
    <row r="151" spans="1:14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/>
      <c r="H151" s="104">
        <f t="shared" si="2"/>
        <v>0</v>
      </c>
    </row>
    <row r="152" spans="1:14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/>
      <c r="H152" s="104">
        <f t="shared" si="2"/>
        <v>0</v>
      </c>
    </row>
    <row r="153" spans="1:14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/>
      <c r="H153" s="104">
        <f t="shared" si="2"/>
        <v>0</v>
      </c>
    </row>
    <row r="154" spans="1:14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/>
      <c r="H154" s="104">
        <f t="shared" si="2"/>
        <v>0</v>
      </c>
    </row>
    <row r="155" spans="1:14" ht="30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/>
      <c r="H155" s="104">
        <f t="shared" si="2"/>
        <v>0</v>
      </c>
    </row>
    <row r="156" spans="1:14" ht="30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/>
      <c r="H156" s="104">
        <f t="shared" si="2"/>
        <v>0</v>
      </c>
    </row>
    <row r="157" spans="1:14">
      <c r="A157" s="243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/>
      <c r="H157" s="104">
        <f t="shared" si="2"/>
        <v>0</v>
      </c>
    </row>
    <row r="158" spans="1:14">
      <c r="A158" s="243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/>
      <c r="H158" s="104">
        <f t="shared" si="2"/>
        <v>0</v>
      </c>
    </row>
    <row r="159" spans="1:14">
      <c r="A159" s="243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/>
      <c r="H159" s="104">
        <f t="shared" si="2"/>
        <v>0</v>
      </c>
    </row>
    <row r="160" spans="1:14">
      <c r="A160" s="243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/>
      <c r="H160" s="104">
        <f t="shared" si="2"/>
        <v>0</v>
      </c>
    </row>
    <row r="161" spans="1:10">
      <c r="A161" s="243"/>
      <c r="B161" s="103"/>
      <c r="C161" s="85"/>
      <c r="D161" s="85"/>
      <c r="E161" s="86"/>
      <c r="F161" s="87"/>
      <c r="G161" s="75"/>
      <c r="H161" s="104"/>
    </row>
    <row r="162" spans="1:10" ht="15.75">
      <c r="A162" s="243"/>
      <c r="B162" s="100" t="s">
        <v>81</v>
      </c>
      <c r="C162" s="106" t="s">
        <v>82</v>
      </c>
      <c r="D162" s="106"/>
      <c r="E162" s="86"/>
      <c r="F162" s="87"/>
      <c r="G162" s="75"/>
      <c r="H162" s="104"/>
    </row>
    <row r="163" spans="1:10">
      <c r="A163" s="243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/>
      <c r="H163" s="104">
        <f t="shared" ref="H163:H175" si="3">F163*G163</f>
        <v>0</v>
      </c>
    </row>
    <row r="164" spans="1:10">
      <c r="A164" s="243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/>
      <c r="H164" s="104">
        <f t="shared" si="3"/>
        <v>0</v>
      </c>
    </row>
    <row r="165" spans="1:10">
      <c r="A165" s="243"/>
      <c r="B165" s="103">
        <v>3</v>
      </c>
      <c r="C165" s="40" t="s">
        <v>321</v>
      </c>
      <c r="D165" s="51" t="s">
        <v>322</v>
      </c>
      <c r="E165" s="86" t="s">
        <v>9</v>
      </c>
      <c r="F165" s="87">
        <v>26.977</v>
      </c>
      <c r="G165" s="75"/>
      <c r="H165" s="104">
        <f t="shared" si="3"/>
        <v>0</v>
      </c>
    </row>
    <row r="166" spans="1:10">
      <c r="A166" s="243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/>
      <c r="H166" s="104">
        <f t="shared" si="3"/>
        <v>0</v>
      </c>
    </row>
    <row r="167" spans="1:10">
      <c r="A167" s="243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/>
      <c r="H167" s="104">
        <f t="shared" si="3"/>
        <v>0</v>
      </c>
    </row>
    <row r="168" spans="1:10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/>
      <c r="H168" s="104">
        <f t="shared" si="3"/>
        <v>0</v>
      </c>
    </row>
    <row r="169" spans="1:10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/>
      <c r="H169" s="104">
        <f t="shared" si="3"/>
        <v>0</v>
      </c>
    </row>
    <row r="170" spans="1:10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/>
      <c r="H170" s="104">
        <f t="shared" si="3"/>
        <v>0</v>
      </c>
    </row>
    <row r="171" spans="1:10" ht="30">
      <c r="A171" s="117"/>
      <c r="B171" s="113">
        <v>9</v>
      </c>
      <c r="C171" s="112" t="s">
        <v>133</v>
      </c>
      <c r="D171" s="54" t="s">
        <v>308</v>
      </c>
      <c r="E171" s="114" t="s">
        <v>47</v>
      </c>
      <c r="F171" s="115">
        <v>1</v>
      </c>
      <c r="G171" s="75"/>
      <c r="H171" s="104">
        <f t="shared" si="3"/>
        <v>0</v>
      </c>
    </row>
    <row r="172" spans="1:10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/>
      <c r="H172" s="104">
        <f t="shared" si="3"/>
        <v>0</v>
      </c>
    </row>
    <row r="173" spans="1:10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/>
      <c r="H173" s="104">
        <f t="shared" si="3"/>
        <v>0</v>
      </c>
    </row>
    <row r="174" spans="1:10" s="202" customFormat="1" ht="30">
      <c r="A174" s="7"/>
      <c r="B174" s="262">
        <v>12</v>
      </c>
      <c r="C174" s="172" t="s">
        <v>311</v>
      </c>
      <c r="D174" s="163" t="s">
        <v>323</v>
      </c>
      <c r="E174" s="173" t="s">
        <v>314</v>
      </c>
      <c r="F174" s="263">
        <v>1</v>
      </c>
      <c r="G174" s="44"/>
      <c r="H174" s="59">
        <f t="shared" si="3"/>
        <v>0</v>
      </c>
      <c r="J174" s="225"/>
    </row>
    <row r="175" spans="1:10" s="202" customFormat="1" ht="15.75">
      <c r="A175" s="7"/>
      <c r="B175" s="50">
        <v>13</v>
      </c>
      <c r="C175" s="51" t="s">
        <v>313</v>
      </c>
      <c r="D175" s="51" t="s">
        <v>176</v>
      </c>
      <c r="E175" s="52" t="s">
        <v>9</v>
      </c>
      <c r="F175" s="61">
        <v>3.8</v>
      </c>
      <c r="G175" s="135"/>
      <c r="H175" s="59">
        <f t="shared" si="3"/>
        <v>0</v>
      </c>
      <c r="J175" s="225"/>
    </row>
    <row r="176" spans="1:10">
      <c r="A176" s="117"/>
      <c r="B176" s="113"/>
      <c r="C176" s="112"/>
      <c r="D176" s="112"/>
      <c r="E176" s="114"/>
      <c r="F176" s="115"/>
      <c r="G176" s="64"/>
      <c r="H176" s="104"/>
    </row>
    <row r="177" spans="2:9">
      <c r="B177" s="244"/>
      <c r="C177" s="53"/>
      <c r="D177" s="53"/>
      <c r="E177" s="53"/>
      <c r="F177" s="53"/>
      <c r="G177" s="64"/>
      <c r="H177" s="104"/>
      <c r="I177" s="245"/>
    </row>
    <row r="178" spans="2:9" ht="15.75">
      <c r="B178" s="244"/>
      <c r="C178" s="53"/>
      <c r="D178" s="118"/>
      <c r="E178" s="65"/>
      <c r="F178" s="65"/>
      <c r="G178" s="118" t="s">
        <v>200</v>
      </c>
      <c r="H178" s="119">
        <f>SUM(H9:H177)</f>
        <v>0</v>
      </c>
    </row>
    <row r="179" spans="2:9" ht="15.75">
      <c r="B179" s="244"/>
      <c r="C179" s="53"/>
      <c r="D179" s="118"/>
      <c r="E179" s="65"/>
      <c r="F179" s="65"/>
      <c r="G179" s="118" t="s">
        <v>201</v>
      </c>
      <c r="H179" s="119">
        <f>ROUNDDOWN(H178,-5)</f>
        <v>0</v>
      </c>
    </row>
    <row r="180" spans="2:9" ht="15.75">
      <c r="B180" s="244"/>
      <c r="C180" s="53"/>
      <c r="D180" s="118"/>
      <c r="E180" s="65"/>
      <c r="F180" s="65"/>
      <c r="G180" s="118" t="s">
        <v>150</v>
      </c>
      <c r="H180" s="119">
        <f>H179</f>
        <v>0</v>
      </c>
    </row>
    <row r="181" spans="2:9" ht="15.75">
      <c r="B181" s="244"/>
      <c r="C181" s="53"/>
      <c r="D181" s="118"/>
      <c r="E181" s="65"/>
      <c r="F181" s="65"/>
      <c r="G181" s="118" t="s">
        <v>202</v>
      </c>
      <c r="H181" s="119">
        <f>H180*0.1</f>
        <v>0</v>
      </c>
    </row>
    <row r="182" spans="2:9" ht="16.5" thickBot="1">
      <c r="B182" s="246"/>
      <c r="C182" s="247"/>
      <c r="D182" s="120"/>
      <c r="E182" s="68"/>
      <c r="F182" s="68"/>
      <c r="G182" s="120" t="s">
        <v>203</v>
      </c>
      <c r="H182" s="121">
        <f>H180+H181</f>
        <v>0</v>
      </c>
    </row>
    <row r="183" spans="2:9" ht="15.75" thickTop="1"/>
    <row r="184" spans="2:9">
      <c r="G184" s="248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8576"/>
  <sheetViews>
    <sheetView tabSelected="1" view="pageBreakPreview" topLeftCell="A97" zoomScale="80" zoomScaleNormal="60" zoomScaleSheetLayoutView="80" workbookViewId="0">
      <selection activeCell="D117" sqref="D117"/>
    </sheetView>
  </sheetViews>
  <sheetFormatPr defaultRowHeight="15.75"/>
  <cols>
    <col min="1" max="1" width="5" style="202" customWidth="1"/>
    <col min="2" max="2" width="9.140625" style="248"/>
    <col min="3" max="3" width="51" style="257" bestFit="1" customWidth="1"/>
    <col min="4" max="4" width="86.5703125" style="258" customWidth="1"/>
    <col min="5" max="5" width="8.42578125" style="248" customWidth="1"/>
    <col min="6" max="6" width="11.140625" style="248" customWidth="1"/>
    <col min="7" max="7" width="15.140625" style="70" customWidth="1"/>
    <col min="8" max="13" width="20.7109375" style="70" customWidth="1"/>
    <col min="14" max="15" width="9.140625" style="202"/>
    <col min="16" max="16" width="18.42578125" style="202" bestFit="1" customWidth="1"/>
    <col min="17" max="17" width="16.5703125" style="238" customWidth="1"/>
    <col min="18" max="20" width="9.140625" style="202"/>
    <col min="21" max="21" width="16.28515625" style="202" bestFit="1" customWidth="1"/>
    <col min="22" max="22" width="9.140625" style="202"/>
    <col min="23" max="23" width="16.28515625" style="202" bestFit="1" customWidth="1"/>
    <col min="24" max="16384" width="9.140625" style="202"/>
  </cols>
  <sheetData>
    <row r="2" spans="2:13">
      <c r="B2" s="25" t="s">
        <v>0</v>
      </c>
      <c r="C2" s="250"/>
      <c r="D2" s="251"/>
      <c r="E2" s="252"/>
      <c r="G2" s="76"/>
      <c r="H2" s="76"/>
      <c r="I2" s="76"/>
      <c r="J2" s="76"/>
      <c r="K2" s="76"/>
      <c r="L2" s="76"/>
      <c r="M2" s="76"/>
    </row>
    <row r="3" spans="2:13">
      <c r="B3" s="25" t="s">
        <v>271</v>
      </c>
      <c r="C3" s="250"/>
      <c r="D3" s="251"/>
      <c r="E3" s="252"/>
      <c r="G3" s="76"/>
      <c r="H3" s="253"/>
      <c r="I3" s="253"/>
      <c r="J3" s="253"/>
      <c r="K3" s="253"/>
      <c r="L3" s="253"/>
      <c r="M3" s="253"/>
    </row>
    <row r="4" spans="2:13">
      <c r="B4" s="25" t="s">
        <v>1</v>
      </c>
      <c r="C4" s="250"/>
      <c r="D4" s="251"/>
      <c r="E4" s="292" t="s">
        <v>270</v>
      </c>
      <c r="F4" s="292"/>
      <c r="G4" s="292"/>
      <c r="H4" s="292"/>
      <c r="I4" s="289"/>
      <c r="J4" s="289"/>
      <c r="K4" s="279"/>
      <c r="L4" s="279"/>
      <c r="M4" s="279"/>
    </row>
    <row r="5" spans="2:13">
      <c r="B5" s="254"/>
      <c r="C5" s="255"/>
      <c r="D5" s="251"/>
      <c r="E5" s="129"/>
      <c r="F5" s="130"/>
      <c r="G5" s="71"/>
      <c r="H5" s="71"/>
      <c r="I5" s="71"/>
      <c r="J5" s="71"/>
      <c r="K5" s="71"/>
      <c r="L5" s="71"/>
      <c r="M5" s="71"/>
    </row>
    <row r="6" spans="2:13" ht="32.25" thickBot="1">
      <c r="B6" s="17" t="s">
        <v>2</v>
      </c>
      <c r="C6" s="17" t="s">
        <v>3</v>
      </c>
      <c r="D6" s="131" t="s">
        <v>156</v>
      </c>
      <c r="E6" s="13" t="s">
        <v>4</v>
      </c>
      <c r="F6" s="13" t="s">
        <v>157</v>
      </c>
      <c r="G6" s="18" t="s">
        <v>5</v>
      </c>
      <c r="H6" s="19" t="s">
        <v>154</v>
      </c>
      <c r="I6" s="283"/>
      <c r="J6" s="283"/>
      <c r="K6" s="283"/>
      <c r="L6" s="283"/>
      <c r="M6" s="283"/>
    </row>
    <row r="7" spans="2:13" ht="16.5" thickTop="1">
      <c r="B7" s="3"/>
      <c r="C7" s="78"/>
      <c r="D7" s="78"/>
      <c r="E7" s="3"/>
      <c r="F7" s="2"/>
      <c r="G7" s="72"/>
      <c r="H7" s="72"/>
      <c r="I7" s="284"/>
      <c r="J7" s="284"/>
      <c r="K7" s="284"/>
      <c r="L7" s="284"/>
      <c r="M7" s="284"/>
    </row>
    <row r="8" spans="2:13">
      <c r="B8" s="14" t="s">
        <v>6</v>
      </c>
      <c r="C8" s="79" t="s">
        <v>7</v>
      </c>
      <c r="D8" s="132"/>
      <c r="E8" s="2"/>
      <c r="F8" s="2"/>
      <c r="G8" s="57"/>
      <c r="H8" s="73">
        <f>+SUM(H9:H14)</f>
        <v>6671597.9550000001</v>
      </c>
      <c r="I8" s="285">
        <v>6671598</v>
      </c>
      <c r="J8" s="285">
        <f>H8-I8</f>
        <v>-4.4999999925494194E-2</v>
      </c>
      <c r="K8" s="285">
        <f>'[17] Ruko 2 Lantai Kombinasi'!$H$15</f>
        <v>6671597.9550000001</v>
      </c>
      <c r="L8" s="285">
        <f>H8-K8</f>
        <v>0</v>
      </c>
      <c r="M8" s="285"/>
    </row>
    <row r="9" spans="2:13">
      <c r="B9" s="2">
        <v>1</v>
      </c>
      <c r="C9" s="51" t="s">
        <v>8</v>
      </c>
      <c r="D9" s="51"/>
      <c r="E9" s="2" t="s">
        <v>9</v>
      </c>
      <c r="F9" s="36">
        <v>43</v>
      </c>
      <c r="G9" s="37">
        <f>'[17] Ruko 2 Lantai Kombinasi'!G9</f>
        <v>24022.184999999998</v>
      </c>
      <c r="H9" s="37">
        <f t="shared" ref="H9:H40" si="0">F9*G9</f>
        <v>1032953.9549999998</v>
      </c>
      <c r="I9" s="284"/>
      <c r="J9" s="284"/>
      <c r="K9" s="284">
        <f>'[17] Ruko 2 Lantai Kombinasi'!H9</f>
        <v>1032953.9549999998</v>
      </c>
      <c r="L9" s="284"/>
      <c r="M9" s="284"/>
    </row>
    <row r="10" spans="2:13">
      <c r="B10" s="2">
        <v>2</v>
      </c>
      <c r="C10" s="51" t="s">
        <v>10</v>
      </c>
      <c r="D10" s="51"/>
      <c r="E10" s="2" t="s">
        <v>11</v>
      </c>
      <c r="F10" s="36">
        <v>1</v>
      </c>
      <c r="G10" s="37">
        <f>'[17] Ruko 2 Lantai Kombinasi'!G10</f>
        <v>1842500.0000000002</v>
      </c>
      <c r="H10" s="37">
        <f t="shared" si="0"/>
        <v>1842500.0000000002</v>
      </c>
      <c r="I10" s="284"/>
      <c r="J10" s="284"/>
      <c r="K10" s="284">
        <f>'[17] Ruko 2 Lantai Kombinasi'!H10</f>
        <v>1842500.0000000002</v>
      </c>
      <c r="L10" s="284"/>
      <c r="M10" s="284"/>
    </row>
    <row r="11" spans="2:13">
      <c r="B11" s="2">
        <v>3</v>
      </c>
      <c r="C11" s="51" t="s">
        <v>12</v>
      </c>
      <c r="D11" s="51"/>
      <c r="E11" s="2" t="s">
        <v>11</v>
      </c>
      <c r="F11" s="36">
        <v>1</v>
      </c>
      <c r="G11" s="37">
        <f>'[17] Ruko 2 Lantai Kombinasi'!G11</f>
        <v>1856250.0000000002</v>
      </c>
      <c r="H11" s="37">
        <f t="shared" si="0"/>
        <v>1856250.0000000002</v>
      </c>
      <c r="I11" s="284"/>
      <c r="J11" s="284"/>
      <c r="K11" s="284">
        <f>'[17] Ruko 2 Lantai Kombinasi'!H11</f>
        <v>1856250.0000000002</v>
      </c>
      <c r="L11" s="284"/>
      <c r="M11" s="284"/>
    </row>
    <row r="12" spans="2:13">
      <c r="B12" s="2">
        <v>4</v>
      </c>
      <c r="C12" s="51" t="s">
        <v>13</v>
      </c>
      <c r="D12" s="51"/>
      <c r="E12" s="2" t="s">
        <v>11</v>
      </c>
      <c r="F12" s="36">
        <v>1</v>
      </c>
      <c r="G12" s="37">
        <f>'[17] Ruko 2 Lantai Kombinasi'!G12</f>
        <v>742500.00000000012</v>
      </c>
      <c r="H12" s="37">
        <f t="shared" si="0"/>
        <v>742500.00000000012</v>
      </c>
      <c r="I12" s="284"/>
      <c r="J12" s="284"/>
      <c r="K12" s="284">
        <f>'[17] Ruko 2 Lantai Kombinasi'!H12</f>
        <v>742500.00000000012</v>
      </c>
      <c r="L12" s="284"/>
      <c r="M12" s="284"/>
    </row>
    <row r="13" spans="2:13">
      <c r="B13" s="2">
        <v>5</v>
      </c>
      <c r="C13" s="51" t="s">
        <v>87</v>
      </c>
      <c r="D13" s="51"/>
      <c r="E13" s="2"/>
      <c r="F13" s="36"/>
      <c r="G13" s="37">
        <f>'[17] Ruko 2 Lantai Kombinasi'!G13</f>
        <v>0</v>
      </c>
      <c r="H13" s="37">
        <f t="shared" si="0"/>
        <v>0</v>
      </c>
      <c r="I13" s="284"/>
      <c r="J13" s="284"/>
      <c r="K13" s="284">
        <f>'[17] Ruko 2 Lantai Kombinasi'!H13</f>
        <v>0</v>
      </c>
      <c r="L13" s="284"/>
      <c r="M13" s="284"/>
    </row>
    <row r="14" spans="2:13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>
        <f>'[17] Ruko 2 Lantai Kombinasi'!G14</f>
        <v>10175</v>
      </c>
      <c r="H14" s="37">
        <f t="shared" si="0"/>
        <v>1197394</v>
      </c>
      <c r="I14" s="284"/>
      <c r="J14" s="284"/>
      <c r="K14" s="284">
        <f>'[17] Ruko 2 Lantai Kombinasi'!H14</f>
        <v>1197394</v>
      </c>
      <c r="L14" s="284"/>
      <c r="M14" s="284"/>
    </row>
    <row r="15" spans="2:13">
      <c r="B15" s="2"/>
      <c r="C15" s="125"/>
      <c r="D15" s="51"/>
      <c r="E15" s="2"/>
      <c r="F15" s="36"/>
      <c r="G15" s="37"/>
      <c r="H15" s="37"/>
      <c r="I15" s="284"/>
      <c r="J15" s="284"/>
      <c r="K15" s="284"/>
      <c r="L15" s="284"/>
      <c r="M15" s="284"/>
    </row>
    <row r="16" spans="2:13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2225918.6949803573</v>
      </c>
      <c r="I16" s="285">
        <v>2225919</v>
      </c>
      <c r="J16" s="285">
        <f>H16-I16</f>
        <v>-0.30501964269205928</v>
      </c>
      <c r="K16" s="286">
        <f>'[17] Ruko 2 Lantai Kombinasi'!$H$23</f>
        <v>2093345.7560517858</v>
      </c>
      <c r="L16" s="286"/>
      <c r="M16" s="286"/>
    </row>
    <row r="17" spans="2:13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>
        <f>'[17] Ruko 2 Lantai Kombinasi'!G17</f>
        <v>55000.000000000007</v>
      </c>
      <c r="H17" s="37">
        <f t="shared" si="0"/>
        <v>480051</v>
      </c>
      <c r="I17" s="284"/>
      <c r="J17" s="284"/>
      <c r="K17" s="284">
        <f>'[17] Ruko 2 Lantai Kombinasi'!H17</f>
        <v>492976</v>
      </c>
      <c r="L17" s="284"/>
      <c r="M17" s="284"/>
    </row>
    <row r="18" spans="2:13">
      <c r="B18" s="2">
        <v>2</v>
      </c>
      <c r="C18" s="125" t="s">
        <v>20</v>
      </c>
      <c r="D18" s="51"/>
      <c r="E18" s="2" t="s">
        <v>19</v>
      </c>
      <c r="F18" s="36">
        <v>4.1557285714285701</v>
      </c>
      <c r="G18" s="37">
        <f>'[17] Ruko 2 Lantai Kombinasi'!G18</f>
        <v>66000</v>
      </c>
      <c r="H18" s="37">
        <f t="shared" si="0"/>
        <v>274278.08571428561</v>
      </c>
      <c r="I18" s="284"/>
      <c r="J18" s="284"/>
      <c r="K18" s="284">
        <f>'[17] Ruko 2 Lantai Kombinasi'!H18</f>
        <v>278143.79999999987</v>
      </c>
      <c r="L18" s="284"/>
      <c r="M18" s="284"/>
    </row>
    <row r="19" spans="2:13">
      <c r="B19" s="2">
        <v>3</v>
      </c>
      <c r="C19" s="127" t="s">
        <v>230</v>
      </c>
      <c r="D19" s="51"/>
      <c r="E19" s="2" t="s">
        <v>19</v>
      </c>
      <c r="F19" s="87">
        <v>20.308329999999998</v>
      </c>
      <c r="G19" s="37">
        <f>'[17] Ruko 2 Lantai Kombinasi'!G19</f>
        <v>55000.000000000007</v>
      </c>
      <c r="H19" s="37">
        <f t="shared" si="0"/>
        <v>1116958.1500000001</v>
      </c>
      <c r="I19" s="284"/>
      <c r="J19" s="284"/>
      <c r="K19" s="284">
        <f>'[17] Ruko 2 Lantai Kombinasi'!H19</f>
        <v>957392.70000000007</v>
      </c>
      <c r="L19" s="284"/>
      <c r="M19" s="284"/>
    </row>
    <row r="20" spans="2:13">
      <c r="B20" s="2">
        <v>4</v>
      </c>
      <c r="C20" s="125" t="s">
        <v>21</v>
      </c>
      <c r="D20" s="51"/>
      <c r="E20" s="2" t="s">
        <v>19</v>
      </c>
      <c r="F20" s="36">
        <v>0</v>
      </c>
      <c r="G20" s="37">
        <f>'[17] Ruko 2 Lantai Kombinasi'!G20</f>
        <v>281373.125</v>
      </c>
      <c r="H20" s="37">
        <f t="shared" si="0"/>
        <v>0</v>
      </c>
      <c r="I20" s="284"/>
      <c r="J20" s="284"/>
      <c r="K20" s="284">
        <f>'[17] Ruko 2 Lantai Kombinasi'!H20</f>
        <v>0</v>
      </c>
      <c r="L20" s="284"/>
      <c r="M20" s="284"/>
    </row>
    <row r="21" spans="2:13">
      <c r="B21" s="2">
        <v>5</v>
      </c>
      <c r="C21" s="125" t="s">
        <v>88</v>
      </c>
      <c r="D21" s="54" t="s">
        <v>207</v>
      </c>
      <c r="E21" s="2" t="s">
        <v>19</v>
      </c>
      <c r="F21" s="87">
        <v>0.52142500000000003</v>
      </c>
      <c r="G21" s="37">
        <f>'[17] Ruko 2 Lantai Kombinasi'!G21</f>
        <v>680119.7857142858</v>
      </c>
      <c r="H21" s="37">
        <f t="shared" si="0"/>
        <v>354631.4592660715</v>
      </c>
      <c r="I21" s="284"/>
      <c r="J21" s="284"/>
      <c r="K21" s="284">
        <f>'[17] Ruko 2 Lantai Kombinasi'!H21</f>
        <v>364833.25605178584</v>
      </c>
      <c r="L21" s="284"/>
      <c r="M21" s="284"/>
    </row>
    <row r="22" spans="2:13">
      <c r="B22" s="2">
        <v>6</v>
      </c>
      <c r="C22" s="125" t="s">
        <v>89</v>
      </c>
      <c r="D22" s="51"/>
      <c r="E22" s="2" t="s">
        <v>19</v>
      </c>
      <c r="F22" s="36">
        <v>0</v>
      </c>
      <c r="G22" s="37">
        <f>'[17] Ruko 2 Lantai Kombinasi'!G22</f>
        <v>281373.125</v>
      </c>
      <c r="H22" s="37">
        <f t="shared" si="0"/>
        <v>0</v>
      </c>
      <c r="I22" s="284"/>
      <c r="J22" s="284"/>
      <c r="K22" s="284">
        <f>'[17] Ruko 2 Lantai Kombinasi'!H22</f>
        <v>0</v>
      </c>
      <c r="L22" s="284"/>
      <c r="M22" s="284"/>
    </row>
    <row r="23" spans="2:13">
      <c r="B23" s="2"/>
      <c r="C23" s="125"/>
      <c r="D23" s="51"/>
      <c r="E23" s="2"/>
      <c r="F23" s="36"/>
      <c r="G23" s="37"/>
      <c r="H23" s="37"/>
      <c r="I23" s="284"/>
      <c r="J23" s="284"/>
      <c r="K23" s="284"/>
      <c r="L23" s="284"/>
      <c r="M23" s="284"/>
    </row>
    <row r="24" spans="2:13">
      <c r="B24" s="14" t="s">
        <v>22</v>
      </c>
      <c r="C24" s="128" t="s">
        <v>23</v>
      </c>
      <c r="D24" s="51"/>
      <c r="E24" s="2"/>
      <c r="F24" s="36"/>
      <c r="G24" s="37"/>
      <c r="H24" s="62">
        <f>+SUM(H25:H26)</f>
        <v>308000</v>
      </c>
      <c r="I24" s="285">
        <v>308000</v>
      </c>
      <c r="J24" s="285">
        <f>H24-I24</f>
        <v>0</v>
      </c>
      <c r="K24" s="286">
        <f>'[17] Ruko 2 Lantai Kombinasi'!$H$27</f>
        <v>352000</v>
      </c>
      <c r="L24" s="286"/>
      <c r="M24" s="286"/>
    </row>
    <row r="25" spans="2:13">
      <c r="B25" s="2">
        <v>1</v>
      </c>
      <c r="C25" s="125" t="s">
        <v>90</v>
      </c>
      <c r="D25" s="51"/>
      <c r="E25" s="2" t="s">
        <v>72</v>
      </c>
      <c r="F25" s="87">
        <v>7</v>
      </c>
      <c r="G25" s="37">
        <f>'[17] Ruko 2 Lantai Kombinasi'!G25</f>
        <v>44000</v>
      </c>
      <c r="H25" s="37">
        <f t="shared" si="0"/>
        <v>308000</v>
      </c>
      <c r="I25" s="284"/>
      <c r="J25" s="284"/>
      <c r="K25" s="284">
        <f>'[17] Ruko 2 Lantai Kombinasi'!$H$25</f>
        <v>352000</v>
      </c>
      <c r="L25" s="284"/>
      <c r="M25" s="284"/>
    </row>
    <row r="26" spans="2:13">
      <c r="B26" s="2">
        <v>2</v>
      </c>
      <c r="C26" s="125" t="s">
        <v>24</v>
      </c>
      <c r="D26" s="54" t="s">
        <v>161</v>
      </c>
      <c r="E26" s="2" t="s">
        <v>19</v>
      </c>
      <c r="F26" s="36">
        <v>0</v>
      </c>
      <c r="G26" s="37">
        <f>'[17] Ruko 2 Lantai Kombinasi'!G26</f>
        <v>0</v>
      </c>
      <c r="H26" s="37">
        <f t="shared" si="0"/>
        <v>0</v>
      </c>
      <c r="I26" s="284"/>
      <c r="J26" s="284"/>
      <c r="K26" s="284"/>
      <c r="L26" s="284"/>
      <c r="M26" s="284"/>
    </row>
    <row r="27" spans="2:13">
      <c r="B27" s="2"/>
      <c r="C27" s="125"/>
      <c r="D27" s="51"/>
      <c r="E27" s="2"/>
      <c r="F27" s="36"/>
      <c r="G27" s="37"/>
      <c r="H27" s="37"/>
      <c r="I27" s="284"/>
      <c r="J27" s="284"/>
      <c r="K27" s="284"/>
      <c r="L27" s="284"/>
      <c r="M27" s="284"/>
    </row>
    <row r="28" spans="2:13">
      <c r="B28" s="14" t="s">
        <v>25</v>
      </c>
      <c r="C28" s="128" t="s">
        <v>26</v>
      </c>
      <c r="D28" s="51"/>
      <c r="E28" s="2"/>
      <c r="F28" s="36"/>
      <c r="G28" s="37"/>
      <c r="H28" s="62">
        <f>SUM(H29:H40)</f>
        <v>105098087.85484394</v>
      </c>
      <c r="I28" s="285">
        <v>104699896</v>
      </c>
      <c r="J28" s="285">
        <f>H28-I28</f>
        <v>398191.85484394431</v>
      </c>
      <c r="K28" s="286">
        <f>'[17] Ruko 2 Lantai Kombinasi'!$H$42</f>
        <v>107220546.84031361</v>
      </c>
      <c r="L28" s="286"/>
      <c r="M28" s="286"/>
    </row>
    <row r="29" spans="2:13">
      <c r="B29" s="2">
        <v>1</v>
      </c>
      <c r="C29" s="125" t="s">
        <v>27</v>
      </c>
      <c r="D29" s="54" t="s">
        <v>163</v>
      </c>
      <c r="E29" s="2" t="s">
        <v>19</v>
      </c>
      <c r="F29" s="87">
        <v>3.5089000000000006</v>
      </c>
      <c r="G29" s="37">
        <f>'[17] Ruko 2 Lantai Kombinasi'!G29</f>
        <v>3667568.0524394847</v>
      </c>
      <c r="H29" s="37">
        <f t="shared" si="0"/>
        <v>12869129.53920491</v>
      </c>
      <c r="I29" s="284"/>
      <c r="J29" s="284"/>
      <c r="K29" s="284">
        <f>'[17] Ruko 2 Lantai Kombinasi'!H29</f>
        <v>12869129.539204909</v>
      </c>
      <c r="L29" s="284">
        <f>H29-K29</f>
        <v>0</v>
      </c>
      <c r="M29" s="284"/>
    </row>
    <row r="30" spans="2:13">
      <c r="B30" s="2">
        <v>2</v>
      </c>
      <c r="C30" s="125" t="s">
        <v>91</v>
      </c>
      <c r="D30" s="54" t="s">
        <v>163</v>
      </c>
      <c r="E30" s="2" t="s">
        <v>19</v>
      </c>
      <c r="F30" s="87">
        <v>1.0635714285714286</v>
      </c>
      <c r="G30" s="37">
        <f>'[17] Ruko 2 Lantai Kombinasi'!G30</f>
        <v>2644654.9400601177</v>
      </c>
      <c r="H30" s="37">
        <f t="shared" si="0"/>
        <v>2812779.4326782255</v>
      </c>
      <c r="I30" s="284"/>
      <c r="J30" s="284"/>
      <c r="K30" s="284">
        <f>'[17] Ruko 2 Lantai Kombinasi'!H30</f>
        <v>3279372.1256745458</v>
      </c>
      <c r="L30" s="284">
        <f>H30-K30</f>
        <v>-466592.69299632031</v>
      </c>
      <c r="M30" s="284"/>
    </row>
    <row r="31" spans="2:13">
      <c r="B31" s="2">
        <v>3</v>
      </c>
      <c r="C31" s="125" t="s">
        <v>151</v>
      </c>
      <c r="D31" s="54" t="s">
        <v>163</v>
      </c>
      <c r="E31" s="2" t="s">
        <v>19</v>
      </c>
      <c r="F31" s="87">
        <v>3.6931710000000004</v>
      </c>
      <c r="G31" s="37">
        <f>'[17] Ruko 2 Lantai Kombinasi'!G31</f>
        <v>4169403.8067927901</v>
      </c>
      <c r="H31" s="37">
        <f t="shared" si="0"/>
        <v>15398321.226536738</v>
      </c>
      <c r="I31" s="284"/>
      <c r="J31" s="284"/>
      <c r="K31" s="284">
        <f>'[17] Ruko 2 Lantai Kombinasi'!H31</f>
        <v>15398321.226536736</v>
      </c>
      <c r="L31" s="284">
        <f>H31-K31</f>
        <v>0</v>
      </c>
      <c r="M31" s="284"/>
    </row>
    <row r="32" spans="2:13">
      <c r="B32" s="2">
        <v>4</v>
      </c>
      <c r="C32" s="125" t="s">
        <v>160</v>
      </c>
      <c r="D32" s="54" t="s">
        <v>163</v>
      </c>
      <c r="E32" s="2" t="s">
        <v>19</v>
      </c>
      <c r="F32" s="87">
        <v>2.3545132857142854</v>
      </c>
      <c r="G32" s="37">
        <f>'[17] Ruko 2 Lantai Kombinasi'!G32</f>
        <v>4169403.8067927901</v>
      </c>
      <c r="H32" s="37">
        <f t="shared" si="0"/>
        <v>9816916.6566013414</v>
      </c>
      <c r="I32" s="284"/>
      <c r="J32" s="284"/>
      <c r="K32" s="284">
        <f>'[17] Ruko 2 Lantai Kombinasi'!H32</f>
        <v>9816916.6566013601</v>
      </c>
      <c r="L32" s="284">
        <f>H32-K32</f>
        <v>-1.862645149230957E-8</v>
      </c>
      <c r="M32" s="284"/>
    </row>
    <row r="33" spans="2:15">
      <c r="B33" s="2">
        <v>5</v>
      </c>
      <c r="C33" s="125" t="s">
        <v>94</v>
      </c>
      <c r="D33" s="54" t="s">
        <v>163</v>
      </c>
      <c r="E33" s="2" t="s">
        <v>19</v>
      </c>
      <c r="F33" s="87">
        <v>2.8512857142857149</v>
      </c>
      <c r="G33" s="37">
        <f>'[17] Ruko 2 Lantai Kombinasi'!G33</f>
        <v>4874291.020737322</v>
      </c>
      <c r="H33" s="37">
        <f t="shared" si="0"/>
        <v>13897996.354699461</v>
      </c>
      <c r="I33" s="284"/>
      <c r="J33" s="284"/>
      <c r="K33" s="284">
        <f>'[17] Ruko 2 Lantai Kombinasi'!H33</f>
        <v>15553862.647172794</v>
      </c>
      <c r="L33" s="284">
        <f>H33-K33</f>
        <v>-1655866.292473333</v>
      </c>
      <c r="M33" s="284"/>
    </row>
    <row r="34" spans="2:15">
      <c r="B34" s="2">
        <v>6</v>
      </c>
      <c r="C34" s="125" t="s">
        <v>95</v>
      </c>
      <c r="D34" s="54" t="s">
        <v>164</v>
      </c>
      <c r="E34" s="2" t="s">
        <v>19</v>
      </c>
      <c r="F34" s="36">
        <v>0</v>
      </c>
      <c r="G34" s="37">
        <f>'[17] Ruko 2 Lantai Kombinasi'!G34</f>
        <v>4316562.4509277912</v>
      </c>
      <c r="H34" s="37">
        <f t="shared" si="0"/>
        <v>0</v>
      </c>
      <c r="I34" s="284"/>
      <c r="J34" s="284"/>
      <c r="K34" s="284">
        <f>'[17] Ruko 2 Lantai Kombinasi'!H34</f>
        <v>0</v>
      </c>
      <c r="L34" s="284"/>
      <c r="M34" s="284"/>
    </row>
    <row r="35" spans="2:15">
      <c r="B35" s="2">
        <v>7</v>
      </c>
      <c r="C35" s="125" t="s">
        <v>96</v>
      </c>
      <c r="D35" s="54" t="s">
        <v>163</v>
      </c>
      <c r="E35" s="2" t="s">
        <v>19</v>
      </c>
      <c r="F35" s="36">
        <v>1.1747780000000001</v>
      </c>
      <c r="G35" s="37">
        <f>'[17] Ruko 2 Lantai Kombinasi'!G35</f>
        <v>3583454.0951257134</v>
      </c>
      <c r="H35" s="37">
        <f t="shared" si="0"/>
        <v>4209763.0349635957</v>
      </c>
      <c r="I35" s="284"/>
      <c r="J35" s="284"/>
      <c r="K35" s="284">
        <f>'[17] Ruko 2 Lantai Kombinasi'!H35</f>
        <v>4209763.0349635957</v>
      </c>
      <c r="L35" s="284">
        <f t="shared" ref="L35:L40" si="1">H35-K35</f>
        <v>0</v>
      </c>
      <c r="M35" s="284"/>
    </row>
    <row r="36" spans="2:15">
      <c r="B36" s="2">
        <v>8</v>
      </c>
      <c r="C36" s="125" t="s">
        <v>254</v>
      </c>
      <c r="D36" s="54" t="s">
        <v>253</v>
      </c>
      <c r="E36" s="2" t="s">
        <v>19</v>
      </c>
      <c r="F36" s="36">
        <v>4.6419039999999994</v>
      </c>
      <c r="G36" s="37">
        <f>'[17] Ruko 2 Lantai Kombinasi'!G36</f>
        <v>1860046.9010179578</v>
      </c>
      <c r="H36" s="37">
        <f t="shared" si="0"/>
        <v>8634159.1500228606</v>
      </c>
      <c r="I36" s="284"/>
      <c r="J36" s="284"/>
      <c r="K36" s="284">
        <f>'[17] Ruko 2 Lantai Kombinasi'!H36</f>
        <v>8634159.1500228625</v>
      </c>
      <c r="L36" s="284">
        <f t="shared" si="1"/>
        <v>0</v>
      </c>
      <c r="M36" s="37"/>
      <c r="N36" s="123">
        <f>(2.3492+3.0302+1.3579+1.7728+16.3315+14.6224+14.3974+4.1624)*0.08</f>
        <v>4.6419039999999994</v>
      </c>
      <c r="O36" s="124" t="s">
        <v>234</v>
      </c>
    </row>
    <row r="37" spans="2:15">
      <c r="B37" s="2">
        <v>9</v>
      </c>
      <c r="C37" s="125" t="s">
        <v>252</v>
      </c>
      <c r="D37" s="54" t="s">
        <v>163</v>
      </c>
      <c r="E37" s="2" t="s">
        <v>19</v>
      </c>
      <c r="F37" s="36">
        <v>7.2264839999999992</v>
      </c>
      <c r="G37" s="37">
        <f>'[17] Ruko 2 Lantai Kombinasi'!G37</f>
        <v>3707903.7878055559</v>
      </c>
      <c r="H37" s="37">
        <f t="shared" si="0"/>
        <v>26795107.396116242</v>
      </c>
      <c r="I37" s="284"/>
      <c r="J37" s="284"/>
      <c r="K37" s="284">
        <f>'[17] Ruko 2 Lantai Kombinasi'!H37</f>
        <v>26795107.396116246</v>
      </c>
      <c r="L37" s="284">
        <f t="shared" si="1"/>
        <v>0</v>
      </c>
      <c r="M37" s="37"/>
      <c r="N37" s="123"/>
      <c r="O37" s="124"/>
    </row>
    <row r="38" spans="2:15">
      <c r="B38" s="2">
        <v>10</v>
      </c>
      <c r="C38" s="125" t="s">
        <v>98</v>
      </c>
      <c r="D38" s="54" t="s">
        <v>165</v>
      </c>
      <c r="E38" s="2" t="s">
        <v>19</v>
      </c>
      <c r="F38" s="36">
        <v>2.13903</v>
      </c>
      <c r="G38" s="37">
        <f>'[17] Ruko 2 Lantai Kombinasi'!G38</f>
        <v>4053672.0037000002</v>
      </c>
      <c r="H38" s="37">
        <f t="shared" si="0"/>
        <v>8670926.0260744113</v>
      </c>
      <c r="I38" s="284"/>
      <c r="J38" s="284"/>
      <c r="K38" s="284">
        <f>'[17] Ruko 2 Lantai Kombinasi'!H38</f>
        <v>8670926.0260744113</v>
      </c>
      <c r="L38" s="284">
        <f t="shared" si="1"/>
        <v>0</v>
      </c>
      <c r="M38" s="37"/>
      <c r="N38" s="123">
        <f>(0.6248+14.5301+14.712+14.5618+5.3089)*0.12</f>
        <v>5.9685119999999996</v>
      </c>
      <c r="O38" s="124" t="s">
        <v>235</v>
      </c>
    </row>
    <row r="39" spans="2:15" ht="30.75">
      <c r="B39" s="2">
        <v>11</v>
      </c>
      <c r="C39" s="125" t="s">
        <v>245</v>
      </c>
      <c r="D39" s="54"/>
      <c r="E39" s="2" t="s">
        <v>19</v>
      </c>
      <c r="F39" s="36">
        <v>0.38250000000000001</v>
      </c>
      <c r="G39" s="37">
        <f>'[17] Ruko 2 Lantai Kombinasi'!G39</f>
        <v>4169403.8067927901</v>
      </c>
      <c r="H39" s="37">
        <f t="shared" si="0"/>
        <v>1594796.9560982422</v>
      </c>
      <c r="I39" s="284"/>
      <c r="J39" s="284"/>
      <c r="K39" s="284">
        <f>'[17] Ruko 2 Lantai Kombinasi'!H39</f>
        <v>1594796.9560982422</v>
      </c>
      <c r="L39" s="284">
        <f t="shared" si="1"/>
        <v>0</v>
      </c>
      <c r="M39" s="37"/>
      <c r="N39" s="123"/>
      <c r="O39" s="124"/>
    </row>
    <row r="40" spans="2:15">
      <c r="B40" s="2">
        <v>12</v>
      </c>
      <c r="C40" s="125" t="s">
        <v>251</v>
      </c>
      <c r="D40" s="54"/>
      <c r="E40" s="2" t="s">
        <v>19</v>
      </c>
      <c r="F40" s="87">
        <v>8.1692307692307703E-2</v>
      </c>
      <c r="G40" s="37">
        <f>'[17] Ruko 2 Lantai Kombinasi'!G40</f>
        <v>4874291.020737322</v>
      </c>
      <c r="H40" s="37">
        <f t="shared" si="0"/>
        <v>398192.0818479259</v>
      </c>
      <c r="I40" s="284"/>
      <c r="J40" s="284"/>
      <c r="K40" s="284">
        <f>'[17] Ruko 2 Lantai Kombinasi'!H40</f>
        <v>398192.0818479259</v>
      </c>
      <c r="L40" s="284">
        <f t="shared" si="1"/>
        <v>0</v>
      </c>
      <c r="M40" s="37"/>
      <c r="N40" s="123"/>
      <c r="O40" s="124"/>
    </row>
    <row r="41" spans="2:15">
      <c r="B41" s="2"/>
      <c r="C41" s="125"/>
      <c r="D41" s="54"/>
      <c r="E41" s="2"/>
      <c r="F41" s="36"/>
      <c r="G41" s="37"/>
      <c r="H41" s="37"/>
      <c r="I41" s="135"/>
      <c r="J41" s="135"/>
      <c r="K41" s="37"/>
      <c r="L41" s="37"/>
      <c r="M41" s="37"/>
      <c r="N41" s="123"/>
      <c r="O41" s="124"/>
    </row>
    <row r="42" spans="2:15">
      <c r="B42" s="2"/>
      <c r="C42" s="125"/>
      <c r="D42" s="51"/>
      <c r="E42" s="2"/>
      <c r="F42" s="36"/>
      <c r="G42" s="37"/>
      <c r="H42" s="37">
        <f t="shared" ref="H42:H77" si="2">F42*G42</f>
        <v>0</v>
      </c>
      <c r="I42" s="135"/>
      <c r="J42" s="135"/>
      <c r="K42" s="37"/>
      <c r="L42" s="37"/>
      <c r="M42" s="37"/>
      <c r="N42" s="123">
        <f>(2.5053+1.2613)*0.12</f>
        <v>0.451992</v>
      </c>
      <c r="O42" s="124" t="s">
        <v>236</v>
      </c>
    </row>
    <row r="43" spans="2:15">
      <c r="B43" s="14" t="s">
        <v>28</v>
      </c>
      <c r="C43" s="128" t="s">
        <v>29</v>
      </c>
      <c r="D43" s="51"/>
      <c r="E43" s="2"/>
      <c r="F43" s="36"/>
      <c r="G43" s="37"/>
      <c r="H43" s="62">
        <f>SUM(H45:H54)</f>
        <v>22362804.928017829</v>
      </c>
      <c r="I43" s="285">
        <v>22362805</v>
      </c>
      <c r="J43" s="285">
        <f>H43-I43</f>
        <v>-7.1982171386480331E-2</v>
      </c>
      <c r="K43" s="62">
        <f>SUM(K45:K54)</f>
        <v>22175655.69797951</v>
      </c>
      <c r="L43" s="62"/>
      <c r="M43" s="62"/>
      <c r="N43" s="123">
        <f>3.9227*0.12</f>
        <v>0.47072399999999998</v>
      </c>
      <c r="O43" s="124" t="s">
        <v>239</v>
      </c>
    </row>
    <row r="44" spans="2:15">
      <c r="B44" s="14"/>
      <c r="C44" s="128" t="s">
        <v>99</v>
      </c>
      <c r="D44" s="51"/>
      <c r="E44" s="2"/>
      <c r="F44" s="36"/>
      <c r="G44" s="37"/>
      <c r="H44" s="37">
        <f t="shared" si="2"/>
        <v>0</v>
      </c>
      <c r="I44" s="135"/>
      <c r="J44" s="135"/>
      <c r="K44" s="37"/>
      <c r="L44" s="37"/>
      <c r="M44" s="37"/>
      <c r="N44" s="123">
        <f>2.7938*0.12</f>
        <v>0.335256</v>
      </c>
      <c r="O44" s="124" t="s">
        <v>240</v>
      </c>
    </row>
    <row r="45" spans="2:15">
      <c r="B45" s="2">
        <v>1</v>
      </c>
      <c r="C45" s="125" t="s">
        <v>100</v>
      </c>
      <c r="D45" s="163" t="s">
        <v>317</v>
      </c>
      <c r="E45" s="2" t="s">
        <v>15</v>
      </c>
      <c r="F45" s="36">
        <v>4.5</v>
      </c>
      <c r="G45" s="288">
        <f>[18]Sheet1!$H$813</f>
        <v>182122.11836070466</v>
      </c>
      <c r="H45" s="37">
        <f t="shared" si="2"/>
        <v>819549.53262317099</v>
      </c>
      <c r="I45" s="284"/>
      <c r="J45" s="284"/>
      <c r="K45" s="284">
        <f>'[17]Volume overall (GR02)'!I44</f>
        <v>786218.20137317083</v>
      </c>
      <c r="L45" s="284">
        <f>H45-K45</f>
        <v>33331.331250000163</v>
      </c>
      <c r="M45" s="284"/>
    </row>
    <row r="46" spans="2:15">
      <c r="B46" s="2">
        <v>2</v>
      </c>
      <c r="C46" s="125" t="s">
        <v>101</v>
      </c>
      <c r="D46" s="160"/>
      <c r="E46" s="2"/>
      <c r="F46" s="36"/>
      <c r="G46" s="37"/>
      <c r="H46" s="37">
        <f t="shared" si="2"/>
        <v>0</v>
      </c>
      <c r="I46" s="284"/>
      <c r="J46" s="284"/>
      <c r="K46" s="284"/>
      <c r="L46" s="284"/>
      <c r="M46" s="284"/>
    </row>
    <row r="47" spans="2:15">
      <c r="B47" s="2">
        <v>3</v>
      </c>
      <c r="C47" s="125" t="s">
        <v>102</v>
      </c>
      <c r="D47" s="160" t="s">
        <v>166</v>
      </c>
      <c r="E47" s="2" t="s">
        <v>15</v>
      </c>
      <c r="F47" s="36">
        <v>54.985378867000001</v>
      </c>
      <c r="G47" s="37">
        <f>'[17] Ruko 2 Lantai Kombinasi'!G47</f>
        <v>165240.63836070464</v>
      </c>
      <c r="H47" s="37">
        <f t="shared" si="2"/>
        <v>9085819.1044882797</v>
      </c>
      <c r="I47" s="284"/>
      <c r="J47" s="284"/>
      <c r="K47" s="284">
        <f>'[17]Volume overall (GR02)'!I46</f>
        <v>9085819.1044882797</v>
      </c>
      <c r="L47" s="284">
        <f>H47-K47</f>
        <v>0</v>
      </c>
      <c r="M47" s="284"/>
    </row>
    <row r="48" spans="2:15">
      <c r="B48" s="2">
        <v>4</v>
      </c>
      <c r="C48" s="125" t="s">
        <v>103</v>
      </c>
      <c r="D48" s="160" t="s">
        <v>319</v>
      </c>
      <c r="E48" s="2" t="s">
        <v>15</v>
      </c>
      <c r="F48" s="36">
        <v>2.7731172659999999</v>
      </c>
      <c r="G48" s="288">
        <f>[18]Sheet1!$H$794</f>
        <v>175088.16836070467</v>
      </c>
      <c r="H48" s="37">
        <f t="shared" si="2"/>
        <v>485540.02275338501</v>
      </c>
      <c r="I48" s="284"/>
      <c r="J48" s="284"/>
      <c r="K48" s="284">
        <f>'[17]Volume overall (GR02)'!I47</f>
        <v>408698.32987115794</v>
      </c>
      <c r="L48" s="284">
        <f>H48-K48</f>
        <v>76841.692882227071</v>
      </c>
      <c r="M48" s="284"/>
    </row>
    <row r="49" spans="2:13">
      <c r="B49" s="2">
        <v>5</v>
      </c>
      <c r="C49" s="125" t="s">
        <v>104</v>
      </c>
      <c r="D49" s="160" t="s">
        <v>166</v>
      </c>
      <c r="E49" s="2" t="s">
        <v>15</v>
      </c>
      <c r="F49" s="36">
        <v>9.5839976869000019</v>
      </c>
      <c r="G49" s="37">
        <f>'[17] Ruko 2 Lantai Kombinasi'!G49</f>
        <v>181142.4543116249</v>
      </c>
      <c r="H49" s="37">
        <f t="shared" si="2"/>
        <v>1736068.8631220022</v>
      </c>
      <c r="I49" s="284"/>
      <c r="J49" s="284"/>
      <c r="K49" s="284">
        <f>'[17]Volume overall (GR02)'!I48</f>
        <v>1736068.8631220022</v>
      </c>
      <c r="L49" s="284">
        <f>H49-K49</f>
        <v>0</v>
      </c>
      <c r="M49" s="284"/>
    </row>
    <row r="50" spans="2:13" ht="30">
      <c r="B50" s="2">
        <v>6</v>
      </c>
      <c r="C50" s="125" t="s">
        <v>266</v>
      </c>
      <c r="D50" s="163" t="s">
        <v>318</v>
      </c>
      <c r="E50" s="2" t="s">
        <v>9</v>
      </c>
      <c r="F50" s="36">
        <v>7.7</v>
      </c>
      <c r="G50" s="288">
        <f>[18]Sheet1!$H$831</f>
        <v>28250.895690636284</v>
      </c>
      <c r="H50" s="37">
        <f t="shared" si="2"/>
        <v>217531.8968178994</v>
      </c>
      <c r="I50" s="284"/>
      <c r="J50" s="284"/>
      <c r="K50" s="284">
        <f>'[17]Volume overall (GR02)'!I49</f>
        <v>236288.12342430808</v>
      </c>
      <c r="L50" s="284">
        <f>H50-K50</f>
        <v>-18756.226606408687</v>
      </c>
      <c r="M50" s="284"/>
    </row>
    <row r="51" spans="2:13">
      <c r="B51" s="2">
        <v>7</v>
      </c>
      <c r="C51" s="125" t="s">
        <v>267</v>
      </c>
      <c r="D51" s="163" t="s">
        <v>317</v>
      </c>
      <c r="E51" s="2" t="s">
        <v>15</v>
      </c>
      <c r="F51" s="36">
        <v>2.5499999999999998</v>
      </c>
      <c r="G51" s="288">
        <f>G45</f>
        <v>182122.11836070466</v>
      </c>
      <c r="H51" s="37">
        <f t="shared" si="2"/>
        <v>464411.40181979683</v>
      </c>
      <c r="I51" s="284"/>
      <c r="J51" s="284"/>
      <c r="K51" s="284">
        <f>'[17]Volume overall (GR02)'!I50</f>
        <v>445523.64744479681</v>
      </c>
      <c r="L51" s="284">
        <f>H51-K51</f>
        <v>18887.754375000019</v>
      </c>
      <c r="M51" s="284"/>
    </row>
    <row r="52" spans="2:13">
      <c r="B52" s="14"/>
      <c r="C52" s="128" t="s">
        <v>105</v>
      </c>
      <c r="D52" s="161"/>
      <c r="E52" s="2"/>
      <c r="F52" s="36"/>
      <c r="G52" s="37"/>
      <c r="H52" s="37">
        <f t="shared" si="2"/>
        <v>0</v>
      </c>
      <c r="I52" s="284"/>
      <c r="J52" s="284"/>
      <c r="K52" s="284"/>
      <c r="L52" s="284"/>
      <c r="M52" s="284"/>
    </row>
    <row r="53" spans="2:13">
      <c r="B53" s="2">
        <v>1</v>
      </c>
      <c r="C53" s="125" t="s">
        <v>102</v>
      </c>
      <c r="D53" s="160" t="s">
        <v>166</v>
      </c>
      <c r="E53" s="2" t="s">
        <v>15</v>
      </c>
      <c r="F53" s="36">
        <v>54.879509729900001</v>
      </c>
      <c r="G53" s="37">
        <f>'[17] Ruko 2 Lantai Kombinasi'!G53</f>
        <v>165240.63836070464</v>
      </c>
      <c r="H53" s="37">
        <f t="shared" si="2"/>
        <v>9068325.220691178</v>
      </c>
      <c r="I53" s="284"/>
      <c r="J53" s="284"/>
      <c r="K53" s="284">
        <f>'[17]Volume overall (GR02)'!I52</f>
        <v>9068325.220691178</v>
      </c>
      <c r="L53" s="284">
        <f>H53-K53</f>
        <v>0</v>
      </c>
      <c r="M53" s="284"/>
    </row>
    <row r="54" spans="2:13">
      <c r="B54" s="2">
        <v>2</v>
      </c>
      <c r="C54" s="125" t="s">
        <v>103</v>
      </c>
      <c r="D54" s="160" t="s">
        <v>319</v>
      </c>
      <c r="E54" s="2" t="s">
        <v>15</v>
      </c>
      <c r="F54" s="36">
        <v>2.7732250000000001</v>
      </c>
      <c r="G54" s="288">
        <f>G48</f>
        <v>175088.16836070467</v>
      </c>
      <c r="H54" s="37">
        <f t="shared" si="2"/>
        <v>485558.88570211525</v>
      </c>
      <c r="I54" s="284"/>
      <c r="J54" s="284"/>
      <c r="K54" s="284">
        <f>'[17]Volume overall (GR02)'!I53</f>
        <v>408714.20756461512</v>
      </c>
      <c r="L54" s="284">
        <f>H54-K54</f>
        <v>76844.67813750013</v>
      </c>
      <c r="M54" s="284"/>
    </row>
    <row r="55" spans="2:13">
      <c r="B55" s="2"/>
      <c r="C55" s="125"/>
      <c r="D55" s="133"/>
      <c r="E55" s="2"/>
      <c r="F55" s="36"/>
      <c r="G55" s="37"/>
      <c r="H55" s="37">
        <f t="shared" si="2"/>
        <v>0</v>
      </c>
      <c r="I55" s="284"/>
      <c r="J55" s="284"/>
      <c r="K55" s="284"/>
      <c r="L55" s="284"/>
      <c r="M55" s="284"/>
    </row>
    <row r="56" spans="2:13">
      <c r="B56" s="14" t="s">
        <v>30</v>
      </c>
      <c r="C56" s="128" t="s">
        <v>31</v>
      </c>
      <c r="D56" s="54"/>
      <c r="E56" s="2"/>
      <c r="F56" s="36"/>
      <c r="G56" s="37"/>
      <c r="H56" s="62">
        <f>SUM(H58:H62)</f>
        <v>5981345.8577950299</v>
      </c>
      <c r="I56" s="285">
        <v>5981346</v>
      </c>
      <c r="J56" s="285">
        <f>H56-I56</f>
        <v>-0.14220497012138367</v>
      </c>
      <c r="K56" s="62">
        <f>SUM(K58:K62)</f>
        <v>5566271.0833849274</v>
      </c>
      <c r="L56" s="286"/>
      <c r="M56" s="286"/>
    </row>
    <row r="57" spans="2:13">
      <c r="B57" s="14"/>
      <c r="C57" s="128" t="s">
        <v>99</v>
      </c>
      <c r="D57" s="54"/>
      <c r="E57" s="2"/>
      <c r="F57" s="36"/>
      <c r="G57" s="37"/>
      <c r="H57" s="37">
        <f t="shared" si="2"/>
        <v>0</v>
      </c>
      <c r="I57" s="284"/>
      <c r="J57" s="284"/>
      <c r="K57" s="284"/>
      <c r="L57" s="284"/>
      <c r="M57" s="284"/>
    </row>
    <row r="58" spans="2:13">
      <c r="B58" s="2">
        <v>1</v>
      </c>
      <c r="C58" s="125" t="s">
        <v>103</v>
      </c>
      <c r="D58" s="160" t="s">
        <v>320</v>
      </c>
      <c r="E58" s="2" t="s">
        <v>15</v>
      </c>
      <c r="F58" s="36">
        <v>11.8163622412</v>
      </c>
      <c r="G58" s="288">
        <f>[18]Sheet1!$H$849</f>
        <v>176260.49336070466</v>
      </c>
      <c r="H58" s="37">
        <f t="shared" si="2"/>
        <v>2082757.8383627138</v>
      </c>
      <c r="I58" s="284"/>
      <c r="J58" s="284"/>
      <c r="K58" s="284">
        <f>'[17] Ruko 2 Lantai Kombinasi'!H58</f>
        <v>1875220.4511576628</v>
      </c>
      <c r="L58" s="284"/>
      <c r="M58" s="284"/>
    </row>
    <row r="59" spans="2:13">
      <c r="B59" s="2">
        <v>2</v>
      </c>
      <c r="C59" s="125" t="s">
        <v>106</v>
      </c>
      <c r="D59" s="160" t="s">
        <v>167</v>
      </c>
      <c r="E59" s="2" t="s">
        <v>208</v>
      </c>
      <c r="F59" s="36">
        <v>32.455124400000003</v>
      </c>
      <c r="G59" s="37">
        <f>'[17] Ruko 2 Lantai Kombinasi'!G59</f>
        <v>26285.855690636283</v>
      </c>
      <c r="H59" s="37">
        <f t="shared" si="2"/>
        <v>853110.71640004858</v>
      </c>
      <c r="I59" s="284"/>
      <c r="J59" s="284"/>
      <c r="K59" s="284">
        <f>'[17] Ruko 2 Lantai Kombinasi'!H59</f>
        <v>853110.71640004858</v>
      </c>
      <c r="L59" s="284"/>
      <c r="M59" s="284"/>
    </row>
    <row r="60" spans="2:13">
      <c r="B60" s="14"/>
      <c r="C60" s="128" t="s">
        <v>105</v>
      </c>
      <c r="D60" s="161"/>
      <c r="E60" s="2"/>
      <c r="F60" s="36"/>
      <c r="G60" s="37"/>
      <c r="H60" s="37">
        <f t="shared" si="2"/>
        <v>0</v>
      </c>
      <c r="I60" s="284"/>
      <c r="J60" s="284"/>
      <c r="K60" s="284">
        <f>'[17] Ruko 2 Lantai Kombinasi'!H60</f>
        <v>0</v>
      </c>
      <c r="L60" s="284"/>
      <c r="M60" s="284"/>
    </row>
    <row r="61" spans="2:13">
      <c r="B61" s="2">
        <v>1</v>
      </c>
      <c r="C61" s="125" t="s">
        <v>103</v>
      </c>
      <c r="D61" s="160" t="s">
        <v>320</v>
      </c>
      <c r="E61" s="2" t="s">
        <v>15</v>
      </c>
      <c r="F61" s="36">
        <v>11.8163622412</v>
      </c>
      <c r="G61" s="288">
        <f>G58</f>
        <v>176260.49336070466</v>
      </c>
      <c r="H61" s="37">
        <f t="shared" si="2"/>
        <v>2082757.8383627138</v>
      </c>
      <c r="I61" s="284"/>
      <c r="J61" s="284"/>
      <c r="K61" s="284">
        <f>'[17] Ruko 2 Lantai Kombinasi'!H61</f>
        <v>1875220.4511576628</v>
      </c>
      <c r="L61" s="284"/>
      <c r="M61" s="284"/>
    </row>
    <row r="62" spans="2:13">
      <c r="B62" s="2">
        <v>2</v>
      </c>
      <c r="C62" s="125" t="s">
        <v>106</v>
      </c>
      <c r="D62" s="160" t="s">
        <v>167</v>
      </c>
      <c r="E62" s="2" t="str">
        <f>E59</f>
        <v>m1</v>
      </c>
      <c r="F62" s="36">
        <v>36.625</v>
      </c>
      <c r="G62" s="37">
        <f>'[17] Ruko 2 Lantai Kombinasi'!G62</f>
        <v>26285.855690636283</v>
      </c>
      <c r="H62" s="37">
        <f t="shared" si="2"/>
        <v>962719.46466955391</v>
      </c>
      <c r="I62" s="284"/>
      <c r="J62" s="284"/>
      <c r="K62" s="284">
        <f>'[17] Ruko 2 Lantai Kombinasi'!H62</f>
        <v>962719.46466955391</v>
      </c>
      <c r="L62" s="284"/>
      <c r="M62" s="284"/>
    </row>
    <row r="63" spans="2:13">
      <c r="B63" s="2"/>
      <c r="C63" s="125"/>
      <c r="D63" s="54"/>
      <c r="E63" s="2"/>
      <c r="F63" s="36"/>
      <c r="G63" s="37"/>
      <c r="H63" s="37">
        <f t="shared" si="2"/>
        <v>0</v>
      </c>
      <c r="I63" s="284"/>
      <c r="J63" s="284"/>
      <c r="K63" s="284"/>
      <c r="L63" s="284"/>
      <c r="M63" s="284"/>
    </row>
    <row r="64" spans="2:13">
      <c r="B64" s="14" t="s">
        <v>32</v>
      </c>
      <c r="C64" s="128" t="s">
        <v>33</v>
      </c>
      <c r="D64" s="54"/>
      <c r="E64" s="2"/>
      <c r="F64" s="36"/>
      <c r="G64" s="37"/>
      <c r="H64" s="62">
        <f>SUM(H65:H68)</f>
        <v>18593958.017823648</v>
      </c>
      <c r="I64" s="285">
        <v>18593958</v>
      </c>
      <c r="J64" s="285">
        <f>H64-I64</f>
        <v>1.7823647707700729E-2</v>
      </c>
      <c r="K64" s="62">
        <f>SUM(K65:K68)</f>
        <v>18593958.017823648</v>
      </c>
      <c r="L64" s="286"/>
      <c r="M64" s="286"/>
    </row>
    <row r="65" spans="2:16">
      <c r="B65" s="52">
        <v>1</v>
      </c>
      <c r="C65" s="51" t="s">
        <v>34</v>
      </c>
      <c r="D65" s="51" t="s">
        <v>304</v>
      </c>
      <c r="E65" s="52" t="s">
        <v>15</v>
      </c>
      <c r="F65" s="61">
        <v>99.438039730499995</v>
      </c>
      <c r="G65" s="37">
        <f>'[17] Ruko 2 Lantai Kombinasi'!G65</f>
        <v>69300</v>
      </c>
      <c r="H65" s="37">
        <f t="shared" si="2"/>
        <v>6891056.1533236494</v>
      </c>
      <c r="I65" s="284"/>
      <c r="J65" s="284"/>
      <c r="K65" s="284">
        <f>'[17] Ruko 2 Lantai Kombinasi'!H65</f>
        <v>6891056.1533236494</v>
      </c>
      <c r="L65" s="284"/>
      <c r="M65" s="284"/>
    </row>
    <row r="66" spans="2:16">
      <c r="B66" s="2">
        <v>2</v>
      </c>
      <c r="C66" s="125" t="s">
        <v>107</v>
      </c>
      <c r="D66" s="51" t="s">
        <v>305</v>
      </c>
      <c r="E66" s="2" t="s">
        <v>9</v>
      </c>
      <c r="F66" s="36">
        <v>116.36</v>
      </c>
      <c r="G66" s="37">
        <f>'[17] Ruko 2 Lantai Kombinasi'!G66</f>
        <v>23100.000000000004</v>
      </c>
      <c r="H66" s="37">
        <f t="shared" si="2"/>
        <v>2687916.0000000005</v>
      </c>
      <c r="I66" s="284"/>
      <c r="J66" s="284"/>
      <c r="K66" s="284">
        <f>'[17] Ruko 2 Lantai Kombinasi'!H66</f>
        <v>2687916.0000000005</v>
      </c>
      <c r="L66" s="284"/>
      <c r="M66" s="284"/>
    </row>
    <row r="67" spans="2:16">
      <c r="B67" s="52">
        <v>3</v>
      </c>
      <c r="C67" s="51" t="s">
        <v>35</v>
      </c>
      <c r="D67" s="51" t="s">
        <v>306</v>
      </c>
      <c r="E67" s="52" t="s">
        <v>15</v>
      </c>
      <c r="F67" s="61">
        <v>15.239649999999999</v>
      </c>
      <c r="G67" s="37">
        <f>'[17] Ruko 2 Lantai Kombinasi'!G67</f>
        <v>96250.000000000015</v>
      </c>
      <c r="H67" s="37">
        <f t="shared" si="2"/>
        <v>1466816.3125000002</v>
      </c>
      <c r="I67" s="284"/>
      <c r="J67" s="284"/>
      <c r="K67" s="284">
        <f>'[17] Ruko 2 Lantai Kombinasi'!H67</f>
        <v>1466816.3125000002</v>
      </c>
      <c r="L67" s="284"/>
      <c r="M67" s="284"/>
    </row>
    <row r="68" spans="2:16">
      <c r="B68" s="2">
        <v>4</v>
      </c>
      <c r="C68" s="125" t="s">
        <v>36</v>
      </c>
      <c r="D68" s="51" t="s">
        <v>168</v>
      </c>
      <c r="E68" s="2" t="s">
        <v>15</v>
      </c>
      <c r="F68" s="36">
        <v>85.774653999999984</v>
      </c>
      <c r="G68" s="37">
        <f>'[17] Ruko 2 Lantai Kombinasi'!G68</f>
        <v>88000</v>
      </c>
      <c r="H68" s="37">
        <f t="shared" si="2"/>
        <v>7548169.5519999983</v>
      </c>
      <c r="I68" s="284"/>
      <c r="J68" s="284"/>
      <c r="K68" s="284">
        <f>'[17] Ruko 2 Lantai Kombinasi'!H68</f>
        <v>7548169.5519999983</v>
      </c>
      <c r="L68" s="284"/>
      <c r="M68" s="284"/>
    </row>
    <row r="69" spans="2:16">
      <c r="B69" s="2"/>
      <c r="C69" s="125"/>
      <c r="D69" s="51"/>
      <c r="E69" s="2"/>
      <c r="F69" s="36"/>
      <c r="G69" s="37"/>
      <c r="H69" s="37">
        <f t="shared" si="2"/>
        <v>0</v>
      </c>
      <c r="I69" s="284"/>
      <c r="J69" s="284"/>
      <c r="K69" s="284"/>
      <c r="L69" s="284"/>
      <c r="M69" s="284"/>
    </row>
    <row r="70" spans="2:16">
      <c r="B70" s="14" t="s">
        <v>37</v>
      </c>
      <c r="C70" s="128" t="s">
        <v>38</v>
      </c>
      <c r="D70" s="51"/>
      <c r="E70" s="2"/>
      <c r="F70" s="36"/>
      <c r="G70" s="37"/>
      <c r="H70" s="62">
        <f>SUM(H71:H76)</f>
        <v>54942530.982103065</v>
      </c>
      <c r="I70" s="285">
        <v>54942531</v>
      </c>
      <c r="J70" s="285">
        <f>H70-I70</f>
        <v>-1.7896935343742371E-2</v>
      </c>
      <c r="K70" s="62">
        <f>SUM(K71:K76)</f>
        <v>54942530.982103065</v>
      </c>
      <c r="L70" s="286"/>
      <c r="M70" s="286"/>
    </row>
    <row r="71" spans="2:16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>
        <f>'[17] Ruko 2 Lantai Kombinasi'!G71</f>
        <v>124025.77797467388</v>
      </c>
      <c r="H71" s="37">
        <f t="shared" si="2"/>
        <v>23543366.940131631</v>
      </c>
      <c r="I71" s="284"/>
      <c r="J71" s="284"/>
      <c r="K71" s="284">
        <f>'[17] Ruko 2 Lantai Kombinasi'!H71</f>
        <v>23543366.940131631</v>
      </c>
      <c r="L71" s="284"/>
      <c r="M71" s="284"/>
    </row>
    <row r="72" spans="2:16">
      <c r="B72" s="2">
        <v>2</v>
      </c>
      <c r="C72" s="125" t="s">
        <v>108</v>
      </c>
      <c r="D72" s="51" t="s">
        <v>169</v>
      </c>
      <c r="E72" s="2" t="s">
        <v>15</v>
      </c>
      <c r="F72" s="36">
        <v>19.71</v>
      </c>
      <c r="G72" s="37">
        <f>'[17] Ruko 2 Lantai Kombinasi'!G72</f>
        <v>72552.734375</v>
      </c>
      <c r="H72" s="37">
        <f t="shared" si="2"/>
        <v>1430014.39453125</v>
      </c>
      <c r="I72" s="284"/>
      <c r="J72" s="284"/>
      <c r="K72" s="284">
        <f>'[17] Ruko 2 Lantai Kombinasi'!H72</f>
        <v>1430014.39453125</v>
      </c>
      <c r="L72" s="284"/>
      <c r="M72" s="284"/>
    </row>
    <row r="73" spans="2:16">
      <c r="B73" s="2">
        <v>3</v>
      </c>
      <c r="C73" s="125" t="s">
        <v>40</v>
      </c>
      <c r="D73" s="51" t="s">
        <v>170</v>
      </c>
      <c r="E73" s="2" t="s">
        <v>15</v>
      </c>
      <c r="F73" s="36">
        <v>376.04644999999999</v>
      </c>
      <c r="G73" s="37">
        <f>'[17] Ruko 2 Lantai Kombinasi'!G73</f>
        <v>56943.104166666679</v>
      </c>
      <c r="H73" s="37">
        <f t="shared" si="2"/>
        <v>21413252.173855212</v>
      </c>
      <c r="I73" s="284"/>
      <c r="J73" s="284"/>
      <c r="K73" s="284">
        <f>'[17] Ruko 2 Lantai Kombinasi'!H73</f>
        <v>21413252.173855212</v>
      </c>
      <c r="L73" s="284"/>
      <c r="M73" s="284"/>
    </row>
    <row r="74" spans="2:16">
      <c r="B74" s="2">
        <v>4</v>
      </c>
      <c r="C74" s="125" t="s">
        <v>41</v>
      </c>
      <c r="D74" s="51" t="s">
        <v>171</v>
      </c>
      <c r="E74" s="2" t="s">
        <v>15</v>
      </c>
      <c r="F74" s="36">
        <v>345.42019999999997</v>
      </c>
      <c r="G74" s="37">
        <f>'[17] Ruko 2 Lantai Kombinasi'!G74</f>
        <v>13199.861375642382</v>
      </c>
      <c r="H74" s="37">
        <f t="shared" si="2"/>
        <v>4559498.7563466663</v>
      </c>
      <c r="I74" s="284"/>
      <c r="J74" s="284"/>
      <c r="K74" s="284">
        <f>'[17] Ruko 2 Lantai Kombinasi'!H74</f>
        <v>4559498.7563466663</v>
      </c>
      <c r="L74" s="284"/>
      <c r="M74" s="284"/>
    </row>
    <row r="75" spans="2:16">
      <c r="B75" s="2">
        <v>5</v>
      </c>
      <c r="C75" s="125" t="s">
        <v>246</v>
      </c>
      <c r="D75" s="51"/>
      <c r="E75" s="2" t="s">
        <v>15</v>
      </c>
      <c r="F75" s="36">
        <v>41.145000000000003</v>
      </c>
      <c r="G75" s="37">
        <f>'[17] Ruko 2 Lantai Kombinasi'!G75</f>
        <v>70436.437500000015</v>
      </c>
      <c r="H75" s="37">
        <f t="shared" si="2"/>
        <v>2898107.2209375007</v>
      </c>
      <c r="I75" s="284"/>
      <c r="J75" s="284"/>
      <c r="K75" s="284">
        <f>'[17] Ruko 2 Lantai Kombinasi'!H75</f>
        <v>2898107.2209375007</v>
      </c>
      <c r="L75" s="284"/>
      <c r="M75" s="284"/>
    </row>
    <row r="76" spans="2:16">
      <c r="B76" s="2">
        <v>6</v>
      </c>
      <c r="C76" s="125" t="s">
        <v>247</v>
      </c>
      <c r="D76" s="51"/>
      <c r="E76" s="2" t="s">
        <v>15</v>
      </c>
      <c r="F76" s="36">
        <v>41.145000000000003</v>
      </c>
      <c r="G76" s="37">
        <f>'[17] Ruko 2 Lantai Kombinasi'!G76</f>
        <v>26693.194708975716</v>
      </c>
      <c r="H76" s="37">
        <f t="shared" si="2"/>
        <v>1098291.4963008058</v>
      </c>
      <c r="I76" s="284"/>
      <c r="J76" s="284"/>
      <c r="K76" s="284">
        <f>'[17] Ruko 2 Lantai Kombinasi'!H76</f>
        <v>1098291.4963008058</v>
      </c>
      <c r="L76" s="284"/>
      <c r="M76" s="284"/>
    </row>
    <row r="77" spans="2:16">
      <c r="B77" s="2"/>
      <c r="C77" s="125"/>
      <c r="D77" s="51"/>
      <c r="E77" s="2"/>
      <c r="F77" s="36"/>
      <c r="G77" s="64"/>
      <c r="H77" s="37">
        <f t="shared" si="2"/>
        <v>0</v>
      </c>
      <c r="I77" s="284"/>
      <c r="J77" s="284"/>
      <c r="K77" s="284"/>
      <c r="L77" s="284"/>
      <c r="M77" s="284"/>
    </row>
    <row r="78" spans="2:16">
      <c r="B78" s="14" t="s">
        <v>42</v>
      </c>
      <c r="C78" s="128" t="s">
        <v>43</v>
      </c>
      <c r="D78" s="51"/>
      <c r="E78" s="2"/>
      <c r="F78" s="36"/>
      <c r="G78" s="37"/>
      <c r="H78" s="62">
        <f>SUM(H79:H83)</f>
        <v>16221700.000000004</v>
      </c>
      <c r="I78" s="285">
        <v>19919768</v>
      </c>
      <c r="J78" s="285">
        <f>H78-I78</f>
        <v>-3698067.9999999963</v>
      </c>
      <c r="K78" s="62">
        <f>SUM(K79:K83)</f>
        <v>6118200.0000000009</v>
      </c>
      <c r="L78" s="286"/>
      <c r="M78" s="202">
        <v>54</v>
      </c>
      <c r="N78" s="202">
        <f>110250</f>
        <v>110250</v>
      </c>
      <c r="O78" s="202">
        <f>M78*N78</f>
        <v>5953500</v>
      </c>
      <c r="P78" s="202">
        <f>O78*1.1</f>
        <v>6548850.0000000009</v>
      </c>
    </row>
    <row r="79" spans="2:16">
      <c r="B79" s="2">
        <v>1</v>
      </c>
      <c r="C79" s="125" t="s">
        <v>109</v>
      </c>
      <c r="D79" s="266" t="s">
        <v>315</v>
      </c>
      <c r="E79" s="2" t="s">
        <v>15</v>
      </c>
      <c r="F79" s="259">
        <v>54</v>
      </c>
      <c r="G79" s="280">
        <f>'[17] Ruko 2 Lantai Kombinasi'!$G$79</f>
        <v>113300.00000000001</v>
      </c>
      <c r="H79" s="37">
        <f>F79*G79</f>
        <v>6118200.0000000009</v>
      </c>
      <c r="I79" s="284"/>
      <c r="J79" s="284"/>
      <c r="K79" s="284">
        <f>'[17] Ruko 2 Lantai Kombinasi'!H79</f>
        <v>6118200.0000000009</v>
      </c>
      <c r="L79" s="284"/>
      <c r="M79" s="202">
        <v>55</v>
      </c>
      <c r="N79" s="202">
        <f>95000+26000+(2420000/55)+(520380/55)+(275000/55)</f>
        <v>179461.45454545456</v>
      </c>
      <c r="O79" s="202">
        <f>M79*N79</f>
        <v>9870380</v>
      </c>
      <c r="P79" s="202">
        <f>O79*1.1</f>
        <v>10857418</v>
      </c>
    </row>
    <row r="80" spans="2:16">
      <c r="B80" s="2">
        <v>2</v>
      </c>
      <c r="C80" s="51" t="s">
        <v>110</v>
      </c>
      <c r="D80" s="160" t="s">
        <v>316</v>
      </c>
      <c r="E80" s="2" t="s">
        <v>15</v>
      </c>
      <c r="F80" s="259">
        <v>55</v>
      </c>
      <c r="G80" s="280">
        <f>'[17] Ruko 2 Lantai Kombinasi'!$G$80</f>
        <v>183700.00000000003</v>
      </c>
      <c r="H80" s="37">
        <f>F80*G80</f>
        <v>10103500.000000002</v>
      </c>
      <c r="I80" s="284"/>
      <c r="J80" s="284"/>
      <c r="K80" s="284"/>
      <c r="L80" s="284"/>
      <c r="M80" s="202">
        <v>25</v>
      </c>
      <c r="N80" s="202">
        <f>50000+26000</f>
        <v>76000</v>
      </c>
      <c r="O80" s="202">
        <f>M80*N80</f>
        <v>1900000</v>
      </c>
      <c r="P80" s="202">
        <f>O80*1.1</f>
        <v>2090000.0000000002</v>
      </c>
    </row>
    <row r="81" spans="2:16">
      <c r="B81" s="2">
        <v>3</v>
      </c>
      <c r="C81" s="125" t="s">
        <v>146</v>
      </c>
      <c r="D81" s="51"/>
      <c r="E81" s="2" t="s">
        <v>9</v>
      </c>
      <c r="F81" s="259">
        <v>25</v>
      </c>
      <c r="G81" s="135" t="s">
        <v>326</v>
      </c>
      <c r="H81" s="37">
        <v>0</v>
      </c>
      <c r="I81" s="284"/>
      <c r="J81" s="284"/>
      <c r="K81" s="284"/>
      <c r="L81" s="284"/>
      <c r="M81" s="202">
        <v>5</v>
      </c>
      <c r="N81" s="202">
        <f>51000+26000</f>
        <v>77000</v>
      </c>
      <c r="O81" s="202">
        <f>M81*N81</f>
        <v>385000</v>
      </c>
      <c r="P81" s="202">
        <f>O81*1.1</f>
        <v>423500.00000000006</v>
      </c>
    </row>
    <row r="82" spans="2:16">
      <c r="B82" s="2">
        <v>4</v>
      </c>
      <c r="C82" s="125" t="s">
        <v>111</v>
      </c>
      <c r="D82" s="51"/>
      <c r="E82" s="2" t="s">
        <v>9</v>
      </c>
      <c r="F82" s="259">
        <v>5</v>
      </c>
      <c r="G82" s="135" t="str">
        <f>G81</f>
        <v>include</v>
      </c>
      <c r="H82" s="37">
        <v>0</v>
      </c>
      <c r="I82" s="284"/>
      <c r="J82" s="284"/>
      <c r="K82" s="284"/>
      <c r="L82" s="284"/>
      <c r="M82" s="202"/>
      <c r="O82" s="202">
        <f>SUM(O78:O81)</f>
        <v>18108880</v>
      </c>
      <c r="P82" s="202">
        <f>SUM(P78:P81)</f>
        <v>19919768</v>
      </c>
    </row>
    <row r="83" spans="2:16">
      <c r="B83" s="2"/>
      <c r="C83" s="125"/>
      <c r="D83" s="51"/>
      <c r="E83" s="2"/>
      <c r="F83" s="36"/>
      <c r="G83" s="37"/>
      <c r="H83" s="37">
        <f t="shared" ref="H83:H149" si="3">F83*G83</f>
        <v>0</v>
      </c>
      <c r="I83" s="284"/>
      <c r="J83" s="284"/>
      <c r="K83" s="284"/>
      <c r="L83" s="284"/>
      <c r="M83" s="202"/>
      <c r="O83" s="202">
        <f>O82/F71</f>
        <v>95397.057522030664</v>
      </c>
    </row>
    <row r="84" spans="2:16">
      <c r="B84" s="14" t="s">
        <v>45</v>
      </c>
      <c r="C84" s="128" t="s">
        <v>46</v>
      </c>
      <c r="D84" s="51"/>
      <c r="E84" s="2"/>
      <c r="F84" s="36"/>
      <c r="G84" s="37"/>
      <c r="H84" s="62">
        <f>SUM(H86:H95)</f>
        <v>38258244.200000003</v>
      </c>
      <c r="I84" s="285">
        <v>38258244</v>
      </c>
      <c r="J84" s="285">
        <f>H84-I84</f>
        <v>0.20000000298023224</v>
      </c>
      <c r="K84" s="62">
        <f>SUM(K86:K95)</f>
        <v>38258244.200000003</v>
      </c>
      <c r="L84" s="286"/>
      <c r="M84" s="202"/>
      <c r="O84" s="202">
        <f>O83*1.1</f>
        <v>104936.76327423374</v>
      </c>
    </row>
    <row r="85" spans="2:16">
      <c r="B85" s="14">
        <v>1</v>
      </c>
      <c r="C85" s="128" t="s">
        <v>112</v>
      </c>
      <c r="D85" s="51"/>
      <c r="E85" s="2"/>
      <c r="F85" s="36"/>
      <c r="G85" s="37"/>
      <c r="H85" s="37">
        <f t="shared" si="3"/>
        <v>0</v>
      </c>
      <c r="I85" s="284"/>
      <c r="J85" s="284"/>
      <c r="K85" s="284"/>
      <c r="L85" s="284"/>
      <c r="M85" s="284"/>
    </row>
    <row r="86" spans="2:16" ht="30">
      <c r="B86" s="2"/>
      <c r="C86" s="51" t="s">
        <v>113</v>
      </c>
      <c r="D86" s="54" t="s">
        <v>297</v>
      </c>
      <c r="E86" s="2" t="s">
        <v>48</v>
      </c>
      <c r="F86" s="36">
        <v>1</v>
      </c>
      <c r="G86" s="62">
        <f>'[17] Ruko 2 Lantai Kombinasi'!G86</f>
        <v>13394383.200000001</v>
      </c>
      <c r="H86" s="37">
        <f t="shared" si="3"/>
        <v>13394383.200000001</v>
      </c>
      <c r="I86" s="284"/>
      <c r="J86" s="284"/>
      <c r="K86" s="284">
        <f>'[17] Ruko 2 Lantai Kombinasi'!H86</f>
        <v>13394383.200000001</v>
      </c>
      <c r="L86" s="284"/>
      <c r="M86" s="284"/>
    </row>
    <row r="87" spans="2:16" ht="15" customHeight="1">
      <c r="B87" s="2"/>
      <c r="C87" s="125" t="s">
        <v>86</v>
      </c>
      <c r="D87" s="54" t="s">
        <v>298</v>
      </c>
      <c r="E87" s="2" t="s">
        <v>48</v>
      </c>
      <c r="F87" s="36">
        <v>2</v>
      </c>
      <c r="G87" s="62">
        <f>'[17] Ruko 2 Lantai Kombinasi'!G87</f>
        <v>911240.00000000012</v>
      </c>
      <c r="H87" s="37">
        <f t="shared" si="3"/>
        <v>1822480.0000000002</v>
      </c>
      <c r="I87" s="284"/>
      <c r="J87" s="284"/>
      <c r="K87" s="284">
        <f>'[17] Ruko 2 Lantai Kombinasi'!H87</f>
        <v>1822480.0000000002</v>
      </c>
      <c r="L87" s="284"/>
      <c r="M87" s="284"/>
    </row>
    <row r="88" spans="2:16" ht="30">
      <c r="B88" s="2"/>
      <c r="C88" s="51" t="s">
        <v>114</v>
      </c>
      <c r="D88" s="54" t="s">
        <v>299</v>
      </c>
      <c r="E88" s="2" t="s">
        <v>48</v>
      </c>
      <c r="F88" s="36">
        <v>1</v>
      </c>
      <c r="G88" s="62">
        <f>'[17] Ruko 2 Lantai Kombinasi'!G88</f>
        <v>3080286.0000000005</v>
      </c>
      <c r="H88" s="37">
        <f t="shared" si="3"/>
        <v>3080286.0000000005</v>
      </c>
      <c r="I88" s="284"/>
      <c r="J88" s="284"/>
      <c r="K88" s="284">
        <f>'[17] Ruko 2 Lantai Kombinasi'!H88</f>
        <v>3080286.0000000005</v>
      </c>
      <c r="L88" s="284"/>
      <c r="M88" s="284"/>
    </row>
    <row r="89" spans="2:16" ht="30">
      <c r="B89" s="2"/>
      <c r="C89" s="51" t="s">
        <v>115</v>
      </c>
      <c r="D89" s="54" t="s">
        <v>299</v>
      </c>
      <c r="E89" s="2" t="s">
        <v>48</v>
      </c>
      <c r="F89" s="36">
        <v>1</v>
      </c>
      <c r="G89" s="62">
        <f>'[17] Ruko 2 Lantai Kombinasi'!G89</f>
        <v>6055995.0000000009</v>
      </c>
      <c r="H89" s="37">
        <f t="shared" si="3"/>
        <v>6055995.0000000009</v>
      </c>
      <c r="I89" s="284"/>
      <c r="J89" s="284"/>
      <c r="K89" s="284">
        <f>'[17] Ruko 2 Lantai Kombinasi'!H89</f>
        <v>6055995.0000000009</v>
      </c>
      <c r="L89" s="284"/>
      <c r="M89" s="284"/>
    </row>
    <row r="90" spans="2:16" ht="30">
      <c r="B90" s="2"/>
      <c r="C90" s="51" t="s">
        <v>134</v>
      </c>
      <c r="D90" s="54" t="s">
        <v>299</v>
      </c>
      <c r="E90" s="2" t="s">
        <v>48</v>
      </c>
      <c r="F90" s="36">
        <v>1</v>
      </c>
      <c r="G90" s="62">
        <f>'[17] Ruko 2 Lantai Kombinasi'!G90</f>
        <v>8415550</v>
      </c>
      <c r="H90" s="37">
        <f t="shared" si="3"/>
        <v>8415550</v>
      </c>
      <c r="I90" s="284"/>
      <c r="J90" s="284"/>
      <c r="K90" s="284">
        <f>'[17] Ruko 2 Lantai Kombinasi'!H90</f>
        <v>8415550</v>
      </c>
      <c r="L90" s="284"/>
      <c r="M90" s="284"/>
    </row>
    <row r="91" spans="2:16">
      <c r="B91" s="14">
        <v>2</v>
      </c>
      <c r="C91" s="128" t="s">
        <v>116</v>
      </c>
      <c r="D91" s="51"/>
      <c r="E91" s="2"/>
      <c r="F91" s="36"/>
      <c r="G91" s="62"/>
      <c r="H91" s="37"/>
      <c r="I91" s="284"/>
      <c r="J91" s="284"/>
      <c r="K91" s="284">
        <f>'[17] Ruko 2 Lantai Kombinasi'!H91</f>
        <v>0</v>
      </c>
      <c r="L91" s="284"/>
      <c r="M91" s="284"/>
    </row>
    <row r="92" spans="2:16">
      <c r="B92" s="2"/>
      <c r="C92" s="125" t="s">
        <v>86</v>
      </c>
      <c r="D92" s="54" t="s">
        <v>307</v>
      </c>
      <c r="E92" s="2" t="s">
        <v>48</v>
      </c>
      <c r="F92" s="36">
        <v>2</v>
      </c>
      <c r="G92" s="62">
        <f>'[17] Ruko 2 Lantai Kombinasi'!G92</f>
        <v>2343000</v>
      </c>
      <c r="H92" s="37">
        <f t="shared" si="3"/>
        <v>4686000</v>
      </c>
      <c r="I92" s="284"/>
      <c r="J92" s="284"/>
      <c r="K92" s="284">
        <f>'[17] Ruko 2 Lantai Kombinasi'!H92</f>
        <v>4686000</v>
      </c>
      <c r="L92" s="284"/>
      <c r="M92" s="284"/>
    </row>
    <row r="93" spans="2:16">
      <c r="B93" s="14">
        <v>3</v>
      </c>
      <c r="C93" s="128" t="s">
        <v>49</v>
      </c>
      <c r="D93" s="51"/>
      <c r="E93" s="2"/>
      <c r="F93" s="36"/>
      <c r="G93" s="62"/>
      <c r="H93" s="37"/>
      <c r="I93" s="284"/>
      <c r="J93" s="284"/>
      <c r="K93" s="284">
        <f>'[17] Ruko 2 Lantai Kombinasi'!H93</f>
        <v>0</v>
      </c>
      <c r="L93" s="284"/>
      <c r="M93" s="284"/>
    </row>
    <row r="94" spans="2:16">
      <c r="B94" s="74" t="s">
        <v>14</v>
      </c>
      <c r="C94" s="125" t="s">
        <v>51</v>
      </c>
      <c r="D94" s="54" t="s">
        <v>197</v>
      </c>
      <c r="E94" s="2" t="s">
        <v>50</v>
      </c>
      <c r="F94" s="36">
        <v>2</v>
      </c>
      <c r="G94" s="62">
        <f>'[17] Ruko 2 Lantai Kombinasi'!G94</f>
        <v>326700</v>
      </c>
      <c r="H94" s="37">
        <f t="shared" si="3"/>
        <v>653400</v>
      </c>
      <c r="I94" s="284"/>
      <c r="J94" s="284"/>
      <c r="K94" s="284">
        <f>'[17] Ruko 2 Lantai Kombinasi'!H94</f>
        <v>653400</v>
      </c>
      <c r="L94" s="284"/>
      <c r="M94" s="284"/>
    </row>
    <row r="95" spans="2:16">
      <c r="B95" s="74" t="s">
        <v>14</v>
      </c>
      <c r="C95" s="125" t="s">
        <v>52</v>
      </c>
      <c r="D95" s="54" t="s">
        <v>198</v>
      </c>
      <c r="E95" s="2" t="s">
        <v>50</v>
      </c>
      <c r="F95" s="36">
        <v>6</v>
      </c>
      <c r="G95" s="62">
        <f>'[17] Ruko 2 Lantai Kombinasi'!G95</f>
        <v>25025.000000000004</v>
      </c>
      <c r="H95" s="37">
        <f t="shared" si="3"/>
        <v>150150.00000000003</v>
      </c>
      <c r="I95" s="284"/>
      <c r="J95" s="284"/>
      <c r="K95" s="284">
        <f>'[17] Ruko 2 Lantai Kombinasi'!H95</f>
        <v>150150.00000000003</v>
      </c>
      <c r="L95" s="284"/>
      <c r="M95" s="284"/>
    </row>
    <row r="96" spans="2:16">
      <c r="B96" s="2"/>
      <c r="C96" s="125"/>
      <c r="D96" s="51"/>
      <c r="E96" s="2"/>
      <c r="F96" s="36"/>
      <c r="G96" s="37"/>
      <c r="H96" s="37">
        <f t="shared" si="3"/>
        <v>0</v>
      </c>
      <c r="I96" s="284"/>
      <c r="J96" s="284"/>
      <c r="K96" s="284"/>
      <c r="L96" s="284"/>
      <c r="M96" s="284"/>
    </row>
    <row r="97" spans="2:13">
      <c r="B97" s="14" t="s">
        <v>53</v>
      </c>
      <c r="C97" s="128" t="s">
        <v>54</v>
      </c>
      <c r="D97" s="51"/>
      <c r="E97" s="2"/>
      <c r="F97" s="36"/>
      <c r="G97" s="37"/>
      <c r="H97" s="62">
        <f>SUM(H98:H102)</f>
        <v>11406036.343573961</v>
      </c>
      <c r="I97" s="285">
        <v>11406036</v>
      </c>
      <c r="J97" s="285">
        <f>H97-I97</f>
        <v>0.34357396140694618</v>
      </c>
      <c r="K97" s="62">
        <f>SUM(K98:K102)</f>
        <v>11406036.343573961</v>
      </c>
      <c r="L97" s="286"/>
      <c r="M97" s="286"/>
    </row>
    <row r="98" spans="2:13">
      <c r="B98" s="2">
        <v>1</v>
      </c>
      <c r="C98" s="125" t="s">
        <v>55</v>
      </c>
      <c r="D98" s="54" t="s">
        <v>195</v>
      </c>
      <c r="E98" s="2" t="s">
        <v>15</v>
      </c>
      <c r="F98" s="36">
        <v>204.219234</v>
      </c>
      <c r="G98" s="63">
        <f>'[17] Ruko 2 Lantai Kombinasi'!G98</f>
        <v>16720</v>
      </c>
      <c r="H98" s="37">
        <f t="shared" si="3"/>
        <v>3414545.5924800001</v>
      </c>
      <c r="I98" s="284"/>
      <c r="J98" s="284"/>
      <c r="K98" s="284">
        <f>'[17] Ruko 2 Lantai Kombinasi'!H98</f>
        <v>3414545.5924800001</v>
      </c>
      <c r="L98" s="284"/>
      <c r="M98" s="284"/>
    </row>
    <row r="99" spans="2:13">
      <c r="B99" s="2">
        <v>2</v>
      </c>
      <c r="C99" s="125" t="s">
        <v>56</v>
      </c>
      <c r="D99" s="54" t="s">
        <v>196</v>
      </c>
      <c r="E99" s="2" t="s">
        <v>15</v>
      </c>
      <c r="F99" s="36">
        <v>83.652420000000006</v>
      </c>
      <c r="G99" s="63">
        <f>'[17] Ruko 2 Lantai Kombinasi'!G99</f>
        <v>38390</v>
      </c>
      <c r="H99" s="37">
        <f t="shared" si="3"/>
        <v>3211416.4038000004</v>
      </c>
      <c r="I99" s="284"/>
      <c r="J99" s="284"/>
      <c r="K99" s="284">
        <f>'[17] Ruko 2 Lantai Kombinasi'!H99</f>
        <v>3211416.4038000004</v>
      </c>
      <c r="L99" s="284"/>
      <c r="M99" s="284"/>
    </row>
    <row r="100" spans="2:13">
      <c r="B100" s="2">
        <v>3</v>
      </c>
      <c r="C100" s="125" t="s">
        <v>57</v>
      </c>
      <c r="D100" s="54" t="s">
        <v>195</v>
      </c>
      <c r="E100" s="2" t="s">
        <v>15</v>
      </c>
      <c r="F100" s="36">
        <v>114.67768973049999</v>
      </c>
      <c r="G100" s="63">
        <f>'[17] Ruko 2 Lantai Kombinasi'!G100</f>
        <v>16720</v>
      </c>
      <c r="H100" s="37">
        <f t="shared" si="3"/>
        <v>1917410.9722939599</v>
      </c>
      <c r="I100" s="284"/>
      <c r="J100" s="284"/>
      <c r="K100" s="284">
        <f>'[17] Ruko 2 Lantai Kombinasi'!H100</f>
        <v>1917410.9722939599</v>
      </c>
      <c r="L100" s="284"/>
      <c r="M100" s="284"/>
    </row>
    <row r="101" spans="2:13">
      <c r="B101" s="2">
        <v>4</v>
      </c>
      <c r="C101" s="125" t="s">
        <v>117</v>
      </c>
      <c r="D101" s="51"/>
      <c r="E101" s="2" t="s">
        <v>9</v>
      </c>
      <c r="F101" s="36">
        <v>5</v>
      </c>
      <c r="G101" s="63">
        <f>'[17] Ruko 2 Lantai Kombinasi'!G101</f>
        <v>0</v>
      </c>
      <c r="H101" s="37">
        <f t="shared" si="3"/>
        <v>0</v>
      </c>
      <c r="I101" s="284"/>
      <c r="J101" s="284"/>
      <c r="K101" s="284"/>
      <c r="L101" s="284"/>
      <c r="M101" s="284"/>
    </row>
    <row r="102" spans="2:13">
      <c r="B102" s="2">
        <v>5</v>
      </c>
      <c r="C102" s="125" t="s">
        <v>248</v>
      </c>
      <c r="D102" s="54"/>
      <c r="E102" s="2" t="s">
        <v>15</v>
      </c>
      <c r="F102" s="36">
        <v>47.316749999999999</v>
      </c>
      <c r="G102" s="63">
        <f>'[17] Ruko 2 Lantai Kombinasi'!G102</f>
        <v>60500.000000000007</v>
      </c>
      <c r="H102" s="37">
        <f t="shared" si="3"/>
        <v>2862663.3750000005</v>
      </c>
      <c r="I102" s="284"/>
      <c r="J102" s="284"/>
      <c r="K102" s="284">
        <f>'[17] Ruko 2 Lantai Kombinasi'!H102</f>
        <v>2862663.3750000005</v>
      </c>
      <c r="L102" s="284"/>
      <c r="M102" s="284"/>
    </row>
    <row r="103" spans="2:13">
      <c r="B103" s="2"/>
      <c r="C103" s="125"/>
      <c r="D103" s="51"/>
      <c r="E103" s="2"/>
      <c r="F103" s="36"/>
      <c r="G103" s="75"/>
      <c r="H103" s="37">
        <f t="shared" si="3"/>
        <v>0</v>
      </c>
      <c r="I103" s="284"/>
      <c r="J103" s="284"/>
      <c r="K103" s="284"/>
      <c r="L103" s="284"/>
      <c r="M103" s="284"/>
    </row>
    <row r="104" spans="2:13">
      <c r="B104" s="14" t="s">
        <v>58</v>
      </c>
      <c r="C104" s="128" t="s">
        <v>59</v>
      </c>
      <c r="D104" s="51"/>
      <c r="E104" s="2"/>
      <c r="F104" s="36"/>
      <c r="G104" s="75"/>
      <c r="H104" s="62">
        <f>SUM(H106:H125)</f>
        <v>16315062.923116574</v>
      </c>
      <c r="I104" s="285">
        <v>16315063</v>
      </c>
      <c r="J104" s="285">
        <f>H104-I104</f>
        <v>-7.6883425936102867E-2</v>
      </c>
      <c r="K104" s="62">
        <f>SUM(K106:K125)</f>
        <v>14588832.923116574</v>
      </c>
      <c r="L104" s="286"/>
      <c r="M104" s="286"/>
    </row>
    <row r="105" spans="2:13">
      <c r="B105" s="2">
        <v>1</v>
      </c>
      <c r="C105" s="125" t="s">
        <v>118</v>
      </c>
      <c r="D105" s="51"/>
      <c r="E105" s="2"/>
      <c r="F105" s="36"/>
      <c r="G105" s="75"/>
      <c r="H105" s="37">
        <f t="shared" si="3"/>
        <v>0</v>
      </c>
      <c r="I105" s="284"/>
      <c r="J105" s="284"/>
      <c r="K105" s="284"/>
      <c r="L105" s="284"/>
      <c r="M105" s="284"/>
    </row>
    <row r="106" spans="2:13">
      <c r="B106" s="74" t="s">
        <v>14</v>
      </c>
      <c r="C106" s="125" t="s">
        <v>119</v>
      </c>
      <c r="D106" s="51" t="s">
        <v>182</v>
      </c>
      <c r="E106" s="2" t="s">
        <v>50</v>
      </c>
      <c r="F106" s="36">
        <v>2</v>
      </c>
      <c r="G106" s="63">
        <f>'[17] Ruko 2 Lantai Kombinasi'!G106</f>
        <v>1644445.0000000002</v>
      </c>
      <c r="H106" s="37">
        <f t="shared" si="3"/>
        <v>3288890.0000000005</v>
      </c>
      <c r="I106" s="284"/>
      <c r="J106" s="284"/>
      <c r="K106" s="284">
        <f>'[17] Ruko 2 Lantai Kombinasi'!H106</f>
        <v>3288890.0000000005</v>
      </c>
      <c r="L106" s="284"/>
      <c r="M106" s="284"/>
    </row>
    <row r="107" spans="2:13">
      <c r="B107" s="74" t="s">
        <v>14</v>
      </c>
      <c r="C107" s="125" t="s">
        <v>60</v>
      </c>
      <c r="D107" s="51" t="s">
        <v>183</v>
      </c>
      <c r="E107" s="2" t="s">
        <v>50</v>
      </c>
      <c r="F107" s="36">
        <v>2</v>
      </c>
      <c r="G107" s="63">
        <f>'[17] Ruko 2 Lantai Kombinasi'!G107</f>
        <v>167062.5</v>
      </c>
      <c r="H107" s="37">
        <f t="shared" si="3"/>
        <v>334125</v>
      </c>
      <c r="I107" s="284"/>
      <c r="J107" s="284"/>
      <c r="K107" s="284">
        <f>'[17] Ruko 2 Lantai Kombinasi'!H107</f>
        <v>334125</v>
      </c>
      <c r="L107" s="284"/>
      <c r="M107" s="284"/>
    </row>
    <row r="108" spans="2:13">
      <c r="B108" s="74" t="s">
        <v>14</v>
      </c>
      <c r="C108" s="125" t="s">
        <v>120</v>
      </c>
      <c r="D108" s="172" t="s">
        <v>310</v>
      </c>
      <c r="E108" s="2" t="s">
        <v>50</v>
      </c>
      <c r="F108" s="36">
        <v>2</v>
      </c>
      <c r="G108" s="63">
        <f>'[17] Ruko 2 Lantai Kombinasi'!G108</f>
        <v>863115.00000000012</v>
      </c>
      <c r="H108" s="37">
        <f t="shared" si="3"/>
        <v>1726230.0000000002</v>
      </c>
      <c r="I108" s="283"/>
      <c r="J108" s="283"/>
      <c r="K108" s="283"/>
      <c r="L108" s="283"/>
      <c r="M108" s="283"/>
    </row>
    <row r="109" spans="2:13">
      <c r="B109" s="74"/>
      <c r="C109" s="125"/>
      <c r="D109" s="51" t="s">
        <v>184</v>
      </c>
      <c r="E109" s="2"/>
      <c r="F109" s="36"/>
      <c r="G109" s="37"/>
      <c r="H109" s="37"/>
      <c r="I109" s="284"/>
      <c r="J109" s="284"/>
      <c r="K109" s="284"/>
      <c r="L109" s="284"/>
      <c r="M109" s="284"/>
    </row>
    <row r="110" spans="2:13">
      <c r="B110" s="74"/>
      <c r="C110" s="125"/>
      <c r="D110" s="51" t="s">
        <v>185</v>
      </c>
      <c r="E110" s="2"/>
      <c r="F110" s="36"/>
      <c r="G110" s="37"/>
      <c r="H110" s="37"/>
      <c r="I110" s="284"/>
      <c r="J110" s="284"/>
      <c r="K110" s="284"/>
      <c r="L110" s="284"/>
      <c r="M110" s="284"/>
    </row>
    <row r="111" spans="2:13">
      <c r="B111" s="74"/>
      <c r="C111" s="125"/>
      <c r="D111" s="51" t="s">
        <v>186</v>
      </c>
      <c r="E111" s="2"/>
      <c r="F111" s="36"/>
      <c r="G111" s="37"/>
      <c r="H111" s="37"/>
      <c r="I111" s="284"/>
      <c r="J111" s="284"/>
      <c r="K111" s="284"/>
      <c r="L111" s="284"/>
      <c r="M111" s="284"/>
    </row>
    <row r="112" spans="2:13">
      <c r="B112" s="74"/>
      <c r="C112" s="125"/>
      <c r="D112" s="51" t="s">
        <v>187</v>
      </c>
      <c r="E112" s="2"/>
      <c r="F112" s="36"/>
      <c r="G112" s="37"/>
      <c r="H112" s="37"/>
      <c r="I112" s="284"/>
      <c r="J112" s="284"/>
      <c r="K112" s="284"/>
      <c r="L112" s="284"/>
      <c r="M112" s="284"/>
    </row>
    <row r="113" spans="2:13">
      <c r="B113" s="74" t="s">
        <v>14</v>
      </c>
      <c r="C113" s="125" t="s">
        <v>121</v>
      </c>
      <c r="D113" s="51" t="s">
        <v>188</v>
      </c>
      <c r="E113" s="2" t="s">
        <v>50</v>
      </c>
      <c r="F113" s="36">
        <v>2</v>
      </c>
      <c r="G113" s="63">
        <f>'[17] Ruko 2 Lantai Kombinasi'!G113</f>
        <v>118552.50000000001</v>
      </c>
      <c r="H113" s="37">
        <f t="shared" si="3"/>
        <v>237105.00000000003</v>
      </c>
      <c r="I113" s="284"/>
      <c r="J113" s="284"/>
      <c r="K113" s="284">
        <f>'[17] Ruko 2 Lantai Kombinasi'!H113</f>
        <v>237105.00000000003</v>
      </c>
      <c r="L113" s="284"/>
      <c r="M113" s="284"/>
    </row>
    <row r="114" spans="2:13">
      <c r="B114" s="74">
        <v>3</v>
      </c>
      <c r="C114" s="125" t="s">
        <v>61</v>
      </c>
      <c r="D114" s="51" t="s">
        <v>189</v>
      </c>
      <c r="E114" s="2" t="s">
        <v>50</v>
      </c>
      <c r="F114" s="36">
        <v>2</v>
      </c>
      <c r="G114" s="63">
        <f>'[17] Ruko 2 Lantai Kombinasi'!G114</f>
        <v>185625.00000000003</v>
      </c>
      <c r="H114" s="37">
        <f t="shared" si="3"/>
        <v>371250.00000000006</v>
      </c>
      <c r="I114" s="284"/>
      <c r="J114" s="284"/>
      <c r="K114" s="284">
        <f>'[17] Ruko 2 Lantai Kombinasi'!H114</f>
        <v>371250.00000000006</v>
      </c>
      <c r="L114" s="284"/>
      <c r="M114" s="284"/>
    </row>
    <row r="115" spans="2:13">
      <c r="B115" s="74">
        <v>4</v>
      </c>
      <c r="C115" s="125" t="s">
        <v>62</v>
      </c>
      <c r="D115" s="51" t="s">
        <v>190</v>
      </c>
      <c r="E115" s="2" t="s">
        <v>50</v>
      </c>
      <c r="F115" s="36">
        <v>4</v>
      </c>
      <c r="G115" s="63">
        <f>'[17] Ruko 2 Lantai Kombinasi'!G115</f>
        <v>192500.00000000003</v>
      </c>
      <c r="H115" s="37">
        <f t="shared" si="3"/>
        <v>770000.00000000012</v>
      </c>
      <c r="I115" s="284"/>
      <c r="J115" s="284"/>
      <c r="K115" s="284">
        <f>'[17] Ruko 2 Lantai Kombinasi'!H115</f>
        <v>770000.00000000012</v>
      </c>
      <c r="L115" s="284"/>
      <c r="M115" s="284"/>
    </row>
    <row r="116" spans="2:13">
      <c r="B116" s="2">
        <v>6</v>
      </c>
      <c r="C116" s="125" t="s">
        <v>63</v>
      </c>
      <c r="D116" s="51"/>
      <c r="E116" s="2"/>
      <c r="F116" s="36"/>
      <c r="G116" s="37"/>
      <c r="H116" s="37"/>
      <c r="I116" s="284"/>
      <c r="J116" s="284"/>
      <c r="K116" s="284"/>
      <c r="L116" s="284"/>
      <c r="M116" s="284"/>
    </row>
    <row r="117" spans="2:13">
      <c r="B117" s="74" t="s">
        <v>14</v>
      </c>
      <c r="C117" s="125" t="s">
        <v>64</v>
      </c>
      <c r="D117" s="51" t="s">
        <v>191</v>
      </c>
      <c r="E117" s="2" t="s">
        <v>9</v>
      </c>
      <c r="F117" s="36">
        <v>33.973993199999995</v>
      </c>
      <c r="G117" s="75">
        <f>'[17] Ruko 2 Lantai Kombinasi'!G117</f>
        <v>20350</v>
      </c>
      <c r="H117" s="37">
        <f t="shared" si="3"/>
        <v>691370.76161999989</v>
      </c>
      <c r="I117" s="284"/>
      <c r="J117" s="284"/>
      <c r="K117" s="284">
        <f>'[17] Ruko 2 Lantai Kombinasi'!H117</f>
        <v>691370.76161999989</v>
      </c>
      <c r="L117" s="284"/>
      <c r="M117" s="284"/>
    </row>
    <row r="118" spans="2:13">
      <c r="B118" s="74">
        <v>7</v>
      </c>
      <c r="C118" s="125" t="s">
        <v>65</v>
      </c>
      <c r="D118" s="51"/>
      <c r="E118" s="2"/>
      <c r="F118" s="36"/>
      <c r="G118" s="37"/>
      <c r="H118" s="37"/>
      <c r="I118" s="284"/>
      <c r="J118" s="284"/>
      <c r="K118" s="284"/>
      <c r="L118" s="284"/>
      <c r="M118" s="284"/>
    </row>
    <row r="119" spans="2:13">
      <c r="B119" s="74" t="s">
        <v>14</v>
      </c>
      <c r="C119" s="125" t="s">
        <v>66</v>
      </c>
      <c r="D119" s="51" t="s">
        <v>192</v>
      </c>
      <c r="E119" s="2" t="s">
        <v>9</v>
      </c>
      <c r="F119" s="36">
        <v>1.3704800000000001</v>
      </c>
      <c r="G119" s="75">
        <f>'[17] Ruko 2 Lantai Kombinasi'!G119</f>
        <v>45736.538124999999</v>
      </c>
      <c r="H119" s="37">
        <f t="shared" si="3"/>
        <v>62681.010769550005</v>
      </c>
      <c r="I119" s="284"/>
      <c r="J119" s="284"/>
      <c r="K119" s="284">
        <f>'[17] Ruko 2 Lantai Kombinasi'!H119</f>
        <v>62681.010769550005</v>
      </c>
      <c r="L119" s="284"/>
      <c r="M119" s="284"/>
    </row>
    <row r="120" spans="2:13">
      <c r="B120" s="74" t="s">
        <v>14</v>
      </c>
      <c r="C120" s="125" t="s">
        <v>122</v>
      </c>
      <c r="D120" s="51" t="s">
        <v>192</v>
      </c>
      <c r="E120" s="2" t="s">
        <v>9</v>
      </c>
      <c r="F120" s="36">
        <v>12.662528</v>
      </c>
      <c r="G120" s="75">
        <f>'[17] Ruko 2 Lantai Kombinasi'!G120</f>
        <v>40770.752124999999</v>
      </c>
      <c r="H120" s="37">
        <f t="shared" si="3"/>
        <v>516260.79036387202</v>
      </c>
      <c r="I120" s="284"/>
      <c r="J120" s="284"/>
      <c r="K120" s="284">
        <f>'[17] Ruko 2 Lantai Kombinasi'!H120</f>
        <v>516260.79036387202</v>
      </c>
      <c r="L120" s="284"/>
      <c r="M120" s="284"/>
    </row>
    <row r="121" spans="2:13">
      <c r="B121" s="74" t="s">
        <v>14</v>
      </c>
      <c r="C121" s="125" t="s">
        <v>67</v>
      </c>
      <c r="D121" s="51" t="s">
        <v>192</v>
      </c>
      <c r="E121" s="2" t="s">
        <v>9</v>
      </c>
      <c r="F121" s="36">
        <v>64.19353439999999</v>
      </c>
      <c r="G121" s="75">
        <f>'[17] Ruko 2 Lantai Kombinasi'!G121</f>
        <v>67743.438250000007</v>
      </c>
      <c r="H121" s="37">
        <f t="shared" si="3"/>
        <v>4348690.7336756503</v>
      </c>
      <c r="I121" s="284"/>
      <c r="J121" s="284"/>
      <c r="K121" s="284">
        <f>'[17] Ruko 2 Lantai Kombinasi'!H121</f>
        <v>4348690.7336756503</v>
      </c>
      <c r="L121" s="284"/>
      <c r="M121" s="284"/>
    </row>
    <row r="122" spans="2:13">
      <c r="B122" s="74" t="s">
        <v>14</v>
      </c>
      <c r="C122" s="125" t="s">
        <v>68</v>
      </c>
      <c r="D122" s="51" t="s">
        <v>192</v>
      </c>
      <c r="E122" s="2" t="s">
        <v>9</v>
      </c>
      <c r="F122" s="36">
        <v>28.3</v>
      </c>
      <c r="G122" s="75">
        <f>'[17] Ruko 2 Lantai Kombinasi'!G122</f>
        <v>93582.230624999997</v>
      </c>
      <c r="H122" s="37">
        <f t="shared" si="3"/>
        <v>2648377.1266875002</v>
      </c>
      <c r="I122" s="284"/>
      <c r="J122" s="284"/>
      <c r="K122" s="284">
        <f>'[17] Ruko 2 Lantai Kombinasi'!H122</f>
        <v>2648377.1266875002</v>
      </c>
      <c r="L122" s="284"/>
      <c r="M122" s="284"/>
    </row>
    <row r="123" spans="2:13">
      <c r="B123" s="74" t="s">
        <v>14</v>
      </c>
      <c r="C123" s="125" t="s">
        <v>123</v>
      </c>
      <c r="D123" s="51" t="s">
        <v>193</v>
      </c>
      <c r="E123" s="2" t="s">
        <v>50</v>
      </c>
      <c r="F123" s="36">
        <v>1</v>
      </c>
      <c r="G123" s="75">
        <f>'[17] Ruko 2 Lantai Kombinasi'!G123</f>
        <v>165082.5</v>
      </c>
      <c r="H123" s="37">
        <f t="shared" si="3"/>
        <v>165082.5</v>
      </c>
      <c r="I123" s="284"/>
      <c r="J123" s="284"/>
      <c r="K123" s="284">
        <f>'[17] Ruko 2 Lantai Kombinasi'!H123</f>
        <v>165082.5</v>
      </c>
      <c r="L123" s="284"/>
      <c r="M123" s="284"/>
    </row>
    <row r="124" spans="2:13">
      <c r="B124" s="74" t="s">
        <v>14</v>
      </c>
      <c r="C124" s="125" t="s">
        <v>69</v>
      </c>
      <c r="D124" s="51" t="s">
        <v>194</v>
      </c>
      <c r="E124" s="2" t="s">
        <v>50</v>
      </c>
      <c r="F124" s="36">
        <v>3</v>
      </c>
      <c r="G124" s="75">
        <f>'[17] Ruko 2 Lantai Kombinasi'!G124</f>
        <v>220000.00000000003</v>
      </c>
      <c r="H124" s="37">
        <f t="shared" si="3"/>
        <v>660000.00000000012</v>
      </c>
      <c r="I124" s="284"/>
      <c r="J124" s="284"/>
      <c r="K124" s="284">
        <f>'[17] Ruko 2 Lantai Kombinasi'!H124</f>
        <v>660000.00000000012</v>
      </c>
      <c r="L124" s="284"/>
      <c r="M124" s="284"/>
    </row>
    <row r="125" spans="2:13">
      <c r="B125" s="74" t="s">
        <v>14</v>
      </c>
      <c r="C125" s="125" t="s">
        <v>269</v>
      </c>
      <c r="D125" s="172" t="s">
        <v>309</v>
      </c>
      <c r="E125" s="2" t="s">
        <v>50</v>
      </c>
      <c r="F125" s="36">
        <v>1</v>
      </c>
      <c r="G125" s="75">
        <f>'[17] Ruko 2 Lantai Kombinasi'!G125</f>
        <v>495000.00000000006</v>
      </c>
      <c r="H125" s="37">
        <f t="shared" si="3"/>
        <v>495000.00000000006</v>
      </c>
      <c r="I125" s="284"/>
      <c r="J125" s="284"/>
      <c r="K125" s="284">
        <f>'[17] Ruko 2 Lantai Kombinasi'!H125</f>
        <v>495000.00000000006</v>
      </c>
      <c r="L125" s="284"/>
      <c r="M125" s="284"/>
    </row>
    <row r="126" spans="2:13">
      <c r="B126" s="2"/>
      <c r="C126" s="125"/>
      <c r="D126" s="51"/>
      <c r="E126" s="2"/>
      <c r="F126" s="36"/>
      <c r="G126" s="37"/>
      <c r="H126" s="37">
        <f t="shared" si="3"/>
        <v>0</v>
      </c>
      <c r="I126" s="284"/>
      <c r="J126" s="284"/>
      <c r="K126" s="284"/>
      <c r="L126" s="284"/>
      <c r="M126" s="284"/>
    </row>
    <row r="127" spans="2:13">
      <c r="B127" s="14" t="s">
        <v>70</v>
      </c>
      <c r="C127" s="128" t="s">
        <v>71</v>
      </c>
      <c r="D127" s="51"/>
      <c r="E127" s="2"/>
      <c r="F127" s="36"/>
      <c r="G127" s="37"/>
      <c r="H127" s="62">
        <f>SUM(H129:H145)</f>
        <v>17871208.376999997</v>
      </c>
      <c r="I127" s="285">
        <v>17871208</v>
      </c>
      <c r="J127" s="285">
        <f>H127-I127</f>
        <v>0.37699999660253525</v>
      </c>
      <c r="K127" s="62">
        <f>SUM(K129:K145)</f>
        <v>17871208.376999997</v>
      </c>
      <c r="L127" s="286"/>
      <c r="M127" s="286"/>
    </row>
    <row r="128" spans="2:13">
      <c r="B128" s="2"/>
      <c r="C128" s="125"/>
      <c r="D128" s="51"/>
      <c r="E128" s="2"/>
      <c r="F128" s="36"/>
      <c r="G128" s="37"/>
      <c r="H128" s="37">
        <f t="shared" si="3"/>
        <v>0</v>
      </c>
      <c r="I128" s="284"/>
      <c r="J128" s="284"/>
      <c r="K128" s="284"/>
      <c r="L128" s="284"/>
      <c r="M128" s="284"/>
    </row>
    <row r="129" spans="1:16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>
        <f>'[17] Ruko 2 Lantai Kombinasi'!G129</f>
        <v>228755.758</v>
      </c>
      <c r="H129" s="37">
        <f t="shared" si="3"/>
        <v>6176405.466</v>
      </c>
      <c r="I129" s="284"/>
      <c r="J129" s="284"/>
      <c r="K129" s="284">
        <f>'[17] Ruko 2 Lantai Kombinasi'!H129</f>
        <v>6176405.466</v>
      </c>
      <c r="L129" s="284"/>
      <c r="M129" s="284"/>
      <c r="O129" s="223" t="s">
        <v>249</v>
      </c>
      <c r="P129" s="223" t="s">
        <v>250</v>
      </c>
    </row>
    <row r="130" spans="1:16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>
        <f>'[17] Ruko 2 Lantai Kombinasi'!G130</f>
        <v>379483.25800000003</v>
      </c>
      <c r="H130" s="37">
        <f t="shared" si="3"/>
        <v>758966.51600000006</v>
      </c>
      <c r="I130" s="284"/>
      <c r="J130" s="284"/>
      <c r="K130" s="284">
        <f>'[17] Ruko 2 Lantai Kombinasi'!H130</f>
        <v>758966.51600000006</v>
      </c>
      <c r="L130" s="284"/>
      <c r="M130" s="284"/>
    </row>
    <row r="131" spans="1:16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>
        <f>'[17] Ruko 2 Lantai Kombinasi'!G131</f>
        <v>218272.285</v>
      </c>
      <c r="H131" s="37">
        <f t="shared" si="3"/>
        <v>1746178.28</v>
      </c>
      <c r="I131" s="284"/>
      <c r="J131" s="284"/>
      <c r="K131" s="284">
        <f>'[17] Ruko 2 Lantai Kombinasi'!H131</f>
        <v>1746178.28</v>
      </c>
      <c r="L131" s="284"/>
      <c r="M131" s="284"/>
    </row>
    <row r="132" spans="1:16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>
        <f>'[17] Ruko 2 Lantai Kombinasi'!G132</f>
        <v>218272.285</v>
      </c>
      <c r="H132" s="37">
        <f t="shared" si="3"/>
        <v>218272.285</v>
      </c>
      <c r="I132" s="284"/>
      <c r="J132" s="284"/>
      <c r="K132" s="284">
        <f>'[17] Ruko 2 Lantai Kombinasi'!H132</f>
        <v>218272.285</v>
      </c>
      <c r="L132" s="284"/>
      <c r="M132" s="284"/>
    </row>
    <row r="133" spans="1:16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>
        <f>'[17] Ruko 2 Lantai Kombinasi'!G133</f>
        <v>218272.285</v>
      </c>
      <c r="H133" s="37">
        <f t="shared" si="3"/>
        <v>436544.57</v>
      </c>
      <c r="I133" s="284"/>
      <c r="J133" s="284"/>
      <c r="K133" s="284">
        <f>'[17] Ruko 2 Lantai Kombinasi'!H133</f>
        <v>436544.57</v>
      </c>
      <c r="L133" s="284"/>
      <c r="M133" s="284"/>
    </row>
    <row r="134" spans="1:16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>
        <f>'[17] Ruko 2 Lantai Kombinasi'!G134</f>
        <v>231846.22999999998</v>
      </c>
      <c r="H134" s="37">
        <f t="shared" si="3"/>
        <v>463692.45999999996</v>
      </c>
      <c r="I134" s="284"/>
      <c r="J134" s="284"/>
      <c r="K134" s="284">
        <f>'[17] Ruko 2 Lantai Kombinasi'!H134</f>
        <v>463692.45999999996</v>
      </c>
      <c r="L134" s="284"/>
      <c r="M134" s="284"/>
    </row>
    <row r="135" spans="1:16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>
        <f>'[17] Ruko 2 Lantai Kombinasi'!G135</f>
        <v>13426.6</v>
      </c>
      <c r="H135" s="37">
        <f t="shared" si="3"/>
        <v>26853.200000000001</v>
      </c>
      <c r="I135" s="284"/>
      <c r="J135" s="284"/>
      <c r="K135" s="284">
        <f>'[17] Ruko 2 Lantai Kombinasi'!H135</f>
        <v>26853.200000000001</v>
      </c>
      <c r="L135" s="284"/>
      <c r="M135" s="284"/>
    </row>
    <row r="136" spans="1:16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>
        <f>'[17] Ruko 2 Lantai Kombinasi'!G136</f>
        <v>21905.4</v>
      </c>
      <c r="H136" s="37">
        <f t="shared" si="3"/>
        <v>87621.6</v>
      </c>
      <c r="I136" s="284"/>
      <c r="J136" s="284"/>
      <c r="K136" s="284">
        <f>'[17] Ruko 2 Lantai Kombinasi'!H136</f>
        <v>87621.6</v>
      </c>
      <c r="L136" s="284"/>
      <c r="M136" s="284"/>
    </row>
    <row r="137" spans="1:16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>
        <f>'[17] Ruko 2 Lantai Kombinasi'!G137</f>
        <v>15193.2</v>
      </c>
      <c r="H137" s="37">
        <f t="shared" si="3"/>
        <v>30386.400000000001</v>
      </c>
      <c r="I137" s="284"/>
      <c r="J137" s="284"/>
      <c r="K137" s="284">
        <f>'[17] Ruko 2 Lantai Kombinasi'!H137</f>
        <v>30386.400000000001</v>
      </c>
      <c r="L137" s="284"/>
      <c r="M137" s="284"/>
    </row>
    <row r="138" spans="1:16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>
        <f>'[17] Ruko 2 Lantai Kombinasi'!G138</f>
        <v>20493</v>
      </c>
      <c r="H138" s="37">
        <f t="shared" si="3"/>
        <v>163944</v>
      </c>
      <c r="I138" s="284"/>
      <c r="J138" s="284"/>
      <c r="K138" s="284">
        <f>'[17] Ruko 2 Lantai Kombinasi'!H138</f>
        <v>163944</v>
      </c>
      <c r="L138" s="284"/>
      <c r="M138" s="284"/>
    </row>
    <row r="139" spans="1:16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>
        <f>'[17] Ruko 2 Lantai Kombinasi'!G139</f>
        <v>40631.800000000003</v>
      </c>
      <c r="H139" s="37">
        <f t="shared" si="3"/>
        <v>81263.600000000006</v>
      </c>
      <c r="I139" s="284"/>
      <c r="J139" s="284"/>
      <c r="K139" s="284">
        <f>'[17] Ruko 2 Lantai Kombinasi'!H139</f>
        <v>81263.600000000006</v>
      </c>
      <c r="L139" s="284"/>
      <c r="M139" s="284"/>
    </row>
    <row r="140" spans="1:16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>
        <f>'[17] Ruko 2 Lantai Kombinasi'!G140</f>
        <v>110000.00000000001</v>
      </c>
      <c r="H140" s="37">
        <f t="shared" si="3"/>
        <v>110000.00000000001</v>
      </c>
      <c r="I140" s="284"/>
      <c r="J140" s="284"/>
      <c r="K140" s="284">
        <f>'[17] Ruko 2 Lantai Kombinasi'!H140</f>
        <v>110000.00000000001</v>
      </c>
      <c r="L140" s="284"/>
      <c r="M140" s="284"/>
    </row>
    <row r="141" spans="1:16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>
        <f>'[17] Ruko 2 Lantai Kombinasi'!G141</f>
        <v>935000.00000000012</v>
      </c>
      <c r="H141" s="37">
        <f t="shared" si="3"/>
        <v>1870000.0000000002</v>
      </c>
      <c r="I141" s="284"/>
      <c r="J141" s="284"/>
      <c r="K141" s="284">
        <f>'[17] Ruko 2 Lantai Kombinasi'!H141</f>
        <v>1870000.0000000002</v>
      </c>
      <c r="L141" s="284"/>
      <c r="M141" s="284"/>
    </row>
    <row r="142" spans="1:16">
      <c r="A142" s="205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>
        <f>'[17] Ruko 2 Lantai Kombinasi'!G142</f>
        <v>935000.00000000012</v>
      </c>
      <c r="H142" s="37">
        <f t="shared" si="3"/>
        <v>1870000.0000000002</v>
      </c>
      <c r="I142" s="284"/>
      <c r="J142" s="284"/>
      <c r="K142" s="284">
        <f>'[17] Ruko 2 Lantai Kombinasi'!H142</f>
        <v>1870000.0000000002</v>
      </c>
      <c r="L142" s="284"/>
      <c r="M142" s="284"/>
    </row>
    <row r="143" spans="1:16">
      <c r="A143" s="205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>
        <f>'[17] Ruko 2 Lantai Kombinasi'!G143</f>
        <v>385000.00000000006</v>
      </c>
      <c r="H143" s="37">
        <f t="shared" si="3"/>
        <v>385000.00000000006</v>
      </c>
      <c r="I143" s="284"/>
      <c r="J143" s="284"/>
      <c r="K143" s="284">
        <f>'[17] Ruko 2 Lantai Kombinasi'!H143</f>
        <v>385000.00000000006</v>
      </c>
      <c r="L143" s="284"/>
      <c r="M143" s="284"/>
    </row>
    <row r="144" spans="1:16">
      <c r="A144" s="205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>
        <f>'[17] Ruko 2 Lantai Kombinasi'!G144</f>
        <v>1430000</v>
      </c>
      <c r="H144" s="37">
        <f t="shared" si="3"/>
        <v>2860000</v>
      </c>
      <c r="I144" s="284"/>
      <c r="J144" s="284"/>
      <c r="K144" s="284">
        <f>'[17] Ruko 2 Lantai Kombinasi'!H144</f>
        <v>2860000</v>
      </c>
      <c r="L144" s="284"/>
      <c r="M144" s="284"/>
    </row>
    <row r="145" spans="1:17">
      <c r="A145" s="205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>
        <f>'[17] Ruko 2 Lantai Kombinasi'!G145</f>
        <v>293040</v>
      </c>
      <c r="H145" s="37">
        <f t="shared" si="3"/>
        <v>586080</v>
      </c>
      <c r="I145" s="284"/>
      <c r="J145" s="284"/>
      <c r="K145" s="284">
        <f>'[17] Ruko 2 Lantai Kombinasi'!H145</f>
        <v>586080</v>
      </c>
      <c r="L145" s="284"/>
      <c r="M145" s="284"/>
    </row>
    <row r="146" spans="1:17">
      <c r="A146" s="205"/>
      <c r="B146" s="2"/>
      <c r="C146" s="125"/>
      <c r="D146" s="51"/>
      <c r="E146" s="2"/>
      <c r="F146" s="36"/>
      <c r="G146" s="37"/>
      <c r="H146" s="37">
        <f t="shared" si="3"/>
        <v>0</v>
      </c>
      <c r="I146" s="284"/>
      <c r="J146" s="284"/>
      <c r="K146" s="284"/>
      <c r="L146" s="284"/>
      <c r="M146" s="284"/>
    </row>
    <row r="147" spans="1:17">
      <c r="A147" s="205"/>
      <c r="B147" s="14" t="s">
        <v>81</v>
      </c>
      <c r="C147" s="128" t="s">
        <v>82</v>
      </c>
      <c r="D147" s="51"/>
      <c r="E147" s="2"/>
      <c r="F147" s="36"/>
      <c r="G147" s="37"/>
      <c r="H147" s="62">
        <f>SUM(H148:H159)</f>
        <v>21547892.987444475</v>
      </c>
      <c r="I147" s="285">
        <v>21547893</v>
      </c>
      <c r="J147" s="285">
        <f>H147-I147</f>
        <v>-1.2555524706840515E-2</v>
      </c>
      <c r="K147" s="62">
        <f>SUM(K148:K159)</f>
        <v>21547892.987444475</v>
      </c>
      <c r="L147" s="286"/>
      <c r="M147" s="286"/>
    </row>
    <row r="148" spans="1:17">
      <c r="A148" s="205"/>
      <c r="B148" s="2">
        <v>1</v>
      </c>
      <c r="C148" s="125" t="s">
        <v>83</v>
      </c>
      <c r="D148" s="51" t="s">
        <v>174</v>
      </c>
      <c r="E148" s="2" t="s">
        <v>47</v>
      </c>
      <c r="F148" s="36">
        <v>1</v>
      </c>
      <c r="G148" s="37">
        <f>'[17] Ruko 2 Lantai Kombinasi'!G148</f>
        <v>2695000</v>
      </c>
      <c r="H148" s="37">
        <f t="shared" si="3"/>
        <v>2695000</v>
      </c>
      <c r="I148" s="284"/>
      <c r="J148" s="284"/>
      <c r="K148" s="284">
        <f>'[17] Ruko 2 Lantai Kombinasi'!H148</f>
        <v>2695000</v>
      </c>
      <c r="L148" s="284"/>
      <c r="M148" s="284"/>
    </row>
    <row r="149" spans="1:17">
      <c r="A149" s="205"/>
      <c r="B149" s="2">
        <v>2</v>
      </c>
      <c r="C149" s="125" t="s">
        <v>84</v>
      </c>
      <c r="D149" s="51" t="s">
        <v>175</v>
      </c>
      <c r="E149" s="2" t="s">
        <v>47</v>
      </c>
      <c r="F149" s="36">
        <v>1</v>
      </c>
      <c r="G149" s="37">
        <f>'[17] Ruko 2 Lantai Kombinasi'!G149</f>
        <v>2264968.2468461883</v>
      </c>
      <c r="H149" s="37">
        <f t="shared" si="3"/>
        <v>2264968.2468461883</v>
      </c>
      <c r="I149" s="284"/>
      <c r="J149" s="284"/>
      <c r="K149" s="284">
        <f>'[17] Ruko 2 Lantai Kombinasi'!H149</f>
        <v>2264968.2468461883</v>
      </c>
      <c r="L149" s="284"/>
      <c r="M149" s="284"/>
    </row>
    <row r="150" spans="1:17">
      <c r="A150" s="205"/>
      <c r="B150" s="2">
        <v>3</v>
      </c>
      <c r="C150" s="40" t="s">
        <v>321</v>
      </c>
      <c r="D150" s="51" t="s">
        <v>322</v>
      </c>
      <c r="E150" s="2" t="s">
        <v>9</v>
      </c>
      <c r="F150" s="36">
        <v>14.7616101</v>
      </c>
      <c r="G150" s="37">
        <f>'[17] Ruko 2 Lantai Kombinasi'!G150</f>
        <v>605000</v>
      </c>
      <c r="H150" s="37">
        <f t="shared" ref="H150:H159" si="4">F150*G150</f>
        <v>8930774.1105000004</v>
      </c>
      <c r="I150" s="284"/>
      <c r="J150" s="284"/>
      <c r="K150" s="284">
        <f>'[17] Ruko 2 Lantai Kombinasi'!H150</f>
        <v>8930774.1105000004</v>
      </c>
      <c r="L150" s="284"/>
      <c r="M150" s="284"/>
    </row>
    <row r="151" spans="1:17">
      <c r="A151" s="205"/>
      <c r="B151" s="2">
        <v>4</v>
      </c>
      <c r="C151" s="125" t="s">
        <v>44</v>
      </c>
      <c r="D151" s="83" t="s">
        <v>215</v>
      </c>
      <c r="E151" s="2" t="s">
        <v>15</v>
      </c>
      <c r="F151" s="36">
        <v>28.34</v>
      </c>
      <c r="G151" s="37">
        <f>'[17] Ruko 2 Lantai Kombinasi'!G151</f>
        <v>88000</v>
      </c>
      <c r="H151" s="37">
        <f t="shared" si="4"/>
        <v>2493920</v>
      </c>
      <c r="I151" s="284"/>
      <c r="J151" s="284"/>
      <c r="K151" s="284">
        <f>'[17] Ruko 2 Lantai Kombinasi'!H151</f>
        <v>2493920</v>
      </c>
      <c r="L151" s="284"/>
      <c r="M151" s="284"/>
    </row>
    <row r="152" spans="1:17">
      <c r="A152" s="205"/>
      <c r="B152" s="2">
        <v>5</v>
      </c>
      <c r="C152" s="125" t="s">
        <v>145</v>
      </c>
      <c r="D152" s="83" t="s">
        <v>216</v>
      </c>
      <c r="E152" s="2" t="s">
        <v>15</v>
      </c>
      <c r="F152" s="36">
        <v>8.31</v>
      </c>
      <c r="G152" s="37">
        <f>'[17] Ruko 2 Lantai Kombinasi'!G152</f>
        <v>88000</v>
      </c>
      <c r="H152" s="37">
        <f t="shared" si="4"/>
        <v>731280</v>
      </c>
      <c r="I152" s="284"/>
      <c r="J152" s="284"/>
      <c r="K152" s="284">
        <f>'[17] Ruko 2 Lantai Kombinasi'!H152</f>
        <v>731280</v>
      </c>
      <c r="L152" s="284"/>
      <c r="M152" s="284"/>
    </row>
    <row r="153" spans="1:17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>
        <f>'[17] Ruko 2 Lantai Kombinasi'!G153</f>
        <v>429000.00000000006</v>
      </c>
      <c r="H153" s="37">
        <f t="shared" si="4"/>
        <v>858000.00000000012</v>
      </c>
      <c r="I153" s="284"/>
      <c r="J153" s="284"/>
      <c r="K153" s="284">
        <f>'[17] Ruko 2 Lantai Kombinasi'!H153</f>
        <v>858000.00000000012</v>
      </c>
      <c r="L153" s="284"/>
      <c r="M153" s="284"/>
    </row>
    <row r="154" spans="1:17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>
        <f>'[17] Ruko 2 Lantai Kombinasi'!G154</f>
        <v>33000</v>
      </c>
      <c r="H154" s="37">
        <f t="shared" si="4"/>
        <v>1464210</v>
      </c>
      <c r="I154" s="284"/>
      <c r="J154" s="284"/>
      <c r="K154" s="284">
        <f>'[17] Ruko 2 Lantai Kombinasi'!H154</f>
        <v>1464210</v>
      </c>
      <c r="L154" s="284"/>
      <c r="M154" s="284"/>
    </row>
    <row r="155" spans="1:17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>
        <f>'[17] Ruko 2 Lantai Kombinasi'!G155</f>
        <v>616343.75</v>
      </c>
      <c r="H155" s="37">
        <f t="shared" si="4"/>
        <v>616343.75</v>
      </c>
      <c r="I155" s="284"/>
      <c r="J155" s="284"/>
      <c r="K155" s="284">
        <f>'[17] Ruko 2 Lantai Kombinasi'!H155</f>
        <v>616343.75</v>
      </c>
      <c r="L155" s="284"/>
      <c r="M155" s="284"/>
    </row>
    <row r="156" spans="1:17">
      <c r="A156" s="7"/>
      <c r="B156" s="52">
        <v>9</v>
      </c>
      <c r="C156" s="51" t="s">
        <v>133</v>
      </c>
      <c r="D156" s="54" t="s">
        <v>308</v>
      </c>
      <c r="E156" s="52" t="s">
        <v>47</v>
      </c>
      <c r="F156" s="61">
        <v>1</v>
      </c>
      <c r="G156" s="37">
        <f>'[17] Ruko 2 Lantai Kombinasi'!G156</f>
        <v>794062.50000000012</v>
      </c>
      <c r="H156" s="37">
        <f t="shared" si="4"/>
        <v>794062.50000000012</v>
      </c>
      <c r="I156" s="284"/>
      <c r="J156" s="284"/>
      <c r="K156" s="284">
        <f>'[17] Ruko 2 Lantai Kombinasi'!H156</f>
        <v>794062.50000000012</v>
      </c>
      <c r="L156" s="284"/>
      <c r="M156" s="284"/>
    </row>
    <row r="157" spans="1:17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>
        <f>'[17] Ruko 2 Lantai Kombinasi'!G157</f>
        <v>33000</v>
      </c>
      <c r="H157" s="37">
        <f t="shared" si="4"/>
        <v>144210</v>
      </c>
      <c r="I157" s="284"/>
      <c r="J157" s="284"/>
      <c r="K157" s="284">
        <f>'[17] Ruko 2 Lantai Kombinasi'!H157</f>
        <v>144210</v>
      </c>
      <c r="L157" s="284"/>
      <c r="M157" s="284"/>
    </row>
    <row r="158" spans="1:17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>
        <f>'[17] Ruko 2 Lantai Kombinasi'!G158</f>
        <v>98289.256174836948</v>
      </c>
      <c r="H158" s="37">
        <f t="shared" si="4"/>
        <v>280124.38009828533</v>
      </c>
      <c r="I158" s="284"/>
      <c r="J158" s="284"/>
      <c r="K158" s="284">
        <f>'[17] Ruko 2 Lantai Kombinasi'!H158</f>
        <v>280124.38009828533</v>
      </c>
      <c r="L158" s="284"/>
      <c r="M158" s="284"/>
    </row>
    <row r="159" spans="1:17" ht="30">
      <c r="A159" s="7"/>
      <c r="B159" s="262">
        <v>12</v>
      </c>
      <c r="C159" s="172" t="s">
        <v>311</v>
      </c>
      <c r="D159" s="163" t="s">
        <v>323</v>
      </c>
      <c r="E159" s="173" t="s">
        <v>314</v>
      </c>
      <c r="F159" s="263">
        <v>1</v>
      </c>
      <c r="G159" s="37">
        <f>'[17] Ruko 2 Lantai Kombinasi'!G159</f>
        <v>275000</v>
      </c>
      <c r="H159" s="59">
        <f t="shared" si="4"/>
        <v>275000</v>
      </c>
      <c r="I159" s="284"/>
      <c r="J159" s="284"/>
      <c r="K159" s="284">
        <f>'[17] Ruko 2 Lantai Kombinasi'!H159</f>
        <v>275000</v>
      </c>
      <c r="L159" s="284"/>
      <c r="M159" s="284"/>
      <c r="O159" s="225"/>
      <c r="Q159" s="202"/>
    </row>
    <row r="160" spans="1:17">
      <c r="A160" s="7"/>
      <c r="B160" s="281"/>
      <c r="C160" s="51"/>
      <c r="D160" s="54"/>
      <c r="E160" s="52"/>
      <c r="F160" s="61"/>
      <c r="G160" s="37"/>
      <c r="H160" s="282"/>
      <c r="I160" s="284"/>
      <c r="J160" s="284"/>
      <c r="K160" s="284"/>
      <c r="L160" s="284"/>
      <c r="M160" s="284"/>
      <c r="O160" s="225"/>
      <c r="Q160" s="202"/>
    </row>
    <row r="161" spans="2:13">
      <c r="B161" s="55"/>
      <c r="C161" s="256"/>
      <c r="D161" s="54"/>
      <c r="E161" s="65"/>
      <c r="F161" s="77"/>
      <c r="G161" s="60" t="s">
        <v>200</v>
      </c>
      <c r="H161" s="267">
        <f>SUM(H7:H159)/2</f>
        <v>337804389.12169892</v>
      </c>
      <c r="I161" s="267">
        <f>SUM(I7:I159)</f>
        <v>341104265</v>
      </c>
      <c r="J161" s="285">
        <f>H161-I161</f>
        <v>-3299875.878301084</v>
      </c>
      <c r="K161" s="267">
        <f>SUM(K7:K159)/2</f>
        <v>327406321.16379166</v>
      </c>
      <c r="L161" s="287"/>
      <c r="M161" s="287"/>
    </row>
    <row r="162" spans="2:13">
      <c r="B162" s="55"/>
      <c r="C162" s="256"/>
      <c r="D162" s="54"/>
      <c r="E162" s="65"/>
      <c r="F162" s="77"/>
      <c r="G162" s="60" t="s">
        <v>201</v>
      </c>
      <c r="H162" s="62">
        <f>ROUNDDOWN(H161,-5)</f>
        <v>337800000</v>
      </c>
      <c r="I162" s="62">
        <f>ROUNDDOWN(I161,-5)</f>
        <v>341100000</v>
      </c>
      <c r="J162" s="280"/>
      <c r="K162" s="62">
        <f>ROUNDDOWN(K161,-5)</f>
        <v>327400000</v>
      </c>
      <c r="L162" s="286"/>
      <c r="M162" s="286"/>
    </row>
    <row r="163" spans="2:13">
      <c r="B163" s="55"/>
      <c r="C163" s="256"/>
      <c r="D163" s="54"/>
      <c r="E163" s="65"/>
      <c r="F163" s="77"/>
      <c r="G163" s="60" t="s">
        <v>150</v>
      </c>
      <c r="H163" s="62">
        <f>H162</f>
        <v>337800000</v>
      </c>
      <c r="I163" s="280"/>
      <c r="J163" s="280"/>
      <c r="K163" s="62">
        <f>K162</f>
        <v>327400000</v>
      </c>
      <c r="L163" s="286"/>
      <c r="M163" s="286"/>
    </row>
    <row r="164" spans="2:13">
      <c r="B164" s="55"/>
      <c r="C164" s="256"/>
      <c r="D164" s="54"/>
      <c r="E164" s="65"/>
      <c r="F164" s="77"/>
      <c r="G164" s="60" t="s">
        <v>202</v>
      </c>
      <c r="H164" s="62">
        <f>H163*0.1</f>
        <v>33780000</v>
      </c>
      <c r="I164" s="286"/>
      <c r="J164" s="286"/>
      <c r="K164" s="286"/>
      <c r="L164" s="286"/>
      <c r="M164" s="286"/>
    </row>
    <row r="165" spans="2:13">
      <c r="B165" s="55"/>
      <c r="C165" s="256"/>
      <c r="D165" s="54"/>
      <c r="E165" s="65"/>
      <c r="F165" s="77"/>
      <c r="G165" s="60" t="s">
        <v>203</v>
      </c>
      <c r="H165" s="62">
        <f>H163+H164</f>
        <v>371580000</v>
      </c>
      <c r="I165" s="286"/>
      <c r="J165" s="286"/>
      <c r="K165" s="286"/>
      <c r="L165" s="286"/>
      <c r="M165" s="286"/>
    </row>
    <row r="166" spans="2:13" ht="15">
      <c r="B166" s="136"/>
      <c r="C166" s="136"/>
      <c r="D166" s="237"/>
      <c r="E166" s="136"/>
      <c r="F166" s="136"/>
      <c r="G166" s="1"/>
      <c r="H166" s="1"/>
      <c r="I166" s="1"/>
      <c r="J166" s="1"/>
      <c r="K166" s="1"/>
      <c r="L166" s="1"/>
      <c r="M166" s="1"/>
    </row>
    <row r="186" spans="4:4">
      <c r="D186" s="258" t="s">
        <v>325</v>
      </c>
    </row>
    <row r="1048576" spans="11:11">
      <c r="K1048576" s="284">
        <f>'[17] Ruko 2 Lantai Kombinasi'!H1048576</f>
        <v>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166" zoomScale="70" zoomScaleNormal="70" zoomScaleSheetLayoutView="70" workbookViewId="0">
      <selection activeCell="M203" sqref="M203"/>
    </sheetView>
  </sheetViews>
  <sheetFormatPr defaultRowHeight="15"/>
  <cols>
    <col min="1" max="1" width="5" style="180" customWidth="1"/>
    <col min="2" max="2" width="9.140625" style="177"/>
    <col min="3" max="3" width="51" style="177" bestFit="1" customWidth="1"/>
    <col min="4" max="4" width="110.42578125" style="177" customWidth="1"/>
    <col min="5" max="5" width="9.140625" style="178"/>
    <col min="6" max="6" width="11.5703125" style="177" customWidth="1"/>
    <col min="7" max="7" width="15" style="136" customWidth="1"/>
    <col min="8" max="8" width="12.28515625" style="177" customWidth="1"/>
    <col min="9" max="9" width="16" style="177" customWidth="1"/>
    <col min="10" max="10" width="21.5703125" style="177" customWidth="1"/>
    <col min="11" max="11" width="22.140625" style="179" customWidth="1"/>
    <col min="12" max="12" width="15.85546875" style="180" bestFit="1" customWidth="1"/>
    <col min="13" max="16384" width="9.140625" style="180"/>
  </cols>
  <sheetData>
    <row r="1" spans="2:12" ht="15.75" thickBot="1"/>
    <row r="2" spans="2:12" ht="18">
      <c r="B2" s="142" t="s">
        <v>0</v>
      </c>
      <c r="C2" s="181"/>
      <c r="D2" s="182"/>
      <c r="E2" s="183"/>
      <c r="F2" s="184"/>
      <c r="G2" s="185"/>
      <c r="H2" s="184"/>
      <c r="I2" s="184"/>
      <c r="J2" s="184"/>
      <c r="K2" s="186"/>
    </row>
    <row r="3" spans="2:12" ht="18">
      <c r="B3" s="143" t="s">
        <v>324</v>
      </c>
      <c r="C3" s="187"/>
      <c r="D3" s="188"/>
      <c r="E3" s="189"/>
      <c r="F3" s="190"/>
      <c r="G3" s="260"/>
      <c r="H3" s="191"/>
      <c r="I3" s="190"/>
      <c r="J3" s="190"/>
      <c r="K3" s="192"/>
    </row>
    <row r="4" spans="2:12" ht="18">
      <c r="B4" s="143" t="s">
        <v>1</v>
      </c>
      <c r="C4" s="187"/>
      <c r="D4" s="188"/>
      <c r="E4" s="189"/>
      <c r="F4" s="193"/>
      <c r="G4" s="194"/>
      <c r="H4" s="193"/>
      <c r="I4" s="9"/>
      <c r="J4" s="190"/>
      <c r="K4" s="192"/>
    </row>
    <row r="5" spans="2:12" ht="15.75" thickBot="1">
      <c r="B5" s="195"/>
      <c r="C5" s="188"/>
      <c r="D5" s="188"/>
      <c r="E5" s="126"/>
      <c r="F5" s="9">
        <v>1</v>
      </c>
      <c r="G5" s="9">
        <v>1</v>
      </c>
      <c r="H5" s="193">
        <v>1</v>
      </c>
      <c r="I5" s="9" t="s">
        <v>150</v>
      </c>
      <c r="J5" s="11"/>
      <c r="K5" s="192"/>
    </row>
    <row r="6" spans="2:12" ht="24" customHeight="1" thickTop="1">
      <c r="B6" s="293" t="s">
        <v>2</v>
      </c>
      <c r="C6" s="296" t="s">
        <v>3</v>
      </c>
      <c r="D6" s="296" t="s">
        <v>156</v>
      </c>
      <c r="E6" s="299" t="s">
        <v>4</v>
      </c>
      <c r="F6" s="21" t="s">
        <v>157</v>
      </c>
      <c r="G6" s="21" t="s">
        <v>157</v>
      </c>
      <c r="H6" s="21" t="s">
        <v>157</v>
      </c>
      <c r="I6" s="138" t="s">
        <v>157</v>
      </c>
      <c r="J6" s="23" t="s">
        <v>213</v>
      </c>
      <c r="K6" s="196" t="s">
        <v>154</v>
      </c>
    </row>
    <row r="7" spans="2:12" ht="24" customHeight="1">
      <c r="B7" s="294"/>
      <c r="C7" s="297"/>
      <c r="D7" s="297"/>
      <c r="E7" s="300"/>
      <c r="F7" s="134" t="s">
        <v>302</v>
      </c>
      <c r="G7" s="134" t="s">
        <v>303</v>
      </c>
      <c r="H7" s="134" t="s">
        <v>272</v>
      </c>
      <c r="I7" s="139" t="s">
        <v>153</v>
      </c>
      <c r="J7" s="24" t="s">
        <v>214</v>
      </c>
      <c r="K7" s="144" t="s">
        <v>213</v>
      </c>
    </row>
    <row r="8" spans="2:12" ht="24" customHeight="1" thickBot="1">
      <c r="B8" s="295"/>
      <c r="C8" s="298"/>
      <c r="D8" s="298"/>
      <c r="E8" s="301"/>
      <c r="F8" s="22" t="s">
        <v>212</v>
      </c>
      <c r="G8" s="22" t="s">
        <v>212</v>
      </c>
      <c r="H8" s="22" t="s">
        <v>212</v>
      </c>
      <c r="I8" s="16"/>
      <c r="J8" s="140"/>
      <c r="K8" s="145"/>
    </row>
    <row r="9" spans="2:12" ht="15.75" thickTop="1">
      <c r="B9" s="146"/>
      <c r="C9" s="147"/>
      <c r="D9" s="147"/>
      <c r="E9" s="148"/>
      <c r="F9" s="149"/>
      <c r="G9" s="8"/>
      <c r="H9" s="8"/>
      <c r="I9" s="8"/>
      <c r="J9" s="8"/>
      <c r="K9" s="197"/>
    </row>
    <row r="10" spans="2:12" ht="15.75">
      <c r="B10" s="150" t="s">
        <v>6</v>
      </c>
      <c r="C10" s="151" t="s">
        <v>7</v>
      </c>
      <c r="D10" s="151"/>
      <c r="E10" s="149"/>
      <c r="F10" s="149"/>
      <c r="G10" s="8"/>
      <c r="H10" s="8"/>
      <c r="I10" s="8"/>
      <c r="J10" s="8"/>
      <c r="K10" s="198"/>
    </row>
    <row r="11" spans="2:12" ht="15.75">
      <c r="B11" s="152">
        <v>1</v>
      </c>
      <c r="C11" s="153" t="s">
        <v>8</v>
      </c>
      <c r="D11" s="153"/>
      <c r="E11" s="149" t="s">
        <v>9</v>
      </c>
      <c r="F11" s="141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4"/>
      <c r="K11" s="198">
        <f>I11*J11</f>
        <v>0</v>
      </c>
      <c r="L11" s="261"/>
    </row>
    <row r="12" spans="2:12" ht="15.75">
      <c r="B12" s="152">
        <v>2</v>
      </c>
      <c r="C12" s="153" t="s">
        <v>10</v>
      </c>
      <c r="D12" s="153"/>
      <c r="E12" s="149" t="s">
        <v>11</v>
      </c>
      <c r="F12" s="141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4"/>
      <c r="K12" s="198">
        <f t="shared" ref="K12:K16" si="0">I12*J12</f>
        <v>0</v>
      </c>
      <c r="L12" s="261"/>
    </row>
    <row r="13" spans="2:12" ht="15.75">
      <c r="B13" s="152">
        <v>3</v>
      </c>
      <c r="C13" s="153" t="s">
        <v>12</v>
      </c>
      <c r="D13" s="153"/>
      <c r="E13" s="149" t="s">
        <v>11</v>
      </c>
      <c r="F13" s="141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4"/>
      <c r="K13" s="198">
        <f t="shared" si="0"/>
        <v>0</v>
      </c>
      <c r="L13" s="261"/>
    </row>
    <row r="14" spans="2:12" ht="15.75">
      <c r="B14" s="152">
        <v>4</v>
      </c>
      <c r="C14" s="153" t="s">
        <v>13</v>
      </c>
      <c r="D14" s="153"/>
      <c r="E14" s="149" t="s">
        <v>11</v>
      </c>
      <c r="F14" s="141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4"/>
      <c r="K14" s="198">
        <f t="shared" si="0"/>
        <v>0</v>
      </c>
      <c r="L14" s="261"/>
    </row>
    <row r="15" spans="2:12" ht="15.75">
      <c r="B15" s="152">
        <v>5</v>
      </c>
      <c r="C15" s="153" t="s">
        <v>87</v>
      </c>
      <c r="D15" s="153"/>
      <c r="E15" s="149"/>
      <c r="F15" s="141"/>
      <c r="G15" s="10"/>
      <c r="H15" s="10"/>
      <c r="I15" s="10"/>
      <c r="J15" s="154"/>
      <c r="K15" s="198"/>
      <c r="L15" s="261"/>
    </row>
    <row r="16" spans="2:12" ht="15.75">
      <c r="B16" s="155" t="s">
        <v>14</v>
      </c>
      <c r="C16" s="153" t="s">
        <v>155</v>
      </c>
      <c r="D16" s="153" t="s">
        <v>159</v>
      </c>
      <c r="E16" s="149" t="s">
        <v>15</v>
      </c>
      <c r="F16" s="141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4"/>
      <c r="K16" s="198">
        <f t="shared" si="0"/>
        <v>0</v>
      </c>
      <c r="L16" s="261"/>
    </row>
    <row r="17" spans="2:12" ht="15.75">
      <c r="B17" s="156"/>
      <c r="C17" s="157"/>
      <c r="D17" s="157"/>
      <c r="E17" s="149"/>
      <c r="F17" s="141"/>
      <c r="G17" s="10"/>
      <c r="H17" s="10"/>
      <c r="I17" s="10"/>
      <c r="J17" s="135"/>
      <c r="K17" s="198"/>
      <c r="L17" s="261"/>
    </row>
    <row r="18" spans="2:12" ht="15.75">
      <c r="B18" s="158" t="s">
        <v>16</v>
      </c>
      <c r="C18" s="159" t="s">
        <v>17</v>
      </c>
      <c r="D18" s="159"/>
      <c r="E18" s="149"/>
      <c r="F18" s="141"/>
      <c r="G18" s="10"/>
      <c r="H18" s="10"/>
      <c r="I18" s="10"/>
      <c r="J18" s="135"/>
      <c r="K18" s="198"/>
      <c r="L18" s="261"/>
    </row>
    <row r="19" spans="2:12" ht="15.75">
      <c r="B19" s="156">
        <v>1</v>
      </c>
      <c r="C19" s="153" t="s">
        <v>18</v>
      </c>
      <c r="D19" s="153"/>
      <c r="E19" s="149" t="s">
        <v>19</v>
      </c>
      <c r="F19" s="141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4"/>
      <c r="K19" s="198">
        <f t="shared" ref="K19:K24" si="2">I19*J19</f>
        <v>0</v>
      </c>
      <c r="L19" s="261"/>
    </row>
    <row r="20" spans="2:12" ht="15.75">
      <c r="B20" s="156">
        <v>2</v>
      </c>
      <c r="C20" s="157" t="s">
        <v>20</v>
      </c>
      <c r="D20" s="157"/>
      <c r="E20" s="149" t="s">
        <v>19</v>
      </c>
      <c r="F20" s="141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4"/>
      <c r="K20" s="198">
        <f t="shared" si="2"/>
        <v>0</v>
      </c>
      <c r="L20" s="261"/>
    </row>
    <row r="21" spans="2:12" ht="15.75">
      <c r="B21" s="156"/>
      <c r="C21" s="157" t="s">
        <v>230</v>
      </c>
      <c r="D21" s="157"/>
      <c r="E21" s="149" t="s">
        <v>19</v>
      </c>
      <c r="F21" s="141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4"/>
      <c r="K21" s="198">
        <f t="shared" ref="K21" si="3">I21*J21</f>
        <v>0</v>
      </c>
      <c r="L21" s="261"/>
    </row>
    <row r="22" spans="2:12" ht="15.75">
      <c r="B22" s="156">
        <v>3</v>
      </c>
      <c r="C22" s="157" t="s">
        <v>21</v>
      </c>
      <c r="D22" s="157"/>
      <c r="E22" s="149" t="s">
        <v>19</v>
      </c>
      <c r="F22" s="141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4"/>
      <c r="K22" s="198">
        <f t="shared" si="2"/>
        <v>0</v>
      </c>
      <c r="L22" s="261"/>
    </row>
    <row r="23" spans="2:12" ht="15.75">
      <c r="B23" s="156">
        <v>4</v>
      </c>
      <c r="C23" s="157" t="s">
        <v>88</v>
      </c>
      <c r="D23" s="160" t="s">
        <v>161</v>
      </c>
      <c r="E23" s="149" t="s">
        <v>19</v>
      </c>
      <c r="F23" s="141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4"/>
      <c r="K23" s="198">
        <f t="shared" si="2"/>
        <v>0</v>
      </c>
      <c r="L23" s="261"/>
    </row>
    <row r="24" spans="2:12" ht="15.75">
      <c r="B24" s="156">
        <v>5</v>
      </c>
      <c r="C24" s="157" t="s">
        <v>89</v>
      </c>
      <c r="D24" s="157"/>
      <c r="E24" s="149" t="s">
        <v>19</v>
      </c>
      <c r="F24" s="141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4"/>
      <c r="K24" s="198">
        <f t="shared" si="2"/>
        <v>0</v>
      </c>
      <c r="L24" s="261"/>
    </row>
    <row r="25" spans="2:12" ht="15.75">
      <c r="B25" s="156"/>
      <c r="C25" s="157"/>
      <c r="D25" s="157"/>
      <c r="E25" s="149"/>
      <c r="F25" s="141"/>
      <c r="G25" s="10"/>
      <c r="H25" s="10"/>
      <c r="I25" s="10"/>
      <c r="J25" s="10"/>
      <c r="K25" s="198"/>
      <c r="L25" s="261"/>
    </row>
    <row r="26" spans="2:12" ht="15.75">
      <c r="B26" s="158" t="s">
        <v>22</v>
      </c>
      <c r="C26" s="161" t="s">
        <v>23</v>
      </c>
      <c r="D26" s="161"/>
      <c r="E26" s="149"/>
      <c r="F26" s="141"/>
      <c r="G26" s="10"/>
      <c r="H26" s="10"/>
      <c r="I26" s="10"/>
      <c r="J26" s="10"/>
      <c r="K26" s="198"/>
      <c r="L26" s="261"/>
    </row>
    <row r="27" spans="2:12" ht="15.75">
      <c r="B27" s="156">
        <v>1</v>
      </c>
      <c r="C27" s="162" t="s">
        <v>90</v>
      </c>
      <c r="D27" s="160" t="s">
        <v>161</v>
      </c>
      <c r="E27" s="149" t="s">
        <v>72</v>
      </c>
      <c r="F27" s="141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5"/>
      <c r="K27" s="198">
        <f t="shared" ref="K27" si="4">I27*J27</f>
        <v>0</v>
      </c>
      <c r="L27" s="261"/>
    </row>
    <row r="28" spans="2:12" ht="15.75">
      <c r="B28" s="156"/>
      <c r="C28" s="157"/>
      <c r="D28" s="157"/>
      <c r="E28" s="149"/>
      <c r="F28" s="141"/>
      <c r="G28" s="10"/>
      <c r="H28" s="10"/>
      <c r="I28" s="10"/>
      <c r="J28" s="10"/>
      <c r="K28" s="198"/>
      <c r="L28" s="261"/>
    </row>
    <row r="29" spans="2:12" ht="15.75">
      <c r="B29" s="158" t="s">
        <v>25</v>
      </c>
      <c r="C29" s="161" t="s">
        <v>26</v>
      </c>
      <c r="D29" s="161"/>
      <c r="E29" s="149"/>
      <c r="F29" s="141"/>
      <c r="G29" s="10"/>
      <c r="H29" s="10"/>
      <c r="I29" s="10"/>
      <c r="J29" s="10"/>
      <c r="K29" s="198"/>
      <c r="L29" s="261"/>
    </row>
    <row r="30" spans="2:12" ht="15.75">
      <c r="B30" s="156">
        <v>1</v>
      </c>
      <c r="C30" s="157" t="s">
        <v>27</v>
      </c>
      <c r="D30" s="160" t="s">
        <v>163</v>
      </c>
      <c r="E30" s="149" t="s">
        <v>19</v>
      </c>
      <c r="F30" s="141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4"/>
      <c r="K30" s="198">
        <f t="shared" ref="K30:K40" si="6">I30*J30</f>
        <v>0</v>
      </c>
      <c r="L30" s="261"/>
    </row>
    <row r="31" spans="2:12" ht="15.75">
      <c r="B31" s="156">
        <v>2</v>
      </c>
      <c r="C31" s="162" t="s">
        <v>229</v>
      </c>
      <c r="D31" s="163" t="s">
        <v>163</v>
      </c>
      <c r="E31" s="164" t="s">
        <v>19</v>
      </c>
      <c r="F31" s="141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8">
        <f t="shared" si="6"/>
        <v>0</v>
      </c>
      <c r="L31" s="261"/>
    </row>
    <row r="32" spans="2:12" ht="15.75">
      <c r="B32" s="156">
        <v>3</v>
      </c>
      <c r="C32" s="157" t="s">
        <v>92</v>
      </c>
      <c r="D32" s="160" t="s">
        <v>163</v>
      </c>
      <c r="E32" s="149" t="s">
        <v>19</v>
      </c>
      <c r="F32" s="141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4"/>
      <c r="K32" s="198">
        <f t="shared" si="6"/>
        <v>0</v>
      </c>
      <c r="L32" s="261"/>
    </row>
    <row r="33" spans="2:12" ht="15.75">
      <c r="B33" s="156">
        <v>4</v>
      </c>
      <c r="C33" s="157" t="s">
        <v>93</v>
      </c>
      <c r="D33" s="160" t="s">
        <v>163</v>
      </c>
      <c r="E33" s="149" t="s">
        <v>19</v>
      </c>
      <c r="F33" s="141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4"/>
      <c r="K33" s="198">
        <f t="shared" si="6"/>
        <v>0</v>
      </c>
      <c r="L33" s="261"/>
    </row>
    <row r="34" spans="2:12" ht="15.75">
      <c r="B34" s="156">
        <v>5</v>
      </c>
      <c r="C34" s="157" t="s">
        <v>94</v>
      </c>
      <c r="D34" s="160" t="s">
        <v>163</v>
      </c>
      <c r="E34" s="149" t="s">
        <v>19</v>
      </c>
      <c r="F34" s="141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4"/>
      <c r="K34" s="198">
        <f t="shared" si="6"/>
        <v>0</v>
      </c>
      <c r="L34" s="261"/>
    </row>
    <row r="35" spans="2:12" ht="15.75">
      <c r="B35" s="156">
        <v>6</v>
      </c>
      <c r="C35" s="157" t="s">
        <v>95</v>
      </c>
      <c r="D35" s="160" t="s">
        <v>164</v>
      </c>
      <c r="E35" s="149" t="s">
        <v>19</v>
      </c>
      <c r="F35" s="141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4"/>
      <c r="K35" s="198">
        <f t="shared" si="6"/>
        <v>0</v>
      </c>
      <c r="L35" s="261"/>
    </row>
    <row r="36" spans="2:12" ht="15.75">
      <c r="B36" s="156">
        <v>7</v>
      </c>
      <c r="C36" s="157" t="s">
        <v>96</v>
      </c>
      <c r="D36" s="160" t="s">
        <v>163</v>
      </c>
      <c r="E36" s="149" t="s">
        <v>19</v>
      </c>
      <c r="F36" s="141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4"/>
      <c r="K36" s="198">
        <f t="shared" si="6"/>
        <v>0</v>
      </c>
      <c r="L36" s="261"/>
    </row>
    <row r="37" spans="2:12" ht="15.75">
      <c r="B37" s="156">
        <v>8</v>
      </c>
      <c r="C37" s="157" t="s">
        <v>97</v>
      </c>
      <c r="D37" s="160" t="s">
        <v>163</v>
      </c>
      <c r="E37" s="149" t="s">
        <v>19</v>
      </c>
      <c r="F37" s="141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4"/>
      <c r="K37" s="198">
        <f t="shared" si="6"/>
        <v>0</v>
      </c>
      <c r="L37" s="261"/>
    </row>
    <row r="38" spans="2:12" ht="15.75">
      <c r="B38" s="156">
        <v>9</v>
      </c>
      <c r="C38" s="157" t="s">
        <v>98</v>
      </c>
      <c r="D38" s="160" t="s">
        <v>165</v>
      </c>
      <c r="E38" s="149" t="s">
        <v>19</v>
      </c>
      <c r="F38" s="141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4"/>
      <c r="K38" s="198">
        <f t="shared" si="6"/>
        <v>0</v>
      </c>
      <c r="L38" s="261"/>
    </row>
    <row r="39" spans="2:12" ht="30.75">
      <c r="B39" s="152">
        <v>10</v>
      </c>
      <c r="C39" s="165" t="s">
        <v>245</v>
      </c>
      <c r="D39" s="163"/>
      <c r="E39" s="149" t="s">
        <v>244</v>
      </c>
      <c r="F39" s="141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5"/>
      <c r="K39" s="198">
        <f t="shared" si="6"/>
        <v>0</v>
      </c>
      <c r="L39" s="261"/>
    </row>
    <row r="40" spans="2:12" ht="15.75">
      <c r="B40" s="152">
        <v>11</v>
      </c>
      <c r="C40" s="165" t="s">
        <v>251</v>
      </c>
      <c r="D40" s="163"/>
      <c r="E40" s="149" t="s">
        <v>244</v>
      </c>
      <c r="F40" s="141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5"/>
      <c r="K40" s="198">
        <f t="shared" si="6"/>
        <v>0</v>
      </c>
      <c r="L40" s="261"/>
    </row>
    <row r="41" spans="2:12" ht="15.75">
      <c r="B41" s="156"/>
      <c r="C41" s="157"/>
      <c r="D41" s="160"/>
      <c r="E41" s="149"/>
      <c r="F41" s="141"/>
      <c r="G41" s="10"/>
      <c r="H41" s="10"/>
      <c r="I41" s="10"/>
      <c r="J41" s="10"/>
      <c r="K41" s="198"/>
      <c r="L41" s="261"/>
    </row>
    <row r="42" spans="2:12" ht="15.75">
      <c r="B42" s="158" t="s">
        <v>28</v>
      </c>
      <c r="C42" s="161" t="s">
        <v>29</v>
      </c>
      <c r="D42" s="161"/>
      <c r="E42" s="149"/>
      <c r="F42" s="141"/>
      <c r="G42" s="10"/>
      <c r="H42" s="10"/>
      <c r="I42" s="10"/>
      <c r="J42" s="10"/>
      <c r="K42" s="198"/>
      <c r="L42" s="261"/>
    </row>
    <row r="43" spans="2:12" ht="15.75">
      <c r="B43" s="158"/>
      <c r="C43" s="161" t="s">
        <v>99</v>
      </c>
      <c r="D43" s="161"/>
      <c r="E43" s="149"/>
      <c r="F43" s="141"/>
      <c r="G43" s="10"/>
      <c r="H43" s="10"/>
      <c r="I43" s="10"/>
      <c r="J43" s="10"/>
      <c r="K43" s="198"/>
      <c r="L43" s="261"/>
    </row>
    <row r="44" spans="2:12" ht="15.75">
      <c r="B44" s="156">
        <v>1</v>
      </c>
      <c r="C44" s="157" t="s">
        <v>100</v>
      </c>
      <c r="D44" s="163" t="s">
        <v>317</v>
      </c>
      <c r="E44" s="149" t="s">
        <v>15</v>
      </c>
      <c r="F44" s="141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8">
        <f t="shared" ref="K44:K57" si="7">I44*J44</f>
        <v>0</v>
      </c>
      <c r="L44" s="261"/>
    </row>
    <row r="45" spans="2:12" ht="15.75">
      <c r="B45" s="156">
        <v>2</v>
      </c>
      <c r="C45" s="157" t="s">
        <v>101</v>
      </c>
      <c r="D45" s="160"/>
      <c r="E45" s="149"/>
      <c r="F45" s="141"/>
      <c r="G45" s="10"/>
      <c r="H45" s="10"/>
      <c r="I45" s="10"/>
      <c r="J45" s="44"/>
      <c r="K45" s="198"/>
      <c r="L45" s="261"/>
    </row>
    <row r="46" spans="2:12" ht="15.75">
      <c r="B46" s="156">
        <v>3</v>
      </c>
      <c r="C46" s="157" t="s">
        <v>102</v>
      </c>
      <c r="D46" s="160" t="s">
        <v>166</v>
      </c>
      <c r="E46" s="149" t="s">
        <v>15</v>
      </c>
      <c r="F46" s="141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8">
        <f t="shared" si="7"/>
        <v>0</v>
      </c>
      <c r="L46" s="261"/>
    </row>
    <row r="47" spans="2:12" ht="15.75">
      <c r="B47" s="156">
        <v>4</v>
      </c>
      <c r="C47" s="157" t="s">
        <v>103</v>
      </c>
      <c r="D47" s="160" t="s">
        <v>319</v>
      </c>
      <c r="E47" s="149" t="s">
        <v>15</v>
      </c>
      <c r="F47" s="141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8">
        <f t="shared" si="7"/>
        <v>0</v>
      </c>
      <c r="L47" s="261"/>
    </row>
    <row r="48" spans="2:12" ht="15.75">
      <c r="B48" s="156">
        <v>5</v>
      </c>
      <c r="C48" s="157" t="s">
        <v>104</v>
      </c>
      <c r="D48" s="160" t="s">
        <v>166</v>
      </c>
      <c r="E48" s="149" t="s">
        <v>15</v>
      </c>
      <c r="F48" s="141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8">
        <f t="shared" si="7"/>
        <v>0</v>
      </c>
      <c r="L48" s="261"/>
    </row>
    <row r="49" spans="2:12" ht="15.75">
      <c r="B49" s="166">
        <v>6</v>
      </c>
      <c r="C49" s="157" t="s">
        <v>266</v>
      </c>
      <c r="D49" s="163" t="s">
        <v>318</v>
      </c>
      <c r="E49" s="149" t="s">
        <v>9</v>
      </c>
      <c r="F49" s="141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8">
        <f t="shared" si="7"/>
        <v>0</v>
      </c>
      <c r="L49" s="261"/>
    </row>
    <row r="50" spans="2:12" ht="15.75">
      <c r="B50" s="166">
        <v>7</v>
      </c>
      <c r="C50" s="157" t="s">
        <v>267</v>
      </c>
      <c r="D50" s="163" t="s">
        <v>317</v>
      </c>
      <c r="E50" s="149" t="s">
        <v>15</v>
      </c>
      <c r="F50" s="141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8">
        <f t="shared" si="7"/>
        <v>0</v>
      </c>
      <c r="L50" s="261"/>
    </row>
    <row r="51" spans="2:12" ht="15.75">
      <c r="B51" s="158"/>
      <c r="C51" s="161" t="s">
        <v>105</v>
      </c>
      <c r="D51" s="161"/>
      <c r="E51" s="149"/>
      <c r="F51" s="141"/>
      <c r="G51" s="10"/>
      <c r="H51" s="10"/>
      <c r="I51" s="10"/>
      <c r="J51" s="44"/>
      <c r="K51" s="198"/>
      <c r="L51" s="261"/>
    </row>
    <row r="52" spans="2:12" ht="15.75">
      <c r="B52" s="156">
        <v>1</v>
      </c>
      <c r="C52" s="157" t="s">
        <v>102</v>
      </c>
      <c r="D52" s="160" t="s">
        <v>166</v>
      </c>
      <c r="E52" s="149" t="s">
        <v>15</v>
      </c>
      <c r="F52" s="141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8">
        <f t="shared" si="7"/>
        <v>0</v>
      </c>
      <c r="L52" s="261"/>
    </row>
    <row r="53" spans="2:12" ht="15.75">
      <c r="B53" s="156">
        <v>2</v>
      </c>
      <c r="C53" s="157" t="s">
        <v>103</v>
      </c>
      <c r="D53" s="160" t="s">
        <v>319</v>
      </c>
      <c r="E53" s="149" t="s">
        <v>15</v>
      </c>
      <c r="F53" s="141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8">
        <f t="shared" si="7"/>
        <v>0</v>
      </c>
      <c r="L53" s="261"/>
    </row>
    <row r="54" spans="2:12" ht="15.75">
      <c r="B54" s="156">
        <v>3</v>
      </c>
      <c r="C54" s="167" t="s">
        <v>104</v>
      </c>
      <c r="D54" s="160" t="s">
        <v>166</v>
      </c>
      <c r="E54" s="149" t="s">
        <v>15</v>
      </c>
      <c r="F54" s="141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8">
        <f t="shared" si="7"/>
        <v>0</v>
      </c>
      <c r="L54" s="261"/>
    </row>
    <row r="55" spans="2:12" ht="15.75">
      <c r="B55" s="168"/>
      <c r="C55" s="169" t="s">
        <v>137</v>
      </c>
      <c r="D55" s="169"/>
      <c r="E55" s="149"/>
      <c r="F55" s="141"/>
      <c r="G55" s="10"/>
      <c r="H55" s="10"/>
      <c r="I55" s="10"/>
      <c r="J55" s="44"/>
      <c r="K55" s="198"/>
      <c r="L55" s="261"/>
    </row>
    <row r="56" spans="2:12" ht="15.75">
      <c r="B56" s="170">
        <v>1</v>
      </c>
      <c r="C56" s="167" t="s">
        <v>102</v>
      </c>
      <c r="D56" s="160" t="s">
        <v>166</v>
      </c>
      <c r="E56" s="149" t="s">
        <v>15</v>
      </c>
      <c r="F56" s="141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8">
        <f t="shared" si="7"/>
        <v>0</v>
      </c>
      <c r="L56" s="261"/>
    </row>
    <row r="57" spans="2:12" ht="15.75">
      <c r="B57" s="170">
        <v>2</v>
      </c>
      <c r="C57" s="167" t="s">
        <v>103</v>
      </c>
      <c r="D57" s="160" t="s">
        <v>319</v>
      </c>
      <c r="E57" s="149" t="s">
        <v>15</v>
      </c>
      <c r="F57" s="141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8">
        <f t="shared" si="7"/>
        <v>0</v>
      </c>
      <c r="L57" s="261"/>
    </row>
    <row r="58" spans="2:12" ht="15.75">
      <c r="B58" s="156"/>
      <c r="C58" s="157"/>
      <c r="D58" s="157"/>
      <c r="E58" s="149"/>
      <c r="F58" s="199"/>
      <c r="G58" s="167"/>
      <c r="H58" s="200"/>
      <c r="I58" s="10"/>
      <c r="J58" s="199"/>
      <c r="K58" s="198"/>
      <c r="L58" s="261"/>
    </row>
    <row r="59" spans="2:12" ht="15.75">
      <c r="B59" s="158" t="s">
        <v>30</v>
      </c>
      <c r="C59" s="161" t="s">
        <v>31</v>
      </c>
      <c r="D59" s="161"/>
      <c r="E59" s="149"/>
      <c r="F59" s="199"/>
      <c r="G59" s="167"/>
      <c r="H59" s="200"/>
      <c r="I59" s="10"/>
      <c r="J59" s="199"/>
      <c r="K59" s="198"/>
      <c r="L59" s="261"/>
    </row>
    <row r="60" spans="2:12" ht="15.75">
      <c r="B60" s="158"/>
      <c r="C60" s="161" t="s">
        <v>99</v>
      </c>
      <c r="D60" s="161"/>
      <c r="E60" s="149"/>
      <c r="F60" s="199"/>
      <c r="G60" s="167"/>
      <c r="H60" s="200"/>
      <c r="I60" s="10"/>
      <c r="J60" s="199"/>
      <c r="K60" s="198"/>
      <c r="L60" s="261"/>
    </row>
    <row r="61" spans="2:12" ht="15.75">
      <c r="B61" s="156">
        <v>1</v>
      </c>
      <c r="C61" s="157" t="s">
        <v>103</v>
      </c>
      <c r="D61" s="160" t="s">
        <v>320</v>
      </c>
      <c r="E61" s="149" t="s">
        <v>15</v>
      </c>
      <c r="F61" s="141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8">
        <f t="shared" ref="K61:K68" si="8">I61*J61</f>
        <v>0</v>
      </c>
      <c r="L61" s="261"/>
    </row>
    <row r="62" spans="2:12" ht="15.75">
      <c r="B62" s="156">
        <v>2</v>
      </c>
      <c r="C62" s="157" t="s">
        <v>106</v>
      </c>
      <c r="D62" s="160" t="s">
        <v>167</v>
      </c>
      <c r="E62" s="149" t="s">
        <v>15</v>
      </c>
      <c r="F62" s="141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8">
        <f t="shared" si="8"/>
        <v>0</v>
      </c>
      <c r="L62" s="261"/>
    </row>
    <row r="63" spans="2:12" ht="15.75">
      <c r="B63" s="158"/>
      <c r="C63" s="161" t="s">
        <v>105</v>
      </c>
      <c r="D63" s="161"/>
      <c r="E63" s="149"/>
      <c r="F63" s="141"/>
      <c r="G63" s="10"/>
      <c r="H63" s="10"/>
      <c r="I63" s="10"/>
      <c r="J63" s="44"/>
      <c r="K63" s="198"/>
      <c r="L63" s="261"/>
    </row>
    <row r="64" spans="2:12" ht="15.75">
      <c r="B64" s="156">
        <v>1</v>
      </c>
      <c r="C64" s="157" t="s">
        <v>103</v>
      </c>
      <c r="D64" s="160" t="s">
        <v>320</v>
      </c>
      <c r="E64" s="149" t="s">
        <v>15</v>
      </c>
      <c r="F64" s="141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8">
        <f t="shared" si="8"/>
        <v>0</v>
      </c>
      <c r="L64" s="261"/>
    </row>
    <row r="65" spans="2:12" ht="15.75">
      <c r="B65" s="156">
        <v>2</v>
      </c>
      <c r="C65" s="157" t="s">
        <v>106</v>
      </c>
      <c r="D65" s="160" t="s">
        <v>167</v>
      </c>
      <c r="E65" s="149" t="s">
        <v>15</v>
      </c>
      <c r="F65" s="141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8">
        <f t="shared" si="8"/>
        <v>0</v>
      </c>
      <c r="L65" s="261"/>
    </row>
    <row r="66" spans="2:12" ht="15.75">
      <c r="B66" s="158"/>
      <c r="C66" s="161" t="s">
        <v>137</v>
      </c>
      <c r="D66" s="161"/>
      <c r="E66" s="149"/>
      <c r="F66" s="141"/>
      <c r="G66" s="10"/>
      <c r="H66" s="10"/>
      <c r="I66" s="10"/>
      <c r="J66" s="44"/>
      <c r="K66" s="198"/>
      <c r="L66" s="261"/>
    </row>
    <row r="67" spans="2:12" ht="15.75">
      <c r="B67" s="156">
        <v>1</v>
      </c>
      <c r="C67" s="157" t="s">
        <v>103</v>
      </c>
      <c r="D67" s="160" t="s">
        <v>320</v>
      </c>
      <c r="E67" s="149" t="s">
        <v>15</v>
      </c>
      <c r="F67" s="141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8">
        <f t="shared" si="8"/>
        <v>0</v>
      </c>
      <c r="L67" s="261"/>
    </row>
    <row r="68" spans="2:12" ht="15.75">
      <c r="B68" s="156">
        <v>2</v>
      </c>
      <c r="C68" s="157" t="s">
        <v>106</v>
      </c>
      <c r="D68" s="160" t="s">
        <v>167</v>
      </c>
      <c r="E68" s="149" t="s">
        <v>15</v>
      </c>
      <c r="F68" s="141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8">
        <f t="shared" si="8"/>
        <v>0</v>
      </c>
      <c r="L68" s="261"/>
    </row>
    <row r="69" spans="2:12" ht="15.75">
      <c r="B69" s="156"/>
      <c r="C69" s="157"/>
      <c r="D69" s="157"/>
      <c r="E69" s="149"/>
      <c r="F69" s="141"/>
      <c r="G69" s="10"/>
      <c r="H69" s="10"/>
      <c r="I69" s="10"/>
      <c r="J69" s="44"/>
      <c r="K69" s="198"/>
      <c r="L69" s="261"/>
    </row>
    <row r="70" spans="2:12" ht="15.75">
      <c r="B70" s="158" t="s">
        <v>32</v>
      </c>
      <c r="C70" s="161" t="s">
        <v>33</v>
      </c>
      <c r="D70" s="161"/>
      <c r="E70" s="149"/>
      <c r="F70" s="141"/>
      <c r="G70" s="10"/>
      <c r="H70" s="10"/>
      <c r="I70" s="10"/>
      <c r="J70" s="44"/>
      <c r="K70" s="198"/>
      <c r="L70" s="261"/>
    </row>
    <row r="71" spans="2:12" ht="15.75">
      <c r="B71" s="171">
        <v>1</v>
      </c>
      <c r="C71" s="172" t="s">
        <v>34</v>
      </c>
      <c r="D71" s="51" t="s">
        <v>304</v>
      </c>
      <c r="E71" s="173" t="s">
        <v>15</v>
      </c>
      <c r="F71" s="141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8">
        <f>I71*J71</f>
        <v>0</v>
      </c>
      <c r="L71" s="261"/>
    </row>
    <row r="72" spans="2:12" ht="15.75">
      <c r="B72" s="156">
        <v>2</v>
      </c>
      <c r="C72" s="157" t="s">
        <v>107</v>
      </c>
      <c r="D72" s="51" t="s">
        <v>305</v>
      </c>
      <c r="E72" s="149" t="s">
        <v>9</v>
      </c>
      <c r="F72" s="141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8">
        <f>I72*J72</f>
        <v>0</v>
      </c>
      <c r="L72" s="261"/>
    </row>
    <row r="73" spans="2:12" ht="15.75">
      <c r="B73" s="171">
        <v>3</v>
      </c>
      <c r="C73" s="172" t="s">
        <v>35</v>
      </c>
      <c r="D73" s="51" t="s">
        <v>306</v>
      </c>
      <c r="E73" s="173" t="s">
        <v>15</v>
      </c>
      <c r="F73" s="141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8">
        <f>I73*J73</f>
        <v>0</v>
      </c>
      <c r="L73" s="261"/>
    </row>
    <row r="74" spans="2:12" ht="15.75">
      <c r="B74" s="156">
        <v>4</v>
      </c>
      <c r="C74" s="157" t="s">
        <v>36</v>
      </c>
      <c r="D74" s="51" t="s">
        <v>168</v>
      </c>
      <c r="E74" s="149" t="s">
        <v>15</v>
      </c>
      <c r="F74" s="141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8">
        <f>I74*J74</f>
        <v>0</v>
      </c>
      <c r="L74" s="261"/>
    </row>
    <row r="75" spans="2:12" ht="15.75">
      <c r="B75" s="156"/>
      <c r="C75" s="157"/>
      <c r="D75" s="157"/>
      <c r="E75" s="149"/>
      <c r="F75" s="141"/>
      <c r="G75" s="10"/>
      <c r="H75" s="10"/>
      <c r="I75" s="10"/>
      <c r="J75" s="44"/>
      <c r="K75" s="198"/>
      <c r="L75" s="261"/>
    </row>
    <row r="76" spans="2:12" ht="15.75">
      <c r="B76" s="158" t="s">
        <v>37</v>
      </c>
      <c r="C76" s="161" t="s">
        <v>38</v>
      </c>
      <c r="D76" s="161"/>
      <c r="E76" s="149"/>
      <c r="F76" s="141"/>
      <c r="G76" s="10"/>
      <c r="H76" s="10"/>
      <c r="I76" s="10"/>
      <c r="J76" s="44"/>
      <c r="K76" s="198"/>
      <c r="L76" s="261"/>
    </row>
    <row r="77" spans="2:12" ht="15.75">
      <c r="B77" s="156">
        <v>1</v>
      </c>
      <c r="C77" s="157" t="s">
        <v>39</v>
      </c>
      <c r="D77" s="157" t="s">
        <v>172</v>
      </c>
      <c r="E77" s="149" t="s">
        <v>15</v>
      </c>
      <c r="F77" s="141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8">
        <f t="shared" ref="K77:K82" si="10">I77*J77</f>
        <v>0</v>
      </c>
      <c r="L77" s="261"/>
    </row>
    <row r="78" spans="2:12" s="202" customFormat="1" ht="15.75">
      <c r="B78" s="156">
        <v>2</v>
      </c>
      <c r="C78" s="157" t="s">
        <v>108</v>
      </c>
      <c r="D78" s="157" t="s">
        <v>169</v>
      </c>
      <c r="E78" s="149" t="s">
        <v>15</v>
      </c>
      <c r="F78" s="141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201">
        <f t="shared" si="10"/>
        <v>0</v>
      </c>
      <c r="L78" s="261"/>
    </row>
    <row r="79" spans="2:12" s="202" customFormat="1" ht="15.75">
      <c r="B79" s="156">
        <v>3</v>
      </c>
      <c r="C79" s="157" t="s">
        <v>40</v>
      </c>
      <c r="D79" s="157" t="s">
        <v>170</v>
      </c>
      <c r="E79" s="149" t="s">
        <v>15</v>
      </c>
      <c r="F79" s="141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201">
        <f t="shared" si="10"/>
        <v>0</v>
      </c>
      <c r="L79" s="261"/>
    </row>
    <row r="80" spans="2:12" ht="15.75">
      <c r="B80" s="156">
        <v>4</v>
      </c>
      <c r="C80" s="157" t="s">
        <v>41</v>
      </c>
      <c r="D80" s="157" t="s">
        <v>171</v>
      </c>
      <c r="E80" s="149" t="s">
        <v>15</v>
      </c>
      <c r="F80" s="141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8">
        <f t="shared" si="10"/>
        <v>0</v>
      </c>
      <c r="L80" s="261"/>
    </row>
    <row r="81" spans="2:12" ht="15.75">
      <c r="B81" s="156">
        <v>5</v>
      </c>
      <c r="C81" s="162" t="s">
        <v>246</v>
      </c>
      <c r="D81" s="157" t="s">
        <v>170</v>
      </c>
      <c r="E81" s="149" t="s">
        <v>15</v>
      </c>
      <c r="F81" s="141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8">
        <f t="shared" si="10"/>
        <v>0</v>
      </c>
      <c r="L81" s="261"/>
    </row>
    <row r="82" spans="2:12" ht="15.75">
      <c r="B82" s="156">
        <v>6</v>
      </c>
      <c r="C82" s="162" t="s">
        <v>268</v>
      </c>
      <c r="D82" s="157" t="s">
        <v>171</v>
      </c>
      <c r="E82" s="149" t="s">
        <v>15</v>
      </c>
      <c r="F82" s="141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8">
        <f t="shared" si="10"/>
        <v>0</v>
      </c>
      <c r="L82" s="261"/>
    </row>
    <row r="83" spans="2:12" ht="15.75">
      <c r="B83" s="156"/>
      <c r="C83" s="157"/>
      <c r="D83" s="157"/>
      <c r="E83" s="149"/>
      <c r="F83" s="141"/>
      <c r="G83" s="10"/>
      <c r="H83" s="10"/>
      <c r="I83" s="10"/>
      <c r="J83" s="10"/>
      <c r="K83" s="198"/>
      <c r="L83" s="261"/>
    </row>
    <row r="84" spans="2:12" ht="15.75">
      <c r="B84" s="158" t="s">
        <v>42</v>
      </c>
      <c r="C84" s="161" t="s">
        <v>43</v>
      </c>
      <c r="D84" s="161"/>
      <c r="E84" s="149"/>
      <c r="F84" s="141"/>
      <c r="G84" s="10"/>
      <c r="H84" s="10"/>
      <c r="I84" s="10"/>
      <c r="J84" s="10"/>
      <c r="K84" s="198"/>
      <c r="L84" s="261"/>
    </row>
    <row r="85" spans="2:12" ht="15.75">
      <c r="B85" s="156">
        <v>1</v>
      </c>
      <c r="C85" s="157" t="s">
        <v>109</v>
      </c>
      <c r="D85" s="266" t="s">
        <v>315</v>
      </c>
      <c r="E85" s="149" t="s">
        <v>15</v>
      </c>
      <c r="F85" s="141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8">
        <f>I85*J85</f>
        <v>0</v>
      </c>
      <c r="L85" s="261"/>
    </row>
    <row r="86" spans="2:12" ht="15.75">
      <c r="B86" s="156">
        <v>2</v>
      </c>
      <c r="C86" s="157" t="s">
        <v>110</v>
      </c>
      <c r="D86" s="160" t="s">
        <v>316</v>
      </c>
      <c r="E86" s="149" t="s">
        <v>15</v>
      </c>
      <c r="F86" s="141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8">
        <f>I86*J86</f>
        <v>0</v>
      </c>
      <c r="L86" s="261"/>
    </row>
    <row r="87" spans="2:12" ht="15.75">
      <c r="B87" s="156">
        <v>3</v>
      </c>
      <c r="C87" s="157" t="s">
        <v>146</v>
      </c>
      <c r="D87" s="157"/>
      <c r="E87" s="149" t="s">
        <v>9</v>
      </c>
      <c r="F87" s="141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8">
        <f>I87*J87</f>
        <v>0</v>
      </c>
      <c r="L87" s="261"/>
    </row>
    <row r="88" spans="2:12" ht="15.75">
      <c r="B88" s="156">
        <v>4</v>
      </c>
      <c r="C88" s="157" t="s">
        <v>147</v>
      </c>
      <c r="D88" s="157"/>
      <c r="E88" s="149" t="s">
        <v>9</v>
      </c>
      <c r="F88" s="141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8">
        <f>I88*J88</f>
        <v>0</v>
      </c>
      <c r="L88" s="261"/>
    </row>
    <row r="89" spans="2:12" ht="15.75">
      <c r="B89" s="156">
        <v>5</v>
      </c>
      <c r="C89" s="157" t="s">
        <v>111</v>
      </c>
      <c r="D89" s="157"/>
      <c r="E89" s="149" t="s">
        <v>9</v>
      </c>
      <c r="F89" s="141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8">
        <f>I89*J89</f>
        <v>0</v>
      </c>
      <c r="L89" s="261"/>
    </row>
    <row r="90" spans="2:12" ht="15.75">
      <c r="B90" s="156"/>
      <c r="C90" s="157"/>
      <c r="D90" s="157"/>
      <c r="E90" s="149"/>
      <c r="F90" s="141"/>
      <c r="G90" s="10"/>
      <c r="H90" s="10"/>
      <c r="I90" s="10"/>
      <c r="J90" s="10"/>
      <c r="K90" s="198"/>
      <c r="L90" s="261"/>
    </row>
    <row r="91" spans="2:12" ht="15.75">
      <c r="B91" s="158" t="s">
        <v>45</v>
      </c>
      <c r="C91" s="161" t="s">
        <v>46</v>
      </c>
      <c r="D91" s="161"/>
      <c r="E91" s="149"/>
      <c r="F91" s="141"/>
      <c r="G91" s="10"/>
      <c r="H91" s="10"/>
      <c r="I91" s="10"/>
      <c r="J91" s="10"/>
      <c r="K91" s="198"/>
      <c r="L91" s="261"/>
    </row>
    <row r="92" spans="2:12" ht="15.75">
      <c r="B92" s="158">
        <v>1</v>
      </c>
      <c r="C92" s="161" t="s">
        <v>112</v>
      </c>
      <c r="D92" s="161"/>
      <c r="E92" s="149"/>
      <c r="F92" s="141"/>
      <c r="G92" s="10"/>
      <c r="H92" s="10"/>
      <c r="I92" s="10"/>
      <c r="J92" s="10"/>
      <c r="K92" s="198"/>
      <c r="L92" s="261"/>
    </row>
    <row r="93" spans="2:12" ht="15.75">
      <c r="B93" s="158"/>
      <c r="C93" s="161" t="s">
        <v>148</v>
      </c>
      <c r="D93" s="161"/>
      <c r="E93" s="149"/>
      <c r="F93" s="141"/>
      <c r="G93" s="10"/>
      <c r="H93" s="10"/>
      <c r="I93" s="10"/>
      <c r="J93" s="10"/>
      <c r="K93" s="198"/>
      <c r="L93" s="261"/>
    </row>
    <row r="94" spans="2:12" ht="30">
      <c r="B94" s="152"/>
      <c r="C94" s="174" t="s">
        <v>113</v>
      </c>
      <c r="D94" s="163" t="s">
        <v>297</v>
      </c>
      <c r="E94" s="149" t="s">
        <v>48</v>
      </c>
      <c r="F94" s="141"/>
      <c r="G94" s="10"/>
      <c r="H94" s="10">
        <f>' Ruko 2 Lantai Tengah'!F86*$H$5</f>
        <v>1</v>
      </c>
      <c r="I94" s="10">
        <f>SUM(F94:H94)</f>
        <v>1</v>
      </c>
      <c r="J94" s="44"/>
      <c r="K94" s="198">
        <f t="shared" ref="K94:K114" si="11">I94*J94</f>
        <v>0</v>
      </c>
      <c r="L94" s="261"/>
    </row>
    <row r="95" spans="2:12" ht="15" customHeight="1">
      <c r="B95" s="156"/>
      <c r="C95" s="167" t="s">
        <v>86</v>
      </c>
      <c r="D95" s="163" t="s">
        <v>298</v>
      </c>
      <c r="E95" s="149" t="s">
        <v>48</v>
      </c>
      <c r="F95" s="141"/>
      <c r="G95" s="10"/>
      <c r="H95" s="10">
        <f>' Ruko 2 Lantai Tengah'!F87*$H$5</f>
        <v>2</v>
      </c>
      <c r="I95" s="10">
        <f>SUM(F95:H95)</f>
        <v>2</v>
      </c>
      <c r="J95" s="44"/>
      <c r="K95" s="198">
        <f t="shared" si="11"/>
        <v>0</v>
      </c>
      <c r="L95" s="261"/>
    </row>
    <row r="96" spans="2:12" ht="30">
      <c r="B96" s="152"/>
      <c r="C96" s="174" t="s">
        <v>114</v>
      </c>
      <c r="D96" s="163" t="s">
        <v>299</v>
      </c>
      <c r="E96" s="149" t="s">
        <v>48</v>
      </c>
      <c r="F96" s="141"/>
      <c r="G96" s="10"/>
      <c r="H96" s="10">
        <f>' Ruko 2 Lantai Tengah'!F88*$H$5</f>
        <v>1</v>
      </c>
      <c r="I96" s="10">
        <f>SUM(F96:H96)</f>
        <v>1</v>
      </c>
      <c r="J96" s="44"/>
      <c r="K96" s="198">
        <f t="shared" si="11"/>
        <v>0</v>
      </c>
      <c r="L96" s="261"/>
    </row>
    <row r="97" spans="2:12" ht="30">
      <c r="B97" s="152"/>
      <c r="C97" s="174" t="s">
        <v>115</v>
      </c>
      <c r="D97" s="163" t="s">
        <v>300</v>
      </c>
      <c r="E97" s="149" t="s">
        <v>48</v>
      </c>
      <c r="F97" s="141"/>
      <c r="G97" s="10"/>
      <c r="H97" s="10">
        <f>' Ruko 2 Lantai Tengah'!F89*$H$5</f>
        <v>1</v>
      </c>
      <c r="I97" s="10">
        <f>SUM(F97:H97)</f>
        <v>1</v>
      </c>
      <c r="J97" s="44"/>
      <c r="K97" s="198">
        <f t="shared" si="11"/>
        <v>0</v>
      </c>
      <c r="L97" s="261"/>
    </row>
    <row r="98" spans="2:12" ht="30">
      <c r="B98" s="152"/>
      <c r="C98" s="174" t="s">
        <v>134</v>
      </c>
      <c r="D98" s="163" t="s">
        <v>301</v>
      </c>
      <c r="E98" s="149" t="s">
        <v>48</v>
      </c>
      <c r="F98" s="141"/>
      <c r="G98" s="10"/>
      <c r="H98" s="10">
        <f>' Ruko 2 Lantai Tengah'!F90*$H$5</f>
        <v>1</v>
      </c>
      <c r="I98" s="10">
        <f>SUM(F98:H98)</f>
        <v>1</v>
      </c>
      <c r="J98" s="44"/>
      <c r="K98" s="198">
        <f t="shared" si="11"/>
        <v>0</v>
      </c>
      <c r="L98" s="261"/>
    </row>
    <row r="99" spans="2:12" ht="15.75">
      <c r="B99" s="152"/>
      <c r="C99" s="175" t="s">
        <v>149</v>
      </c>
      <c r="D99" s="175"/>
      <c r="E99" s="149"/>
      <c r="F99" s="141"/>
      <c r="G99" s="10"/>
      <c r="H99" s="10"/>
      <c r="I99" s="10"/>
      <c r="J99" s="44"/>
      <c r="K99" s="198"/>
      <c r="L99" s="261"/>
    </row>
    <row r="100" spans="2:12" ht="30">
      <c r="B100" s="152"/>
      <c r="C100" s="174" t="s">
        <v>113</v>
      </c>
      <c r="D100" s="163" t="s">
        <v>297</v>
      </c>
      <c r="E100" s="149" t="s">
        <v>48</v>
      </c>
      <c r="F100" s="141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8">
        <f>I100*J100</f>
        <v>0</v>
      </c>
      <c r="L100" s="261"/>
    </row>
    <row r="101" spans="2:12" ht="15.75">
      <c r="B101" s="152"/>
      <c r="C101" s="174" t="s">
        <v>86</v>
      </c>
      <c r="D101" s="163" t="s">
        <v>298</v>
      </c>
      <c r="E101" s="149" t="s">
        <v>48</v>
      </c>
      <c r="F101" s="141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8">
        <f>I101*J101</f>
        <v>0</v>
      </c>
      <c r="L101" s="261"/>
    </row>
    <row r="102" spans="2:12" ht="30">
      <c r="B102" s="152"/>
      <c r="C102" s="174" t="s">
        <v>292</v>
      </c>
      <c r="D102" s="163" t="s">
        <v>300</v>
      </c>
      <c r="E102" s="149" t="s">
        <v>48</v>
      </c>
      <c r="F102" s="141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8">
        <f t="shared" si="11"/>
        <v>0</v>
      </c>
      <c r="L102" s="261"/>
    </row>
    <row r="103" spans="2:12" ht="30">
      <c r="B103" s="152"/>
      <c r="C103" s="174" t="s">
        <v>291</v>
      </c>
      <c r="D103" s="163" t="s">
        <v>300</v>
      </c>
      <c r="E103" s="149" t="s">
        <v>48</v>
      </c>
      <c r="F103" s="141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8">
        <f t="shared" ref="K103" si="13">I103*J103</f>
        <v>0</v>
      </c>
      <c r="L103" s="261"/>
    </row>
    <row r="104" spans="2:12" ht="30">
      <c r="B104" s="152"/>
      <c r="C104" s="174" t="s">
        <v>295</v>
      </c>
      <c r="D104" s="163" t="s">
        <v>300</v>
      </c>
      <c r="E104" s="149" t="s">
        <v>48</v>
      </c>
      <c r="F104" s="141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8">
        <f t="shared" si="11"/>
        <v>0</v>
      </c>
      <c r="L104" s="261"/>
    </row>
    <row r="105" spans="2:12" ht="30">
      <c r="B105" s="152"/>
      <c r="C105" s="174" t="s">
        <v>293</v>
      </c>
      <c r="D105" s="163" t="s">
        <v>300</v>
      </c>
      <c r="E105" s="149" t="s">
        <v>48</v>
      </c>
      <c r="F105" s="141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8">
        <f t="shared" ref="K105" si="14">I105*J105</f>
        <v>0</v>
      </c>
      <c r="L105" s="261"/>
    </row>
    <row r="106" spans="2:12" s="278" customFormat="1" ht="30">
      <c r="B106" s="269"/>
      <c r="C106" s="270" t="s">
        <v>138</v>
      </c>
      <c r="D106" s="271" t="s">
        <v>300</v>
      </c>
      <c r="E106" s="272" t="s">
        <v>48</v>
      </c>
      <c r="F106" s="273">
        <f>'Ruko 3 Lantai Hook'!F118*$F$5</f>
        <v>1</v>
      </c>
      <c r="G106" s="274">
        <v>0</v>
      </c>
      <c r="H106" s="274"/>
      <c r="I106" s="274">
        <f t="shared" si="12"/>
        <v>1</v>
      </c>
      <c r="J106" s="275"/>
      <c r="K106" s="276">
        <f t="shared" si="11"/>
        <v>0</v>
      </c>
      <c r="L106" s="277"/>
    </row>
    <row r="107" spans="2:12" s="278" customFormat="1" ht="30">
      <c r="B107" s="269"/>
      <c r="C107" s="270" t="s">
        <v>139</v>
      </c>
      <c r="D107" s="271" t="s">
        <v>300</v>
      </c>
      <c r="E107" s="272" t="s">
        <v>48</v>
      </c>
      <c r="F107" s="273">
        <f>'Ruko 3 Lantai Hook'!F119*$F$5</f>
        <v>1</v>
      </c>
      <c r="G107" s="274">
        <v>0</v>
      </c>
      <c r="H107" s="274"/>
      <c r="I107" s="274">
        <f t="shared" si="12"/>
        <v>1</v>
      </c>
      <c r="J107" s="275"/>
      <c r="K107" s="276">
        <f t="shared" si="11"/>
        <v>0</v>
      </c>
      <c r="L107" s="277"/>
    </row>
    <row r="108" spans="2:12" s="278" customFormat="1" ht="27" customHeight="1">
      <c r="B108" s="269"/>
      <c r="C108" s="270" t="s">
        <v>294</v>
      </c>
      <c r="D108" s="271" t="s">
        <v>300</v>
      </c>
      <c r="E108" s="272" t="s">
        <v>48</v>
      </c>
      <c r="F108" s="273">
        <v>0</v>
      </c>
      <c r="G108" s="274">
        <f>1*G5</f>
        <v>1</v>
      </c>
      <c r="H108" s="274"/>
      <c r="I108" s="274">
        <f t="shared" si="12"/>
        <v>1</v>
      </c>
      <c r="J108" s="275"/>
      <c r="K108" s="276">
        <f t="shared" si="11"/>
        <v>0</v>
      </c>
      <c r="L108" s="277"/>
    </row>
    <row r="109" spans="2:12" s="278" customFormat="1" ht="27" customHeight="1">
      <c r="B109" s="269"/>
      <c r="C109" s="270" t="s">
        <v>289</v>
      </c>
      <c r="D109" s="271" t="s">
        <v>300</v>
      </c>
      <c r="E109" s="272" t="s">
        <v>48</v>
      </c>
      <c r="F109" s="273">
        <v>0</v>
      </c>
      <c r="G109" s="274">
        <f>1*G5</f>
        <v>1</v>
      </c>
      <c r="H109" s="274"/>
      <c r="I109" s="274">
        <f t="shared" si="12"/>
        <v>1</v>
      </c>
      <c r="J109" s="275"/>
      <c r="K109" s="276">
        <f t="shared" si="11"/>
        <v>0</v>
      </c>
      <c r="L109" s="277"/>
    </row>
    <row r="110" spans="2:12" s="278" customFormat="1" ht="30">
      <c r="B110" s="269"/>
      <c r="C110" s="270" t="s">
        <v>290</v>
      </c>
      <c r="D110" s="271" t="s">
        <v>300</v>
      </c>
      <c r="E110" s="272" t="s">
        <v>48</v>
      </c>
      <c r="F110" s="273">
        <f>'Ruko 3 Lantai Hook'!F120*$F$5</f>
        <v>1</v>
      </c>
      <c r="G110" s="274">
        <v>0</v>
      </c>
      <c r="H110" s="274"/>
      <c r="I110" s="274">
        <f t="shared" si="12"/>
        <v>1</v>
      </c>
      <c r="J110" s="275"/>
      <c r="K110" s="276">
        <f t="shared" si="11"/>
        <v>0</v>
      </c>
      <c r="L110" s="277"/>
    </row>
    <row r="111" spans="2:12" s="278" customFormat="1" ht="30">
      <c r="B111" s="269"/>
      <c r="C111" s="270" t="s">
        <v>141</v>
      </c>
      <c r="D111" s="271" t="s">
        <v>300</v>
      </c>
      <c r="E111" s="272" t="s">
        <v>48</v>
      </c>
      <c r="F111" s="273">
        <f>'Ruko 3 Lantai Hook'!F121*$F$5</f>
        <v>1</v>
      </c>
      <c r="G111" s="274">
        <v>0</v>
      </c>
      <c r="H111" s="274"/>
      <c r="I111" s="274">
        <f t="shared" si="12"/>
        <v>1</v>
      </c>
      <c r="J111" s="275"/>
      <c r="K111" s="276">
        <f t="shared" si="11"/>
        <v>0</v>
      </c>
      <c r="L111" s="277"/>
    </row>
    <row r="112" spans="2:12" s="278" customFormat="1" ht="30">
      <c r="B112" s="269"/>
      <c r="C112" s="270" t="s">
        <v>142</v>
      </c>
      <c r="D112" s="271" t="s">
        <v>300</v>
      </c>
      <c r="E112" s="272" t="s">
        <v>48</v>
      </c>
      <c r="F112" s="273">
        <f>'Ruko 3 Lantai Hook'!F122*$F$5</f>
        <v>1</v>
      </c>
      <c r="G112" s="274">
        <v>0</v>
      </c>
      <c r="H112" s="274"/>
      <c r="I112" s="274">
        <f t="shared" si="12"/>
        <v>1</v>
      </c>
      <c r="J112" s="275"/>
      <c r="K112" s="276">
        <f t="shared" si="11"/>
        <v>0</v>
      </c>
      <c r="L112" s="277"/>
    </row>
    <row r="113" spans="2:12" s="278" customFormat="1" ht="30">
      <c r="B113" s="269"/>
      <c r="C113" s="270" t="s">
        <v>143</v>
      </c>
      <c r="D113" s="271" t="s">
        <v>300</v>
      </c>
      <c r="E113" s="272" t="s">
        <v>48</v>
      </c>
      <c r="F113" s="273">
        <f>'Ruko 3 Lantai Hook'!F123*$F$5</f>
        <v>1</v>
      </c>
      <c r="G113" s="274">
        <v>0</v>
      </c>
      <c r="H113" s="274"/>
      <c r="I113" s="274">
        <f t="shared" si="12"/>
        <v>1</v>
      </c>
      <c r="J113" s="275"/>
      <c r="K113" s="276">
        <f t="shared" si="11"/>
        <v>0</v>
      </c>
      <c r="L113" s="277"/>
    </row>
    <row r="114" spans="2:12" s="278" customFormat="1" ht="30">
      <c r="B114" s="269"/>
      <c r="C114" s="270" t="s">
        <v>144</v>
      </c>
      <c r="D114" s="271" t="s">
        <v>300</v>
      </c>
      <c r="E114" s="272" t="s">
        <v>48</v>
      </c>
      <c r="F114" s="273">
        <f>'Ruko 3 Lantai Hook'!F124*$F$5</f>
        <v>1</v>
      </c>
      <c r="G114" s="274">
        <v>0</v>
      </c>
      <c r="H114" s="274"/>
      <c r="I114" s="274">
        <f t="shared" si="12"/>
        <v>1</v>
      </c>
      <c r="J114" s="275"/>
      <c r="K114" s="276">
        <f t="shared" si="11"/>
        <v>0</v>
      </c>
      <c r="L114" s="277"/>
    </row>
    <row r="115" spans="2:12" ht="15.75">
      <c r="B115" s="152"/>
      <c r="C115" s="153"/>
      <c r="D115" s="153"/>
      <c r="E115" s="149"/>
      <c r="F115" s="141"/>
      <c r="G115" s="10"/>
      <c r="H115" s="10"/>
      <c r="I115" s="10"/>
      <c r="J115" s="10"/>
      <c r="K115" s="198"/>
      <c r="L115" s="261"/>
    </row>
    <row r="116" spans="2:12" ht="15.75">
      <c r="B116" s="158">
        <v>2</v>
      </c>
      <c r="C116" s="161" t="s">
        <v>116</v>
      </c>
      <c r="D116" s="161"/>
      <c r="E116" s="149"/>
      <c r="F116" s="141"/>
      <c r="G116" s="10"/>
      <c r="H116" s="10"/>
      <c r="I116" s="10"/>
      <c r="J116" s="10"/>
      <c r="K116" s="198"/>
      <c r="L116" s="261"/>
    </row>
    <row r="117" spans="2:12" ht="15.75">
      <c r="B117" s="156"/>
      <c r="C117" s="157" t="s">
        <v>86</v>
      </c>
      <c r="D117" s="54" t="s">
        <v>307</v>
      </c>
      <c r="E117" s="149" t="s">
        <v>48</v>
      </c>
      <c r="F117" s="141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8">
        <f t="shared" ref="K117:K120" si="15">I117*J117</f>
        <v>0</v>
      </c>
      <c r="L117" s="261"/>
    </row>
    <row r="118" spans="2:12" ht="15.75">
      <c r="B118" s="158">
        <v>3</v>
      </c>
      <c r="C118" s="161" t="s">
        <v>49</v>
      </c>
      <c r="D118" s="161"/>
      <c r="E118" s="149"/>
      <c r="F118" s="141"/>
      <c r="G118" s="10"/>
      <c r="H118" s="10"/>
      <c r="I118" s="10"/>
      <c r="J118" s="44"/>
      <c r="K118" s="198"/>
      <c r="L118" s="261"/>
    </row>
    <row r="119" spans="2:12" ht="15.75">
      <c r="B119" s="176" t="s">
        <v>14</v>
      </c>
      <c r="C119" s="157" t="s">
        <v>51</v>
      </c>
      <c r="D119" s="160" t="s">
        <v>197</v>
      </c>
      <c r="E119" s="149" t="s">
        <v>50</v>
      </c>
      <c r="F119" s="141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8">
        <f t="shared" si="15"/>
        <v>0</v>
      </c>
      <c r="L119" s="261"/>
    </row>
    <row r="120" spans="2:12" ht="15.75">
      <c r="B120" s="176" t="s">
        <v>14</v>
      </c>
      <c r="C120" s="157" t="s">
        <v>52</v>
      </c>
      <c r="D120" s="160" t="s">
        <v>198</v>
      </c>
      <c r="E120" s="149" t="s">
        <v>50</v>
      </c>
      <c r="F120" s="141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8">
        <f t="shared" si="15"/>
        <v>0</v>
      </c>
      <c r="L120" s="261"/>
    </row>
    <row r="121" spans="2:12" ht="15.75">
      <c r="B121" s="156"/>
      <c r="C121" s="157"/>
      <c r="D121" s="157"/>
      <c r="E121" s="149"/>
      <c r="F121" s="141"/>
      <c r="G121" s="10"/>
      <c r="H121" s="10"/>
      <c r="I121" s="10"/>
      <c r="J121" s="44"/>
      <c r="K121" s="198"/>
      <c r="L121" s="261"/>
    </row>
    <row r="122" spans="2:12" ht="15.75">
      <c r="B122" s="158" t="s">
        <v>53</v>
      </c>
      <c r="C122" s="161" t="s">
        <v>54</v>
      </c>
      <c r="D122" s="161"/>
      <c r="E122" s="149"/>
      <c r="F122" s="141"/>
      <c r="G122" s="10"/>
      <c r="H122" s="10"/>
      <c r="I122" s="10"/>
      <c r="J122" s="44"/>
      <c r="K122" s="198"/>
      <c r="L122" s="261"/>
    </row>
    <row r="123" spans="2:12" ht="15.75">
      <c r="B123" s="156">
        <v>1</v>
      </c>
      <c r="C123" s="157" t="s">
        <v>55</v>
      </c>
      <c r="D123" s="160" t="s">
        <v>195</v>
      </c>
      <c r="E123" s="149" t="s">
        <v>15</v>
      </c>
      <c r="F123" s="141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8">
        <f t="shared" ref="K123:K126" si="16">I123*J123</f>
        <v>0</v>
      </c>
      <c r="L123" s="261"/>
    </row>
    <row r="124" spans="2:12" ht="15.75">
      <c r="B124" s="156">
        <v>2</v>
      </c>
      <c r="C124" s="157" t="s">
        <v>56</v>
      </c>
      <c r="D124" s="160" t="s">
        <v>196</v>
      </c>
      <c r="E124" s="149" t="s">
        <v>15</v>
      </c>
      <c r="F124" s="141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8">
        <f t="shared" si="16"/>
        <v>0</v>
      </c>
      <c r="L124" s="261"/>
    </row>
    <row r="125" spans="2:12" ht="15.75">
      <c r="B125" s="156">
        <v>3</v>
      </c>
      <c r="C125" s="157" t="s">
        <v>57</v>
      </c>
      <c r="D125" s="160" t="s">
        <v>195</v>
      </c>
      <c r="E125" s="149" t="s">
        <v>15</v>
      </c>
      <c r="F125" s="141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8">
        <f t="shared" si="16"/>
        <v>0</v>
      </c>
      <c r="L125" s="261"/>
    </row>
    <row r="126" spans="2:12" ht="15.75">
      <c r="B126" s="156">
        <v>4</v>
      </c>
      <c r="C126" s="157" t="s">
        <v>117</v>
      </c>
      <c r="D126" s="157"/>
      <c r="E126" s="149" t="s">
        <v>9</v>
      </c>
      <c r="F126" s="141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8">
        <f t="shared" si="16"/>
        <v>0</v>
      </c>
      <c r="L126" s="261"/>
    </row>
    <row r="127" spans="2:12" ht="15.75">
      <c r="B127" s="156">
        <v>5</v>
      </c>
      <c r="C127" s="157" t="s">
        <v>204</v>
      </c>
      <c r="D127" s="160"/>
      <c r="E127" s="149" t="s">
        <v>15</v>
      </c>
      <c r="F127" s="141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8">
        <f>I127*J127</f>
        <v>0</v>
      </c>
      <c r="L127" s="261"/>
    </row>
    <row r="128" spans="2:12" ht="15.75">
      <c r="B128" s="156"/>
      <c r="C128" s="157"/>
      <c r="D128" s="157"/>
      <c r="E128" s="149"/>
      <c r="F128" s="141"/>
      <c r="G128" s="10"/>
      <c r="H128" s="10"/>
      <c r="I128" s="10"/>
      <c r="J128" s="10"/>
      <c r="K128" s="198"/>
      <c r="L128" s="261"/>
    </row>
    <row r="129" spans="2:12" ht="15.75">
      <c r="B129" s="158" t="s">
        <v>58</v>
      </c>
      <c r="C129" s="161" t="s">
        <v>59</v>
      </c>
      <c r="D129" s="161"/>
      <c r="E129" s="149"/>
      <c r="F129" s="141"/>
      <c r="G129" s="10"/>
      <c r="H129" s="10"/>
      <c r="I129" s="10"/>
      <c r="J129" s="10"/>
      <c r="K129" s="198"/>
      <c r="L129" s="261"/>
    </row>
    <row r="130" spans="2:12" ht="15.75">
      <c r="B130" s="156">
        <v>1</v>
      </c>
      <c r="C130" s="157" t="s">
        <v>118</v>
      </c>
      <c r="D130" s="157"/>
      <c r="E130" s="149"/>
      <c r="F130" s="141"/>
      <c r="G130" s="10"/>
      <c r="H130" s="10"/>
      <c r="I130" s="10"/>
      <c r="J130" s="10"/>
      <c r="K130" s="198"/>
      <c r="L130" s="261"/>
    </row>
    <row r="131" spans="2:12" ht="15.75">
      <c r="B131" s="176" t="s">
        <v>14</v>
      </c>
      <c r="C131" s="157" t="s">
        <v>119</v>
      </c>
      <c r="D131" s="157" t="s">
        <v>182</v>
      </c>
      <c r="E131" s="149" t="s">
        <v>50</v>
      </c>
      <c r="F131" s="141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8">
        <f t="shared" ref="K131:K150" si="17">I131*J131</f>
        <v>0</v>
      </c>
      <c r="L131" s="261"/>
    </row>
    <row r="132" spans="2:12" ht="15.75">
      <c r="B132" s="176" t="s">
        <v>14</v>
      </c>
      <c r="C132" s="157" t="s">
        <v>60</v>
      </c>
      <c r="D132" s="157" t="s">
        <v>183</v>
      </c>
      <c r="E132" s="149" t="s">
        <v>50</v>
      </c>
      <c r="F132" s="141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8">
        <f t="shared" si="17"/>
        <v>0</v>
      </c>
      <c r="L132" s="261"/>
    </row>
    <row r="133" spans="2:12" ht="15.75">
      <c r="B133" s="176" t="s">
        <v>14</v>
      </c>
      <c r="C133" s="157" t="s">
        <v>120</v>
      </c>
      <c r="D133" s="172" t="s">
        <v>310</v>
      </c>
      <c r="E133" s="149" t="s">
        <v>50</v>
      </c>
      <c r="F133" s="141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8">
        <f t="shared" si="17"/>
        <v>0</v>
      </c>
      <c r="L133" s="261"/>
    </row>
    <row r="134" spans="2:12" ht="15.75">
      <c r="B134" s="176"/>
      <c r="C134" s="157"/>
      <c r="D134" s="157" t="s">
        <v>184</v>
      </c>
      <c r="E134" s="149"/>
      <c r="F134" s="141"/>
      <c r="G134" s="10"/>
      <c r="H134" s="10"/>
      <c r="I134" s="10"/>
      <c r="J134" s="44"/>
      <c r="K134" s="198">
        <f t="shared" si="17"/>
        <v>0</v>
      </c>
      <c r="L134" s="261"/>
    </row>
    <row r="135" spans="2:12" ht="15.75">
      <c r="B135" s="176"/>
      <c r="C135" s="157"/>
      <c r="D135" s="157" t="s">
        <v>185</v>
      </c>
      <c r="E135" s="149"/>
      <c r="F135" s="141"/>
      <c r="G135" s="10"/>
      <c r="H135" s="10"/>
      <c r="I135" s="10"/>
      <c r="J135" s="44"/>
      <c r="K135" s="198">
        <f t="shared" si="17"/>
        <v>0</v>
      </c>
      <c r="L135" s="261"/>
    </row>
    <row r="136" spans="2:12" ht="15.75">
      <c r="B136" s="176"/>
      <c r="C136" s="157"/>
      <c r="D136" s="157" t="s">
        <v>186</v>
      </c>
      <c r="E136" s="149"/>
      <c r="F136" s="141"/>
      <c r="G136" s="10"/>
      <c r="H136" s="10"/>
      <c r="I136" s="10"/>
      <c r="J136" s="44"/>
      <c r="K136" s="198">
        <f t="shared" si="17"/>
        <v>0</v>
      </c>
      <c r="L136" s="261"/>
    </row>
    <row r="137" spans="2:12" ht="15.75">
      <c r="B137" s="176"/>
      <c r="C137" s="157"/>
      <c r="D137" s="157" t="s">
        <v>187</v>
      </c>
      <c r="E137" s="149"/>
      <c r="F137" s="141"/>
      <c r="G137" s="10"/>
      <c r="H137" s="10"/>
      <c r="I137" s="10"/>
      <c r="J137" s="44"/>
      <c r="K137" s="198">
        <f t="shared" si="17"/>
        <v>0</v>
      </c>
      <c r="L137" s="261"/>
    </row>
    <row r="138" spans="2:12" ht="15.75">
      <c r="B138" s="176" t="s">
        <v>14</v>
      </c>
      <c r="C138" s="157" t="s">
        <v>121</v>
      </c>
      <c r="D138" s="157" t="s">
        <v>188</v>
      </c>
      <c r="E138" s="149" t="s">
        <v>50</v>
      </c>
      <c r="F138" s="141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8">
        <f t="shared" si="17"/>
        <v>0</v>
      </c>
      <c r="L138" s="261"/>
    </row>
    <row r="139" spans="2:12" ht="15.75">
      <c r="B139" s="176">
        <v>3</v>
      </c>
      <c r="C139" s="157" t="s">
        <v>61</v>
      </c>
      <c r="D139" s="157" t="s">
        <v>189</v>
      </c>
      <c r="E139" s="149" t="s">
        <v>50</v>
      </c>
      <c r="F139" s="141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8">
        <f t="shared" si="17"/>
        <v>0</v>
      </c>
      <c r="L139" s="261"/>
    </row>
    <row r="140" spans="2:12" ht="15.75">
      <c r="B140" s="176">
        <v>4</v>
      </c>
      <c r="C140" s="157" t="s">
        <v>62</v>
      </c>
      <c r="D140" s="157" t="s">
        <v>190</v>
      </c>
      <c r="E140" s="149" t="s">
        <v>50</v>
      </c>
      <c r="F140" s="141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8">
        <f t="shared" si="17"/>
        <v>0</v>
      </c>
      <c r="L140" s="261"/>
    </row>
    <row r="141" spans="2:12" ht="15.75">
      <c r="B141" s="156">
        <v>6</v>
      </c>
      <c r="C141" s="157" t="s">
        <v>63</v>
      </c>
      <c r="D141" s="157"/>
      <c r="E141" s="149"/>
      <c r="F141" s="141"/>
      <c r="G141" s="10"/>
      <c r="H141" s="10"/>
      <c r="I141" s="10"/>
      <c r="J141" s="44"/>
      <c r="K141" s="198">
        <f t="shared" si="17"/>
        <v>0</v>
      </c>
      <c r="L141" s="261"/>
    </row>
    <row r="142" spans="2:12" ht="15.75">
      <c r="B142" s="176" t="s">
        <v>14</v>
      </c>
      <c r="C142" s="157" t="s">
        <v>64</v>
      </c>
      <c r="D142" s="51" t="s">
        <v>191</v>
      </c>
      <c r="E142" s="149" t="s">
        <v>9</v>
      </c>
      <c r="F142" s="141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8">
        <f t="shared" si="17"/>
        <v>0</v>
      </c>
      <c r="L142" s="261"/>
    </row>
    <row r="143" spans="2:12" ht="15.75">
      <c r="B143" s="176">
        <v>7</v>
      </c>
      <c r="C143" s="157" t="s">
        <v>65</v>
      </c>
      <c r="D143" s="51"/>
      <c r="E143" s="149"/>
      <c r="F143" s="141"/>
      <c r="G143" s="10"/>
      <c r="H143" s="10"/>
      <c r="I143" s="10"/>
      <c r="J143" s="44"/>
      <c r="K143" s="198">
        <f t="shared" si="17"/>
        <v>0</v>
      </c>
      <c r="L143" s="261"/>
    </row>
    <row r="144" spans="2:12" ht="15.75">
      <c r="B144" s="176" t="s">
        <v>14</v>
      </c>
      <c r="C144" s="157" t="s">
        <v>66</v>
      </c>
      <c r="D144" s="51" t="s">
        <v>192</v>
      </c>
      <c r="E144" s="149" t="s">
        <v>9</v>
      </c>
      <c r="F144" s="141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8">
        <f t="shared" si="17"/>
        <v>0</v>
      </c>
      <c r="L144" s="261"/>
    </row>
    <row r="145" spans="2:12" ht="15.75">
      <c r="B145" s="176" t="s">
        <v>14</v>
      </c>
      <c r="C145" s="157" t="s">
        <v>122</v>
      </c>
      <c r="D145" s="51" t="s">
        <v>192</v>
      </c>
      <c r="E145" s="149" t="s">
        <v>9</v>
      </c>
      <c r="F145" s="141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8">
        <f t="shared" si="17"/>
        <v>0</v>
      </c>
      <c r="L145" s="261"/>
    </row>
    <row r="146" spans="2:12" ht="15.75">
      <c r="B146" s="176" t="s">
        <v>14</v>
      </c>
      <c r="C146" s="157" t="s">
        <v>67</v>
      </c>
      <c r="D146" s="51" t="s">
        <v>192</v>
      </c>
      <c r="E146" s="149" t="s">
        <v>9</v>
      </c>
      <c r="F146" s="141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8">
        <f t="shared" si="17"/>
        <v>0</v>
      </c>
      <c r="L146" s="261"/>
    </row>
    <row r="147" spans="2:12" ht="15.75">
      <c r="B147" s="176" t="s">
        <v>14</v>
      </c>
      <c r="C147" s="157" t="s">
        <v>68</v>
      </c>
      <c r="D147" s="51" t="s">
        <v>192</v>
      </c>
      <c r="E147" s="149" t="s">
        <v>9</v>
      </c>
      <c r="F147" s="141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8">
        <f t="shared" si="17"/>
        <v>0</v>
      </c>
      <c r="L147" s="261"/>
    </row>
    <row r="148" spans="2:12" ht="15.75">
      <c r="B148" s="176" t="s">
        <v>14</v>
      </c>
      <c r="C148" s="157" t="s">
        <v>123</v>
      </c>
      <c r="D148" s="157" t="s">
        <v>193</v>
      </c>
      <c r="E148" s="149" t="s">
        <v>50</v>
      </c>
      <c r="F148" s="141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8">
        <f t="shared" si="17"/>
        <v>0</v>
      </c>
      <c r="L148" s="261"/>
    </row>
    <row r="149" spans="2:12" ht="15.75">
      <c r="B149" s="176" t="s">
        <v>14</v>
      </c>
      <c r="C149" s="157" t="s">
        <v>69</v>
      </c>
      <c r="D149" s="157" t="s">
        <v>194</v>
      </c>
      <c r="E149" s="149" t="s">
        <v>50</v>
      </c>
      <c r="F149" s="141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8">
        <f t="shared" si="17"/>
        <v>0</v>
      </c>
      <c r="L149" s="261"/>
    </row>
    <row r="150" spans="2:12" ht="15.75">
      <c r="B150" s="176" t="s">
        <v>14</v>
      </c>
      <c r="C150" s="162" t="s">
        <v>269</v>
      </c>
      <c r="D150" s="172" t="s">
        <v>309</v>
      </c>
      <c r="E150" s="149" t="s">
        <v>50</v>
      </c>
      <c r="F150" s="141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8">
        <f t="shared" si="17"/>
        <v>0</v>
      </c>
      <c r="L150" s="261"/>
    </row>
    <row r="151" spans="2:12" ht="15.75">
      <c r="B151" s="156"/>
      <c r="C151" s="157"/>
      <c r="D151" s="157"/>
      <c r="E151" s="149"/>
      <c r="F151" s="141"/>
      <c r="G151" s="10"/>
      <c r="H151" s="10"/>
      <c r="I151" s="10"/>
      <c r="J151" s="10"/>
      <c r="K151" s="198"/>
      <c r="L151" s="261"/>
    </row>
    <row r="152" spans="2:12" ht="15.75">
      <c r="B152" s="158" t="s">
        <v>70</v>
      </c>
      <c r="C152" s="161" t="s">
        <v>71</v>
      </c>
      <c r="D152" s="161"/>
      <c r="E152" s="149"/>
      <c r="F152" s="141"/>
      <c r="G152" s="10"/>
      <c r="H152" s="10"/>
      <c r="I152" s="10"/>
      <c r="J152" s="10"/>
      <c r="K152" s="198"/>
      <c r="L152" s="261"/>
    </row>
    <row r="153" spans="2:12" ht="15.75">
      <c r="B153" s="156"/>
      <c r="C153" s="157"/>
      <c r="D153" s="157"/>
      <c r="E153" s="149"/>
      <c r="F153" s="141"/>
      <c r="G153" s="10"/>
      <c r="H153" s="10"/>
      <c r="I153" s="10"/>
      <c r="J153" s="10"/>
      <c r="K153" s="198"/>
      <c r="L153" s="261"/>
    </row>
    <row r="154" spans="2:12" ht="15.75">
      <c r="B154" s="171">
        <v>1</v>
      </c>
      <c r="C154" s="204" t="s">
        <v>124</v>
      </c>
      <c r="D154" s="204" t="s">
        <v>217</v>
      </c>
      <c r="E154" s="173" t="s">
        <v>72</v>
      </c>
      <c r="F154" s="141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8">
        <f t="shared" ref="K154:K169" si="20">I154*J154</f>
        <v>0</v>
      </c>
      <c r="L154" s="261"/>
    </row>
    <row r="155" spans="2:12" ht="30">
      <c r="B155" s="156">
        <v>2</v>
      </c>
      <c r="C155" s="162" t="s">
        <v>125</v>
      </c>
      <c r="D155" s="204" t="s">
        <v>218</v>
      </c>
      <c r="E155" s="173" t="s">
        <v>72</v>
      </c>
      <c r="F155" s="141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8">
        <f t="shared" si="20"/>
        <v>0</v>
      </c>
      <c r="L155" s="261"/>
    </row>
    <row r="156" spans="2:12" ht="15.75">
      <c r="B156" s="171">
        <v>3</v>
      </c>
      <c r="C156" s="162" t="s">
        <v>73</v>
      </c>
      <c r="D156" s="204" t="s">
        <v>219</v>
      </c>
      <c r="E156" s="173" t="s">
        <v>72</v>
      </c>
      <c r="F156" s="141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8">
        <f t="shared" si="20"/>
        <v>0</v>
      </c>
      <c r="L156" s="261"/>
    </row>
    <row r="157" spans="2:12" ht="15.75">
      <c r="B157" s="156">
        <v>4</v>
      </c>
      <c r="C157" s="162" t="s">
        <v>74</v>
      </c>
      <c r="D157" s="204" t="s">
        <v>220</v>
      </c>
      <c r="E157" s="173" t="s">
        <v>72</v>
      </c>
      <c r="F157" s="141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8">
        <f t="shared" si="20"/>
        <v>0</v>
      </c>
      <c r="L157" s="261"/>
    </row>
    <row r="158" spans="2:12" ht="15.75">
      <c r="B158" s="171">
        <v>5</v>
      </c>
      <c r="C158" s="162" t="s">
        <v>126</v>
      </c>
      <c r="D158" s="204" t="s">
        <v>221</v>
      </c>
      <c r="E158" s="173" t="s">
        <v>72</v>
      </c>
      <c r="F158" s="141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8">
        <f t="shared" si="20"/>
        <v>0</v>
      </c>
      <c r="L158" s="261"/>
    </row>
    <row r="159" spans="2:12" ht="15.75">
      <c r="B159" s="156">
        <v>6</v>
      </c>
      <c r="C159" s="162" t="s">
        <v>222</v>
      </c>
      <c r="D159" s="204" t="s">
        <v>223</v>
      </c>
      <c r="E159" s="173" t="s">
        <v>72</v>
      </c>
      <c r="F159" s="141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8">
        <f t="shared" si="20"/>
        <v>0</v>
      </c>
      <c r="L159" s="261"/>
    </row>
    <row r="160" spans="2:12" ht="15.75">
      <c r="B160" s="171">
        <v>7</v>
      </c>
      <c r="C160" s="162" t="s">
        <v>75</v>
      </c>
      <c r="D160" s="204" t="s">
        <v>180</v>
      </c>
      <c r="E160" s="149" t="s">
        <v>50</v>
      </c>
      <c r="F160" s="141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8">
        <f t="shared" si="20"/>
        <v>0</v>
      </c>
      <c r="L160" s="261"/>
    </row>
    <row r="161" spans="1:12" ht="15.75">
      <c r="B161" s="156">
        <v>8</v>
      </c>
      <c r="C161" s="162" t="s">
        <v>76</v>
      </c>
      <c r="D161" s="204" t="s">
        <v>180</v>
      </c>
      <c r="E161" s="149" t="s">
        <v>50</v>
      </c>
      <c r="F161" s="141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8">
        <f t="shared" si="20"/>
        <v>0</v>
      </c>
      <c r="L161" s="261"/>
    </row>
    <row r="162" spans="1:12" ht="15.75">
      <c r="B162" s="171">
        <v>9</v>
      </c>
      <c r="C162" s="162" t="s">
        <v>127</v>
      </c>
      <c r="D162" s="204" t="s">
        <v>180</v>
      </c>
      <c r="E162" s="149" t="s">
        <v>50</v>
      </c>
      <c r="F162" s="141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8">
        <f t="shared" si="20"/>
        <v>0</v>
      </c>
      <c r="L162" s="261"/>
    </row>
    <row r="163" spans="1:12" ht="15.75">
      <c r="B163" s="156">
        <v>10</v>
      </c>
      <c r="C163" s="162" t="s">
        <v>77</v>
      </c>
      <c r="D163" s="204" t="s">
        <v>180</v>
      </c>
      <c r="E163" s="149" t="s">
        <v>50</v>
      </c>
      <c r="F163" s="141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8">
        <f t="shared" si="20"/>
        <v>0</v>
      </c>
      <c r="L163" s="261"/>
    </row>
    <row r="164" spans="1:12" ht="15.75">
      <c r="B164" s="171">
        <v>11</v>
      </c>
      <c r="C164" s="162" t="s">
        <v>224</v>
      </c>
      <c r="D164" s="204" t="s">
        <v>180</v>
      </c>
      <c r="E164" s="173" t="s">
        <v>72</v>
      </c>
      <c r="F164" s="141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8">
        <f t="shared" si="20"/>
        <v>0</v>
      </c>
      <c r="L164" s="261"/>
    </row>
    <row r="165" spans="1:12" ht="15.75">
      <c r="B165" s="156">
        <v>12</v>
      </c>
      <c r="C165" s="162" t="s">
        <v>128</v>
      </c>
      <c r="D165" s="204" t="s">
        <v>225</v>
      </c>
      <c r="E165" s="149" t="s">
        <v>78</v>
      </c>
      <c r="F165" s="141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8">
        <f t="shared" si="20"/>
        <v>0</v>
      </c>
      <c r="L165" s="261"/>
    </row>
    <row r="166" spans="1:12" ht="15.75">
      <c r="B166" s="171">
        <v>13</v>
      </c>
      <c r="C166" s="162" t="s">
        <v>79</v>
      </c>
      <c r="D166" s="204" t="s">
        <v>226</v>
      </c>
      <c r="E166" s="149" t="s">
        <v>47</v>
      </c>
      <c r="F166" s="141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8">
        <f t="shared" si="20"/>
        <v>0</v>
      </c>
      <c r="L166" s="261"/>
    </row>
    <row r="167" spans="1:12" ht="15.75">
      <c r="A167" s="203"/>
      <c r="B167" s="156">
        <v>14</v>
      </c>
      <c r="C167" s="162" t="s">
        <v>129</v>
      </c>
      <c r="D167" s="204" t="s">
        <v>227</v>
      </c>
      <c r="E167" s="149" t="s">
        <v>47</v>
      </c>
      <c r="F167" s="141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8">
        <f t="shared" si="20"/>
        <v>0</v>
      </c>
      <c r="L167" s="261"/>
    </row>
    <row r="168" spans="1:12" ht="15.75">
      <c r="A168" s="203"/>
      <c r="B168" s="171">
        <v>15</v>
      </c>
      <c r="C168" s="162" t="s">
        <v>80</v>
      </c>
      <c r="D168" s="204" t="s">
        <v>181</v>
      </c>
      <c r="E168" s="149" t="s">
        <v>78</v>
      </c>
      <c r="F168" s="141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8">
        <f t="shared" si="20"/>
        <v>0</v>
      </c>
      <c r="L168" s="261"/>
    </row>
    <row r="169" spans="1:12" ht="15.75">
      <c r="A169" s="203"/>
      <c r="B169" s="156">
        <v>16</v>
      </c>
      <c r="C169" s="162" t="s">
        <v>205</v>
      </c>
      <c r="D169" s="204" t="s">
        <v>206</v>
      </c>
      <c r="E169" s="173" t="s">
        <v>72</v>
      </c>
      <c r="F169" s="141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8">
        <f t="shared" si="20"/>
        <v>0</v>
      </c>
      <c r="L169" s="261"/>
    </row>
    <row r="170" spans="1:12" ht="15.75">
      <c r="A170" s="203"/>
      <c r="B170" s="171">
        <v>17</v>
      </c>
      <c r="C170" s="162" t="s">
        <v>228</v>
      </c>
      <c r="D170" s="204"/>
      <c r="E170" s="173" t="s">
        <v>72</v>
      </c>
      <c r="F170" s="141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8">
        <f>I170*J170</f>
        <v>0</v>
      </c>
      <c r="L170" s="261"/>
    </row>
    <row r="171" spans="1:12" ht="15.75">
      <c r="A171" s="203"/>
      <c r="B171" s="156"/>
      <c r="C171" s="157"/>
      <c r="D171" s="157"/>
      <c r="E171" s="149"/>
      <c r="F171" s="141"/>
      <c r="G171" s="10"/>
      <c r="H171" s="10"/>
      <c r="I171" s="10"/>
      <c r="J171" s="44"/>
      <c r="K171" s="198"/>
      <c r="L171" s="261"/>
    </row>
    <row r="172" spans="1:12" ht="15.75">
      <c r="A172" s="203"/>
      <c r="B172" s="158" t="s">
        <v>81</v>
      </c>
      <c r="C172" s="161" t="s">
        <v>82</v>
      </c>
      <c r="D172" s="161"/>
      <c r="E172" s="149"/>
      <c r="F172" s="141"/>
      <c r="G172" s="10"/>
      <c r="H172" s="10"/>
      <c r="I172" s="10"/>
      <c r="J172" s="44"/>
      <c r="K172" s="198"/>
      <c r="L172" s="261"/>
    </row>
    <row r="173" spans="1:12" ht="15.75">
      <c r="A173" s="203"/>
      <c r="B173" s="156">
        <v>1</v>
      </c>
      <c r="C173" s="157" t="s">
        <v>83</v>
      </c>
      <c r="D173" s="157" t="s">
        <v>174</v>
      </c>
      <c r="E173" s="149" t="s">
        <v>47</v>
      </c>
      <c r="F173" s="141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8">
        <f t="shared" ref="K173:K184" si="22">I173*J173</f>
        <v>0</v>
      </c>
      <c r="L173" s="261"/>
    </row>
    <row r="174" spans="1:12" ht="15.75">
      <c r="A174" s="203"/>
      <c r="B174" s="156">
        <v>2</v>
      </c>
      <c r="C174" s="157" t="s">
        <v>84</v>
      </c>
      <c r="D174" s="157" t="s">
        <v>175</v>
      </c>
      <c r="E174" s="149" t="s">
        <v>47</v>
      </c>
      <c r="F174" s="141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8">
        <f t="shared" si="22"/>
        <v>0</v>
      </c>
      <c r="L174" s="261"/>
    </row>
    <row r="175" spans="1:12" s="202" customFormat="1" ht="15.75">
      <c r="A175" s="205"/>
      <c r="B175" s="156">
        <v>3</v>
      </c>
      <c r="C175" s="40" t="s">
        <v>321</v>
      </c>
      <c r="D175" s="51" t="s">
        <v>322</v>
      </c>
      <c r="E175" s="149" t="s">
        <v>9</v>
      </c>
      <c r="F175" s="141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8">
        <f t="shared" si="22"/>
        <v>0</v>
      </c>
      <c r="L175" s="261"/>
    </row>
    <row r="176" spans="1:12" s="202" customFormat="1" ht="15.75">
      <c r="A176" s="205"/>
      <c r="B176" s="156">
        <v>4</v>
      </c>
      <c r="C176" s="157" t="s">
        <v>44</v>
      </c>
      <c r="D176" s="157" t="s">
        <v>215</v>
      </c>
      <c r="E176" s="149" t="s">
        <v>15</v>
      </c>
      <c r="F176" s="141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8">
        <f t="shared" si="22"/>
        <v>0</v>
      </c>
      <c r="L176" s="261"/>
    </row>
    <row r="177" spans="1:12" s="202" customFormat="1" ht="15.75">
      <c r="A177" s="205"/>
      <c r="B177" s="156">
        <v>5</v>
      </c>
      <c r="C177" s="157" t="s">
        <v>130</v>
      </c>
      <c r="D177" s="172" t="s">
        <v>216</v>
      </c>
      <c r="E177" s="149" t="s">
        <v>15</v>
      </c>
      <c r="F177" s="141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8">
        <f t="shared" si="22"/>
        <v>0</v>
      </c>
      <c r="L177" s="261"/>
    </row>
    <row r="178" spans="1:12" s="202" customFormat="1" ht="15.75">
      <c r="A178" s="7"/>
      <c r="B178" s="156">
        <v>6</v>
      </c>
      <c r="C178" s="172" t="s">
        <v>131</v>
      </c>
      <c r="D178" s="172" t="s">
        <v>177</v>
      </c>
      <c r="E178" s="173" t="s">
        <v>47</v>
      </c>
      <c r="F178" s="141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8">
        <f t="shared" si="22"/>
        <v>0</v>
      </c>
      <c r="L178" s="261"/>
    </row>
    <row r="179" spans="1:12" s="202" customFormat="1" ht="15.75">
      <c r="A179" s="7"/>
      <c r="B179" s="156">
        <v>7</v>
      </c>
      <c r="C179" s="172" t="s">
        <v>85</v>
      </c>
      <c r="D179" s="160"/>
      <c r="E179" s="173" t="s">
        <v>9</v>
      </c>
      <c r="F179" s="141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8">
        <f t="shared" si="22"/>
        <v>0</v>
      </c>
      <c r="L179" s="261"/>
    </row>
    <row r="180" spans="1:12" s="202" customFormat="1" ht="15.75">
      <c r="A180" s="7"/>
      <c r="B180" s="156">
        <v>8</v>
      </c>
      <c r="C180" s="172" t="s">
        <v>132</v>
      </c>
      <c r="D180" s="163" t="s">
        <v>173</v>
      </c>
      <c r="E180" s="173" t="s">
        <v>47</v>
      </c>
      <c r="F180" s="141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8">
        <f t="shared" si="22"/>
        <v>0</v>
      </c>
      <c r="L180" s="261"/>
    </row>
    <row r="181" spans="1:12" s="202" customFormat="1" ht="15.75">
      <c r="A181" s="7"/>
      <c r="B181" s="171">
        <v>9</v>
      </c>
      <c r="C181" s="172" t="s">
        <v>133</v>
      </c>
      <c r="D181" s="54" t="s">
        <v>308</v>
      </c>
      <c r="E181" s="173" t="s">
        <v>47</v>
      </c>
      <c r="F181" s="141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8">
        <f t="shared" si="22"/>
        <v>0</v>
      </c>
      <c r="L181" s="261"/>
    </row>
    <row r="182" spans="1:12" s="202" customFormat="1" ht="15.75">
      <c r="A182" s="7"/>
      <c r="B182" s="156">
        <v>10</v>
      </c>
      <c r="C182" s="172" t="s">
        <v>136</v>
      </c>
      <c r="D182" s="172"/>
      <c r="E182" s="173" t="s">
        <v>9</v>
      </c>
      <c r="F182" s="141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8">
        <f t="shared" si="22"/>
        <v>0</v>
      </c>
      <c r="L182" s="261"/>
    </row>
    <row r="183" spans="1:12" s="202" customFormat="1" ht="15.75">
      <c r="A183" s="7"/>
      <c r="B183" s="171">
        <v>11</v>
      </c>
      <c r="C183" s="172" t="s">
        <v>158</v>
      </c>
      <c r="D183" s="172" t="s">
        <v>179</v>
      </c>
      <c r="E183" s="173" t="s">
        <v>9</v>
      </c>
      <c r="F183" s="141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8">
        <f t="shared" si="22"/>
        <v>0</v>
      </c>
      <c r="L183" s="261"/>
    </row>
    <row r="184" spans="1:12" ht="15.75">
      <c r="A184" s="7"/>
      <c r="B184" s="171">
        <v>12</v>
      </c>
      <c r="C184" s="172" t="s">
        <v>311</v>
      </c>
      <c r="D184" s="163" t="s">
        <v>323</v>
      </c>
      <c r="E184" s="173" t="s">
        <v>312</v>
      </c>
      <c r="F184" s="141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8">
        <f t="shared" si="22"/>
        <v>0</v>
      </c>
    </row>
    <row r="185" spans="1:12" ht="15.75">
      <c r="A185" s="7"/>
      <c r="B185" s="171">
        <v>13</v>
      </c>
      <c r="C185" s="51" t="s">
        <v>313</v>
      </c>
      <c r="D185" s="51" t="s">
        <v>176</v>
      </c>
      <c r="E185" s="173" t="s">
        <v>9</v>
      </c>
      <c r="F185" s="141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8">
        <f t="shared" ref="K185" si="23">I185*J185</f>
        <v>0</v>
      </c>
    </row>
    <row r="186" spans="1:12" ht="15.75">
      <c r="B186" s="206"/>
      <c r="C186" s="207"/>
      <c r="D186" s="207"/>
      <c r="E186" s="208"/>
      <c r="F186" s="207"/>
      <c r="G186" s="209"/>
      <c r="H186" s="207"/>
      <c r="I186" s="207"/>
      <c r="J186" s="210" t="s">
        <v>209</v>
      </c>
      <c r="K186" s="211">
        <f>SUM(K11:K185)</f>
        <v>0</v>
      </c>
    </row>
    <row r="187" spans="1:12" ht="15.75">
      <c r="B187" s="206"/>
      <c r="C187" s="207"/>
      <c r="D187" s="207"/>
      <c r="E187" s="208"/>
      <c r="F187" s="207"/>
      <c r="G187" s="209"/>
      <c r="H187" s="207"/>
      <c r="I187" s="207"/>
      <c r="J187" s="210" t="s">
        <v>274</v>
      </c>
      <c r="K187" s="211">
        <f>ROUNDDOWN(K186,-5)</f>
        <v>0</v>
      </c>
    </row>
    <row r="188" spans="1:12" ht="15.75">
      <c r="B188" s="206"/>
      <c r="C188" s="207"/>
      <c r="D188" s="207"/>
      <c r="E188" s="208"/>
      <c r="F188" s="207"/>
      <c r="G188" s="209"/>
      <c r="H188" s="207"/>
      <c r="I188" s="207"/>
      <c r="J188" s="210" t="s">
        <v>296</v>
      </c>
      <c r="K188" s="212">
        <v>0</v>
      </c>
    </row>
    <row r="189" spans="1:12" ht="15.75">
      <c r="B189" s="206"/>
      <c r="C189" s="207"/>
      <c r="D189" s="207"/>
      <c r="E189" s="208"/>
      <c r="F189" s="207"/>
      <c r="G189" s="209"/>
      <c r="H189" s="207"/>
      <c r="I189" s="207"/>
      <c r="J189" s="210" t="s">
        <v>153</v>
      </c>
      <c r="K189" s="212">
        <f>+K187-K188</f>
        <v>0</v>
      </c>
    </row>
    <row r="190" spans="1:12" ht="15.75">
      <c r="B190" s="206"/>
      <c r="C190" s="207"/>
      <c r="D190" s="207"/>
      <c r="E190" s="208"/>
      <c r="F190" s="207"/>
      <c r="G190" s="209"/>
      <c r="H190" s="207"/>
      <c r="I190" s="207"/>
      <c r="J190" s="207" t="s">
        <v>202</v>
      </c>
      <c r="K190" s="213">
        <f>K189*0.1</f>
        <v>0</v>
      </c>
    </row>
    <row r="191" spans="1:12" ht="15.75">
      <c r="B191" s="206"/>
      <c r="C191" s="207"/>
      <c r="D191" s="207"/>
      <c r="E191" s="208"/>
      <c r="F191" s="207"/>
      <c r="G191" s="209"/>
      <c r="H191" s="207"/>
      <c r="I191" s="207"/>
      <c r="J191" s="207" t="s">
        <v>153</v>
      </c>
      <c r="K191" s="213">
        <f>K189+K190</f>
        <v>0</v>
      </c>
    </row>
    <row r="192" spans="1:12" ht="15.75">
      <c r="B192" s="206"/>
      <c r="C192" s="207"/>
      <c r="D192" s="207"/>
      <c r="E192" s="208"/>
      <c r="F192" s="207"/>
      <c r="G192" s="209"/>
      <c r="H192" s="207"/>
      <c r="I192" s="207"/>
      <c r="J192" s="207" t="s">
        <v>210</v>
      </c>
      <c r="K192" s="214">
        <f>130*1+197*2</f>
        <v>524</v>
      </c>
    </row>
    <row r="193" spans="2:11" ht="16.5" thickBot="1">
      <c r="B193" s="215"/>
      <c r="C193" s="216"/>
      <c r="D193" s="216"/>
      <c r="E193" s="217"/>
      <c r="F193" s="216"/>
      <c r="G193" s="218"/>
      <c r="H193" s="216"/>
      <c r="I193" s="216"/>
      <c r="J193" s="219" t="s">
        <v>211</v>
      </c>
      <c r="K193" s="220">
        <f>K189/K192</f>
        <v>0</v>
      </c>
    </row>
    <row r="194" spans="2:11">
      <c r="C194" s="221"/>
      <c r="D194" s="221"/>
      <c r="E194" s="222"/>
    </row>
    <row r="195" spans="2:11">
      <c r="C195" s="221"/>
      <c r="D195" s="221"/>
      <c r="E195" s="222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2019-01-09T05:34:19Z</cp:lastPrinted>
  <dcterms:created xsi:type="dcterms:W3CDTF">2018-02-21T01:25:23Z</dcterms:created>
  <dcterms:modified xsi:type="dcterms:W3CDTF">2020-02-25T05:55:20Z</dcterms:modified>
</cp:coreProperties>
</file>