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haffan\QS\"/>
    </mc:Choice>
  </mc:AlternateContent>
  <bookViews>
    <workbookView xWindow="0" yWindow="0" windowWidth="20490" windowHeight="7155" activeTab="4"/>
  </bookViews>
  <sheets>
    <sheet name="New Livistona 1" sheetId="1" r:id="rId1"/>
    <sheet name="New Livistona 2" sheetId="2" r:id="rId2"/>
    <sheet name="Rev N. Liv 2" sheetId="5" r:id="rId3"/>
    <sheet name="New Attaleya 1" sheetId="3" r:id="rId4"/>
    <sheet name="New Attaleya 2" sheetId="4" r:id="rId5"/>
  </sheets>
  <externalReferences>
    <externalReference r:id="rId6"/>
    <externalReference r:id="rId7"/>
  </externalReferences>
  <definedNames>
    <definedName name="_xlnm.Print_Area" localSheetId="3">'New Attaleya 1'!$B$1:$R$243</definedName>
    <definedName name="_xlnm.Print_Area" localSheetId="4">'New Attaleya 2'!$B$1:$Q$242</definedName>
    <definedName name="_xlnm.Print_Area" localSheetId="0">'New Livistona 1'!$B$1:$H$194</definedName>
    <definedName name="_xlnm.Print_Area" localSheetId="1">'New Livistona 2'!$B$1:$H$194</definedName>
    <definedName name="_xlnm.Print_Titles" localSheetId="3">'New Attaleya 1'!$1:$6</definedName>
    <definedName name="_xlnm.Print_Titles" localSheetId="4">'New Attaleya 2'!$1:$7</definedName>
    <definedName name="_xlnm.Print_Titles" localSheetId="0">'New Livistona 1'!$1:$7</definedName>
    <definedName name="_xlnm.Print_Titles" localSheetId="1">'New Livistona 2'!$1:$6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5" l="1"/>
  <c r="F64" i="5"/>
  <c r="C173" i="5"/>
  <c r="C172" i="5"/>
  <c r="C171" i="5"/>
  <c r="H152" i="5"/>
  <c r="H173" i="5" s="1"/>
  <c r="H151" i="5"/>
  <c r="H150" i="5"/>
  <c r="H149" i="5"/>
  <c r="H145" i="5"/>
  <c r="H144" i="5"/>
  <c r="H143" i="5"/>
  <c r="F143" i="5"/>
  <c r="F142" i="5"/>
  <c r="H142" i="5" s="1"/>
  <c r="H141" i="5"/>
  <c r="H140" i="5"/>
  <c r="F140" i="5"/>
  <c r="I141" i="5" s="1"/>
  <c r="I142" i="5" s="1"/>
  <c r="I143" i="5" s="1"/>
  <c r="F136" i="5"/>
  <c r="H136" i="5" s="1"/>
  <c r="H137" i="5" s="1"/>
  <c r="H171" i="5" s="1"/>
  <c r="H133" i="5"/>
  <c r="F133" i="5"/>
  <c r="H132" i="5"/>
  <c r="F132" i="5"/>
  <c r="H131" i="5"/>
  <c r="F131" i="5"/>
  <c r="H130" i="5"/>
  <c r="F130" i="5"/>
  <c r="H129" i="5"/>
  <c r="F129" i="5"/>
  <c r="H128" i="5"/>
  <c r="F128" i="5"/>
  <c r="H127" i="5"/>
  <c r="F127" i="5"/>
  <c r="H126" i="5"/>
  <c r="F126" i="5"/>
  <c r="H125" i="5"/>
  <c r="F125" i="5"/>
  <c r="H124" i="5"/>
  <c r="F124" i="5"/>
  <c r="H123" i="5"/>
  <c r="F123" i="5"/>
  <c r="H122" i="5"/>
  <c r="F122" i="5"/>
  <c r="H121" i="5"/>
  <c r="F121" i="5"/>
  <c r="H120" i="5"/>
  <c r="H134" i="5" s="1"/>
  <c r="H170" i="5" s="1"/>
  <c r="F120" i="5"/>
  <c r="F115" i="5"/>
  <c r="H115" i="5" s="1"/>
  <c r="F114" i="5"/>
  <c r="H114" i="5" s="1"/>
  <c r="F113" i="5"/>
  <c r="H113" i="5" s="1"/>
  <c r="F112" i="5"/>
  <c r="H112" i="5" s="1"/>
  <c r="H111" i="5"/>
  <c r="H110" i="5"/>
  <c r="F110" i="5"/>
  <c r="H109" i="5"/>
  <c r="F109" i="5"/>
  <c r="H108" i="5"/>
  <c r="F107" i="5"/>
  <c r="H107" i="5" s="1"/>
  <c r="F106" i="5"/>
  <c r="H106" i="5" s="1"/>
  <c r="F105" i="5"/>
  <c r="H105" i="5" s="1"/>
  <c r="F104" i="5"/>
  <c r="H104" i="5" s="1"/>
  <c r="F103" i="5"/>
  <c r="H103" i="5" s="1"/>
  <c r="H102" i="5"/>
  <c r="H101" i="5"/>
  <c r="F101" i="5"/>
  <c r="H100" i="5"/>
  <c r="F100" i="5"/>
  <c r="H99" i="5"/>
  <c r="F99" i="5"/>
  <c r="H98" i="5"/>
  <c r="F98" i="5"/>
  <c r="H97" i="5"/>
  <c r="F97" i="5"/>
  <c r="H96" i="5"/>
  <c r="F96" i="5"/>
  <c r="F92" i="5"/>
  <c r="H92" i="5" s="1"/>
  <c r="F91" i="5"/>
  <c r="H91" i="5" s="1"/>
  <c r="F90" i="5"/>
  <c r="H90" i="5" s="1"/>
  <c r="F89" i="5"/>
  <c r="H89" i="5" s="1"/>
  <c r="F88" i="5"/>
  <c r="H88" i="5" s="1"/>
  <c r="H85" i="5"/>
  <c r="F85" i="5"/>
  <c r="H84" i="5"/>
  <c r="F84" i="5"/>
  <c r="H83" i="5"/>
  <c r="F83" i="5"/>
  <c r="H82" i="5"/>
  <c r="H81" i="5"/>
  <c r="F81" i="5"/>
  <c r="F80" i="5"/>
  <c r="H79" i="5"/>
  <c r="F79" i="5"/>
  <c r="H78" i="5"/>
  <c r="F78" i="5"/>
  <c r="H77" i="5"/>
  <c r="F77" i="5"/>
  <c r="F76" i="5"/>
  <c r="H76" i="5" s="1"/>
  <c r="H75" i="5"/>
  <c r="H74" i="5"/>
  <c r="F74" i="5"/>
  <c r="H73" i="5"/>
  <c r="F73" i="5"/>
  <c r="F69" i="5"/>
  <c r="H69" i="5" s="1"/>
  <c r="F68" i="5"/>
  <c r="H68" i="5" s="1"/>
  <c r="F67" i="5"/>
  <c r="H67" i="5" s="1"/>
  <c r="F66" i="5"/>
  <c r="H66" i="5" s="1"/>
  <c r="H65" i="5"/>
  <c r="H64" i="5"/>
  <c r="H61" i="5"/>
  <c r="F61" i="5"/>
  <c r="H60" i="5"/>
  <c r="F60" i="5"/>
  <c r="H59" i="5"/>
  <c r="F59" i="5"/>
  <c r="F56" i="5"/>
  <c r="H56" i="5" s="1"/>
  <c r="F55" i="5"/>
  <c r="H55" i="5" s="1"/>
  <c r="F54" i="5"/>
  <c r="H54" i="5" s="1"/>
  <c r="F53" i="5"/>
  <c r="H53" i="5" s="1"/>
  <c r="H50" i="5"/>
  <c r="F50" i="5"/>
  <c r="H49" i="5"/>
  <c r="F49" i="5"/>
  <c r="H48" i="5"/>
  <c r="H51" i="5" s="1"/>
  <c r="H163" i="5" s="1"/>
  <c r="F48" i="5"/>
  <c r="F44" i="5"/>
  <c r="H44" i="5" s="1"/>
  <c r="F43" i="5"/>
  <c r="H43" i="5" s="1"/>
  <c r="F42" i="5"/>
  <c r="H42" i="5" s="1"/>
  <c r="F41" i="5"/>
  <c r="H41" i="5" s="1"/>
  <c r="H40" i="5"/>
  <c r="H39" i="5"/>
  <c r="F39" i="5"/>
  <c r="H38" i="5"/>
  <c r="F38" i="5"/>
  <c r="F35" i="5"/>
  <c r="H35" i="5" s="1"/>
  <c r="F34" i="5"/>
  <c r="H34" i="5" s="1"/>
  <c r="F33" i="5"/>
  <c r="H33" i="5" s="1"/>
  <c r="F32" i="5"/>
  <c r="H32" i="5" s="1"/>
  <c r="F31" i="5"/>
  <c r="H31" i="5" s="1"/>
  <c r="F30" i="5"/>
  <c r="H30" i="5" s="1"/>
  <c r="F29" i="5"/>
  <c r="H29" i="5" s="1"/>
  <c r="F28" i="5"/>
  <c r="H28" i="5" s="1"/>
  <c r="H24" i="5"/>
  <c r="F24" i="5"/>
  <c r="H23" i="5"/>
  <c r="F23" i="5"/>
  <c r="F20" i="5"/>
  <c r="H20" i="5" s="1"/>
  <c r="F19" i="5"/>
  <c r="H19" i="5" s="1"/>
  <c r="F18" i="5"/>
  <c r="H18" i="5" s="1"/>
  <c r="F17" i="5"/>
  <c r="H17" i="5" s="1"/>
  <c r="H14" i="5"/>
  <c r="F14" i="5"/>
  <c r="H13" i="5"/>
  <c r="F13" i="5"/>
  <c r="H12" i="5"/>
  <c r="F12" i="5"/>
  <c r="H11" i="5"/>
  <c r="F11" i="5"/>
  <c r="H10" i="5"/>
  <c r="F10" i="5"/>
  <c r="H9" i="5"/>
  <c r="F9" i="5"/>
  <c r="F64" i="2"/>
  <c r="F65" i="2"/>
  <c r="H62" i="5" l="1"/>
  <c r="H165" i="5" s="1"/>
  <c r="H15" i="5"/>
  <c r="H158" i="5" s="1"/>
  <c r="H25" i="5"/>
  <c r="H160" i="5" s="1"/>
  <c r="H117" i="5"/>
  <c r="H169" i="5" s="1"/>
  <c r="H80" i="5"/>
  <c r="H86" i="5" s="1"/>
  <c r="H167" i="5" s="1"/>
  <c r="H57" i="5"/>
  <c r="H164" i="5" s="1"/>
  <c r="H146" i="5"/>
  <c r="H172" i="5" s="1"/>
  <c r="H36" i="5"/>
  <c r="H161" i="5" s="1"/>
  <c r="H93" i="5"/>
  <c r="H168" i="5" s="1"/>
  <c r="H21" i="5"/>
  <c r="H159" i="5" s="1"/>
  <c r="H45" i="5"/>
  <c r="H162" i="5" s="1"/>
  <c r="H70" i="5"/>
  <c r="H166" i="5" s="1"/>
  <c r="C220" i="4"/>
  <c r="C219" i="4"/>
  <c r="C218" i="4"/>
  <c r="J199" i="4"/>
  <c r="E199" i="4"/>
  <c r="I199" i="4" s="1"/>
  <c r="J198" i="4"/>
  <c r="E198" i="4"/>
  <c r="I198" i="4" s="1"/>
  <c r="J197" i="4"/>
  <c r="I197" i="4"/>
  <c r="H197" i="4"/>
  <c r="I193" i="4"/>
  <c r="H193" i="4"/>
  <c r="J190" i="4"/>
  <c r="I190" i="4"/>
  <c r="H190" i="4"/>
  <c r="E190" i="4"/>
  <c r="J189" i="4"/>
  <c r="I189" i="4"/>
  <c r="H189" i="4"/>
  <c r="E189" i="4"/>
  <c r="J188" i="4"/>
  <c r="E188" i="4"/>
  <c r="H188" i="4" s="1"/>
  <c r="J186" i="4"/>
  <c r="E186" i="4"/>
  <c r="I186" i="4" s="1"/>
  <c r="I181" i="4"/>
  <c r="H181" i="4"/>
  <c r="J179" i="4"/>
  <c r="E179" i="4"/>
  <c r="I179" i="4" s="1"/>
  <c r="I177" i="4"/>
  <c r="H177" i="4"/>
  <c r="I176" i="4"/>
  <c r="I182" i="4" s="1"/>
  <c r="I218" i="4" s="1"/>
  <c r="H176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J166" i="4"/>
  <c r="I166" i="4"/>
  <c r="E166" i="4"/>
  <c r="H166" i="4" s="1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I173" i="4" s="1"/>
  <c r="I217" i="4" s="1"/>
  <c r="H157" i="4"/>
  <c r="I152" i="4"/>
  <c r="H152" i="4"/>
  <c r="I151" i="4"/>
  <c r="H151" i="4"/>
  <c r="J150" i="4"/>
  <c r="I150" i="4"/>
  <c r="E150" i="4"/>
  <c r="H150" i="4" s="1"/>
  <c r="J149" i="4"/>
  <c r="I149" i="4"/>
  <c r="E149" i="4"/>
  <c r="H149" i="4" s="1"/>
  <c r="J148" i="4"/>
  <c r="I148" i="4"/>
  <c r="E148" i="4"/>
  <c r="H148" i="4" s="1"/>
  <c r="I147" i="4"/>
  <c r="H147" i="4"/>
  <c r="I146" i="4"/>
  <c r="H146" i="4"/>
  <c r="J145" i="4"/>
  <c r="I145" i="4"/>
  <c r="E145" i="4"/>
  <c r="H145" i="4" s="1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I153" i="4" s="1"/>
  <c r="I216" i="4" s="1"/>
  <c r="H127" i="4"/>
  <c r="E122" i="4"/>
  <c r="I122" i="4" s="1"/>
  <c r="E121" i="4"/>
  <c r="I121" i="4" s="1"/>
  <c r="J119" i="4"/>
  <c r="E119" i="4"/>
  <c r="I119" i="4" s="1"/>
  <c r="E118" i="4"/>
  <c r="I118" i="4" s="1"/>
  <c r="J114" i="4"/>
  <c r="I114" i="4"/>
  <c r="E114" i="4"/>
  <c r="H114" i="4" s="1"/>
  <c r="I113" i="4"/>
  <c r="H113" i="4"/>
  <c r="I112" i="4"/>
  <c r="H112" i="4"/>
  <c r="I96" i="4"/>
  <c r="H96" i="4"/>
  <c r="I95" i="4"/>
  <c r="I94" i="4"/>
  <c r="H95" i="4"/>
  <c r="I93" i="4"/>
  <c r="H93" i="4"/>
  <c r="I92" i="4"/>
  <c r="H92" i="4"/>
  <c r="I91" i="4"/>
  <c r="I115" i="4" s="1"/>
  <c r="I214" i="4" s="1"/>
  <c r="H91" i="4"/>
  <c r="L89" i="4"/>
  <c r="L88" i="4"/>
  <c r="L87" i="4"/>
  <c r="L90" i="4" s="1"/>
  <c r="I87" i="4"/>
  <c r="H87" i="4"/>
  <c r="I86" i="4"/>
  <c r="H86" i="4"/>
  <c r="P85" i="4"/>
  <c r="J85" i="4"/>
  <c r="J122" i="4" s="1"/>
  <c r="I85" i="4"/>
  <c r="H85" i="4"/>
  <c r="E85" i="4"/>
  <c r="O84" i="4"/>
  <c r="L84" i="4"/>
  <c r="J84" i="4"/>
  <c r="H84" i="4"/>
  <c r="E84" i="4"/>
  <c r="I84" i="4" s="1"/>
  <c r="Q83" i="4"/>
  <c r="L83" i="4"/>
  <c r="O83" i="4" s="1"/>
  <c r="J83" i="4"/>
  <c r="J121" i="4" s="1"/>
  <c r="I83" i="4"/>
  <c r="E83" i="4"/>
  <c r="H83" i="4" s="1"/>
  <c r="J82" i="4"/>
  <c r="H82" i="4"/>
  <c r="E82" i="4"/>
  <c r="I82" i="4" s="1"/>
  <c r="O81" i="4"/>
  <c r="L81" i="4"/>
  <c r="J81" i="4"/>
  <c r="I81" i="4"/>
  <c r="I88" i="4" s="1"/>
  <c r="I213" i="4" s="1"/>
  <c r="H81" i="4"/>
  <c r="E81" i="4"/>
  <c r="M80" i="4"/>
  <c r="O80" i="4" s="1"/>
  <c r="L80" i="4"/>
  <c r="N79" i="4"/>
  <c r="N80" i="4" s="1"/>
  <c r="M79" i="4"/>
  <c r="O79" i="4" s="1"/>
  <c r="L79" i="4"/>
  <c r="O78" i="4"/>
  <c r="L78" i="4"/>
  <c r="I78" i="4"/>
  <c r="I212" i="4" s="1"/>
  <c r="N77" i="4"/>
  <c r="M77" i="4"/>
  <c r="O77" i="4" s="1"/>
  <c r="L77" i="4"/>
  <c r="J77" i="4"/>
  <c r="J118" i="4" s="1"/>
  <c r="I77" i="4"/>
  <c r="H77" i="4"/>
  <c r="N76" i="4"/>
  <c r="M76" i="4"/>
  <c r="L76" i="4"/>
  <c r="O76" i="4" s="1"/>
  <c r="O82" i="4" s="1"/>
  <c r="O85" i="4" s="1"/>
  <c r="J76" i="4"/>
  <c r="I76" i="4"/>
  <c r="E76" i="4"/>
  <c r="L66" i="4" s="1"/>
  <c r="J75" i="4"/>
  <c r="I75" i="4"/>
  <c r="E75" i="4"/>
  <c r="H75" i="4" s="1"/>
  <c r="J71" i="4"/>
  <c r="I71" i="4"/>
  <c r="H71" i="4"/>
  <c r="E71" i="4"/>
  <c r="L70" i="4"/>
  <c r="L71" i="4" s="1"/>
  <c r="J70" i="4"/>
  <c r="I70" i="4"/>
  <c r="E70" i="4"/>
  <c r="H70" i="4" s="1"/>
  <c r="J69" i="4"/>
  <c r="H69" i="4"/>
  <c r="E69" i="4"/>
  <c r="I69" i="4" s="1"/>
  <c r="J68" i="4"/>
  <c r="E68" i="4"/>
  <c r="H68" i="4" s="1"/>
  <c r="L67" i="4"/>
  <c r="L68" i="4" s="1"/>
  <c r="L69" i="4" s="1"/>
  <c r="J67" i="4"/>
  <c r="J120" i="4" s="1"/>
  <c r="I67" i="4"/>
  <c r="H67" i="4"/>
  <c r="E67" i="4"/>
  <c r="J63" i="4"/>
  <c r="E63" i="4"/>
  <c r="H63" i="4" s="1"/>
  <c r="J62" i="4"/>
  <c r="E62" i="4"/>
  <c r="I62" i="4" s="1"/>
  <c r="J61" i="4"/>
  <c r="E61" i="4"/>
  <c r="H61" i="4" s="1"/>
  <c r="J60" i="4"/>
  <c r="E60" i="4"/>
  <c r="H60" i="4" s="1"/>
  <c r="J59" i="4"/>
  <c r="I59" i="4"/>
  <c r="H59" i="4"/>
  <c r="E59" i="4"/>
  <c r="J55" i="4"/>
  <c r="H55" i="4"/>
  <c r="E55" i="4"/>
  <c r="I55" i="4" s="1"/>
  <c r="I54" i="4"/>
  <c r="H54" i="4"/>
  <c r="J53" i="4"/>
  <c r="H53" i="4"/>
  <c r="E53" i="4"/>
  <c r="I53" i="4" s="1"/>
  <c r="I52" i="4"/>
  <c r="H52" i="4"/>
  <c r="J51" i="4"/>
  <c r="I51" i="4"/>
  <c r="E51" i="4"/>
  <c r="J50" i="4"/>
  <c r="I50" i="4"/>
  <c r="H50" i="4"/>
  <c r="E50" i="4"/>
  <c r="L49" i="4"/>
  <c r="L50" i="4" s="1"/>
  <c r="J49" i="4"/>
  <c r="I49" i="4"/>
  <c r="E49" i="4"/>
  <c r="L48" i="4"/>
  <c r="I48" i="4"/>
  <c r="H48" i="4"/>
  <c r="L47" i="4"/>
  <c r="J47" i="4"/>
  <c r="H49" i="4"/>
  <c r="E47" i="4"/>
  <c r="I47" i="4" s="1"/>
  <c r="L46" i="4"/>
  <c r="J46" i="4"/>
  <c r="E46" i="4"/>
  <c r="I46" i="4" s="1"/>
  <c r="I42" i="4"/>
  <c r="H42" i="4"/>
  <c r="L41" i="4"/>
  <c r="J41" i="4"/>
  <c r="H41" i="4"/>
  <c r="E41" i="4"/>
  <c r="I41" i="4" s="1"/>
  <c r="L40" i="4"/>
  <c r="J40" i="4"/>
  <c r="E40" i="4"/>
  <c r="I40" i="4" s="1"/>
  <c r="L39" i="4"/>
  <c r="J39" i="4"/>
  <c r="H39" i="4"/>
  <c r="E39" i="4"/>
  <c r="I39" i="4" s="1"/>
  <c r="L38" i="4"/>
  <c r="J38" i="4"/>
  <c r="E38" i="4"/>
  <c r="I38" i="4" s="1"/>
  <c r="L37" i="4"/>
  <c r="J37" i="4"/>
  <c r="H37" i="4"/>
  <c r="E37" i="4"/>
  <c r="I37" i="4" s="1"/>
  <c r="J36" i="4"/>
  <c r="I36" i="4"/>
  <c r="E36" i="4"/>
  <c r="H36" i="4" s="1"/>
  <c r="J35" i="4"/>
  <c r="I35" i="4"/>
  <c r="H35" i="4"/>
  <c r="E35" i="4"/>
  <c r="L34" i="4"/>
  <c r="I34" i="4"/>
  <c r="H34" i="4"/>
  <c r="L33" i="4"/>
  <c r="J33" i="4"/>
  <c r="I33" i="4"/>
  <c r="H33" i="4"/>
  <c r="E33" i="4"/>
  <c r="L32" i="4"/>
  <c r="J32" i="4"/>
  <c r="I32" i="4"/>
  <c r="H32" i="4"/>
  <c r="E32" i="4"/>
  <c r="J31" i="4"/>
  <c r="E31" i="4"/>
  <c r="J30" i="4"/>
  <c r="I30" i="4"/>
  <c r="H30" i="4"/>
  <c r="E30" i="4"/>
  <c r="I26" i="4"/>
  <c r="I27" i="4" s="1"/>
  <c r="I207" i="4" s="1"/>
  <c r="H26" i="4"/>
  <c r="J25" i="4"/>
  <c r="I25" i="4"/>
  <c r="H25" i="4"/>
  <c r="E25" i="4"/>
  <c r="J21" i="4"/>
  <c r="H21" i="4"/>
  <c r="E21" i="4"/>
  <c r="I21" i="4" s="1"/>
  <c r="J20" i="4"/>
  <c r="H20" i="4"/>
  <c r="E20" i="4"/>
  <c r="I20" i="4" s="1"/>
  <c r="J18" i="4"/>
  <c r="J19" i="4" s="1"/>
  <c r="H18" i="4"/>
  <c r="E18" i="4"/>
  <c r="E19" i="4" s="1"/>
  <c r="J14" i="4"/>
  <c r="I14" i="4"/>
  <c r="H14" i="4"/>
  <c r="E14" i="4"/>
  <c r="J13" i="4"/>
  <c r="I13" i="4"/>
  <c r="H13" i="4"/>
  <c r="E13" i="4"/>
  <c r="I12" i="4"/>
  <c r="H12" i="4"/>
  <c r="I11" i="4"/>
  <c r="H11" i="4"/>
  <c r="I10" i="4"/>
  <c r="H10" i="4"/>
  <c r="J9" i="4"/>
  <c r="H9" i="4"/>
  <c r="E9" i="4"/>
  <c r="I9" i="4" s="1"/>
  <c r="I15" i="4" s="1"/>
  <c r="I205" i="4" s="1"/>
  <c r="K5" i="4"/>
  <c r="C218" i="3"/>
  <c r="C217" i="3"/>
  <c r="C216" i="3"/>
  <c r="H199" i="3"/>
  <c r="F199" i="3"/>
  <c r="F198" i="3"/>
  <c r="H198" i="3" s="1"/>
  <c r="H197" i="3"/>
  <c r="F197" i="3"/>
  <c r="H194" i="3"/>
  <c r="H191" i="3"/>
  <c r="F191" i="3"/>
  <c r="F190" i="3"/>
  <c r="H190" i="3" s="1"/>
  <c r="H189" i="3"/>
  <c r="F189" i="3"/>
  <c r="F187" i="3"/>
  <c r="H187" i="3" s="1"/>
  <c r="H182" i="3"/>
  <c r="F180" i="3"/>
  <c r="H180" i="3" s="1"/>
  <c r="H178" i="3"/>
  <c r="H177" i="3"/>
  <c r="H173" i="3"/>
  <c r="H172" i="3"/>
  <c r="H171" i="3"/>
  <c r="H170" i="3"/>
  <c r="H169" i="3"/>
  <c r="H168" i="3"/>
  <c r="F167" i="3"/>
  <c r="H167" i="3" s="1"/>
  <c r="H166" i="3"/>
  <c r="H165" i="3"/>
  <c r="H164" i="3"/>
  <c r="H163" i="3"/>
  <c r="H162" i="3"/>
  <c r="H161" i="3"/>
  <c r="H160" i="3"/>
  <c r="H159" i="3"/>
  <c r="H158" i="3"/>
  <c r="H153" i="3"/>
  <c r="H152" i="3"/>
  <c r="H151" i="3"/>
  <c r="F151" i="3"/>
  <c r="F150" i="3"/>
  <c r="H150" i="3" s="1"/>
  <c r="H149" i="3"/>
  <c r="F149" i="3"/>
  <c r="H148" i="3"/>
  <c r="H147" i="3"/>
  <c r="H146" i="3"/>
  <c r="F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0" i="3"/>
  <c r="F120" i="3"/>
  <c r="F119" i="3"/>
  <c r="H119" i="3" s="1"/>
  <c r="F115" i="3"/>
  <c r="H115" i="3" s="1"/>
  <c r="H114" i="3"/>
  <c r="H113" i="3"/>
  <c r="H97" i="3"/>
  <c r="H96" i="3"/>
  <c r="H95" i="3"/>
  <c r="H94" i="3"/>
  <c r="H93" i="3"/>
  <c r="H92" i="3"/>
  <c r="H88" i="3"/>
  <c r="H87" i="3"/>
  <c r="F86" i="3"/>
  <c r="F123" i="3" s="1"/>
  <c r="H123" i="3" s="1"/>
  <c r="F85" i="3"/>
  <c r="H85" i="3" s="1"/>
  <c r="F84" i="3"/>
  <c r="F122" i="3" s="1"/>
  <c r="H122" i="3" s="1"/>
  <c r="F82" i="3"/>
  <c r="F83" i="3" s="1"/>
  <c r="H83" i="3" s="1"/>
  <c r="H78" i="3"/>
  <c r="F77" i="3"/>
  <c r="H77" i="3" s="1"/>
  <c r="F76" i="3"/>
  <c r="H76" i="3" s="1"/>
  <c r="H79" i="3" s="1"/>
  <c r="H210" i="3" s="1"/>
  <c r="H72" i="3"/>
  <c r="F72" i="3"/>
  <c r="F71" i="3"/>
  <c r="H71" i="3" s="1"/>
  <c r="H70" i="3"/>
  <c r="F70" i="3"/>
  <c r="F69" i="3"/>
  <c r="H69" i="3" s="1"/>
  <c r="H68" i="3"/>
  <c r="F68" i="3"/>
  <c r="F64" i="3"/>
  <c r="H64" i="3" s="1"/>
  <c r="F63" i="3"/>
  <c r="H63" i="3" s="1"/>
  <c r="F62" i="3"/>
  <c r="H62" i="3" s="1"/>
  <c r="H61" i="3"/>
  <c r="F60" i="3"/>
  <c r="H60" i="3" s="1"/>
  <c r="F59" i="3"/>
  <c r="H59" i="3" s="1"/>
  <c r="H55" i="3"/>
  <c r="F55" i="3"/>
  <c r="H54" i="3"/>
  <c r="F53" i="3"/>
  <c r="H53" i="3" s="1"/>
  <c r="H52" i="3"/>
  <c r="H51" i="3"/>
  <c r="F51" i="3"/>
  <c r="H50" i="3"/>
  <c r="F50" i="3"/>
  <c r="H49" i="3"/>
  <c r="F49" i="3"/>
  <c r="H48" i="3"/>
  <c r="H47" i="3"/>
  <c r="F47" i="3"/>
  <c r="F46" i="3"/>
  <c r="H46" i="3" s="1"/>
  <c r="H42" i="3"/>
  <c r="F41" i="3"/>
  <c r="H41" i="3" s="1"/>
  <c r="H40" i="3"/>
  <c r="F40" i="3"/>
  <c r="H39" i="3"/>
  <c r="F39" i="3"/>
  <c r="F38" i="3"/>
  <c r="H38" i="3" s="1"/>
  <c r="H37" i="3"/>
  <c r="F37" i="3"/>
  <c r="F36" i="3"/>
  <c r="H36" i="3" s="1"/>
  <c r="H35" i="3"/>
  <c r="F34" i="3"/>
  <c r="H34" i="3" s="1"/>
  <c r="H33" i="3"/>
  <c r="F33" i="3"/>
  <c r="F32" i="3"/>
  <c r="H32" i="3" s="1"/>
  <c r="H31" i="3"/>
  <c r="F31" i="3"/>
  <c r="H27" i="3"/>
  <c r="F27" i="3"/>
  <c r="F26" i="3"/>
  <c r="H26" i="3" s="1"/>
  <c r="H28" i="3" s="1"/>
  <c r="H205" i="3" s="1"/>
  <c r="F22" i="3"/>
  <c r="H22" i="3" s="1"/>
  <c r="F21" i="3"/>
  <c r="H21" i="3" s="1"/>
  <c r="F20" i="3"/>
  <c r="H20" i="3" s="1"/>
  <c r="F19" i="3"/>
  <c r="H19" i="3" s="1"/>
  <c r="H23" i="3" s="1"/>
  <c r="H204" i="3" s="1"/>
  <c r="F18" i="3"/>
  <c r="H18" i="3" s="1"/>
  <c r="H14" i="3"/>
  <c r="F14" i="3"/>
  <c r="F13" i="3"/>
  <c r="H13" i="3" s="1"/>
  <c r="H12" i="3"/>
  <c r="H11" i="3"/>
  <c r="H10" i="3"/>
  <c r="F9" i="3"/>
  <c r="H9" i="3" s="1"/>
  <c r="H15" i="3" s="1"/>
  <c r="H203" i="3" s="1"/>
  <c r="H73" i="3" l="1"/>
  <c r="H209" i="3" s="1"/>
  <c r="H154" i="3"/>
  <c r="H214" i="3" s="1"/>
  <c r="H174" i="3"/>
  <c r="H215" i="3" s="1"/>
  <c r="H183" i="3"/>
  <c r="H216" i="3" s="1"/>
  <c r="H195" i="3"/>
  <c r="H217" i="3" s="1"/>
  <c r="H27" i="4"/>
  <c r="H207" i="4" s="1"/>
  <c r="H88" i="4"/>
  <c r="H213" i="4" s="1"/>
  <c r="H15" i="4"/>
  <c r="H205" i="4" s="1"/>
  <c r="H153" i="4"/>
  <c r="H216" i="4" s="1"/>
  <c r="H173" i="4"/>
  <c r="H217" i="4" s="1"/>
  <c r="H31" i="4"/>
  <c r="H176" i="5"/>
  <c r="H177" i="5" s="1"/>
  <c r="H178" i="5" s="1"/>
  <c r="H186" i="5" s="1"/>
  <c r="H47" i="4"/>
  <c r="H51" i="4"/>
  <c r="H72" i="4"/>
  <c r="H211" i="4" s="1"/>
  <c r="O86" i="4"/>
  <c r="O87" i="4" s="1"/>
  <c r="O89" i="4"/>
  <c r="I19" i="4"/>
  <c r="H19" i="4"/>
  <c r="I56" i="4"/>
  <c r="I209" i="4" s="1"/>
  <c r="H22" i="4"/>
  <c r="H206" i="4" s="1"/>
  <c r="I200" i="4"/>
  <c r="I220" i="4" s="1"/>
  <c r="H38" i="4"/>
  <c r="H40" i="4"/>
  <c r="H46" i="4"/>
  <c r="I60" i="4"/>
  <c r="I61" i="4"/>
  <c r="I63" i="4"/>
  <c r="I64" i="4" s="1"/>
  <c r="I210" i="4" s="1"/>
  <c r="I68" i="4"/>
  <c r="I72" i="4" s="1"/>
  <c r="I211" i="4" s="1"/>
  <c r="I18" i="4"/>
  <c r="I22" i="4" s="1"/>
  <c r="I206" i="4" s="1"/>
  <c r="I31" i="4"/>
  <c r="I43" i="4" s="1"/>
  <c r="I208" i="4" s="1"/>
  <c r="H94" i="4"/>
  <c r="H115" i="4" s="1"/>
  <c r="H214" i="4" s="1"/>
  <c r="I188" i="4"/>
  <c r="I194" i="4" s="1"/>
  <c r="I219" i="4" s="1"/>
  <c r="E120" i="4"/>
  <c r="H62" i="4"/>
  <c r="H64" i="4" s="1"/>
  <c r="H210" i="4" s="1"/>
  <c r="H76" i="4"/>
  <c r="H78" i="4" s="1"/>
  <c r="H118" i="4"/>
  <c r="H119" i="4"/>
  <c r="H121" i="4"/>
  <c r="H122" i="4"/>
  <c r="H179" i="4"/>
  <c r="H182" i="4" s="1"/>
  <c r="H218" i="4" s="1"/>
  <c r="H186" i="4"/>
  <c r="H194" i="4" s="1"/>
  <c r="H219" i="4" s="1"/>
  <c r="H198" i="4"/>
  <c r="H199" i="4"/>
  <c r="H200" i="3"/>
  <c r="H218" i="3" s="1"/>
  <c r="H43" i="3"/>
  <c r="H206" i="3" s="1"/>
  <c r="H56" i="3"/>
  <c r="H207" i="3" s="1"/>
  <c r="H65" i="3"/>
  <c r="H208" i="3" s="1"/>
  <c r="H116" i="3"/>
  <c r="H212" i="3" s="1"/>
  <c r="H82" i="3"/>
  <c r="H84" i="3"/>
  <c r="H86" i="3"/>
  <c r="F121" i="3"/>
  <c r="H121" i="3" s="1"/>
  <c r="H124" i="3" s="1"/>
  <c r="H213" i="3" s="1"/>
  <c r="H200" i="4" l="1"/>
  <c r="H220" i="4" s="1"/>
  <c r="H56" i="4"/>
  <c r="H209" i="4" s="1"/>
  <c r="H179" i="5"/>
  <c r="H180" i="5" s="1"/>
  <c r="H182" i="5" s="1"/>
  <c r="H43" i="4"/>
  <c r="H208" i="4" s="1"/>
  <c r="H212" i="4"/>
  <c r="L72" i="4"/>
  <c r="L73" i="4" s="1"/>
  <c r="I120" i="4"/>
  <c r="I123" i="4" s="1"/>
  <c r="I215" i="4" s="1"/>
  <c r="I223" i="4" s="1"/>
  <c r="I224" i="4" s="1"/>
  <c r="I225" i="4" s="1"/>
  <c r="I226" i="4" s="1"/>
  <c r="H120" i="4"/>
  <c r="H123" i="4" s="1"/>
  <c r="H215" i="4" s="1"/>
  <c r="H223" i="4" s="1"/>
  <c r="H224" i="4" s="1"/>
  <c r="H225" i="4" s="1"/>
  <c r="H226" i="4" s="1"/>
  <c r="H89" i="3"/>
  <c r="H211" i="3" s="1"/>
  <c r="H220" i="3" s="1"/>
  <c r="H233" i="4" l="1"/>
  <c r="H227" i="4"/>
  <c r="H228" i="4" s="1"/>
  <c r="I233" i="4"/>
  <c r="I227" i="4"/>
  <c r="I228" i="4" s="1"/>
  <c r="H221" i="3"/>
  <c r="H222" i="3" s="1"/>
  <c r="H223" i="3" s="1"/>
  <c r="H230" i="3" l="1"/>
  <c r="H224" i="3"/>
  <c r="H225" i="3" s="1"/>
  <c r="L61" i="1" l="1"/>
  <c r="K61" i="1"/>
  <c r="K73" i="1"/>
  <c r="K72" i="1"/>
  <c r="K71" i="1"/>
  <c r="K68" i="1"/>
  <c r="L67" i="1"/>
  <c r="K67" i="1"/>
  <c r="M61" i="1"/>
  <c r="M60" i="1"/>
  <c r="L60" i="1"/>
  <c r="K4" i="1"/>
  <c r="K3" i="1"/>
  <c r="K2" i="1"/>
  <c r="K60" i="1"/>
  <c r="N67" i="1" l="1"/>
  <c r="N60" i="1"/>
  <c r="N61" i="1"/>
  <c r="K74" i="1"/>
  <c r="O69" i="1"/>
  <c r="N68" i="1"/>
  <c r="N65" i="1"/>
  <c r="N63" i="1"/>
  <c r="N62" i="1"/>
  <c r="N64" i="1" l="1"/>
  <c r="N66" i="1" s="1"/>
  <c r="N69" i="1" s="1"/>
  <c r="N73" i="1" l="1"/>
  <c r="N70" i="1"/>
  <c r="N71" i="1" s="1"/>
  <c r="H98" i="2" l="1"/>
  <c r="H98" i="1" l="1"/>
  <c r="H145" i="2" l="1"/>
  <c r="H144" i="2"/>
  <c r="H141" i="2"/>
  <c r="H111" i="2"/>
  <c r="H108" i="2"/>
  <c r="H102" i="2"/>
  <c r="H82" i="2"/>
  <c r="H75" i="2"/>
  <c r="H40" i="2"/>
  <c r="H141" i="1"/>
  <c r="H144" i="1"/>
  <c r="H145" i="1"/>
  <c r="H102" i="1"/>
  <c r="H108" i="1"/>
  <c r="H110" i="1"/>
  <c r="H111" i="1"/>
  <c r="H82" i="1"/>
  <c r="H75" i="1"/>
  <c r="H40" i="1"/>
  <c r="C173" i="2" l="1"/>
  <c r="C172" i="2"/>
  <c r="C171" i="2"/>
  <c r="F143" i="2"/>
  <c r="F142" i="2"/>
  <c r="F140" i="2"/>
  <c r="I141" i="2" s="1"/>
  <c r="I142" i="2" s="1"/>
  <c r="I143" i="2" s="1"/>
  <c r="F136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5" i="2"/>
  <c r="F114" i="2"/>
  <c r="F113" i="2"/>
  <c r="F112" i="2"/>
  <c r="F110" i="2"/>
  <c r="F109" i="2"/>
  <c r="F107" i="2"/>
  <c r="F106" i="2"/>
  <c r="F105" i="2"/>
  <c r="F104" i="2"/>
  <c r="F103" i="2"/>
  <c r="F101" i="2"/>
  <c r="F100" i="2"/>
  <c r="F99" i="2"/>
  <c r="F98" i="2"/>
  <c r="F97" i="2"/>
  <c r="F96" i="2"/>
  <c r="F92" i="2"/>
  <c r="F91" i="2"/>
  <c r="F90" i="2"/>
  <c r="F89" i="2"/>
  <c r="F88" i="2"/>
  <c r="F85" i="2"/>
  <c r="F84" i="2"/>
  <c r="F83" i="2"/>
  <c r="F81" i="2"/>
  <c r="F80" i="2"/>
  <c r="F79" i="2"/>
  <c r="F78" i="2"/>
  <c r="F77" i="2"/>
  <c r="F76" i="2"/>
  <c r="F74" i="2"/>
  <c r="F73" i="2"/>
  <c r="F69" i="2"/>
  <c r="F68" i="2"/>
  <c r="F67" i="2"/>
  <c r="F66" i="2"/>
  <c r="F61" i="2"/>
  <c r="F60" i="2"/>
  <c r="F59" i="2"/>
  <c r="F56" i="2"/>
  <c r="F55" i="2"/>
  <c r="F54" i="2"/>
  <c r="F53" i="2"/>
  <c r="F50" i="2"/>
  <c r="F49" i="2"/>
  <c r="F48" i="2"/>
  <c r="F44" i="2"/>
  <c r="F43" i="2"/>
  <c r="F42" i="2"/>
  <c r="F41" i="2"/>
  <c r="F39" i="2"/>
  <c r="F38" i="2"/>
  <c r="F35" i="2"/>
  <c r="F34" i="2"/>
  <c r="F33" i="2"/>
  <c r="F32" i="2"/>
  <c r="F31" i="2"/>
  <c r="F30" i="2"/>
  <c r="F29" i="2"/>
  <c r="F28" i="2"/>
  <c r="F24" i="2"/>
  <c r="F23" i="2"/>
  <c r="F20" i="2"/>
  <c r="F19" i="2"/>
  <c r="F18" i="2"/>
  <c r="F17" i="2"/>
  <c r="F14" i="2"/>
  <c r="F13" i="2"/>
  <c r="F12" i="2"/>
  <c r="F11" i="2"/>
  <c r="F10" i="2"/>
  <c r="F9" i="2"/>
  <c r="C173" i="1"/>
  <c r="C172" i="1"/>
  <c r="C171" i="1"/>
  <c r="F143" i="1"/>
  <c r="F142" i="1"/>
  <c r="F140" i="1"/>
  <c r="I141" i="1" s="1"/>
  <c r="I142" i="1" s="1"/>
  <c r="I143" i="1" s="1"/>
  <c r="F136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5" i="1"/>
  <c r="F114" i="1"/>
  <c r="F113" i="1"/>
  <c r="F112" i="1"/>
  <c r="F109" i="1"/>
  <c r="F107" i="1"/>
  <c r="F106" i="1"/>
  <c r="F105" i="1"/>
  <c r="F104" i="1"/>
  <c r="F103" i="1"/>
  <c r="F101" i="1"/>
  <c r="F100" i="1"/>
  <c r="F99" i="1"/>
  <c r="F98" i="1"/>
  <c r="F97" i="1"/>
  <c r="F96" i="1"/>
  <c r="F92" i="1"/>
  <c r="F91" i="1"/>
  <c r="F90" i="1"/>
  <c r="F89" i="1"/>
  <c r="F88" i="1"/>
  <c r="F85" i="1"/>
  <c r="F84" i="1"/>
  <c r="F83" i="1"/>
  <c r="F81" i="1"/>
  <c r="F80" i="1"/>
  <c r="F79" i="1"/>
  <c r="F78" i="1"/>
  <c r="F77" i="1"/>
  <c r="F76" i="1"/>
  <c r="F74" i="1"/>
  <c r="F73" i="1"/>
  <c r="F69" i="1"/>
  <c r="F68" i="1"/>
  <c r="F67" i="1"/>
  <c r="F66" i="1"/>
  <c r="F65" i="1"/>
  <c r="F64" i="1"/>
  <c r="F61" i="1"/>
  <c r="F60" i="1"/>
  <c r="F59" i="1"/>
  <c r="F56" i="1"/>
  <c r="F55" i="1"/>
  <c r="F54" i="1"/>
  <c r="F53" i="1"/>
  <c r="F50" i="1"/>
  <c r="F49" i="1"/>
  <c r="F48" i="1"/>
  <c r="F44" i="1"/>
  <c r="F43" i="1"/>
  <c r="F42" i="1"/>
  <c r="F41" i="1"/>
  <c r="F39" i="1"/>
  <c r="F38" i="1"/>
  <c r="F35" i="1"/>
  <c r="F34" i="1"/>
  <c r="F33" i="1"/>
  <c r="F32" i="1"/>
  <c r="F31" i="1"/>
  <c r="F30" i="1"/>
  <c r="F29" i="1"/>
  <c r="F28" i="1"/>
  <c r="F24" i="1"/>
  <c r="F23" i="1"/>
  <c r="F20" i="1"/>
  <c r="F19" i="1"/>
  <c r="F18" i="1"/>
  <c r="F17" i="1"/>
  <c r="F14" i="1"/>
  <c r="F13" i="1"/>
  <c r="F12" i="1"/>
  <c r="F11" i="1"/>
  <c r="F10" i="1"/>
  <c r="F9" i="1"/>
  <c r="H14" i="1" l="1"/>
  <c r="H33" i="1"/>
  <c r="H53" i="1"/>
  <c r="H81" i="1"/>
  <c r="H99" i="1"/>
  <c r="H115" i="1"/>
  <c r="H131" i="1"/>
  <c r="H12" i="2"/>
  <c r="H31" i="2"/>
  <c r="H49" i="2"/>
  <c r="H67" i="2"/>
  <c r="H84" i="2"/>
  <c r="H97" i="2"/>
  <c r="H106" i="2"/>
  <c r="H124" i="2"/>
  <c r="H128" i="2"/>
  <c r="H132" i="2"/>
  <c r="H23" i="1"/>
  <c r="H48" i="1"/>
  <c r="H73" i="1"/>
  <c r="H96" i="1"/>
  <c r="H100" i="1"/>
  <c r="H112" i="1"/>
  <c r="H120" i="1"/>
  <c r="H124" i="1"/>
  <c r="H128" i="1"/>
  <c r="H132" i="1"/>
  <c r="H142" i="1"/>
  <c r="H151" i="1"/>
  <c r="H9" i="2"/>
  <c r="H13" i="2"/>
  <c r="H19" i="2"/>
  <c r="H28" i="2"/>
  <c r="H32" i="2"/>
  <c r="H38" i="2"/>
  <c r="H43" i="2"/>
  <c r="H50" i="2"/>
  <c r="H56" i="2"/>
  <c r="H64" i="2"/>
  <c r="H68" i="2"/>
  <c r="H76" i="2"/>
  <c r="H80" i="2"/>
  <c r="H85" i="2"/>
  <c r="H91" i="2"/>
  <c r="H103" i="2"/>
  <c r="H107" i="2"/>
  <c r="H113" i="2"/>
  <c r="H121" i="2"/>
  <c r="H125" i="2"/>
  <c r="H129" i="2"/>
  <c r="H133" i="2"/>
  <c r="H143" i="2"/>
  <c r="H10" i="1"/>
  <c r="H29" i="1"/>
  <c r="H44" i="1"/>
  <c r="H65" i="1"/>
  <c r="H77" i="1"/>
  <c r="H92" i="1"/>
  <c r="H109" i="1"/>
  <c r="H127" i="1"/>
  <c r="H150" i="1"/>
  <c r="H18" i="2"/>
  <c r="H35" i="2"/>
  <c r="H55" i="2"/>
  <c r="H74" i="2"/>
  <c r="H101" i="2"/>
  <c r="H120" i="2"/>
  <c r="H151" i="2"/>
  <c r="H17" i="1"/>
  <c r="H34" i="1"/>
  <c r="H54" i="1"/>
  <c r="H66" i="1"/>
  <c r="H78" i="1"/>
  <c r="H89" i="1"/>
  <c r="H105" i="1"/>
  <c r="H12" i="1"/>
  <c r="H18" i="1"/>
  <c r="H24" i="1"/>
  <c r="H31" i="1"/>
  <c r="H35" i="1"/>
  <c r="H42" i="1"/>
  <c r="H49" i="1"/>
  <c r="H55" i="1"/>
  <c r="H61" i="1"/>
  <c r="H67" i="1"/>
  <c r="H74" i="1"/>
  <c r="H79" i="1"/>
  <c r="H84" i="1"/>
  <c r="H90" i="1"/>
  <c r="H97" i="1"/>
  <c r="H101" i="1"/>
  <c r="H106" i="1"/>
  <c r="H113" i="1"/>
  <c r="H121" i="1"/>
  <c r="H125" i="1"/>
  <c r="H129" i="1"/>
  <c r="H133" i="1"/>
  <c r="H143" i="1"/>
  <c r="H10" i="2"/>
  <c r="H14" i="2"/>
  <c r="H20" i="2"/>
  <c r="H29" i="2"/>
  <c r="H33" i="2"/>
  <c r="H39" i="2"/>
  <c r="H44" i="2"/>
  <c r="H53" i="2"/>
  <c r="H59" i="2"/>
  <c r="H65" i="2"/>
  <c r="H69" i="2"/>
  <c r="H77" i="2"/>
  <c r="H81" i="2"/>
  <c r="H88" i="2"/>
  <c r="H92" i="2"/>
  <c r="H99" i="2"/>
  <c r="H104" i="2"/>
  <c r="H109" i="2"/>
  <c r="H114" i="2"/>
  <c r="H122" i="2"/>
  <c r="H126" i="2"/>
  <c r="H130" i="2"/>
  <c r="H136" i="2"/>
  <c r="H137" i="2" s="1"/>
  <c r="H171" i="2" s="1"/>
  <c r="H149" i="2"/>
  <c r="H20" i="1"/>
  <c r="H39" i="1"/>
  <c r="H59" i="1"/>
  <c r="H69" i="1"/>
  <c r="H88" i="1"/>
  <c r="H104" i="1"/>
  <c r="H123" i="1"/>
  <c r="H140" i="1"/>
  <c r="H24" i="2"/>
  <c r="H42" i="2"/>
  <c r="H61" i="2"/>
  <c r="H79" i="2"/>
  <c r="H90" i="2"/>
  <c r="H112" i="2"/>
  <c r="H142" i="2"/>
  <c r="H11" i="1"/>
  <c r="H30" i="1"/>
  <c r="H41" i="1"/>
  <c r="H60" i="1"/>
  <c r="H83" i="1"/>
  <c r="H9" i="1"/>
  <c r="H13" i="1"/>
  <c r="H19" i="1"/>
  <c r="H28" i="1"/>
  <c r="H32" i="1"/>
  <c r="H38" i="1"/>
  <c r="H43" i="1"/>
  <c r="H50" i="1"/>
  <c r="H56" i="1"/>
  <c r="H64" i="1"/>
  <c r="H68" i="1"/>
  <c r="H76" i="1"/>
  <c r="H80" i="1"/>
  <c r="H85" i="1"/>
  <c r="H91" i="1"/>
  <c r="H103" i="1"/>
  <c r="H107" i="1"/>
  <c r="H114" i="1"/>
  <c r="H122" i="1"/>
  <c r="H126" i="1"/>
  <c r="H130" i="1"/>
  <c r="H136" i="1"/>
  <c r="H137" i="1" s="1"/>
  <c r="H171" i="1" s="1"/>
  <c r="H149" i="1"/>
  <c r="H11" i="2"/>
  <c r="H17" i="2"/>
  <c r="H23" i="2"/>
  <c r="H30" i="2"/>
  <c r="H34" i="2"/>
  <c r="H41" i="2"/>
  <c r="H48" i="2"/>
  <c r="H54" i="2"/>
  <c r="H60" i="2"/>
  <c r="H66" i="2"/>
  <c r="H73" i="2"/>
  <c r="H78" i="2"/>
  <c r="H83" i="2"/>
  <c r="H89" i="2"/>
  <c r="H96" i="2"/>
  <c r="H100" i="2"/>
  <c r="H105" i="2"/>
  <c r="H110" i="2"/>
  <c r="H115" i="2"/>
  <c r="H123" i="2"/>
  <c r="H127" i="2"/>
  <c r="H131" i="2"/>
  <c r="H140" i="2"/>
  <c r="H150" i="2"/>
  <c r="H146" i="2" l="1"/>
  <c r="H172" i="2" s="1"/>
  <c r="H51" i="2"/>
  <c r="H163" i="2" s="1"/>
  <c r="H152" i="2"/>
  <c r="H173" i="2" s="1"/>
  <c r="H146" i="1"/>
  <c r="H172" i="1" s="1"/>
  <c r="H152" i="1"/>
  <c r="H173" i="1" s="1"/>
  <c r="H70" i="1"/>
  <c r="H166" i="1" s="1"/>
  <c r="H21" i="2"/>
  <c r="H159" i="2" s="1"/>
  <c r="H93" i="1"/>
  <c r="H168" i="1" s="1"/>
  <c r="H15" i="2"/>
  <c r="H158" i="2" s="1"/>
  <c r="H25" i="1"/>
  <c r="H160" i="1" s="1"/>
  <c r="H25" i="2"/>
  <c r="H160" i="2" s="1"/>
  <c r="H36" i="2"/>
  <c r="H161" i="2" s="1"/>
  <c r="H62" i="2"/>
  <c r="H165" i="2" s="1"/>
  <c r="H36" i="1"/>
  <c r="H161" i="1" s="1"/>
  <c r="H57" i="2"/>
  <c r="H164" i="2" s="1"/>
  <c r="H45" i="1"/>
  <c r="H162" i="1" s="1"/>
  <c r="H134" i="2"/>
  <c r="H170" i="2" s="1"/>
  <c r="H70" i="2"/>
  <c r="H166" i="2" s="1"/>
  <c r="H117" i="1"/>
  <c r="H169" i="1" s="1"/>
  <c r="H57" i="1"/>
  <c r="H164" i="1" s="1"/>
  <c r="H62" i="1"/>
  <c r="H165" i="1" s="1"/>
  <c r="H21" i="1"/>
  <c r="H159" i="1" s="1"/>
  <c r="H45" i="2"/>
  <c r="H162" i="2" s="1"/>
  <c r="H134" i="1"/>
  <c r="H170" i="1" s="1"/>
  <c r="H51" i="1"/>
  <c r="H163" i="1" s="1"/>
  <c r="H117" i="2"/>
  <c r="H169" i="2" s="1"/>
  <c r="H86" i="2"/>
  <c r="H167" i="2" s="1"/>
  <c r="H15" i="1"/>
  <c r="H158" i="1" s="1"/>
  <c r="H93" i="2"/>
  <c r="H168" i="2" s="1"/>
  <c r="H86" i="1"/>
  <c r="H167" i="1" s="1"/>
  <c r="H176" i="2" l="1"/>
  <c r="H176" i="1"/>
  <c r="H177" i="1" l="1"/>
  <c r="H178" i="1" s="1"/>
  <c r="H177" i="2"/>
  <c r="H178" i="2" s="1"/>
  <c r="H186" i="2" s="1"/>
  <c r="H179" i="2" l="1"/>
  <c r="H180" i="2" s="1"/>
  <c r="H182" i="2" s="1"/>
  <c r="H179" i="1"/>
  <c r="H180" i="1" s="1"/>
  <c r="H182" i="1" s="1"/>
  <c r="H186" i="1"/>
</calcChain>
</file>

<file path=xl/sharedStrings.xml><?xml version="1.0" encoding="utf-8"?>
<sst xmlns="http://schemas.openxmlformats.org/spreadsheetml/2006/main" count="2032" uniqueCount="381">
  <si>
    <t>RENCANA  ANGGARAN  BIAYA</t>
  </si>
  <si>
    <t>BANGUNAN RUMAH TINGGAL BLOK MONTEVERDE</t>
  </si>
  <si>
    <t>PERUMAHAN CITRA LAND CIBUBUR</t>
  </si>
  <si>
    <t>New Livistona 1 34/60</t>
  </si>
  <si>
    <t>NO</t>
  </si>
  <si>
    <t>URAIAN  PEKERJAAN</t>
  </si>
  <si>
    <t>SAT.</t>
  </si>
  <si>
    <t>Volume</t>
  </si>
  <si>
    <t>Jumlah</t>
  </si>
  <si>
    <t>T. 34/60</t>
  </si>
  <si>
    <t>I</t>
  </si>
  <si>
    <t>PEKERJAAN PERSIAPAN</t>
  </si>
  <si>
    <t>Pas.Bouwplank</t>
  </si>
  <si>
    <t>M'</t>
  </si>
  <si>
    <t>Air dan Listrik kerja</t>
  </si>
  <si>
    <t>LS</t>
  </si>
  <si>
    <t>Gudang/Direksi Keet</t>
  </si>
  <si>
    <t>Keamanan + Kebersihan</t>
  </si>
  <si>
    <t>Anti Rayap Rumah - Tanah</t>
  </si>
  <si>
    <t>M2</t>
  </si>
  <si>
    <t xml:space="preserve">                               - Bangunan</t>
  </si>
  <si>
    <t>II</t>
  </si>
  <si>
    <t>PEK. GALIAN</t>
  </si>
  <si>
    <t>Galian Tanah</t>
  </si>
  <si>
    <t>M3</t>
  </si>
  <si>
    <t>Urugan Tanah Kembali + buang (perataan)</t>
  </si>
  <si>
    <t>Urugan pasir bawah lantai t. 5cm dan Pondasi</t>
  </si>
  <si>
    <t xml:space="preserve">Floor lantai dasar 4cm </t>
  </si>
  <si>
    <t>III</t>
  </si>
  <si>
    <t>PEK.PONDASI:</t>
  </si>
  <si>
    <t>Pondasi Batu Kali</t>
  </si>
  <si>
    <t>Rollag Bata</t>
  </si>
  <si>
    <t>m3</t>
  </si>
  <si>
    <t>IV</t>
  </si>
  <si>
    <t>PEK.STRUKTUR:</t>
  </si>
  <si>
    <t xml:space="preserve"> - Beton K175</t>
  </si>
  <si>
    <t>Sloof</t>
  </si>
  <si>
    <t>Balok Lantai 1</t>
  </si>
  <si>
    <t>Ring Balok dan balok latai</t>
  </si>
  <si>
    <t>Kolom Beton type   K1 dan K2</t>
  </si>
  <si>
    <t>Kolom Praktis</t>
  </si>
  <si>
    <t>Plat Canopy</t>
  </si>
  <si>
    <t xml:space="preserve">Dak beton Talang t. 12 cm </t>
  </si>
  <si>
    <t>Meja Dapur</t>
  </si>
  <si>
    <t>V</t>
  </si>
  <si>
    <t>PEK. FINISHING LANTAI</t>
  </si>
  <si>
    <t>Lantai keramik 50x50  R. Teras Depan</t>
  </si>
  <si>
    <t>Lantai Granite 60x60 R. Tamu,r. tidur, r. Keluarga,r. Makan dan dapur</t>
  </si>
  <si>
    <t xml:space="preserve">eks. Sandi Mas  type Lotus White... </t>
  </si>
  <si>
    <t>Rabat beton + Koral sikat pd carport incld. kansteen pembatas Carport</t>
  </si>
  <si>
    <t>VI</t>
  </si>
  <si>
    <t>PEK. FINISHING DINDING:</t>
  </si>
  <si>
    <t>Keramik Dinding</t>
  </si>
  <si>
    <t>VII</t>
  </si>
  <si>
    <t>PEK. PLAFOND:</t>
  </si>
  <si>
    <t>Plafond Gypsum t. 9mm + rangka hollow</t>
  </si>
  <si>
    <t>Cornice Coakan bagian dalam</t>
  </si>
  <si>
    <t>Cornice   Luar 4x4 cm</t>
  </si>
  <si>
    <t>Plafond Calsiboard t. 4mm rk. Hollow (plafond KM/WC + plafond luar)</t>
  </si>
  <si>
    <t>VIII</t>
  </si>
  <si>
    <t>PEK. PASANGAN BATA &amp; PLASTERAN</t>
  </si>
  <si>
    <t>Pas.Bata Trasraam 1:2</t>
  </si>
  <si>
    <t>Pas.Bata 1:5</t>
  </si>
  <si>
    <t>Plester dan Acian Dinding</t>
  </si>
  <si>
    <t>IX</t>
  </si>
  <si>
    <t>PEK.ATAP:</t>
  </si>
  <si>
    <t>Konst. Atap  Bangunan Utama (baja ringan fin. Galvanised) + almn. Foil</t>
  </si>
  <si>
    <t>Pasangan Atap Genteng beton</t>
  </si>
  <si>
    <t>Pek. Lisplang  teras belakang, atas dan muka</t>
  </si>
  <si>
    <t>Flashing</t>
  </si>
  <si>
    <t>Genteng Nok</t>
  </si>
  <si>
    <t>Genting tepi</t>
  </si>
  <si>
    <t>X</t>
  </si>
  <si>
    <t>PEKERJAAN PINTU DAN JENDELA</t>
  </si>
  <si>
    <t>Daun pintu Utama, Dalam dan KM/WC incld. Finished terpasang</t>
  </si>
  <si>
    <t>-</t>
  </si>
  <si>
    <t>Daun Pintu dalam P1 (laminated)</t>
  </si>
  <si>
    <t>BH</t>
  </si>
  <si>
    <t>Daun Pintu utama doubel teak wood rangka singkil (seperti gbr + accs)</t>
  </si>
  <si>
    <t>Kusen Almn eks.</t>
  </si>
  <si>
    <t>Kusen +dn jendela  (2 daun) + kaca + accs (PJ1)</t>
  </si>
  <si>
    <t>Unit</t>
  </si>
  <si>
    <t>Kusen +2 dn jendela kaca + BV + accs (PJ2)</t>
  </si>
  <si>
    <t>Kusen + 2 dn jendela  + kaca +  accs R. tidur belakang (W5)</t>
  </si>
  <si>
    <t>Kusen +dn jendela  t. 5mm + accs R. tidur depan dan R. Tamu (W1&amp;W4)</t>
  </si>
  <si>
    <t>Kusen + kaca mati t. 6mm pada bagian atas  (type W6)</t>
  </si>
  <si>
    <t>Kusen + kaca mati t. 5mm pada bagian T. Muka  type W2, W3</t>
  </si>
  <si>
    <t>Kunci dan Engsel</t>
  </si>
  <si>
    <t>Kunci Pintu PU</t>
  </si>
  <si>
    <t>Kunci Pintu PJ1, Pintu dalam &amp; Km/wc dalam  + accs</t>
  </si>
  <si>
    <t>Engsel Daun Pintu</t>
  </si>
  <si>
    <t>bh</t>
  </si>
  <si>
    <t>XI</t>
  </si>
  <si>
    <t>PEK.PENGECATAN:</t>
  </si>
  <si>
    <t>Cat Dinding Dalam  ex. Catylac</t>
  </si>
  <si>
    <t>Cat Dinding Luar ex. ICI wheathershield</t>
  </si>
  <si>
    <t>Cat Plafond (incld. Cat cornice)</t>
  </si>
  <si>
    <t>Cat Listplank Kayu + grc</t>
  </si>
  <si>
    <t>Cat genting nok</t>
  </si>
  <si>
    <t>XII</t>
  </si>
  <si>
    <t>PEK. SANITASI DAN SALURAN</t>
  </si>
  <si>
    <t>KM/WC:</t>
  </si>
  <si>
    <t xml:space="preserve">Closet Monoblok terpasang lengkap + accs </t>
  </si>
  <si>
    <t xml:space="preserve">Kran Wastafel </t>
  </si>
  <si>
    <t xml:space="preserve"> Shower set</t>
  </si>
  <si>
    <t>Tempat Sabun</t>
  </si>
  <si>
    <t>Jet Spray u/ closet</t>
  </si>
  <si>
    <t>Dapur</t>
  </si>
  <si>
    <t>Kran sink + accs.</t>
  </si>
  <si>
    <t>Kicthen Sink + accs</t>
  </si>
  <si>
    <t>Kran Taman (Carport)</t>
  </si>
  <si>
    <t>Floor Drain (stainless lokal)</t>
  </si>
  <si>
    <t>Roof Drain Dak talang</t>
  </si>
  <si>
    <t>Instalasi Air Bersih:</t>
  </si>
  <si>
    <t>1/2"</t>
  </si>
  <si>
    <t>3/4"</t>
  </si>
  <si>
    <t>Instalasi Air Kotor: dan air hujan</t>
  </si>
  <si>
    <t>3"</t>
  </si>
  <si>
    <t>4"   (buangan s/d saluran kota)</t>
  </si>
  <si>
    <t>Bak Kontrol</t>
  </si>
  <si>
    <t>Bak Meter air</t>
  </si>
  <si>
    <t>XIII</t>
  </si>
  <si>
    <t>PEK.INSTALASI LISTRIK:</t>
  </si>
  <si>
    <t>Instalasi Titik Lampu (incld. Fiting)</t>
  </si>
  <si>
    <t>TTK</t>
  </si>
  <si>
    <t>Instalasi Stop Kontak</t>
  </si>
  <si>
    <t>Lampu Taman</t>
  </si>
  <si>
    <t>Instalasi Telepon incld outlet telp.</t>
  </si>
  <si>
    <t>Instalasi TV (incl. Outlet, + accs)</t>
  </si>
  <si>
    <t>Instalasi water heater  (incl. Outlet, + accs)</t>
  </si>
  <si>
    <t>Instalasi Stop Kontak AC</t>
  </si>
  <si>
    <t>Instalasi Exhoust Fan (incld. Unit Exhoust + accs)</t>
  </si>
  <si>
    <t>Saklar Single</t>
  </si>
  <si>
    <t>Saklar Ganda</t>
  </si>
  <si>
    <t>Stop Kontak Biasa</t>
  </si>
  <si>
    <t>Sparing SR Listrik dan telp dari Jar Kota ke Box MCB</t>
  </si>
  <si>
    <t>lot</t>
  </si>
  <si>
    <t>Grounding Kabel BC 6mm</t>
  </si>
  <si>
    <t>Lot</t>
  </si>
  <si>
    <t>Box Panel (incld. kabel tufur + MCB)</t>
  </si>
  <si>
    <t>unit</t>
  </si>
  <si>
    <t>XIV</t>
  </si>
  <si>
    <t>PEK. LAIN - LAIN</t>
  </si>
  <si>
    <t>Septictank dan rembesan</t>
  </si>
  <si>
    <t>PEK. PERUBAHAN BENTUK TAMPAK MUKA</t>
  </si>
  <si>
    <t>Pasangan Type Arcilla eks. Flexitile  ukr. 30x60 cm (matrial saja</t>
  </si>
  <si>
    <t>m2</t>
  </si>
  <si>
    <t>harga Rp. ,- (excld PPn)</t>
  </si>
  <si>
    <t>Water Proofing type Coating pada dak talang</t>
  </si>
  <si>
    <t>Finishing Kolom kotak pada teras Depan</t>
  </si>
  <si>
    <t>Plor aci dag talang &amp; canopy</t>
  </si>
  <si>
    <t>Opening lubang pintu &amp; jendela</t>
  </si>
  <si>
    <t>Sub. Total</t>
  </si>
  <si>
    <t>PEKERJAAN PLESTER DINDING SAMPING</t>
  </si>
  <si>
    <t>Plester dinding samping kanan (plester aci + aquaproof)</t>
  </si>
  <si>
    <t>Plester dinding samping kiri (plester aci + aquaproof)</t>
  </si>
  <si>
    <t>Plester dinding belakang  (pagar)</t>
  </si>
  <si>
    <t>REKAPITULASI</t>
  </si>
  <si>
    <t xml:space="preserve"> </t>
  </si>
  <si>
    <t>XV</t>
  </si>
  <si>
    <t>XVI</t>
  </si>
  <si>
    <t>Sub Total</t>
  </si>
  <si>
    <t>Luas ( m2) konst</t>
  </si>
  <si>
    <t>Harga /m2 ( Excl PPN)</t>
  </si>
  <si>
    <t>Harga per m2 excld ppn</t>
  </si>
  <si>
    <t>New Livistona 2 39/72</t>
  </si>
  <si>
    <t>T. 39/72</t>
  </si>
  <si>
    <t>Harga Satuan</t>
  </si>
  <si>
    <t>m1</t>
  </si>
  <si>
    <t>Pembulatan</t>
  </si>
  <si>
    <t>PPN 10%</t>
  </si>
  <si>
    <t>Total</t>
  </si>
  <si>
    <t>t. 55/60</t>
  </si>
  <si>
    <t>PEK. GALIAN DAN URUGAN</t>
  </si>
  <si>
    <t>Pemadatan tanah dasar dan pondasi</t>
  </si>
  <si>
    <t>Pondasi Batu Kali ( ukr. 25 x 60 X 60 dan 25X50x50)</t>
  </si>
  <si>
    <t>Footplat K175 tul. Ø8-15</t>
  </si>
  <si>
    <t>Sloof K175</t>
  </si>
  <si>
    <t>Balok Lantai &amp; Tangga K225</t>
  </si>
  <si>
    <t>Ring Balok dan Balok Dak K175</t>
  </si>
  <si>
    <t>Balok Praktis</t>
  </si>
  <si>
    <t>Kolom Beton Lantai 1</t>
  </si>
  <si>
    <t>Kolom Beton Lantai 2</t>
  </si>
  <si>
    <t xml:space="preserve">Kolom Praktis KP </t>
  </si>
  <si>
    <t>Plat Lantai t. 12 cm K225</t>
  </si>
  <si>
    <t>Tangga Beton K225</t>
  </si>
  <si>
    <t xml:space="preserve">Plat Dak &amp; Luifel t.10 cm K175, dak atap dan Canopy . </t>
  </si>
  <si>
    <t xml:space="preserve">Tambah Kurang Pekj. Beton </t>
  </si>
  <si>
    <t>Plin 10x60 cm</t>
  </si>
  <si>
    <t>Meja dapur ukr. 60x60</t>
  </si>
  <si>
    <t>Dinding dapur ukr. 60x60</t>
  </si>
  <si>
    <t>Plafond exposed area Tangga dak beton dan canopy</t>
  </si>
  <si>
    <t>Genteng Nok 3 Arah</t>
  </si>
  <si>
    <t>Genteng Nok Ujung</t>
  </si>
  <si>
    <t>Daun Pintu Utama</t>
  </si>
  <si>
    <t>Daun Pintu Belakang</t>
  </si>
  <si>
    <t>Daun Pintu Dalam</t>
  </si>
  <si>
    <t>Daun Pintu KM/WC</t>
  </si>
  <si>
    <t>Ls</t>
  </si>
  <si>
    <t>Kusen + daun jendela + daun jendela mati + kaca + accs (PU)</t>
  </si>
  <si>
    <t>Kusen + daun jendela (1 daun) + kaca + accs (J1)</t>
  </si>
  <si>
    <t>Kusen + daun jendela (2 daun) + kaca + accs (J2)</t>
  </si>
  <si>
    <t>Kusen + daun jendela + daun jendela mati + kaca + accs (J3)</t>
  </si>
  <si>
    <t>Kusen + daun jendela + daun jendela mati + kaca + accs (J4)</t>
  </si>
  <si>
    <t>Kusen + daun jendela mati (2 daun) + kaca + accs (J5)</t>
  </si>
  <si>
    <t>Kusen + daun jendela + daun jendela mati + kaca + accs (J6)</t>
  </si>
  <si>
    <t>Kusen + daun jendela mati + kaca + accs (K1)</t>
  </si>
  <si>
    <t>Kusen + daun jendela mati + kaca + accs (K2)</t>
  </si>
  <si>
    <t>Kusen + daun jendela mati + kaca + accs (K3)</t>
  </si>
  <si>
    <t>Kusen pintu (P1)</t>
  </si>
  <si>
    <t>Kusen pintu (P2)</t>
  </si>
  <si>
    <t>Kusen pintu (P3) + Daun Pintu + Kaca</t>
  </si>
  <si>
    <t>Kusen pintu (P4) + Daun Pintu + Kaca</t>
  </si>
  <si>
    <t>Kunci Pintu PB, Pintu dalam &amp; Km/wc dalam  + accs</t>
  </si>
  <si>
    <t>KM/WC 1:</t>
  </si>
  <si>
    <t>Tempat Sabun (coakan)</t>
  </si>
  <si>
    <t>KM/WC 2:</t>
  </si>
  <si>
    <t xml:space="preserve">Wastafel terpasang lengkap + accs (incld. kaca cermin) </t>
  </si>
  <si>
    <t>3/4" Hot</t>
  </si>
  <si>
    <t>3/4" Cold</t>
  </si>
  <si>
    <t>1.5"</t>
  </si>
  <si>
    <t>2.5"</t>
  </si>
  <si>
    <t>Instalasi Water Heater  (incl. Outlet, + accs)</t>
  </si>
  <si>
    <t>Stop Kontak AC</t>
  </si>
  <si>
    <t>Stop Kontak Water Heater</t>
  </si>
  <si>
    <t>Septictank dan rembesan (terpasang)</t>
  </si>
  <si>
    <t>Pekerjaan Resapan ukr. 100x100x250cm (sesuai gbr + accs)</t>
  </si>
  <si>
    <t>+ accs  (hand rail kayu Fin. Politour)</t>
  </si>
  <si>
    <t>Pekerjaan Bak Sampah dan bak Meter Air sesuai Gbr + accs</t>
  </si>
  <si>
    <t xml:space="preserve">pasangan Bata + Accs </t>
  </si>
  <si>
    <t>Dinding eksterior lt. 2, motif  Travertine 60x60cm tanpa nat ex. Valentino</t>
  </si>
  <si>
    <t>Finishing profil Beton tampak Muka pada overstek dan canopy</t>
  </si>
  <si>
    <t>Water Proofing type Coating pada dak talang dan Kamar Mandi</t>
  </si>
  <si>
    <t>Plester dinding samping kanan ( aquaproof)</t>
  </si>
  <si>
    <t>Plester dinding samping kiri ( aquaproof)</t>
  </si>
  <si>
    <t xml:space="preserve">Plester dinding belakang cat dinding </t>
  </si>
  <si>
    <t>NEW ATALEYA  46/60 (5X12)</t>
  </si>
  <si>
    <t>t. 46/60</t>
  </si>
  <si>
    <t>Sloof K175 ukr. 15 x 25</t>
  </si>
  <si>
    <t xml:space="preserve">Tambah Kurang volume Beton </t>
  </si>
  <si>
    <t>Pekerjaan Lapisan Granit 60x60 + stepnosing + Finishing</t>
  </si>
  <si>
    <t>Plin 10x40 cm (tanpa Plint hanya Nat) ex. Sandimas</t>
  </si>
  <si>
    <t>Closet Monoblok terpasang lengkap + accs ex. Toto - CW 421 J/SW 420 JP</t>
  </si>
  <si>
    <t xml:space="preserve"> Shower set ex. Toto - TX 433 SD</t>
  </si>
  <si>
    <t>Wastafel terpasang lengkap + accs ex. Toto - LW 236 CJ</t>
  </si>
  <si>
    <t>Kran Wastafel ex. Toto - TX 109 LD</t>
  </si>
  <si>
    <t>Jet Spray u/ closet ex. Wasser - WE 99 JS CHROME</t>
  </si>
  <si>
    <t>Kicthen Sink + accs ex. Wasser</t>
  </si>
  <si>
    <t>Kran Taman (Carport) ex. Wasser - TC 030 B</t>
  </si>
  <si>
    <t>Lantai keramik 50x50  R. Teras Depan ex. Milan Habitat - Spark Bronze</t>
  </si>
  <si>
    <t>Lantai keramik 50x50  R. Teras Belakang ex. Milan Habitat - Spark Bronze</t>
  </si>
  <si>
    <t>KM / WC Lt. Dasar ukr. 25x40 ex. Mulia - Lavanda Bianco</t>
  </si>
  <si>
    <t>KM / WC R. Shower ukr. 25x40 ex. Mulia - Valino Grey</t>
  </si>
  <si>
    <t>Kunci Pintu PU ex. Solid Gradino</t>
  </si>
  <si>
    <t>Kunci Pintu PJ1, Pintu dalam &amp; Km/wc dalam  + accs ex. Solid Gradino</t>
  </si>
  <si>
    <t>Engsel Daun Pintu ex. Solid Gradino</t>
  </si>
  <si>
    <t xml:space="preserve"> - accs. Listrik ex. Schneider</t>
  </si>
  <si>
    <t>Jet Spray u/ closet ex. Toto - TX 403 SB</t>
  </si>
  <si>
    <t>Wastafel terpasang lengkap + accs (incld. kaca cermin) ex. Toto</t>
  </si>
  <si>
    <t>Kran Wastafel ex. Toto - TX 109 LRR</t>
  </si>
  <si>
    <t xml:space="preserve"> Shower set ex. Toto - TX 432 SD</t>
  </si>
  <si>
    <t>CATATAN</t>
  </si>
  <si>
    <t>ex. Milan Habitat - Spark Bronze</t>
  </si>
  <si>
    <t>Lantai keramik 50x50  R. Teras Belakang</t>
  </si>
  <si>
    <t>eks. Sandimas</t>
  </si>
  <si>
    <t>ex. Sandimas - Lotus White</t>
  </si>
  <si>
    <t>ex. Mulia - Arkansas Stone</t>
  </si>
  <si>
    <t>ex. Milan Habitat - Petra Ebano</t>
  </si>
  <si>
    <t xml:space="preserve">KM / WC Lt. Dasar ukr. 25x40 </t>
  </si>
  <si>
    <t>ex. Mulia - Lavanda Bianco</t>
  </si>
  <si>
    <t xml:space="preserve">KM / WC R. Shower ukr. 25x40 </t>
  </si>
  <si>
    <t>ex. Mulia - Valino Grey</t>
  </si>
  <si>
    <t>ex. Powerblock</t>
  </si>
  <si>
    <t>ex. Mortindo</t>
  </si>
  <si>
    <t>ex. Abe Kogyo</t>
  </si>
  <si>
    <t>ex. Sumiton</t>
  </si>
  <si>
    <t xml:space="preserve">Kunci Pintu PU </t>
  </si>
  <si>
    <t>ex. Solid Gradino</t>
  </si>
  <si>
    <t>ex. Karang Pilang</t>
  </si>
  <si>
    <t>ex. Monier</t>
  </si>
  <si>
    <t>ex. Elephant</t>
  </si>
  <si>
    <t>ex. Propan</t>
  </si>
  <si>
    <t>ex. Wasser</t>
  </si>
  <si>
    <t>ex. Toto - CW 421 J/SW 420 JP</t>
  </si>
  <si>
    <t xml:space="preserve">Wastafel terpasang lengkap + accs </t>
  </si>
  <si>
    <t>ex. Toto - LW 236 CJ</t>
  </si>
  <si>
    <t>ex. Toto - TX 109 LD</t>
  </si>
  <si>
    <t xml:space="preserve"> Shower set </t>
  </si>
  <si>
    <t>ex. Toto - TX 433 SD</t>
  </si>
  <si>
    <t xml:space="preserve">Jet Spray u/ closet </t>
  </si>
  <si>
    <t>ex. Wasser - WE 99 JS CHROME</t>
  </si>
  <si>
    <t xml:space="preserve">Kicthen Sink + accs </t>
  </si>
  <si>
    <t xml:space="preserve">Kran Taman (Carport) </t>
  </si>
  <si>
    <t>ex. Wasser - TC 030 B</t>
  </si>
  <si>
    <t>ex. Wasser - TC 040 B</t>
  </si>
  <si>
    <t>ex. Vinilon/Wavin/LG</t>
  </si>
  <si>
    <t>ex. KIA - Ivory</t>
  </si>
  <si>
    <t>ex. Milan Habitat - Bio Cream</t>
  </si>
  <si>
    <t>ex. Westpex</t>
  </si>
  <si>
    <t>ex. Panasonic</t>
  </si>
  <si>
    <t>ex. Lumax</t>
  </si>
  <si>
    <t>ex. Schneider</t>
  </si>
  <si>
    <t>ex. Flexitile - Arcilla</t>
  </si>
  <si>
    <t>ex. Pancawira - Biotank</t>
  </si>
  <si>
    <t>ex. AM/Delta Brick</t>
  </si>
  <si>
    <t xml:space="preserve">Lantai keramik 60x60 Teras </t>
  </si>
  <si>
    <t>ex. Valentino Grey</t>
  </si>
  <si>
    <t xml:space="preserve">Lantai keramik 60x60  Dapur </t>
  </si>
  <si>
    <t>ex.Sandimas - Lotus White</t>
  </si>
  <si>
    <t xml:space="preserve">Lantai keramik  KM /WC 1, </t>
  </si>
  <si>
    <t>ex. Valentino Gress - Tropez Grey</t>
  </si>
  <si>
    <t xml:space="preserve">Lantai keramik  KM /WC 2, </t>
  </si>
  <si>
    <t xml:space="preserve">Lantai keramik  KM /WC PRT, </t>
  </si>
  <si>
    <t>ex. Valentino Gress - Decomozaic Silver</t>
  </si>
  <si>
    <t>IKDP</t>
  </si>
  <si>
    <t>incld</t>
  </si>
  <si>
    <t>Plor aci dag talang + canopy*</t>
  </si>
  <si>
    <t>Opening Lubang kusen + jendela*</t>
  </si>
  <si>
    <t>Plor aci dag talang + canopy</t>
  </si>
  <si>
    <t>Opening lubang kusen + jendela</t>
  </si>
  <si>
    <t>Lantai keramik  KM /WC 40x40</t>
  </si>
  <si>
    <t>Ruang Dapur (30x60) dan meja dapur ukr. (60x60)</t>
  </si>
  <si>
    <t>ikdp Rev</t>
  </si>
  <si>
    <t xml:space="preserve">Pasangan Bata </t>
  </si>
  <si>
    <t>Lt. 01 V</t>
  </si>
  <si>
    <t>Lt. 1 Hz</t>
  </si>
  <si>
    <t>kusen</t>
  </si>
  <si>
    <t>beton</t>
  </si>
  <si>
    <t>Lt. 02 V</t>
  </si>
  <si>
    <t>sopi2</t>
  </si>
  <si>
    <t>Lt.02 Hz</t>
  </si>
  <si>
    <t>pagar</t>
  </si>
  <si>
    <t>PlesterAci</t>
  </si>
  <si>
    <t>minus</t>
  </si>
  <si>
    <t>samping Kanan</t>
  </si>
  <si>
    <t>Samping Kiri</t>
  </si>
  <si>
    <t>belakang</t>
  </si>
  <si>
    <t>sloof</t>
  </si>
  <si>
    <t>s1</t>
  </si>
  <si>
    <t>s2</t>
  </si>
  <si>
    <t>s3</t>
  </si>
  <si>
    <t xml:space="preserve">Balok Lantai </t>
  </si>
  <si>
    <t>B3</t>
  </si>
  <si>
    <t>B2A</t>
  </si>
  <si>
    <t>B1 : 15x20</t>
  </si>
  <si>
    <t>RB : 13x15</t>
  </si>
  <si>
    <t>Balok Latai</t>
  </si>
  <si>
    <t>harga</t>
  </si>
  <si>
    <t>jumlah</t>
  </si>
  <si>
    <t>Pekerjaan Lapisan Tangga Tile HH Pasang + Finishing</t>
  </si>
  <si>
    <t xml:space="preserve">Dinding keramik  KM /WC 1, HT  eks. HH Tinggi 260 cm </t>
  </si>
  <si>
    <t>Dinding keramik  KM /WC 2,  eks. HH tinggi 260 cm</t>
  </si>
  <si>
    <t>KM / WC 1 Area Shower ukr.  ex. HH</t>
  </si>
  <si>
    <t>KM / WC 2 Area , ex. HH  h. 260 cm</t>
  </si>
  <si>
    <t>Cat Dinding Dalam  exs. Propan</t>
  </si>
  <si>
    <t>Cat Dinding Luar ex. Propan</t>
  </si>
  <si>
    <t xml:space="preserve"> - accs. Listrik ex. Scneider</t>
  </si>
  <si>
    <t xml:space="preserve">Railing Tangga (sesuai gambar) Hand Raill Kayu saja </t>
  </si>
  <si>
    <t>diluar pemasangan Rp. ...,- excld PPn/m2)</t>
  </si>
  <si>
    <t>Dinding eksterior lt. 1,  Abu-abu 60x60cm tanpa nat ex. HH</t>
  </si>
  <si>
    <t xml:space="preserve">Fee </t>
  </si>
  <si>
    <t>harsat</t>
  </si>
  <si>
    <t>Rp.</t>
  </si>
  <si>
    <t>Rp</t>
  </si>
  <si>
    <t xml:space="preserve">Railling </t>
  </si>
  <si>
    <t>Lantai keramik 60x60 Teras, HT ex. Hapy House</t>
  </si>
  <si>
    <t xml:space="preserve">Beton </t>
  </si>
  <si>
    <t>Lantai keramik 60x60  Dapur Keramik</t>
  </si>
  <si>
    <t>Pas. Bata Fin Cat</t>
  </si>
  <si>
    <t>Hand railling</t>
  </si>
  <si>
    <t xml:space="preserve">eks. Hapy House </t>
  </si>
  <si>
    <t xml:space="preserve">Lantai keramik  KM /WC 1, ex. ……. Hapy House </t>
  </si>
  <si>
    <t xml:space="preserve">Lantai keramik  KM /WC 2, ex.  Hapy House </t>
  </si>
  <si>
    <t xml:space="preserve">Lantai keramik  KM /WC PRT,  exs. Hapy House </t>
  </si>
  <si>
    <t xml:space="preserve">Dinding keramik  KM /WC 1, HT eks. Hapy House </t>
  </si>
  <si>
    <t>Dinding keramik  KM /WC 2, type ... ex. Hapy  Hause</t>
  </si>
  <si>
    <t>KM / WC 1 Area Shower ukr. 60x60   eks. HH</t>
  </si>
  <si>
    <t>luas</t>
  </si>
  <si>
    <t xml:space="preserve">Pasangan Railling </t>
  </si>
  <si>
    <t xml:space="preserve">Cat Dinding Dalam  ex. … </t>
  </si>
  <si>
    <t xml:space="preserve">Cat Dinding Luar ex.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</si>
</sst>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_);_(* \(#,##0.00\);_(* &quot;-&quot;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Monotype Corsiva"/>
      <family val="4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Bookman Old Style"/>
      <family val="1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Monotype Corsiva"/>
      <family val="4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rgb="FF0000FF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12"/>
      <color theme="1"/>
      <name val="Arial"/>
      <family val="2"/>
    </font>
    <font>
      <sz val="10"/>
      <color rgb="FFFFFFFF"/>
      <name val="Arial"/>
      <family val="2"/>
    </font>
    <font>
      <i/>
      <sz val="10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>
      <alignment vertical="center"/>
    </xf>
    <xf numFmtId="41" fontId="1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76">
    <xf numFmtId="0" fontId="0" fillId="0" borderId="0" xfId="0"/>
    <xf numFmtId="0" fontId="3" fillId="0" borderId="0" xfId="1" applyFont="1"/>
    <xf numFmtId="0" fontId="4" fillId="0" borderId="0" xfId="1" applyFont="1"/>
    <xf numFmtId="0" fontId="2" fillId="0" borderId="0" xfId="1"/>
    <xf numFmtId="43" fontId="2" fillId="0" borderId="0" xfId="2" applyFill="1"/>
    <xf numFmtId="43" fontId="2" fillId="0" borderId="0" xfId="2" applyFont="1"/>
    <xf numFmtId="164" fontId="4" fillId="0" borderId="0" xfId="1" applyNumberFormat="1" applyFont="1"/>
    <xf numFmtId="43" fontId="5" fillId="0" borderId="0" xfId="2" applyFont="1" applyFill="1"/>
    <xf numFmtId="43" fontId="5" fillId="0" borderId="0" xfId="2" applyFont="1"/>
    <xf numFmtId="43" fontId="6" fillId="0" borderId="0" xfId="2" applyFont="1" applyAlignment="1">
      <alignment horizontal="right"/>
    </xf>
    <xf numFmtId="43" fontId="4" fillId="0" borderId="2" xfId="2" applyFont="1" applyFill="1" applyBorder="1" applyAlignment="1">
      <alignment horizontal="center" vertical="center"/>
    </xf>
    <xf numFmtId="43" fontId="4" fillId="0" borderId="4" xfId="2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center" vertical="center"/>
    </xf>
    <xf numFmtId="43" fontId="2" fillId="0" borderId="5" xfId="2" applyFont="1" applyFill="1" applyBorder="1" applyAlignment="1">
      <alignment horizontal="center" vertical="center"/>
    </xf>
    <xf numFmtId="43" fontId="2" fillId="2" borderId="5" xfId="2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center" vertical="center"/>
    </xf>
    <xf numFmtId="43" fontId="2" fillId="0" borderId="3" xfId="2" applyFont="1" applyFill="1" applyBorder="1" applyAlignment="1">
      <alignment horizontal="right" vertical="center"/>
    </xf>
    <xf numFmtId="43" fontId="2" fillId="2" borderId="3" xfId="2" applyFont="1" applyFill="1" applyBorder="1" applyAlignment="1">
      <alignment horizontal="right" vertical="center"/>
    </xf>
    <xf numFmtId="0" fontId="5" fillId="0" borderId="3" xfId="1" applyFont="1" applyBorder="1" applyAlignment="1">
      <alignment horizontal="right"/>
    </xf>
    <xf numFmtId="0" fontId="5" fillId="0" borderId="3" xfId="1" applyFont="1" applyBorder="1"/>
    <xf numFmtId="0" fontId="5" fillId="0" borderId="3" xfId="1" applyFont="1" applyBorder="1" applyAlignment="1">
      <alignment horizontal="center"/>
    </xf>
    <xf numFmtId="43" fontId="5" fillId="0" borderId="3" xfId="2" applyFont="1" applyFill="1" applyBorder="1" applyAlignment="1">
      <alignment horizontal="right"/>
    </xf>
    <xf numFmtId="165" fontId="5" fillId="0" borderId="3" xfId="2" applyNumberFormat="1" applyFont="1" applyFill="1" applyBorder="1" applyAlignment="1">
      <alignment horizontal="right"/>
    </xf>
    <xf numFmtId="43" fontId="9" fillId="0" borderId="3" xfId="2" applyFont="1" applyFill="1" applyBorder="1" applyAlignment="1">
      <alignment horizontal="right"/>
    </xf>
    <xf numFmtId="43" fontId="8" fillId="2" borderId="6" xfId="2" applyFont="1" applyFill="1" applyBorder="1" applyAlignment="1">
      <alignment horizontal="right"/>
    </xf>
    <xf numFmtId="0" fontId="8" fillId="0" borderId="3" xfId="1" applyFont="1" applyBorder="1" applyAlignment="1">
      <alignment horizontal="right"/>
    </xf>
    <xf numFmtId="0" fontId="8" fillId="0" borderId="3" xfId="1" applyFont="1" applyBorder="1"/>
    <xf numFmtId="43" fontId="9" fillId="0" borderId="5" xfId="2" applyFont="1" applyFill="1" applyBorder="1" applyAlignment="1">
      <alignment horizontal="right"/>
    </xf>
    <xf numFmtId="43" fontId="10" fillId="0" borderId="7" xfId="2" applyFont="1" applyFill="1" applyBorder="1"/>
    <xf numFmtId="0" fontId="5" fillId="0" borderId="3" xfId="1" applyFont="1" applyFill="1" applyBorder="1"/>
    <xf numFmtId="43" fontId="8" fillId="2" borderId="3" xfId="2" applyFont="1" applyFill="1" applyBorder="1" applyAlignment="1">
      <alignment horizontal="right"/>
    </xf>
    <xf numFmtId="13" fontId="9" fillId="0" borderId="3" xfId="2" applyNumberFormat="1" applyFont="1" applyFill="1" applyBorder="1" applyAlignment="1">
      <alignment horizontal="right"/>
    </xf>
    <xf numFmtId="0" fontId="5" fillId="0" borderId="3" xfId="3" applyFont="1" applyBorder="1" applyAlignment="1">
      <alignment horizontal="center"/>
    </xf>
    <xf numFmtId="0" fontId="5" fillId="0" borderId="3" xfId="3" applyFont="1" applyBorder="1"/>
    <xf numFmtId="43" fontId="5" fillId="0" borderId="3" xfId="2" applyFont="1" applyFill="1" applyBorder="1"/>
    <xf numFmtId="0" fontId="5" fillId="0" borderId="8" xfId="3" applyFont="1" applyBorder="1" applyAlignment="1">
      <alignment horizontal="center"/>
    </xf>
    <xf numFmtId="0" fontId="5" fillId="0" borderId="8" xfId="3" applyFont="1" applyBorder="1"/>
    <xf numFmtId="0" fontId="8" fillId="0" borderId="3" xfId="3" applyFont="1" applyBorder="1" applyAlignment="1">
      <alignment horizontal="right"/>
    </xf>
    <xf numFmtId="0" fontId="8" fillId="0" borderId="3" xfId="3" applyFont="1" applyBorder="1"/>
    <xf numFmtId="43" fontId="5" fillId="0" borderId="6" xfId="2" applyFont="1" applyFill="1" applyBorder="1"/>
    <xf numFmtId="0" fontId="5" fillId="0" borderId="3" xfId="3" applyFont="1" applyFill="1" applyBorder="1"/>
    <xf numFmtId="0" fontId="5" fillId="0" borderId="5" xfId="3" applyFont="1" applyFill="1" applyBorder="1"/>
    <xf numFmtId="0" fontId="5" fillId="0" borderId="5" xfId="3" applyFont="1" applyBorder="1" applyAlignment="1">
      <alignment horizontal="center"/>
    </xf>
    <xf numFmtId="43" fontId="5" fillId="0" borderId="5" xfId="2" applyFont="1" applyFill="1" applyBorder="1"/>
    <xf numFmtId="0" fontId="5" fillId="0" borderId="6" xfId="3" applyFont="1" applyFill="1" applyBorder="1" applyAlignment="1">
      <alignment horizontal="center"/>
    </xf>
    <xf numFmtId="0" fontId="5" fillId="0" borderId="3" xfId="3" applyFont="1" applyFill="1" applyBorder="1" applyAlignment="1">
      <alignment horizontal="center"/>
    </xf>
    <xf numFmtId="0" fontId="5" fillId="0" borderId="6" xfId="3" applyFont="1" applyBorder="1" applyAlignment="1">
      <alignment horizontal="center"/>
    </xf>
    <xf numFmtId="0" fontId="5" fillId="0" borderId="6" xfId="3" applyFont="1" applyBorder="1"/>
    <xf numFmtId="43" fontId="5" fillId="2" borderId="3" xfId="2" applyFont="1" applyFill="1" applyBorder="1"/>
    <xf numFmtId="0" fontId="5" fillId="0" borderId="0" xfId="1" applyFont="1" applyBorder="1" applyAlignment="1">
      <alignment horizontal="right"/>
    </xf>
    <xf numFmtId="0" fontId="5" fillId="0" borderId="0" xfId="1" applyFont="1" applyBorder="1"/>
    <xf numFmtId="0" fontId="5" fillId="0" borderId="0" xfId="1" applyFont="1" applyBorder="1" applyAlignment="1">
      <alignment horizontal="center"/>
    </xf>
    <xf numFmtId="43" fontId="5" fillId="0" borderId="9" xfId="2" applyFont="1" applyFill="1" applyBorder="1"/>
    <xf numFmtId="43" fontId="5" fillId="2" borderId="0" xfId="2" applyFont="1" applyFill="1" applyBorder="1" applyAlignment="1">
      <alignment horizontal="right"/>
    </xf>
    <xf numFmtId="43" fontId="5" fillId="0" borderId="0" xfId="2" applyFont="1" applyFill="1" applyBorder="1"/>
    <xf numFmtId="43" fontId="2" fillId="2" borderId="0" xfId="2" applyFont="1" applyFill="1"/>
    <xf numFmtId="0" fontId="5" fillId="2" borderId="3" xfId="1" applyFont="1" applyFill="1" applyBorder="1" applyAlignment="1">
      <alignment horizontal="right" vertical="center"/>
    </xf>
    <xf numFmtId="0" fontId="2" fillId="0" borderId="1" xfId="1" applyFont="1" applyBorder="1"/>
    <xf numFmtId="43" fontId="2" fillId="0" borderId="1" xfId="2" applyFont="1" applyFill="1" applyBorder="1" applyAlignment="1">
      <alignment horizontal="center"/>
    </xf>
    <xf numFmtId="43" fontId="8" fillId="2" borderId="1" xfId="2" applyFont="1" applyFill="1" applyBorder="1" applyAlignment="1">
      <alignment horizontal="center"/>
    </xf>
    <xf numFmtId="0" fontId="8" fillId="2" borderId="3" xfId="1" applyFont="1" applyFill="1" applyBorder="1" applyAlignment="1">
      <alignment horizontal="right" vertical="center"/>
    </xf>
    <xf numFmtId="0" fontId="2" fillId="0" borderId="3" xfId="1" applyBorder="1"/>
    <xf numFmtId="43" fontId="8" fillId="2" borderId="3" xfId="2" applyFont="1" applyFill="1" applyBorder="1"/>
    <xf numFmtId="0" fontId="8" fillId="0" borderId="0" xfId="1" applyFont="1" applyBorder="1" applyAlignment="1">
      <alignment horizontal="right"/>
    </xf>
    <xf numFmtId="0" fontId="8" fillId="0" borderId="0" xfId="1" applyFont="1" applyBorder="1"/>
    <xf numFmtId="0" fontId="2" fillId="0" borderId="0" xfId="1" applyBorder="1"/>
    <xf numFmtId="43" fontId="5" fillId="2" borderId="0" xfId="2" applyFont="1" applyFill="1"/>
    <xf numFmtId="43" fontId="4" fillId="0" borderId="0" xfId="2" applyFont="1" applyAlignment="1">
      <alignment horizontal="left"/>
    </xf>
    <xf numFmtId="43" fontId="4" fillId="0" borderId="0" xfId="2" applyFont="1"/>
    <xf numFmtId="43" fontId="2" fillId="0" borderId="0" xfId="2"/>
    <xf numFmtId="43" fontId="11" fillId="0" borderId="0" xfId="2" applyFont="1" applyFill="1"/>
    <xf numFmtId="43" fontId="2" fillId="0" borderId="0" xfId="2" applyFont="1" applyFill="1"/>
    <xf numFmtId="43" fontId="4" fillId="0" borderId="0" xfId="2" applyFont="1" applyAlignment="1">
      <alignment horizontal="right"/>
    </xf>
    <xf numFmtId="43" fontId="4" fillId="0" borderId="0" xfId="2" applyFont="1" applyFill="1"/>
    <xf numFmtId="0" fontId="12" fillId="0" borderId="0" xfId="1" applyFont="1"/>
    <xf numFmtId="164" fontId="4" fillId="0" borderId="0" xfId="2" applyNumberFormat="1" applyFont="1"/>
    <xf numFmtId="0" fontId="1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1" applyFont="1" applyFill="1" applyBorder="1"/>
    <xf numFmtId="0" fontId="4" fillId="0" borderId="0" xfId="1" applyFont="1" applyFill="1" applyBorder="1"/>
    <xf numFmtId="0" fontId="2" fillId="0" borderId="0" xfId="1" applyFont="1" applyFill="1" applyBorder="1"/>
    <xf numFmtId="43" fontId="2" fillId="0" borderId="0" xfId="2" applyFont="1" applyFill="1" applyBorder="1"/>
    <xf numFmtId="43" fontId="14" fillId="0" borderId="0" xfId="2" applyFont="1" applyFill="1" applyBorder="1"/>
    <xf numFmtId="164" fontId="4" fillId="0" borderId="0" xfId="1" applyNumberFormat="1" applyFont="1" applyFill="1" applyBorder="1"/>
    <xf numFmtId="43" fontId="16" fillId="0" borderId="0" xfId="2" applyFont="1" applyFill="1" applyBorder="1" applyAlignment="1">
      <alignment horizontal="right"/>
    </xf>
    <xf numFmtId="43" fontId="4" fillId="0" borderId="11" xfId="2" applyFont="1" applyFill="1" applyBorder="1" applyAlignment="1">
      <alignment vertical="center"/>
    </xf>
    <xf numFmtId="13" fontId="4" fillId="0" borderId="4" xfId="2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left" vertical="center"/>
    </xf>
    <xf numFmtId="0" fontId="2" fillId="5" borderId="5" xfId="1" applyFont="1" applyFill="1" applyBorder="1" applyAlignment="1">
      <alignment horizontal="center" vertical="center"/>
    </xf>
    <xf numFmtId="43" fontId="14" fillId="5" borderId="5" xfId="2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left" vertical="center"/>
    </xf>
    <xf numFmtId="0" fontId="2" fillId="5" borderId="3" xfId="1" applyFont="1" applyFill="1" applyBorder="1" applyAlignment="1">
      <alignment horizontal="center" vertical="center"/>
    </xf>
    <xf numFmtId="43" fontId="14" fillId="5" borderId="3" xfId="2" applyFont="1" applyFill="1" applyBorder="1" applyAlignment="1">
      <alignment horizontal="right" vertical="center"/>
    </xf>
    <xf numFmtId="0" fontId="5" fillId="0" borderId="3" xfId="1" applyFont="1" applyFill="1" applyBorder="1" applyAlignment="1">
      <alignment horizontal="right"/>
    </xf>
    <xf numFmtId="0" fontId="5" fillId="0" borderId="3" xfId="1" applyFont="1" applyFill="1" applyBorder="1" applyAlignment="1">
      <alignment horizontal="center"/>
    </xf>
    <xf numFmtId="43" fontId="18" fillId="0" borderId="3" xfId="2" applyFont="1" applyFill="1" applyBorder="1" applyAlignment="1">
      <alignment horizontal="right"/>
    </xf>
    <xf numFmtId="43" fontId="18" fillId="5" borderId="3" xfId="2" applyFont="1" applyFill="1" applyBorder="1" applyAlignment="1">
      <alignment horizontal="right"/>
    </xf>
    <xf numFmtId="0" fontId="5" fillId="3" borderId="3" xfId="1" applyFont="1" applyFill="1" applyBorder="1"/>
    <xf numFmtId="0" fontId="8" fillId="3" borderId="3" xfId="3" applyFont="1" applyFill="1" applyBorder="1" applyAlignment="1">
      <alignment horizontal="right"/>
    </xf>
    <xf numFmtId="0" fontId="5" fillId="3" borderId="3" xfId="1" applyFont="1" applyFill="1" applyBorder="1" applyAlignment="1">
      <alignment horizontal="center"/>
    </xf>
    <xf numFmtId="43" fontId="19" fillId="3" borderId="3" xfId="2" applyFont="1" applyFill="1" applyBorder="1" applyAlignment="1">
      <alignment horizontal="right"/>
    </xf>
    <xf numFmtId="43" fontId="20" fillId="6" borderId="6" xfId="2" applyFont="1" applyFill="1" applyBorder="1" applyAlignment="1">
      <alignment horizontal="right"/>
    </xf>
    <xf numFmtId="43" fontId="19" fillId="0" borderId="3" xfId="2" applyFont="1" applyFill="1" applyBorder="1" applyAlignment="1">
      <alignment horizontal="right"/>
    </xf>
    <xf numFmtId="43" fontId="20" fillId="5" borderId="6" xfId="2" applyFont="1" applyFill="1" applyBorder="1" applyAlignment="1">
      <alignment horizontal="right"/>
    </xf>
    <xf numFmtId="0" fontId="8" fillId="0" borderId="3" xfId="1" applyFont="1" applyFill="1" applyBorder="1" applyAlignment="1">
      <alignment horizontal="right"/>
    </xf>
    <xf numFmtId="0" fontId="8" fillId="0" borderId="3" xfId="1" applyFont="1" applyFill="1" applyBorder="1"/>
    <xf numFmtId="43" fontId="5" fillId="3" borderId="3" xfId="2" applyFont="1" applyFill="1" applyBorder="1" applyAlignment="1">
      <alignment horizontal="right"/>
    </xf>
    <xf numFmtId="0" fontId="8" fillId="3" borderId="3" xfId="1" applyFont="1" applyFill="1" applyBorder="1" applyAlignment="1">
      <alignment horizontal="right"/>
    </xf>
    <xf numFmtId="43" fontId="5" fillId="0" borderId="5" xfId="2" applyFont="1" applyFill="1" applyBorder="1" applyAlignment="1">
      <alignment horizontal="right"/>
    </xf>
    <xf numFmtId="0" fontId="5" fillId="5" borderId="3" xfId="4" applyFont="1" applyFill="1" applyBorder="1" applyAlignment="1"/>
    <xf numFmtId="0" fontId="21" fillId="3" borderId="3" xfId="1" applyFont="1" applyFill="1" applyBorder="1" applyAlignment="1">
      <alignment horizontal="right"/>
    </xf>
    <xf numFmtId="0" fontId="22" fillId="3" borderId="3" xfId="1" applyFont="1" applyFill="1" applyBorder="1" applyAlignment="1">
      <alignment horizontal="center"/>
    </xf>
    <xf numFmtId="43" fontId="22" fillId="3" borderId="3" xfId="2" applyFont="1" applyFill="1" applyBorder="1" applyAlignment="1">
      <alignment horizontal="right"/>
    </xf>
    <xf numFmtId="43" fontId="5" fillId="4" borderId="3" xfId="2" applyFont="1" applyFill="1" applyBorder="1" applyAlignment="1">
      <alignment horizontal="right"/>
    </xf>
    <xf numFmtId="0" fontId="5" fillId="3" borderId="3" xfId="1" applyFont="1" applyFill="1" applyBorder="1" applyAlignment="1">
      <alignment horizontal="right"/>
    </xf>
    <xf numFmtId="43" fontId="19" fillId="4" borderId="3" xfId="2" applyFont="1" applyFill="1" applyBorder="1" applyAlignment="1">
      <alignment horizontal="right"/>
    </xf>
    <xf numFmtId="4" fontId="5" fillId="4" borderId="3" xfId="2" applyNumberFormat="1" applyFont="1" applyFill="1" applyBorder="1" applyAlignment="1">
      <alignment horizontal="right"/>
    </xf>
    <xf numFmtId="43" fontId="20" fillId="6" borderId="3" xfId="2" applyFont="1" applyFill="1" applyBorder="1" applyAlignment="1">
      <alignment horizontal="right"/>
    </xf>
    <xf numFmtId="43" fontId="20" fillId="5" borderId="3" xfId="2" applyFont="1" applyFill="1" applyBorder="1" applyAlignment="1">
      <alignment horizontal="right"/>
    </xf>
    <xf numFmtId="41" fontId="5" fillId="4" borderId="3" xfId="5" applyFont="1" applyFill="1" applyBorder="1" applyAlignment="1">
      <alignment horizontal="right"/>
    </xf>
    <xf numFmtId="0" fontId="8" fillId="0" borderId="3" xfId="3" applyFont="1" applyFill="1" applyBorder="1" applyAlignment="1">
      <alignment horizontal="right"/>
    </xf>
    <xf numFmtId="13" fontId="19" fillId="4" borderId="3" xfId="2" applyNumberFormat="1" applyFont="1" applyFill="1" applyBorder="1" applyAlignment="1">
      <alignment horizontal="right"/>
    </xf>
    <xf numFmtId="0" fontId="5" fillId="7" borderId="3" xfId="1" applyFont="1" applyFill="1" applyBorder="1" applyAlignment="1">
      <alignment horizontal="right"/>
    </xf>
    <xf numFmtId="0" fontId="5" fillId="7" borderId="3" xfId="1" applyFont="1" applyFill="1" applyBorder="1"/>
    <xf numFmtId="0" fontId="5" fillId="7" borderId="3" xfId="1" applyFont="1" applyFill="1" applyBorder="1" applyAlignment="1">
      <alignment horizontal="center"/>
    </xf>
    <xf numFmtId="43" fontId="5" fillId="7" borderId="3" xfId="2" applyFont="1" applyFill="1" applyBorder="1" applyAlignment="1">
      <alignment horizontal="right"/>
    </xf>
    <xf numFmtId="43" fontId="18" fillId="8" borderId="3" xfId="2" applyFont="1" applyFill="1" applyBorder="1" applyAlignment="1">
      <alignment horizontal="right"/>
    </xf>
    <xf numFmtId="43" fontId="5" fillId="4" borderId="3" xfId="2" applyFont="1" applyFill="1" applyBorder="1"/>
    <xf numFmtId="0" fontId="5" fillId="0" borderId="3" xfId="3" quotePrefix="1" applyFont="1" applyFill="1" applyBorder="1"/>
    <xf numFmtId="0" fontId="5" fillId="3" borderId="3" xfId="3" applyFont="1" applyFill="1" applyBorder="1" applyAlignment="1">
      <alignment horizontal="center"/>
    </xf>
    <xf numFmtId="43" fontId="5" fillId="3" borderId="3" xfId="2" applyFont="1" applyFill="1" applyBorder="1"/>
    <xf numFmtId="43" fontId="18" fillId="6" borderId="3" xfId="2" applyFont="1" applyFill="1" applyBorder="1"/>
    <xf numFmtId="0" fontId="5" fillId="0" borderId="8" xfId="3" applyFont="1" applyFill="1" applyBorder="1" applyAlignment="1">
      <alignment horizontal="center"/>
    </xf>
    <xf numFmtId="0" fontId="5" fillId="0" borderId="8" xfId="3" applyFont="1" applyFill="1" applyBorder="1"/>
    <xf numFmtId="43" fontId="18" fillId="5" borderId="3" xfId="2" applyFont="1" applyFill="1" applyBorder="1"/>
    <xf numFmtId="0" fontId="8" fillId="0" borderId="3" xfId="3" applyFont="1" applyFill="1" applyBorder="1"/>
    <xf numFmtId="43" fontId="5" fillId="4" borderId="6" xfId="2" applyFont="1" applyFill="1" applyBorder="1"/>
    <xf numFmtId="0" fontId="5" fillId="0" borderId="5" xfId="3" applyFont="1" applyFill="1" applyBorder="1" applyAlignment="1">
      <alignment horizontal="center"/>
    </xf>
    <xf numFmtId="0" fontId="5" fillId="3" borderId="6" xfId="3" applyFont="1" applyFill="1" applyBorder="1" applyAlignment="1">
      <alignment horizontal="center"/>
    </xf>
    <xf numFmtId="43" fontId="5" fillId="3" borderId="6" xfId="2" applyFont="1" applyFill="1" applyBorder="1"/>
    <xf numFmtId="0" fontId="5" fillId="0" borderId="0" xfId="1" applyFont="1" applyFill="1" applyBorder="1" applyAlignment="1">
      <alignment horizontal="right"/>
    </xf>
    <xf numFmtId="0" fontId="5" fillId="0" borderId="0" xfId="1" applyFont="1" applyFill="1" applyBorder="1"/>
    <xf numFmtId="0" fontId="5" fillId="0" borderId="0" xfId="1" applyFont="1" applyFill="1" applyBorder="1" applyAlignment="1">
      <alignment horizontal="center"/>
    </xf>
    <xf numFmtId="43" fontId="5" fillId="4" borderId="0" xfId="2" applyFont="1" applyFill="1" applyBorder="1"/>
    <xf numFmtId="43" fontId="14" fillId="5" borderId="0" xfId="2" applyFont="1" applyFill="1" applyBorder="1"/>
    <xf numFmtId="0" fontId="5" fillId="5" borderId="3" xfId="1" applyFont="1" applyFill="1" applyBorder="1" applyAlignment="1">
      <alignment horizontal="right" vertical="center"/>
    </xf>
    <xf numFmtId="0" fontId="2" fillId="0" borderId="1" xfId="1" applyFont="1" applyFill="1" applyBorder="1"/>
    <xf numFmtId="43" fontId="8" fillId="0" borderId="1" xfId="2" applyFont="1" applyFill="1" applyBorder="1" applyAlignment="1">
      <alignment horizontal="center"/>
    </xf>
    <xf numFmtId="43" fontId="20" fillId="5" borderId="1" xfId="2" applyFont="1" applyFill="1" applyBorder="1" applyAlignment="1">
      <alignment horizontal="center"/>
    </xf>
    <xf numFmtId="43" fontId="14" fillId="5" borderId="1" xfId="2" applyFont="1" applyFill="1" applyBorder="1" applyAlignment="1">
      <alignment horizontal="center"/>
    </xf>
    <xf numFmtId="0" fontId="8" fillId="5" borderId="3" xfId="1" applyFont="1" applyFill="1" applyBorder="1" applyAlignment="1">
      <alignment horizontal="right" vertical="center"/>
    </xf>
    <xf numFmtId="0" fontId="2" fillId="0" borderId="3" xfId="1" applyFont="1" applyFill="1" applyBorder="1"/>
    <xf numFmtId="43" fontId="20" fillId="5" borderId="3" xfId="2" applyFont="1" applyFill="1" applyBorder="1"/>
    <xf numFmtId="0" fontId="8" fillId="0" borderId="12" xfId="1" applyFont="1" applyFill="1" applyBorder="1" applyAlignment="1">
      <alignment horizontal="right"/>
    </xf>
    <xf numFmtId="0" fontId="8" fillId="0" borderId="9" xfId="1" applyFont="1" applyFill="1" applyBorder="1"/>
    <xf numFmtId="0" fontId="2" fillId="0" borderId="9" xfId="1" applyFont="1" applyFill="1" applyBorder="1"/>
    <xf numFmtId="43" fontId="18" fillId="0" borderId="9" xfId="2" applyFont="1" applyFill="1" applyBorder="1"/>
    <xf numFmtId="43" fontId="20" fillId="0" borderId="9" xfId="2" applyFont="1" applyFill="1" applyBorder="1"/>
    <xf numFmtId="0" fontId="2" fillId="0" borderId="13" xfId="1" applyFont="1" applyFill="1" applyBorder="1"/>
    <xf numFmtId="43" fontId="17" fillId="0" borderId="0" xfId="2" applyFont="1" applyFill="1" applyBorder="1" applyAlignment="1">
      <alignment horizontal="right"/>
    </xf>
    <xf numFmtId="41" fontId="14" fillId="0" borderId="0" xfId="2" applyNumberFormat="1" applyFont="1" applyFill="1" applyBorder="1"/>
    <xf numFmtId="43" fontId="17" fillId="0" borderId="0" xfId="2" applyFont="1" applyFill="1" applyBorder="1" applyAlignment="1">
      <alignment horizontal="left"/>
    </xf>
    <xf numFmtId="165" fontId="23" fillId="0" borderId="0" xfId="2" applyNumberFormat="1" applyFont="1" applyFill="1" applyBorder="1"/>
    <xf numFmtId="43" fontId="24" fillId="0" borderId="0" xfId="2" applyFont="1" applyFill="1" applyBorder="1"/>
    <xf numFmtId="43" fontId="17" fillId="0" borderId="0" xfId="2" applyFont="1" applyFill="1" applyBorder="1"/>
    <xf numFmtId="165" fontId="14" fillId="0" borderId="0" xfId="2" applyNumberFormat="1" applyFont="1" applyFill="1" applyBorder="1"/>
    <xf numFmtId="41" fontId="25" fillId="0" borderId="0" xfId="2" applyNumberFormat="1" applyFont="1" applyFill="1" applyBorder="1"/>
    <xf numFmtId="41" fontId="17" fillId="0" borderId="0" xfId="2" applyNumberFormat="1" applyFont="1" applyFill="1" applyBorder="1"/>
    <xf numFmtId="165" fontId="17" fillId="0" borderId="0" xfId="2" applyNumberFormat="1" applyFont="1" applyFill="1" applyBorder="1"/>
    <xf numFmtId="43" fontId="4" fillId="0" borderId="0" xfId="2" applyFont="1" applyFill="1" applyBorder="1"/>
    <xf numFmtId="164" fontId="17" fillId="0" borderId="0" xfId="2" applyNumberFormat="1" applyFont="1" applyFill="1" applyBorder="1"/>
    <xf numFmtId="0" fontId="2" fillId="0" borderId="14" xfId="1" applyFont="1" applyFill="1" applyBorder="1"/>
    <xf numFmtId="0" fontId="2" fillId="0" borderId="15" xfId="1" applyFont="1" applyFill="1" applyBorder="1"/>
    <xf numFmtId="43" fontId="2" fillId="0" borderId="15" xfId="2" applyFont="1" applyFill="1" applyBorder="1"/>
    <xf numFmtId="43" fontId="14" fillId="0" borderId="15" xfId="2" applyFont="1" applyFill="1" applyBorder="1"/>
    <xf numFmtId="0" fontId="21" fillId="0" borderId="3" xfId="1" applyFont="1" applyFill="1" applyBorder="1" applyAlignment="1">
      <alignment horizontal="right"/>
    </xf>
    <xf numFmtId="0" fontId="22" fillId="0" borderId="3" xfId="1" applyFont="1" applyFill="1" applyBorder="1" applyAlignment="1">
      <alignment horizontal="center"/>
    </xf>
    <xf numFmtId="43" fontId="22" fillId="0" borderId="3" xfId="2" applyFont="1" applyFill="1" applyBorder="1" applyAlignment="1">
      <alignment horizontal="right"/>
    </xf>
    <xf numFmtId="4" fontId="5" fillId="9" borderId="3" xfId="2" applyNumberFormat="1" applyFont="1" applyFill="1" applyBorder="1" applyAlignment="1">
      <alignment horizontal="right"/>
    </xf>
    <xf numFmtId="43" fontId="5" fillId="9" borderId="3" xfId="2" applyFont="1" applyFill="1" applyBorder="1" applyAlignment="1">
      <alignment horizontal="right"/>
    </xf>
    <xf numFmtId="43" fontId="19" fillId="9" borderId="3" xfId="2" applyFont="1" applyFill="1" applyBorder="1" applyAlignment="1">
      <alignment horizontal="right"/>
    </xf>
    <xf numFmtId="43" fontId="5" fillId="9" borderId="3" xfId="2" applyFont="1" applyFill="1" applyBorder="1"/>
    <xf numFmtId="43" fontId="5" fillId="9" borderId="6" xfId="2" applyFont="1" applyFill="1" applyBorder="1"/>
    <xf numFmtId="43" fontId="5" fillId="9" borderId="5" xfId="2" applyFont="1" applyFill="1" applyBorder="1"/>
    <xf numFmtId="43" fontId="2" fillId="4" borderId="0" xfId="2" applyFont="1" applyFill="1" applyBorder="1"/>
    <xf numFmtId="43" fontId="8" fillId="10" borderId="1" xfId="2" applyFont="1" applyFill="1" applyBorder="1" applyAlignment="1">
      <alignment horizontal="center"/>
    </xf>
    <xf numFmtId="43" fontId="5" fillId="10" borderId="3" xfId="2" applyFont="1" applyFill="1" applyBorder="1"/>
    <xf numFmtId="43" fontId="4" fillId="0" borderId="10" xfId="2" applyFont="1" applyFill="1" applyBorder="1" applyAlignment="1">
      <alignment horizontal="center" vertical="center"/>
    </xf>
    <xf numFmtId="41" fontId="4" fillId="0" borderId="0" xfId="2" applyNumberFormat="1" applyFont="1" applyFill="1"/>
    <xf numFmtId="165" fontId="2" fillId="0" borderId="0" xfId="2" applyNumberFormat="1" applyFont="1" applyFill="1"/>
    <xf numFmtId="41" fontId="2" fillId="0" borderId="0" xfId="2" applyNumberFormat="1" applyFont="1" applyFill="1"/>
    <xf numFmtId="165" fontId="4" fillId="0" borderId="0" xfId="2" applyNumberFormat="1" applyFont="1" applyFill="1"/>
    <xf numFmtId="0" fontId="26" fillId="0" borderId="0" xfId="1" applyFont="1" applyFill="1" applyAlignment="1">
      <alignment horizontal="left" vertical="center"/>
    </xf>
    <xf numFmtId="0" fontId="26" fillId="0" borderId="0" xfId="6" applyNumberFormat="1" applyFont="1" applyFill="1"/>
    <xf numFmtId="0" fontId="28" fillId="0" borderId="0" xfId="1" applyFont="1" applyFill="1"/>
    <xf numFmtId="41" fontId="28" fillId="0" borderId="0" xfId="6" applyFont="1" applyFill="1"/>
    <xf numFmtId="0" fontId="26" fillId="0" borderId="0" xfId="1" applyFont="1" applyFill="1" applyAlignment="1">
      <alignment horizontal="left" vertical="center" wrapText="1"/>
    </xf>
    <xf numFmtId="0" fontId="28" fillId="0" borderId="0" xfId="1" applyFont="1" applyFill="1" applyAlignment="1">
      <alignment horizontal="left" vertical="center" wrapText="1"/>
    </xf>
    <xf numFmtId="0" fontId="5" fillId="0" borderId="5" xfId="3" applyFont="1" applyBorder="1"/>
    <xf numFmtId="0" fontId="26" fillId="0" borderId="0" xfId="6" applyNumberFormat="1" applyFont="1" applyFill="1" applyAlignment="1">
      <alignment horizontal="center" vertical="center" wrapText="1"/>
    </xf>
    <xf numFmtId="41" fontId="28" fillId="0" borderId="0" xfId="6" applyFont="1" applyFill="1" applyAlignment="1">
      <alignment horizontal="center" vertical="center" wrapText="1"/>
    </xf>
    <xf numFmtId="0" fontId="8" fillId="3" borderId="6" xfId="3" applyFont="1" applyFill="1" applyBorder="1" applyAlignment="1">
      <alignment horizontal="right"/>
    </xf>
    <xf numFmtId="165" fontId="8" fillId="0" borderId="3" xfId="2" applyNumberFormat="1" applyFont="1" applyFill="1" applyBorder="1" applyAlignment="1">
      <alignment horizontal="right"/>
    </xf>
    <xf numFmtId="43" fontId="14" fillId="0" borderId="3" xfId="2" applyFont="1" applyFill="1" applyBorder="1" applyAlignment="1">
      <alignment horizontal="right"/>
    </xf>
    <xf numFmtId="43" fontId="14" fillId="0" borderId="6" xfId="2" applyFont="1" applyFill="1" applyBorder="1" applyAlignment="1">
      <alignment horizontal="right"/>
    </xf>
    <xf numFmtId="43" fontId="17" fillId="6" borderId="6" xfId="2" applyFont="1" applyFill="1" applyBorder="1" applyAlignment="1">
      <alignment horizontal="right"/>
    </xf>
    <xf numFmtId="43" fontId="17" fillId="5" borderId="6" xfId="2" applyFont="1" applyFill="1" applyBorder="1" applyAlignment="1">
      <alignment horizontal="right"/>
    </xf>
    <xf numFmtId="43" fontId="14" fillId="5" borderId="3" xfId="2" applyFont="1" applyFill="1" applyBorder="1" applyAlignment="1">
      <alignment horizontal="right"/>
    </xf>
    <xf numFmtId="43" fontId="14" fillId="3" borderId="3" xfId="2" applyFont="1" applyFill="1" applyBorder="1" applyAlignment="1">
      <alignment horizontal="right"/>
    </xf>
    <xf numFmtId="43" fontId="14" fillId="0" borderId="2" xfId="2" applyFont="1" applyFill="1" applyBorder="1" applyAlignment="1">
      <alignment horizontal="right"/>
    </xf>
    <xf numFmtId="43" fontId="17" fillId="6" borderId="3" xfId="2" applyFont="1" applyFill="1" applyBorder="1" applyAlignment="1">
      <alignment horizontal="right"/>
    </xf>
    <xf numFmtId="43" fontId="17" fillId="5" borderId="3" xfId="2" applyFont="1" applyFill="1" applyBorder="1" applyAlignment="1">
      <alignment horizontal="right"/>
    </xf>
    <xf numFmtId="43" fontId="14" fillId="0" borderId="3" xfId="2" applyFont="1" applyFill="1" applyBorder="1"/>
    <xf numFmtId="43" fontId="14" fillId="0" borderId="6" xfId="2" applyFont="1" applyFill="1" applyBorder="1"/>
    <xf numFmtId="43" fontId="14" fillId="0" borderId="8" xfId="2" applyFont="1" applyFill="1" applyBorder="1"/>
    <xf numFmtId="166" fontId="14" fillId="0" borderId="3" xfId="2" applyNumberFormat="1" applyFont="1" applyFill="1" applyBorder="1" applyAlignment="1">
      <alignment horizontal="right"/>
    </xf>
    <xf numFmtId="43" fontId="14" fillId="5" borderId="3" xfId="2" applyFont="1" applyFill="1" applyBorder="1"/>
    <xf numFmtId="43" fontId="14" fillId="5" borderId="0" xfId="2" applyFont="1" applyFill="1" applyBorder="1" applyAlignment="1">
      <alignment horizontal="right"/>
    </xf>
    <xf numFmtId="43" fontId="17" fillId="5" borderId="1" xfId="2" applyFont="1" applyFill="1" applyBorder="1" applyAlignment="1">
      <alignment horizontal="center"/>
    </xf>
    <xf numFmtId="43" fontId="17" fillId="5" borderId="3" xfId="2" applyFont="1" applyFill="1" applyBorder="1"/>
    <xf numFmtId="165" fontId="2" fillId="0" borderId="3" xfId="2" applyNumberFormat="1" applyFont="1" applyFill="1" applyBorder="1" applyAlignment="1">
      <alignment horizontal="right"/>
    </xf>
    <xf numFmtId="43" fontId="4" fillId="2" borderId="6" xfId="2" applyFont="1" applyFill="1" applyBorder="1" applyAlignment="1">
      <alignment horizontal="right"/>
    </xf>
    <xf numFmtId="165" fontId="4" fillId="0" borderId="6" xfId="2" applyNumberFormat="1" applyFont="1" applyFill="1" applyBorder="1" applyAlignment="1">
      <alignment horizontal="right"/>
    </xf>
    <xf numFmtId="43" fontId="4" fillId="2" borderId="3" xfId="2" applyFont="1" applyFill="1" applyBorder="1" applyAlignment="1">
      <alignment horizontal="right"/>
    </xf>
    <xf numFmtId="165" fontId="4" fillId="0" borderId="3" xfId="2" applyNumberFormat="1" applyFont="1" applyFill="1" applyBorder="1" applyAlignment="1">
      <alignment horizontal="right"/>
    </xf>
    <xf numFmtId="43" fontId="2" fillId="2" borderId="3" xfId="2" applyFont="1" applyFill="1" applyBorder="1"/>
    <xf numFmtId="43" fontId="2" fillId="2" borderId="0" xfId="2" applyFont="1" applyFill="1" applyBorder="1" applyAlignment="1">
      <alignment horizontal="right"/>
    </xf>
    <xf numFmtId="43" fontId="4" fillId="2" borderId="1" xfId="2" applyFont="1" applyFill="1" applyBorder="1" applyAlignment="1">
      <alignment horizontal="center"/>
    </xf>
    <xf numFmtId="43" fontId="4" fillId="2" borderId="3" xfId="2" applyFont="1" applyFill="1" applyBorder="1"/>
    <xf numFmtId="165" fontId="8" fillId="0" borderId="6" xfId="2" applyNumberFormat="1" applyFont="1" applyFill="1" applyBorder="1" applyAlignment="1">
      <alignment horizontal="right"/>
    </xf>
    <xf numFmtId="165" fontId="13" fillId="0" borderId="0" xfId="2" applyNumberFormat="1" applyFont="1" applyFill="1" applyBorder="1"/>
    <xf numFmtId="41" fontId="28" fillId="0" borderId="0" xfId="6" applyFont="1" applyFill="1" applyAlignment="1"/>
    <xf numFmtId="43" fontId="5" fillId="11" borderId="3" xfId="2" applyFont="1" applyFill="1" applyBorder="1" applyAlignment="1">
      <alignment horizontal="right"/>
    </xf>
    <xf numFmtId="0" fontId="5" fillId="11" borderId="3" xfId="1" applyFont="1" applyFill="1" applyBorder="1" applyAlignment="1">
      <alignment horizontal="center"/>
    </xf>
    <xf numFmtId="43" fontId="2" fillId="12" borderId="0" xfId="2" applyFont="1" applyFill="1"/>
    <xf numFmtId="43" fontId="5" fillId="12" borderId="0" xfId="2" applyFont="1" applyFill="1"/>
    <xf numFmtId="43" fontId="4" fillId="12" borderId="10" xfId="2" applyFont="1" applyFill="1" applyBorder="1" applyAlignment="1">
      <alignment horizontal="center" vertical="center"/>
    </xf>
    <xf numFmtId="43" fontId="2" fillId="12" borderId="5" xfId="2" applyFont="1" applyFill="1" applyBorder="1" applyAlignment="1">
      <alignment horizontal="center" vertical="center"/>
    </xf>
    <xf numFmtId="43" fontId="2" fillId="12" borderId="3" xfId="2" applyFont="1" applyFill="1" applyBorder="1" applyAlignment="1">
      <alignment horizontal="right" vertical="center"/>
    </xf>
    <xf numFmtId="165" fontId="5" fillId="12" borderId="3" xfId="2" applyNumberFormat="1" applyFont="1" applyFill="1" applyBorder="1" applyAlignment="1">
      <alignment horizontal="right"/>
    </xf>
    <xf numFmtId="43" fontId="5" fillId="12" borderId="3" xfId="2" applyFont="1" applyFill="1" applyBorder="1"/>
    <xf numFmtId="43" fontId="5" fillId="12" borderId="0" xfId="2" applyFont="1" applyFill="1" applyBorder="1" applyAlignment="1">
      <alignment horizontal="right"/>
    </xf>
    <xf numFmtId="43" fontId="8" fillId="12" borderId="1" xfId="2" applyFont="1" applyFill="1" applyBorder="1" applyAlignment="1">
      <alignment horizontal="center"/>
    </xf>
    <xf numFmtId="43" fontId="4" fillId="12" borderId="0" xfId="2" applyFont="1" applyFill="1" applyAlignment="1">
      <alignment horizontal="left"/>
    </xf>
    <xf numFmtId="43" fontId="4" fillId="12" borderId="0" xfId="2" applyFont="1" applyFill="1"/>
    <xf numFmtId="43" fontId="2" fillId="12" borderId="0" xfId="2" applyFill="1"/>
    <xf numFmtId="43" fontId="4" fillId="12" borderId="0" xfId="2" applyFont="1" applyFill="1" applyAlignment="1">
      <alignment horizontal="right"/>
    </xf>
    <xf numFmtId="0" fontId="26" fillId="12" borderId="0" xfId="6" applyNumberFormat="1" applyFont="1" applyFill="1"/>
    <xf numFmtId="41" fontId="28" fillId="12" borderId="0" xfId="6" applyFont="1" applyFill="1"/>
    <xf numFmtId="0" fontId="0" fillId="12" borderId="0" xfId="0" applyFill="1"/>
    <xf numFmtId="43" fontId="4" fillId="3" borderId="10" xfId="2" applyFont="1" applyFill="1" applyBorder="1" applyAlignment="1">
      <alignment horizontal="center" vertical="center"/>
    </xf>
    <xf numFmtId="0" fontId="0" fillId="3" borderId="0" xfId="0" applyFill="1"/>
    <xf numFmtId="43" fontId="0" fillId="0" borderId="0" xfId="0" applyNumberFormat="1"/>
    <xf numFmtId="4" fontId="5" fillId="11" borderId="3" xfId="2" applyNumberFormat="1" applyFont="1" applyFill="1" applyBorder="1" applyAlignment="1">
      <alignment horizontal="right"/>
    </xf>
    <xf numFmtId="0" fontId="15" fillId="0" borderId="0" xfId="0" applyFont="1"/>
    <xf numFmtId="0" fontId="28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8" fillId="0" borderId="0" xfId="6" applyNumberFormat="1" applyFont="1" applyFill="1" applyAlignment="1">
      <alignment horizontal="center" vertical="center" wrapText="1"/>
    </xf>
    <xf numFmtId="0" fontId="26" fillId="0" borderId="0" xfId="6" applyNumberFormat="1" applyFont="1" applyFill="1" applyAlignment="1"/>
    <xf numFmtId="0" fontId="26" fillId="0" borderId="0" xfId="6" applyNumberFormat="1" applyFont="1" applyFill="1" applyAlignment="1">
      <alignment horizontal="center" vertical="center"/>
    </xf>
    <xf numFmtId="43" fontId="17" fillId="0" borderId="16" xfId="2" applyFont="1" applyFill="1" applyBorder="1" applyAlignment="1">
      <alignment horizontal="center" vertical="center"/>
    </xf>
    <xf numFmtId="43" fontId="4" fillId="0" borderId="3" xfId="2" applyFont="1" applyFill="1" applyBorder="1" applyAlignment="1">
      <alignment horizontal="center" vertical="center"/>
    </xf>
    <xf numFmtId="43" fontId="20" fillId="13" borderId="3" xfId="2" applyFont="1" applyFill="1" applyBorder="1"/>
    <xf numFmtId="43" fontId="4" fillId="11" borderId="10" xfId="2" applyFont="1" applyFill="1" applyBorder="1" applyAlignment="1">
      <alignment horizontal="center" vertical="center"/>
    </xf>
    <xf numFmtId="4" fontId="0" fillId="0" borderId="0" xfId="0" applyNumberFormat="1"/>
    <xf numFmtId="43" fontId="14" fillId="4" borderId="0" xfId="2" applyFont="1" applyFill="1" applyBorder="1"/>
    <xf numFmtId="164" fontId="17" fillId="4" borderId="0" xfId="2" applyNumberFormat="1" applyFont="1" applyFill="1" applyBorder="1"/>
    <xf numFmtId="0" fontId="4" fillId="0" borderId="1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43" fontId="17" fillId="0" borderId="16" xfId="2" applyFont="1" applyFill="1" applyBorder="1" applyAlignment="1">
      <alignment horizontal="center" vertical="center"/>
    </xf>
  </cellXfs>
  <cellStyles count="9">
    <cellStyle name="Comma [0]" xfId="5" builtinId="6"/>
    <cellStyle name="Comma [0] 3" xfId="6"/>
    <cellStyle name="Comma 2" xfId="7"/>
    <cellStyle name="Comma 3" xfId="2"/>
    <cellStyle name="Comma 3 2" xfId="8"/>
    <cellStyle name="Normal" xfId="0" builtinId="0"/>
    <cellStyle name="Normal 2" xfId="4"/>
    <cellStyle name="Normal 3" xfId="1"/>
    <cellStyle name="Normal_Vignola_100_120 2" xfId="3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ru\Rumah\New%20Livistona%201%20RAB%20Q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ru\Rumah\New%20Livistona%202%20RAB%20QS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gan Volume"/>
      <sheetName val="NEW LIVISTONA 1 34-60"/>
      <sheetName val="Sheet1"/>
    </sheetNames>
    <sheetDataSet>
      <sheetData sheetId="0">
        <row r="8">
          <cell r="AH8">
            <v>2</v>
          </cell>
          <cell r="AO8">
            <v>15.8</v>
          </cell>
          <cell r="BR8">
            <v>4</v>
          </cell>
          <cell r="CJ8">
            <v>1</v>
          </cell>
          <cell r="CX8">
            <v>7.25</v>
          </cell>
        </row>
        <row r="9">
          <cell r="BC9">
            <v>25.742499999999996</v>
          </cell>
        </row>
        <row r="10">
          <cell r="D10">
            <v>34</v>
          </cell>
          <cell r="CJ10">
            <v>1</v>
          </cell>
          <cell r="CQ10">
            <v>7</v>
          </cell>
        </row>
        <row r="11">
          <cell r="T11">
            <v>6.6480000000000006</v>
          </cell>
          <cell r="AA11">
            <v>1.5464999999999998</v>
          </cell>
          <cell r="CJ11">
            <v>1</v>
          </cell>
        </row>
        <row r="12">
          <cell r="K12">
            <v>16.834500000000002</v>
          </cell>
          <cell r="BJ12">
            <v>40.5</v>
          </cell>
          <cell r="BR12">
            <v>1</v>
          </cell>
          <cell r="BZ12">
            <v>114.125</v>
          </cell>
          <cell r="CJ12">
            <v>1</v>
          </cell>
        </row>
        <row r="13">
          <cell r="AV13">
            <v>28.08</v>
          </cell>
          <cell r="CJ13">
            <v>1</v>
          </cell>
        </row>
        <row r="14">
          <cell r="CJ14">
            <v>1</v>
          </cell>
        </row>
        <row r="15">
          <cell r="AH15">
            <v>3.2</v>
          </cell>
          <cell r="CX15">
            <v>8.25</v>
          </cell>
        </row>
        <row r="16">
          <cell r="D16">
            <v>1</v>
          </cell>
          <cell r="CQ16">
            <v>5</v>
          </cell>
        </row>
        <row r="17">
          <cell r="T17">
            <v>10.535</v>
          </cell>
        </row>
        <row r="18">
          <cell r="K18">
            <v>5.6115000000000004</v>
          </cell>
        </row>
        <row r="19">
          <cell r="AA19">
            <v>0.63300000000000001</v>
          </cell>
          <cell r="BS19">
            <v>1</v>
          </cell>
        </row>
        <row r="20">
          <cell r="CI20">
            <v>1</v>
          </cell>
        </row>
        <row r="21">
          <cell r="AO21">
            <v>1.4</v>
          </cell>
          <cell r="BJ21">
            <v>40.5</v>
          </cell>
          <cell r="BS21">
            <v>1</v>
          </cell>
          <cell r="CI21">
            <v>1</v>
          </cell>
        </row>
        <row r="22">
          <cell r="D22">
            <v>1</v>
          </cell>
          <cell r="CQ22">
            <v>1</v>
          </cell>
        </row>
        <row r="23">
          <cell r="BS23">
            <v>1</v>
          </cell>
        </row>
        <row r="24">
          <cell r="AV24">
            <v>36.975000000000001</v>
          </cell>
          <cell r="BC24">
            <v>138.39875000000001</v>
          </cell>
          <cell r="BZ24">
            <v>42.65</v>
          </cell>
        </row>
        <row r="25">
          <cell r="BS25">
            <v>1</v>
          </cell>
        </row>
        <row r="27">
          <cell r="K27">
            <v>1.7560000000000002</v>
          </cell>
          <cell r="AA27">
            <v>1.6364999999999998</v>
          </cell>
          <cell r="BS27">
            <v>1</v>
          </cell>
          <cell r="CH27">
            <v>1</v>
          </cell>
        </row>
        <row r="28">
          <cell r="D28">
            <v>1</v>
          </cell>
          <cell r="AH28">
            <v>28.08</v>
          </cell>
          <cell r="AO28">
            <v>2.25</v>
          </cell>
          <cell r="BJ28">
            <v>16.75</v>
          </cell>
        </row>
        <row r="29">
          <cell r="BS29">
            <v>2</v>
          </cell>
          <cell r="CQ29">
            <v>1</v>
          </cell>
        </row>
        <row r="33">
          <cell r="K33">
            <v>1.4048000000000003</v>
          </cell>
          <cell r="AV33">
            <v>13.2</v>
          </cell>
          <cell r="BC33">
            <v>317.78250000000003</v>
          </cell>
          <cell r="CH33">
            <v>1</v>
          </cell>
        </row>
        <row r="34">
          <cell r="BJ34">
            <v>18</v>
          </cell>
        </row>
        <row r="35">
          <cell r="BR35">
            <v>1</v>
          </cell>
        </row>
        <row r="36">
          <cell r="BZ36">
            <v>37.799999999999997</v>
          </cell>
          <cell r="CQ36">
            <v>1</v>
          </cell>
          <cell r="CX36">
            <v>1</v>
          </cell>
        </row>
        <row r="37">
          <cell r="AH37">
            <v>2.92</v>
          </cell>
          <cell r="BR37">
            <v>4</v>
          </cell>
        </row>
        <row r="38">
          <cell r="D38">
            <v>22.352499999999992</v>
          </cell>
          <cell r="BR38">
            <v>15</v>
          </cell>
        </row>
        <row r="39">
          <cell r="AB39">
            <v>2.1017249999999996</v>
          </cell>
          <cell r="CH39">
            <v>2</v>
          </cell>
        </row>
        <row r="40">
          <cell r="BJ40">
            <v>5</v>
          </cell>
        </row>
        <row r="43">
          <cell r="AH43">
            <v>6.05</v>
          </cell>
          <cell r="CQ43">
            <v>1</v>
          </cell>
        </row>
        <row r="44">
          <cell r="AV44">
            <v>8.120000000000001</v>
          </cell>
        </row>
        <row r="45">
          <cell r="CH45">
            <v>10.9</v>
          </cell>
        </row>
        <row r="47">
          <cell r="BZ47">
            <v>15.307500000000001</v>
          </cell>
        </row>
        <row r="48">
          <cell r="D48">
            <v>35.120000000000005</v>
          </cell>
          <cell r="AB48">
            <v>0.26195000000000002</v>
          </cell>
        </row>
        <row r="49">
          <cell r="BJ49">
            <v>7</v>
          </cell>
          <cell r="CQ49">
            <v>1</v>
          </cell>
        </row>
        <row r="50">
          <cell r="AH50">
            <v>13.5</v>
          </cell>
        </row>
        <row r="52">
          <cell r="CH52">
            <v>8</v>
          </cell>
        </row>
        <row r="53">
          <cell r="BZ53">
            <v>5</v>
          </cell>
          <cell r="CH53">
            <v>30</v>
          </cell>
        </row>
        <row r="54">
          <cell r="CH54">
            <v>4</v>
          </cell>
        </row>
        <row r="55">
          <cell r="CH55">
            <v>1</v>
          </cell>
        </row>
        <row r="56">
          <cell r="CQ56">
            <v>1</v>
          </cell>
        </row>
        <row r="57">
          <cell r="AA57">
            <v>0.29759999999999998</v>
          </cell>
        </row>
        <row r="61">
          <cell r="CH61">
            <v>1</v>
          </cell>
        </row>
        <row r="62">
          <cell r="CQ62">
            <v>3</v>
          </cell>
        </row>
        <row r="66">
          <cell r="AA66">
            <v>0.29699999999999993</v>
          </cell>
        </row>
        <row r="68">
          <cell r="CQ68">
            <v>2</v>
          </cell>
        </row>
        <row r="74">
          <cell r="CQ74">
            <v>5</v>
          </cell>
        </row>
        <row r="75">
          <cell r="AA75">
            <v>0.13500000000000001</v>
          </cell>
        </row>
        <row r="81">
          <cell r="CQ81">
            <v>1</v>
          </cell>
        </row>
        <row r="88">
          <cell r="CQ88">
            <v>1</v>
          </cell>
        </row>
        <row r="95">
          <cell r="CQ95">
            <v>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gan Volume"/>
      <sheetName val="NEW LIVISTONA 2 39-72"/>
      <sheetName val="Sheet1"/>
    </sheetNames>
    <sheetDataSet>
      <sheetData sheetId="0" refreshError="1">
        <row r="8">
          <cell r="AH8">
            <v>2.2000000000000002</v>
          </cell>
          <cell r="AO8">
            <v>15.8</v>
          </cell>
          <cell r="BR8">
            <v>4</v>
          </cell>
          <cell r="CJ8">
            <v>1</v>
          </cell>
          <cell r="CX8">
            <v>7.25</v>
          </cell>
        </row>
        <row r="9">
          <cell r="BC9">
            <v>25.742499999999996</v>
          </cell>
        </row>
        <row r="10">
          <cell r="D10">
            <v>36</v>
          </cell>
          <cell r="CJ10">
            <v>1</v>
          </cell>
          <cell r="CQ10">
            <v>7</v>
          </cell>
        </row>
        <row r="11">
          <cell r="T11">
            <v>6.6280000000000001</v>
          </cell>
          <cell r="AA11">
            <v>1.5314999999999999</v>
          </cell>
          <cell r="CJ11">
            <v>1</v>
          </cell>
        </row>
        <row r="12">
          <cell r="K12">
            <v>17.424250000000001</v>
          </cell>
          <cell r="BJ12">
            <v>43.162500000000001</v>
          </cell>
          <cell r="BR12">
            <v>1</v>
          </cell>
          <cell r="BZ12">
            <v>127.48625</v>
          </cell>
          <cell r="CJ12">
            <v>1</v>
          </cell>
        </row>
        <row r="13">
          <cell r="AV13">
            <v>32.33</v>
          </cell>
          <cell r="CJ13">
            <v>1</v>
          </cell>
        </row>
        <row r="14">
          <cell r="CJ14">
            <v>1</v>
          </cell>
        </row>
        <row r="15">
          <cell r="AH15">
            <v>4.5</v>
          </cell>
          <cell r="CX15">
            <v>8.25</v>
          </cell>
        </row>
        <row r="16">
          <cell r="D16">
            <v>1</v>
          </cell>
          <cell r="CQ16">
            <v>5</v>
          </cell>
        </row>
        <row r="17">
          <cell r="T17">
            <v>14.489999999999998</v>
          </cell>
        </row>
        <row r="18">
          <cell r="K18">
            <v>5.8080833333333333</v>
          </cell>
        </row>
        <row r="19">
          <cell r="AA19">
            <v>0.69300000000000006</v>
          </cell>
          <cell r="BS19">
            <v>1</v>
          </cell>
        </row>
        <row r="20">
          <cell r="CI20">
            <v>1</v>
          </cell>
        </row>
        <row r="21">
          <cell r="AO21">
            <v>1.4</v>
          </cell>
          <cell r="BJ21">
            <v>43.162500000000001</v>
          </cell>
          <cell r="BS21">
            <v>1</v>
          </cell>
          <cell r="CI21">
            <v>1</v>
          </cell>
        </row>
        <row r="22">
          <cell r="D22">
            <v>1</v>
          </cell>
          <cell r="CQ22">
            <v>1</v>
          </cell>
        </row>
        <row r="23">
          <cell r="BS23">
            <v>1</v>
          </cell>
        </row>
        <row r="24">
          <cell r="AV24">
            <v>39.475000000000001</v>
          </cell>
          <cell r="BC24">
            <v>154.11000000000001</v>
          </cell>
          <cell r="BZ24">
            <v>53.550000000000004</v>
          </cell>
        </row>
        <row r="25">
          <cell r="BS25">
            <v>1</v>
          </cell>
        </row>
        <row r="27">
          <cell r="K27">
            <v>2.0035000000000003</v>
          </cell>
          <cell r="AA27">
            <v>1.6214999999999999</v>
          </cell>
          <cell r="BS27">
            <v>1</v>
          </cell>
          <cell r="CH27">
            <v>1</v>
          </cell>
        </row>
        <row r="28">
          <cell r="D28">
            <v>1</v>
          </cell>
          <cell r="AH28">
            <v>32.33</v>
          </cell>
          <cell r="AO28">
            <v>2.25</v>
          </cell>
          <cell r="BJ28">
            <v>18.850000000000001</v>
          </cell>
        </row>
        <row r="29">
          <cell r="BS29">
            <v>2</v>
          </cell>
          <cell r="CQ29">
            <v>1</v>
          </cell>
        </row>
        <row r="33">
          <cell r="K33">
            <v>1.6028</v>
          </cell>
          <cell r="AV33">
            <v>15.4</v>
          </cell>
          <cell r="BC33">
            <v>344.20500000000004</v>
          </cell>
          <cell r="CH33">
            <v>1</v>
          </cell>
        </row>
        <row r="34">
          <cell r="BJ34">
            <v>19.229999999999997</v>
          </cell>
        </row>
        <row r="35">
          <cell r="BR35">
            <v>1</v>
          </cell>
        </row>
        <row r="36">
          <cell r="BZ36">
            <v>39.475000000000001</v>
          </cell>
          <cell r="CQ36">
            <v>1</v>
          </cell>
          <cell r="CX36">
            <v>1</v>
          </cell>
        </row>
        <row r="37">
          <cell r="AH37">
            <v>2.92</v>
          </cell>
          <cell r="BR37">
            <v>4</v>
          </cell>
        </row>
        <row r="38">
          <cell r="D38">
            <v>29.252499999999991</v>
          </cell>
          <cell r="BR38">
            <v>15</v>
          </cell>
        </row>
        <row r="39">
          <cell r="AB39">
            <v>2.1017249999999996</v>
          </cell>
          <cell r="CH39">
            <v>2</v>
          </cell>
        </row>
        <row r="40">
          <cell r="BJ40">
            <v>6</v>
          </cell>
        </row>
        <row r="43">
          <cell r="AH43">
            <v>6.05</v>
          </cell>
          <cell r="CQ43">
            <v>1</v>
          </cell>
        </row>
        <row r="44">
          <cell r="AV44">
            <v>9.620000000000001</v>
          </cell>
        </row>
        <row r="45">
          <cell r="CH45">
            <v>10.9</v>
          </cell>
        </row>
        <row r="46">
          <cell r="CH46">
            <v>24</v>
          </cell>
        </row>
        <row r="47">
          <cell r="BZ47">
            <v>15.952500000000001</v>
          </cell>
        </row>
        <row r="48">
          <cell r="D48">
            <v>40.07</v>
          </cell>
          <cell r="AB48">
            <v>0.26195000000000002</v>
          </cell>
        </row>
        <row r="49">
          <cell r="BJ49">
            <v>7</v>
          </cell>
          <cell r="CQ49">
            <v>1</v>
          </cell>
        </row>
        <row r="50">
          <cell r="AH50">
            <v>13.5</v>
          </cell>
        </row>
        <row r="52">
          <cell r="CH52">
            <v>8</v>
          </cell>
        </row>
        <row r="53">
          <cell r="BZ53">
            <v>6</v>
          </cell>
          <cell r="CH53">
            <v>30</v>
          </cell>
        </row>
        <row r="54">
          <cell r="CH54">
            <v>4</v>
          </cell>
        </row>
        <row r="55">
          <cell r="CH55">
            <v>1</v>
          </cell>
        </row>
        <row r="56">
          <cell r="CQ56">
            <v>1</v>
          </cell>
        </row>
        <row r="57">
          <cell r="AA57">
            <v>0.54</v>
          </cell>
        </row>
        <row r="61">
          <cell r="CH61">
            <v>1</v>
          </cell>
        </row>
        <row r="62">
          <cell r="CQ62">
            <v>3</v>
          </cell>
        </row>
        <row r="66">
          <cell r="AA66">
            <v>0.54</v>
          </cell>
        </row>
        <row r="68">
          <cell r="CQ68">
            <v>2</v>
          </cell>
        </row>
        <row r="74">
          <cell r="CQ74">
            <v>5</v>
          </cell>
        </row>
        <row r="75">
          <cell r="AA75">
            <v>0.13500000000000001</v>
          </cell>
        </row>
        <row r="81">
          <cell r="CQ81">
            <v>1</v>
          </cell>
        </row>
        <row r="88">
          <cell r="CQ88">
            <v>1</v>
          </cell>
        </row>
        <row r="95">
          <cell r="CQ95">
            <v>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94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G9" sqref="G9"/>
    </sheetView>
  </sheetViews>
  <sheetFormatPr defaultRowHeight="15" x14ac:dyDescent="0.25"/>
  <cols>
    <col min="1" max="1" width="2" customWidth="1"/>
    <col min="2" max="2" width="3.5703125" customWidth="1"/>
    <col min="3" max="3" width="52.140625" customWidth="1"/>
    <col min="4" max="4" width="23.85546875" customWidth="1"/>
    <col min="5" max="5" width="5.140625" customWidth="1"/>
    <col min="6" max="6" width="10.42578125" customWidth="1"/>
    <col min="7" max="7" width="13" customWidth="1"/>
    <col min="8" max="8" width="13.7109375" customWidth="1"/>
    <col min="9" max="9" width="18.5703125" customWidth="1"/>
    <col min="10" max="10" width="14.28515625" customWidth="1"/>
  </cols>
  <sheetData>
    <row r="1" spans="2:11" ht="18" x14ac:dyDescent="0.25">
      <c r="B1" s="1" t="s">
        <v>0</v>
      </c>
      <c r="C1" s="2"/>
      <c r="D1" s="2"/>
      <c r="E1" s="3"/>
      <c r="F1" s="4"/>
      <c r="G1" s="5"/>
      <c r="H1" s="5"/>
    </row>
    <row r="2" spans="2:11" ht="18" x14ac:dyDescent="0.25">
      <c r="B2" s="1" t="s">
        <v>1</v>
      </c>
      <c r="C2" s="2"/>
      <c r="D2" s="2"/>
      <c r="E2" s="3"/>
      <c r="F2" s="4"/>
      <c r="G2" s="5"/>
      <c r="H2" s="5"/>
      <c r="K2">
        <f>4.55*7.85*2+8*3.5*0.5*2</f>
        <v>99.434999999999988</v>
      </c>
    </row>
    <row r="3" spans="2:11" ht="18" x14ac:dyDescent="0.25">
      <c r="B3" s="1" t="s">
        <v>2</v>
      </c>
      <c r="C3" s="2"/>
      <c r="D3" s="2"/>
      <c r="E3" s="3"/>
      <c r="F3" s="4"/>
      <c r="G3" s="5"/>
      <c r="H3" s="5"/>
      <c r="K3">
        <f>4.2*6.85+0.5*1.75*6.85</f>
        <v>34.763750000000002</v>
      </c>
    </row>
    <row r="4" spans="2:11" ht="18.75" x14ac:dyDescent="0.3">
      <c r="B4" s="3"/>
      <c r="C4" s="6"/>
      <c r="D4" s="6"/>
      <c r="E4" s="3"/>
      <c r="F4" s="7"/>
      <c r="G4" s="9" t="s">
        <v>3</v>
      </c>
      <c r="H4" s="8"/>
      <c r="K4">
        <f>-(1*4.5)+4</f>
        <v>-0.5</v>
      </c>
    </row>
    <row r="5" spans="2:11" x14ac:dyDescent="0.25">
      <c r="B5" s="273" t="s">
        <v>4</v>
      </c>
      <c r="C5" s="273" t="s">
        <v>5</v>
      </c>
      <c r="D5" s="273" t="s">
        <v>261</v>
      </c>
      <c r="E5" s="273" t="s">
        <v>6</v>
      </c>
      <c r="F5" s="10" t="s">
        <v>7</v>
      </c>
      <c r="G5" s="267" t="s">
        <v>167</v>
      </c>
      <c r="H5" s="267" t="s">
        <v>8</v>
      </c>
    </row>
    <row r="6" spans="2:11" ht="15.75" thickBot="1" x14ac:dyDescent="0.3">
      <c r="B6" s="274"/>
      <c r="C6" s="274"/>
      <c r="D6" s="274"/>
      <c r="E6" s="274"/>
      <c r="F6" s="11" t="s">
        <v>9</v>
      </c>
      <c r="G6" s="193" t="s">
        <v>314</v>
      </c>
      <c r="H6" s="193" t="s">
        <v>314</v>
      </c>
    </row>
    <row r="7" spans="2:11" ht="16.5" thickTop="1" x14ac:dyDescent="0.25">
      <c r="B7" s="12"/>
      <c r="C7" s="13"/>
      <c r="D7" s="13"/>
      <c r="E7" s="14"/>
      <c r="F7" s="15"/>
      <c r="G7" s="16"/>
      <c r="H7" s="16"/>
    </row>
    <row r="8" spans="2:11" x14ac:dyDescent="0.25">
      <c r="B8" s="17" t="s">
        <v>10</v>
      </c>
      <c r="C8" s="18" t="s">
        <v>11</v>
      </c>
      <c r="D8" s="18"/>
      <c r="E8" s="19"/>
      <c r="F8" s="20"/>
      <c r="G8" s="21"/>
      <c r="H8" s="21"/>
    </row>
    <row r="9" spans="2:11" x14ac:dyDescent="0.25">
      <c r="B9" s="22">
        <v>1</v>
      </c>
      <c r="C9" s="23" t="s">
        <v>12</v>
      </c>
      <c r="D9" s="23"/>
      <c r="E9" s="24" t="s">
        <v>13</v>
      </c>
      <c r="F9" s="25">
        <f>'[1]Htgan Volume'!D10</f>
        <v>34</v>
      </c>
      <c r="G9" s="226">
        <v>0</v>
      </c>
      <c r="H9" s="226">
        <f t="shared" ref="H9:H14" si="0">G9*F9</f>
        <v>0</v>
      </c>
    </row>
    <row r="10" spans="2:11" x14ac:dyDescent="0.25">
      <c r="B10" s="23">
        <v>2</v>
      </c>
      <c r="C10" s="23" t="s">
        <v>14</v>
      </c>
      <c r="D10" s="23"/>
      <c r="E10" s="24" t="s">
        <v>15</v>
      </c>
      <c r="F10" s="25">
        <f>'[1]Htgan Volume'!D16</f>
        <v>1</v>
      </c>
      <c r="G10" s="226">
        <v>0</v>
      </c>
      <c r="H10" s="226">
        <f t="shared" si="0"/>
        <v>0</v>
      </c>
    </row>
    <row r="11" spans="2:11" x14ac:dyDescent="0.25">
      <c r="B11" s="23">
        <v>3</v>
      </c>
      <c r="C11" s="23" t="s">
        <v>16</v>
      </c>
      <c r="D11" s="23"/>
      <c r="E11" s="24" t="s">
        <v>15</v>
      </c>
      <c r="F11" s="25">
        <f>'[1]Htgan Volume'!D22</f>
        <v>1</v>
      </c>
      <c r="G11" s="226">
        <v>0</v>
      </c>
      <c r="H11" s="226">
        <f t="shared" si="0"/>
        <v>0</v>
      </c>
    </row>
    <row r="12" spans="2:11" x14ac:dyDescent="0.25">
      <c r="B12" s="23">
        <v>4</v>
      </c>
      <c r="C12" s="23" t="s">
        <v>17</v>
      </c>
      <c r="D12" s="23"/>
      <c r="E12" s="24" t="s">
        <v>15</v>
      </c>
      <c r="F12" s="25">
        <f>'[1]Htgan Volume'!D28</f>
        <v>1</v>
      </c>
      <c r="G12" s="226">
        <v>0</v>
      </c>
      <c r="H12" s="226">
        <f t="shared" si="0"/>
        <v>0</v>
      </c>
    </row>
    <row r="13" spans="2:11" x14ac:dyDescent="0.25">
      <c r="B13" s="22">
        <v>5</v>
      </c>
      <c r="C13" s="23" t="s">
        <v>18</v>
      </c>
      <c r="D13" s="23"/>
      <c r="E13" s="24" t="s">
        <v>19</v>
      </c>
      <c r="F13" s="25">
        <f>'[1]Htgan Volume'!D38</f>
        <v>22.352499999999992</v>
      </c>
      <c r="G13" s="226">
        <v>0</v>
      </c>
      <c r="H13" s="226">
        <f t="shared" si="0"/>
        <v>0</v>
      </c>
    </row>
    <row r="14" spans="2:11" x14ac:dyDescent="0.25">
      <c r="B14" s="22"/>
      <c r="C14" s="23" t="s">
        <v>20</v>
      </c>
      <c r="D14" s="23"/>
      <c r="E14" s="24" t="s">
        <v>19</v>
      </c>
      <c r="F14" s="25">
        <f>'[1]Htgan Volume'!D48</f>
        <v>35.120000000000005</v>
      </c>
      <c r="G14" s="226">
        <v>0</v>
      </c>
      <c r="H14" s="226">
        <f t="shared" si="0"/>
        <v>0</v>
      </c>
    </row>
    <row r="15" spans="2:11" x14ac:dyDescent="0.25">
      <c r="B15" s="23"/>
      <c r="C15" s="23"/>
      <c r="D15" s="23"/>
      <c r="E15" s="24"/>
      <c r="F15" s="27"/>
      <c r="G15" s="226">
        <v>0</v>
      </c>
      <c r="H15" s="227">
        <f t="shared" ref="H15" si="1">SUM(H9:H14)</f>
        <v>0</v>
      </c>
    </row>
    <row r="16" spans="2:11" x14ac:dyDescent="0.25">
      <c r="B16" s="29" t="s">
        <v>21</v>
      </c>
      <c r="C16" s="30" t="s">
        <v>22</v>
      </c>
      <c r="D16" s="30"/>
      <c r="E16" s="24"/>
      <c r="F16" s="27"/>
      <c r="G16" s="226">
        <v>0</v>
      </c>
      <c r="H16" s="226"/>
    </row>
    <row r="17" spans="2:8" x14ac:dyDescent="0.25">
      <c r="B17" s="22">
        <v>1</v>
      </c>
      <c r="C17" s="23" t="s">
        <v>23</v>
      </c>
      <c r="D17" s="23"/>
      <c r="E17" s="24" t="s">
        <v>24</v>
      </c>
      <c r="F17" s="25">
        <f>'[1]Htgan Volume'!K12</f>
        <v>16.834500000000002</v>
      </c>
      <c r="G17" s="226">
        <v>0</v>
      </c>
      <c r="H17" s="226">
        <f>G17*F17</f>
        <v>0</v>
      </c>
    </row>
    <row r="18" spans="2:8" x14ac:dyDescent="0.25">
      <c r="B18" s="22">
        <v>2</v>
      </c>
      <c r="C18" s="23" t="s">
        <v>25</v>
      </c>
      <c r="D18" s="23"/>
      <c r="E18" s="24" t="s">
        <v>24</v>
      </c>
      <c r="F18" s="25">
        <f>'[1]Htgan Volume'!K18</f>
        <v>5.6115000000000004</v>
      </c>
      <c r="G18" s="226">
        <v>0</v>
      </c>
      <c r="H18" s="226">
        <f>G18*F18</f>
        <v>0</v>
      </c>
    </row>
    <row r="19" spans="2:8" x14ac:dyDescent="0.25">
      <c r="B19" s="22">
        <v>3</v>
      </c>
      <c r="C19" s="23" t="s">
        <v>26</v>
      </c>
      <c r="D19" s="23"/>
      <c r="E19" s="24" t="s">
        <v>24</v>
      </c>
      <c r="F19" s="25">
        <f>'[1]Htgan Volume'!K27</f>
        <v>1.7560000000000002</v>
      </c>
      <c r="G19" s="226">
        <v>0</v>
      </c>
      <c r="H19" s="226">
        <f>G19*F19</f>
        <v>0</v>
      </c>
    </row>
    <row r="20" spans="2:8" x14ac:dyDescent="0.25">
      <c r="B20" s="22">
        <v>4</v>
      </c>
      <c r="C20" s="23" t="s">
        <v>27</v>
      </c>
      <c r="D20" s="23"/>
      <c r="E20" s="24" t="s">
        <v>24</v>
      </c>
      <c r="F20" s="25">
        <f>'[1]Htgan Volume'!K33</f>
        <v>1.4048000000000003</v>
      </c>
      <c r="G20" s="226">
        <v>0</v>
      </c>
      <c r="H20" s="226">
        <f>G20*F20</f>
        <v>0</v>
      </c>
    </row>
    <row r="21" spans="2:8" x14ac:dyDescent="0.25">
      <c r="B21" s="23"/>
      <c r="C21" s="23"/>
      <c r="D21" s="23"/>
      <c r="E21" s="24"/>
      <c r="F21" s="25"/>
      <c r="G21" s="226">
        <v>0</v>
      </c>
      <c r="H21" s="227">
        <f t="shared" ref="H21" si="2">SUM(H17:H20)</f>
        <v>0</v>
      </c>
    </row>
    <row r="22" spans="2:8" x14ac:dyDescent="0.25">
      <c r="B22" s="29" t="s">
        <v>28</v>
      </c>
      <c r="C22" s="30" t="s">
        <v>29</v>
      </c>
      <c r="D22" s="30"/>
      <c r="E22" s="23"/>
      <c r="F22" s="25"/>
      <c r="G22" s="226">
        <v>0</v>
      </c>
      <c r="H22" s="226"/>
    </row>
    <row r="23" spans="2:8" x14ac:dyDescent="0.25">
      <c r="B23" s="22">
        <v>1</v>
      </c>
      <c r="C23" s="23" t="s">
        <v>30</v>
      </c>
      <c r="D23" s="23"/>
      <c r="E23" s="24" t="s">
        <v>24</v>
      </c>
      <c r="F23" s="25">
        <f>'[1]Htgan Volume'!T11</f>
        <v>6.6480000000000006</v>
      </c>
      <c r="G23" s="226">
        <v>0</v>
      </c>
      <c r="H23" s="226">
        <f>G23*F23</f>
        <v>0</v>
      </c>
    </row>
    <row r="24" spans="2:8" x14ac:dyDescent="0.25">
      <c r="B24" s="22">
        <v>2</v>
      </c>
      <c r="C24" s="23" t="s">
        <v>31</v>
      </c>
      <c r="D24" s="23"/>
      <c r="E24" s="24" t="s">
        <v>32</v>
      </c>
      <c r="F24" s="25">
        <f>'[1]Htgan Volume'!T17</f>
        <v>10.535</v>
      </c>
      <c r="G24" s="226">
        <v>0</v>
      </c>
      <c r="H24" s="226">
        <f>G24*F24</f>
        <v>0</v>
      </c>
    </row>
    <row r="25" spans="2:8" x14ac:dyDescent="0.25">
      <c r="B25" s="29"/>
      <c r="C25" s="23"/>
      <c r="D25" s="23"/>
      <c r="E25" s="24"/>
      <c r="F25" s="27"/>
      <c r="G25" s="226">
        <v>0</v>
      </c>
      <c r="H25" s="228">
        <f t="shared" ref="H25" si="3">SUM(H23:H24)</f>
        <v>0</v>
      </c>
    </row>
    <row r="26" spans="2:8" x14ac:dyDescent="0.25">
      <c r="B26" s="29" t="s">
        <v>33</v>
      </c>
      <c r="C26" s="30" t="s">
        <v>34</v>
      </c>
      <c r="D26" s="30"/>
      <c r="E26" s="23"/>
      <c r="F26" s="27"/>
      <c r="G26" s="226">
        <v>0</v>
      </c>
      <c r="H26" s="226"/>
    </row>
    <row r="27" spans="2:8" x14ac:dyDescent="0.25">
      <c r="B27" s="29"/>
      <c r="C27" s="30" t="s">
        <v>35</v>
      </c>
      <c r="D27" s="30"/>
      <c r="E27" s="23"/>
      <c r="F27" s="31"/>
      <c r="G27" s="226">
        <v>0</v>
      </c>
      <c r="H27" s="226"/>
    </row>
    <row r="28" spans="2:8" x14ac:dyDescent="0.25">
      <c r="B28" s="22">
        <v>1</v>
      </c>
      <c r="C28" s="23" t="s">
        <v>36</v>
      </c>
      <c r="D28" s="23"/>
      <c r="E28" s="24" t="s">
        <v>24</v>
      </c>
      <c r="F28" s="32">
        <f>'[1]Htgan Volume'!AA11</f>
        <v>1.5464999999999998</v>
      </c>
      <c r="G28" s="226">
        <v>0</v>
      </c>
      <c r="H28" s="226">
        <f t="shared" ref="H28:H35" si="4">G28*F28</f>
        <v>0</v>
      </c>
    </row>
    <row r="29" spans="2:8" x14ac:dyDescent="0.25">
      <c r="B29" s="22">
        <v>2</v>
      </c>
      <c r="C29" s="23" t="s">
        <v>37</v>
      </c>
      <c r="D29" s="23"/>
      <c r="E29" s="24" t="s">
        <v>24</v>
      </c>
      <c r="F29" s="25">
        <f>'[1]Htgan Volume'!AA19</f>
        <v>0.63300000000000001</v>
      </c>
      <c r="G29" s="226">
        <v>0</v>
      </c>
      <c r="H29" s="226">
        <f t="shared" si="4"/>
        <v>0</v>
      </c>
    </row>
    <row r="30" spans="2:8" x14ac:dyDescent="0.25">
      <c r="B30" s="22">
        <v>3</v>
      </c>
      <c r="C30" s="23" t="s">
        <v>38</v>
      </c>
      <c r="D30" s="23"/>
      <c r="E30" s="24" t="s">
        <v>24</v>
      </c>
      <c r="F30" s="25">
        <f>'[1]Htgan Volume'!AA27</f>
        <v>1.6364999999999998</v>
      </c>
      <c r="G30" s="226">
        <v>0</v>
      </c>
      <c r="H30" s="226">
        <f t="shared" si="4"/>
        <v>0</v>
      </c>
    </row>
    <row r="31" spans="2:8" x14ac:dyDescent="0.25">
      <c r="B31" s="22">
        <v>4</v>
      </c>
      <c r="C31" s="23" t="s">
        <v>39</v>
      </c>
      <c r="D31" s="23"/>
      <c r="E31" s="24" t="s">
        <v>24</v>
      </c>
      <c r="F31" s="25">
        <f>'[1]Htgan Volume'!AB39</f>
        <v>2.1017249999999996</v>
      </c>
      <c r="G31" s="226">
        <v>0</v>
      </c>
      <c r="H31" s="226">
        <f t="shared" si="4"/>
        <v>0</v>
      </c>
    </row>
    <row r="32" spans="2:8" x14ac:dyDescent="0.25">
      <c r="B32" s="22">
        <v>5</v>
      </c>
      <c r="C32" s="23" t="s">
        <v>40</v>
      </c>
      <c r="D32" s="23"/>
      <c r="E32" s="24" t="s">
        <v>24</v>
      </c>
      <c r="F32" s="32">
        <f>'[1]Htgan Volume'!AB48</f>
        <v>0.26195000000000002</v>
      </c>
      <c r="G32" s="226">
        <v>0</v>
      </c>
      <c r="H32" s="226">
        <f t="shared" si="4"/>
        <v>0</v>
      </c>
    </row>
    <row r="33" spans="2:8" x14ac:dyDescent="0.25">
      <c r="B33" s="22">
        <v>6</v>
      </c>
      <c r="C33" s="23" t="s">
        <v>41</v>
      </c>
      <c r="D33" s="23"/>
      <c r="E33" s="24" t="s">
        <v>24</v>
      </c>
      <c r="F33" s="25">
        <f>'[1]Htgan Volume'!AA57</f>
        <v>0.29759999999999998</v>
      </c>
      <c r="G33" s="226">
        <v>0</v>
      </c>
      <c r="H33" s="226">
        <f t="shared" si="4"/>
        <v>0</v>
      </c>
    </row>
    <row r="34" spans="2:8" x14ac:dyDescent="0.25">
      <c r="B34" s="22">
        <v>7</v>
      </c>
      <c r="C34" s="23" t="s">
        <v>42</v>
      </c>
      <c r="D34" s="23"/>
      <c r="E34" s="24" t="s">
        <v>24</v>
      </c>
      <c r="F34" s="25">
        <f>'[1]Htgan Volume'!AA66</f>
        <v>0.29699999999999993</v>
      </c>
      <c r="G34" s="226">
        <v>0</v>
      </c>
      <c r="H34" s="226">
        <f t="shared" si="4"/>
        <v>0</v>
      </c>
    </row>
    <row r="35" spans="2:8" x14ac:dyDescent="0.25">
      <c r="B35" s="22">
        <v>8</v>
      </c>
      <c r="C35" s="23" t="s">
        <v>43</v>
      </c>
      <c r="D35" s="23" t="s">
        <v>296</v>
      </c>
      <c r="E35" s="24" t="s">
        <v>24</v>
      </c>
      <c r="F35" s="25">
        <f>'[1]Htgan Volume'!AA75</f>
        <v>0.13500000000000001</v>
      </c>
      <c r="G35" s="226">
        <v>0</v>
      </c>
      <c r="H35" s="226">
        <f t="shared" si="4"/>
        <v>0</v>
      </c>
    </row>
    <row r="36" spans="2:8" x14ac:dyDescent="0.25">
      <c r="B36" s="29"/>
      <c r="C36" s="23"/>
      <c r="D36" s="23"/>
      <c r="E36" s="24"/>
      <c r="F36" s="27"/>
      <c r="G36" s="226">
        <v>0</v>
      </c>
      <c r="H36" s="227">
        <f t="shared" ref="H36" si="5">SUM(H27:H35)</f>
        <v>0</v>
      </c>
    </row>
    <row r="37" spans="2:8" x14ac:dyDescent="0.25">
      <c r="B37" s="29" t="s">
        <v>44</v>
      </c>
      <c r="C37" s="30" t="s">
        <v>45</v>
      </c>
      <c r="D37" s="30"/>
      <c r="E37" s="24"/>
      <c r="F37" s="27"/>
      <c r="G37" s="226">
        <v>0</v>
      </c>
      <c r="H37" s="226"/>
    </row>
    <row r="38" spans="2:8" x14ac:dyDescent="0.25">
      <c r="B38" s="22">
        <v>1</v>
      </c>
      <c r="C38" s="33" t="s">
        <v>46</v>
      </c>
      <c r="D38" s="33" t="s">
        <v>262</v>
      </c>
      <c r="E38" s="24" t="s">
        <v>19</v>
      </c>
      <c r="F38" s="25">
        <f>'[1]Htgan Volume'!AH8</f>
        <v>2</v>
      </c>
      <c r="G38" s="226">
        <v>0</v>
      </c>
      <c r="H38" s="226">
        <f t="shared" ref="H38:H44" si="6">G38*F38</f>
        <v>0</v>
      </c>
    </row>
    <row r="39" spans="2:8" x14ac:dyDescent="0.25">
      <c r="B39" s="22">
        <v>2</v>
      </c>
      <c r="C39" s="33" t="s">
        <v>263</v>
      </c>
      <c r="D39" s="33" t="s">
        <v>262</v>
      </c>
      <c r="E39" s="24" t="s">
        <v>19</v>
      </c>
      <c r="F39" s="25">
        <f>'[1]Htgan Volume'!AH15</f>
        <v>3.2</v>
      </c>
      <c r="G39" s="226">
        <v>0</v>
      </c>
      <c r="H39" s="226">
        <f t="shared" si="6"/>
        <v>0</v>
      </c>
    </row>
    <row r="40" spans="2:8" x14ac:dyDescent="0.25">
      <c r="B40" s="22">
        <v>3</v>
      </c>
      <c r="C40" s="33" t="s">
        <v>47</v>
      </c>
      <c r="D40" s="33" t="s">
        <v>265</v>
      </c>
      <c r="E40" s="24"/>
      <c r="F40" s="25"/>
      <c r="G40" s="226">
        <v>0</v>
      </c>
      <c r="H40" s="226">
        <f t="shared" si="6"/>
        <v>0</v>
      </c>
    </row>
    <row r="41" spans="2:8" x14ac:dyDescent="0.25">
      <c r="B41" s="22"/>
      <c r="C41" s="33" t="s">
        <v>264</v>
      </c>
      <c r="D41" s="33"/>
      <c r="E41" s="24" t="s">
        <v>19</v>
      </c>
      <c r="F41" s="25">
        <f>'[1]Htgan Volume'!AH28</f>
        <v>28.08</v>
      </c>
      <c r="G41" s="226">
        <v>0</v>
      </c>
      <c r="H41" s="226">
        <f t="shared" si="6"/>
        <v>0</v>
      </c>
    </row>
    <row r="42" spans="2:8" x14ac:dyDescent="0.25">
      <c r="B42" s="22">
        <v>4</v>
      </c>
      <c r="C42" s="33" t="s">
        <v>320</v>
      </c>
      <c r="D42" s="33" t="s">
        <v>266</v>
      </c>
      <c r="E42" s="24" t="s">
        <v>19</v>
      </c>
      <c r="F42" s="25">
        <f>'[1]Htgan Volume'!AH37</f>
        <v>2.92</v>
      </c>
      <c r="G42" s="226">
        <v>0</v>
      </c>
      <c r="H42" s="226">
        <f t="shared" si="6"/>
        <v>0</v>
      </c>
    </row>
    <row r="43" spans="2:8" x14ac:dyDescent="0.25">
      <c r="B43" s="22">
        <v>5</v>
      </c>
      <c r="C43" s="33" t="s">
        <v>241</v>
      </c>
      <c r="D43" s="33" t="s">
        <v>265</v>
      </c>
      <c r="E43" s="24" t="s">
        <v>13</v>
      </c>
      <c r="F43" s="25">
        <f>'[1]Htgan Volume'!AH43</f>
        <v>6.05</v>
      </c>
      <c r="G43" s="226">
        <v>0</v>
      </c>
      <c r="H43" s="226">
        <f t="shared" si="6"/>
        <v>0</v>
      </c>
    </row>
    <row r="44" spans="2:8" x14ac:dyDescent="0.25">
      <c r="B44" s="22">
        <v>6</v>
      </c>
      <c r="C44" s="33" t="s">
        <v>49</v>
      </c>
      <c r="D44" s="33" t="s">
        <v>267</v>
      </c>
      <c r="E44" s="24" t="s">
        <v>19</v>
      </c>
      <c r="F44" s="25">
        <f>'[1]Htgan Volume'!AH50</f>
        <v>13.5</v>
      </c>
      <c r="G44" s="226">
        <v>0</v>
      </c>
      <c r="H44" s="226">
        <f t="shared" si="6"/>
        <v>0</v>
      </c>
    </row>
    <row r="45" spans="2:8" x14ac:dyDescent="0.25">
      <c r="B45" s="29"/>
      <c r="C45" s="23"/>
      <c r="D45" s="23"/>
      <c r="E45" s="24"/>
      <c r="F45" s="27"/>
      <c r="G45" s="226">
        <v>0</v>
      </c>
      <c r="H45" s="227">
        <f t="shared" ref="H45" si="7">SUM(H38:H44)</f>
        <v>0</v>
      </c>
    </row>
    <row r="46" spans="2:8" x14ac:dyDescent="0.25">
      <c r="B46" s="29" t="s">
        <v>50</v>
      </c>
      <c r="C46" s="30" t="s">
        <v>51</v>
      </c>
      <c r="D46" s="30"/>
      <c r="E46" s="24"/>
      <c r="F46" s="27"/>
      <c r="G46" s="226">
        <v>0</v>
      </c>
      <c r="H46" s="226"/>
    </row>
    <row r="47" spans="2:8" x14ac:dyDescent="0.25">
      <c r="B47" s="29"/>
      <c r="C47" s="23" t="s">
        <v>52</v>
      </c>
      <c r="D47" s="23"/>
      <c r="E47" s="24"/>
      <c r="F47" s="27"/>
      <c r="G47" s="226">
        <v>0</v>
      </c>
      <c r="H47" s="226"/>
    </row>
    <row r="48" spans="2:8" x14ac:dyDescent="0.25">
      <c r="B48" s="22">
        <v>1</v>
      </c>
      <c r="C48" s="33" t="s">
        <v>268</v>
      </c>
      <c r="D48" s="33" t="s">
        <v>269</v>
      </c>
      <c r="E48" s="24" t="s">
        <v>19</v>
      </c>
      <c r="F48" s="25">
        <f>'[1]Htgan Volume'!AO8</f>
        <v>15.8</v>
      </c>
      <c r="G48" s="226">
        <v>0</v>
      </c>
      <c r="H48" s="226">
        <f>G48*F48</f>
        <v>0</v>
      </c>
    </row>
    <row r="49" spans="2:14" x14ac:dyDescent="0.25">
      <c r="B49" s="22">
        <v>2</v>
      </c>
      <c r="C49" s="33" t="s">
        <v>270</v>
      </c>
      <c r="D49" s="33" t="s">
        <v>271</v>
      </c>
      <c r="E49" s="24" t="s">
        <v>19</v>
      </c>
      <c r="F49" s="25">
        <f>'[1]Htgan Volume'!AO21</f>
        <v>1.4</v>
      </c>
      <c r="G49" s="226">
        <v>0</v>
      </c>
      <c r="H49" s="226">
        <f>G49*F49</f>
        <v>0</v>
      </c>
    </row>
    <row r="50" spans="2:14" x14ac:dyDescent="0.25">
      <c r="B50" s="22">
        <v>3</v>
      </c>
      <c r="C50" s="33" t="s">
        <v>321</v>
      </c>
      <c r="D50" s="33" t="s">
        <v>297</v>
      </c>
      <c r="E50" s="24" t="s">
        <v>19</v>
      </c>
      <c r="F50" s="25">
        <f>'[1]Htgan Volume'!AO28</f>
        <v>2.25</v>
      </c>
      <c r="G50" s="226">
        <v>0</v>
      </c>
      <c r="H50" s="226">
        <f>G50*F50</f>
        <v>0</v>
      </c>
    </row>
    <row r="51" spans="2:14" x14ac:dyDescent="0.25">
      <c r="B51" s="22"/>
      <c r="C51" s="23"/>
      <c r="D51" s="23"/>
      <c r="E51" s="24"/>
      <c r="F51" s="27"/>
      <c r="G51" s="226">
        <v>0</v>
      </c>
      <c r="H51" s="227">
        <f t="shared" ref="H51" si="8">SUM(H48:H50)</f>
        <v>0</v>
      </c>
    </row>
    <row r="52" spans="2:14" x14ac:dyDescent="0.25">
      <c r="B52" s="29" t="s">
        <v>53</v>
      </c>
      <c r="C52" s="30" t="s">
        <v>54</v>
      </c>
      <c r="D52" s="30"/>
      <c r="E52" s="23"/>
      <c r="F52" s="27"/>
      <c r="G52" s="226">
        <v>0</v>
      </c>
      <c r="H52" s="226"/>
    </row>
    <row r="53" spans="2:14" x14ac:dyDescent="0.25">
      <c r="B53" s="23">
        <v>1</v>
      </c>
      <c r="C53" s="33" t="s">
        <v>55</v>
      </c>
      <c r="D53" s="33"/>
      <c r="E53" s="24" t="s">
        <v>19</v>
      </c>
      <c r="F53" s="25">
        <f>'[1]Htgan Volume'!AV13</f>
        <v>28.08</v>
      </c>
      <c r="G53" s="226">
        <v>0</v>
      </c>
      <c r="H53" s="226">
        <f>G53*F53</f>
        <v>0</v>
      </c>
    </row>
    <row r="54" spans="2:14" x14ac:dyDescent="0.25">
      <c r="B54" s="23">
        <v>2</v>
      </c>
      <c r="C54" s="33" t="s">
        <v>56</v>
      </c>
      <c r="D54" s="33"/>
      <c r="E54" s="24" t="s">
        <v>13</v>
      </c>
      <c r="F54" s="25">
        <f>'[1]Htgan Volume'!AV24</f>
        <v>36.975000000000001</v>
      </c>
      <c r="G54" s="226">
        <v>0</v>
      </c>
      <c r="H54" s="226">
        <f>G54*F54</f>
        <v>0</v>
      </c>
    </row>
    <row r="55" spans="2:14" x14ac:dyDescent="0.25">
      <c r="B55" s="22">
        <v>3</v>
      </c>
      <c r="C55" s="33" t="s">
        <v>57</v>
      </c>
      <c r="D55" s="33"/>
      <c r="E55" s="24" t="s">
        <v>13</v>
      </c>
      <c r="F55" s="25">
        <f>'[1]Htgan Volume'!AV33</f>
        <v>13.2</v>
      </c>
      <c r="G55" s="226">
        <v>0</v>
      </c>
      <c r="H55" s="226">
        <f>G55*F55</f>
        <v>0</v>
      </c>
    </row>
    <row r="56" spans="2:14" x14ac:dyDescent="0.25">
      <c r="B56" s="22">
        <v>4</v>
      </c>
      <c r="C56" s="33" t="s">
        <v>58</v>
      </c>
      <c r="D56" s="33"/>
      <c r="E56" s="24" t="s">
        <v>19</v>
      </c>
      <c r="F56" s="25">
        <f>'[1]Htgan Volume'!AV44</f>
        <v>8.120000000000001</v>
      </c>
      <c r="G56" s="226">
        <v>0</v>
      </c>
      <c r="H56" s="226">
        <f>G56*F56</f>
        <v>0</v>
      </c>
    </row>
    <row r="57" spans="2:14" x14ac:dyDescent="0.25">
      <c r="B57" s="29"/>
      <c r="C57" s="23"/>
      <c r="D57" s="23"/>
      <c r="E57" s="23"/>
      <c r="F57" s="27"/>
      <c r="G57" s="226">
        <v>0</v>
      </c>
      <c r="H57" s="229">
        <f t="shared" ref="H57" si="9">SUM(H53:H56)</f>
        <v>0</v>
      </c>
    </row>
    <row r="58" spans="2:14" x14ac:dyDescent="0.25">
      <c r="B58" s="29" t="s">
        <v>59</v>
      </c>
      <c r="C58" s="30" t="s">
        <v>60</v>
      </c>
      <c r="D58" s="30"/>
      <c r="E58" s="24"/>
      <c r="F58" s="27"/>
      <c r="G58" s="226">
        <v>0</v>
      </c>
      <c r="H58" s="226"/>
    </row>
    <row r="59" spans="2:14" x14ac:dyDescent="0.25">
      <c r="B59" s="22">
        <v>1</v>
      </c>
      <c r="C59" s="23" t="s">
        <v>61</v>
      </c>
      <c r="D59" s="23" t="s">
        <v>272</v>
      </c>
      <c r="E59" s="24" t="s">
        <v>19</v>
      </c>
      <c r="F59" s="25">
        <f>'[1]Htgan Volume'!BC9</f>
        <v>25.742499999999996</v>
      </c>
      <c r="G59" s="226">
        <v>0</v>
      </c>
      <c r="H59" s="226">
        <f>G59*F59</f>
        <v>0</v>
      </c>
      <c r="K59" t="s">
        <v>323</v>
      </c>
      <c r="L59" t="s">
        <v>326</v>
      </c>
      <c r="M59" t="s">
        <v>327</v>
      </c>
    </row>
    <row r="60" spans="2:14" x14ac:dyDescent="0.25">
      <c r="B60" s="22">
        <v>2</v>
      </c>
      <c r="C60" s="23" t="s">
        <v>62</v>
      </c>
      <c r="D60" s="23" t="s">
        <v>272</v>
      </c>
      <c r="E60" s="24" t="s">
        <v>19</v>
      </c>
      <c r="F60" s="25">
        <f>'[1]Htgan Volume'!BC24</f>
        <v>138.39875000000001</v>
      </c>
      <c r="G60" s="226">
        <v>0</v>
      </c>
      <c r="H60" s="226">
        <f>G60*F60</f>
        <v>0</v>
      </c>
      <c r="J60" t="s">
        <v>324</v>
      </c>
      <c r="K60">
        <f>4.55*7.85*2+8*3.5*0.5*2+4.2*6.85+0.5*1.75*6.85-(1*4.5)+4</f>
        <v>133.69874999999999</v>
      </c>
      <c r="L60">
        <f>0.8*2.4+0.9*2.4*2</f>
        <v>6.24</v>
      </c>
      <c r="M60">
        <f>0.2*4.85*4*2+0.2*8*2+0.2*4.2*4+0.2*6+0.15*10*3</f>
        <v>20.02</v>
      </c>
      <c r="N60">
        <f>K60-L60-M60</f>
        <v>107.43875</v>
      </c>
    </row>
    <row r="61" spans="2:14" x14ac:dyDescent="0.25">
      <c r="B61" s="22">
        <v>3</v>
      </c>
      <c r="C61" s="23" t="s">
        <v>63</v>
      </c>
      <c r="D61" s="23" t="s">
        <v>273</v>
      </c>
      <c r="E61" s="24" t="s">
        <v>19</v>
      </c>
      <c r="F61" s="25">
        <f>'[1]Htgan Volume'!BC33</f>
        <v>317.78250000000003</v>
      </c>
      <c r="G61" s="226">
        <v>0</v>
      </c>
      <c r="H61" s="226">
        <f>G61*F61</f>
        <v>0</v>
      </c>
      <c r="J61" t="s">
        <v>325</v>
      </c>
      <c r="K61">
        <f>3.85*3+4.85*5+3.5*3+4.8*2+4.3*3+4.3*3</f>
        <v>81.699999999999989</v>
      </c>
      <c r="L61">
        <f>0.9*2.4*3+0.4*2.4*2+0.8*2.25+1.6*2.2*2</f>
        <v>17.240000000000002</v>
      </c>
      <c r="M61">
        <f>0.2*8*4.2</f>
        <v>6.7200000000000006</v>
      </c>
      <c r="N61">
        <f>K61-L61-M61</f>
        <v>57.739999999999981</v>
      </c>
    </row>
    <row r="62" spans="2:14" x14ac:dyDescent="0.25">
      <c r="B62" s="22"/>
      <c r="C62" s="23"/>
      <c r="D62" s="23"/>
      <c r="E62" s="24"/>
      <c r="F62" s="27"/>
      <c r="G62" s="226">
        <v>0</v>
      </c>
      <c r="H62" s="227">
        <f t="shared" ref="H62" si="10">SUM(H59:H61)</f>
        <v>0</v>
      </c>
      <c r="J62" t="s">
        <v>329</v>
      </c>
      <c r="N62">
        <f>K62-L62-M62</f>
        <v>0</v>
      </c>
    </row>
    <row r="63" spans="2:14" x14ac:dyDescent="0.25">
      <c r="B63" s="29" t="s">
        <v>64</v>
      </c>
      <c r="C63" s="30" t="s">
        <v>65</v>
      </c>
      <c r="D63" s="30"/>
      <c r="E63" s="23"/>
      <c r="F63" s="27"/>
      <c r="G63" s="226">
        <v>0</v>
      </c>
      <c r="H63" s="226"/>
      <c r="J63" t="s">
        <v>328</v>
      </c>
      <c r="N63">
        <f t="shared" ref="N63:N65" si="11">K63-L63-M63</f>
        <v>0</v>
      </c>
    </row>
    <row r="64" spans="2:14" x14ac:dyDescent="0.25">
      <c r="B64" s="22">
        <v>1</v>
      </c>
      <c r="C64" s="23" t="s">
        <v>66</v>
      </c>
      <c r="D64" s="23" t="s">
        <v>278</v>
      </c>
      <c r="E64" s="24" t="s">
        <v>19</v>
      </c>
      <c r="F64" s="25">
        <f>'[1]Htgan Volume'!BJ12</f>
        <v>40.5</v>
      </c>
      <c r="G64" s="226">
        <v>0</v>
      </c>
      <c r="H64" s="226">
        <f t="shared" ref="H64:H69" si="12">G64*F64</f>
        <v>0</v>
      </c>
      <c r="J64" t="s">
        <v>330</v>
      </c>
      <c r="N64">
        <f t="shared" si="11"/>
        <v>0</v>
      </c>
    </row>
    <row r="65" spans="2:15" x14ac:dyDescent="0.25">
      <c r="B65" s="22">
        <v>2</v>
      </c>
      <c r="C65" s="23" t="s">
        <v>67</v>
      </c>
      <c r="D65" s="23" t="s">
        <v>279</v>
      </c>
      <c r="E65" s="24" t="s">
        <v>19</v>
      </c>
      <c r="F65" s="25">
        <f>'[1]Htgan Volume'!BJ21</f>
        <v>40.5</v>
      </c>
      <c r="G65" s="226">
        <v>0</v>
      </c>
      <c r="H65" s="226">
        <f t="shared" si="12"/>
        <v>0</v>
      </c>
      <c r="J65" t="s">
        <v>329</v>
      </c>
      <c r="N65">
        <f t="shared" si="11"/>
        <v>0</v>
      </c>
    </row>
    <row r="66" spans="2:15" x14ac:dyDescent="0.25">
      <c r="B66" s="22">
        <v>3</v>
      </c>
      <c r="C66" s="23" t="s">
        <v>68</v>
      </c>
      <c r="D66" s="23" t="s">
        <v>280</v>
      </c>
      <c r="E66" s="24" t="s">
        <v>13</v>
      </c>
      <c r="F66" s="25">
        <f>'[1]Htgan Volume'!BJ28</f>
        <v>16.75</v>
      </c>
      <c r="G66" s="226">
        <v>0</v>
      </c>
      <c r="H66" s="226">
        <f t="shared" si="12"/>
        <v>0</v>
      </c>
      <c r="N66" s="260">
        <f>SUM(N60:N65)</f>
        <v>165.17874999999998</v>
      </c>
    </row>
    <row r="67" spans="2:15" x14ac:dyDescent="0.25">
      <c r="B67" s="23">
        <v>4</v>
      </c>
      <c r="C67" s="23" t="s">
        <v>69</v>
      </c>
      <c r="D67" s="23" t="s">
        <v>279</v>
      </c>
      <c r="E67" s="24" t="s">
        <v>13</v>
      </c>
      <c r="F67" s="25">
        <f>'[1]Htgan Volume'!BJ34</f>
        <v>18</v>
      </c>
      <c r="G67" s="226">
        <v>0</v>
      </c>
      <c r="H67" s="226">
        <f t="shared" si="12"/>
        <v>0</v>
      </c>
      <c r="J67" t="s">
        <v>331</v>
      </c>
      <c r="K67" s="257">
        <f>2.5*2.75</f>
        <v>6.875</v>
      </c>
      <c r="L67">
        <f>0.15*4*2.5+0.2*2.5*2</f>
        <v>2.5</v>
      </c>
      <c r="N67">
        <f>K67-L67</f>
        <v>4.375</v>
      </c>
    </row>
    <row r="68" spans="2:15" x14ac:dyDescent="0.25">
      <c r="B68" s="23">
        <v>5</v>
      </c>
      <c r="C68" s="23" t="s">
        <v>70</v>
      </c>
      <c r="D68" s="23" t="s">
        <v>279</v>
      </c>
      <c r="E68" s="24" t="s">
        <v>13</v>
      </c>
      <c r="F68" s="25">
        <f>'[1]Htgan Volume'!BJ40</f>
        <v>5</v>
      </c>
      <c r="G68" s="226">
        <v>0</v>
      </c>
      <c r="H68" s="226">
        <f t="shared" si="12"/>
        <v>0</v>
      </c>
      <c r="K68">
        <f>0.5*10.5</f>
        <v>5.25</v>
      </c>
      <c r="N68">
        <f>K68</f>
        <v>5.25</v>
      </c>
    </row>
    <row r="69" spans="2:15" x14ac:dyDescent="0.25">
      <c r="B69" s="23">
        <v>6</v>
      </c>
      <c r="C69" s="23" t="s">
        <v>71</v>
      </c>
      <c r="D69" s="23" t="s">
        <v>279</v>
      </c>
      <c r="E69" s="24" t="s">
        <v>13</v>
      </c>
      <c r="F69" s="25">
        <f>'[1]Htgan Volume'!BJ49</f>
        <v>7</v>
      </c>
      <c r="G69" s="226">
        <v>0</v>
      </c>
      <c r="H69" s="226">
        <f t="shared" si="12"/>
        <v>0</v>
      </c>
      <c r="N69" s="260">
        <f>SUM(N67:N68)+N66</f>
        <v>174.80374999999998</v>
      </c>
      <c r="O69">
        <f>30</f>
        <v>30</v>
      </c>
    </row>
    <row r="70" spans="2:15" x14ac:dyDescent="0.25">
      <c r="B70" s="29"/>
      <c r="C70" s="23"/>
      <c r="D70" s="23"/>
      <c r="E70" s="23"/>
      <c r="F70" s="27"/>
      <c r="G70" s="226">
        <v>0</v>
      </c>
      <c r="H70" s="227">
        <f t="shared" ref="H70" si="13">SUM(H64:H69)</f>
        <v>0</v>
      </c>
      <c r="J70" t="s">
        <v>332</v>
      </c>
      <c r="K70" t="s">
        <v>333</v>
      </c>
      <c r="N70">
        <f>N69*2</f>
        <v>349.60749999999996</v>
      </c>
    </row>
    <row r="71" spans="2:15" x14ac:dyDescent="0.25">
      <c r="B71" s="29" t="s">
        <v>72</v>
      </c>
      <c r="C71" s="30" t="s">
        <v>73</v>
      </c>
      <c r="D71" s="30"/>
      <c r="E71" s="23"/>
      <c r="F71" s="35"/>
      <c r="G71" s="226">
        <v>0</v>
      </c>
      <c r="H71" s="226"/>
      <c r="J71" t="s">
        <v>334</v>
      </c>
      <c r="K71">
        <f>4.55*7.85+0.75*2</f>
        <v>37.217499999999994</v>
      </c>
      <c r="N71" s="260">
        <f>N70-K74+50</f>
        <v>312.12624999999997</v>
      </c>
    </row>
    <row r="72" spans="2:15" x14ac:dyDescent="0.25">
      <c r="B72" s="22">
        <v>1</v>
      </c>
      <c r="C72" s="33" t="s">
        <v>74</v>
      </c>
      <c r="D72" s="33"/>
      <c r="E72" s="23"/>
      <c r="F72" s="27"/>
      <c r="G72" s="226">
        <v>0</v>
      </c>
      <c r="H72" s="226"/>
      <c r="J72" t="s">
        <v>335</v>
      </c>
      <c r="K72">
        <f>4.2*6.85+0.5*1.75*6.85</f>
        <v>34.763750000000002</v>
      </c>
    </row>
    <row r="73" spans="2:15" x14ac:dyDescent="0.25">
      <c r="B73" s="22" t="s">
        <v>75</v>
      </c>
      <c r="C73" s="23" t="s">
        <v>76</v>
      </c>
      <c r="D73" s="33" t="s">
        <v>274</v>
      </c>
      <c r="E73" s="24" t="s">
        <v>77</v>
      </c>
      <c r="F73" s="25">
        <f>'[1]Htgan Volume'!BR8</f>
        <v>4</v>
      </c>
      <c r="G73" s="226">
        <v>0</v>
      </c>
      <c r="H73" s="226">
        <f t="shared" ref="H73:H85" si="14">G73*F73</f>
        <v>0</v>
      </c>
      <c r="J73" t="s">
        <v>336</v>
      </c>
      <c r="K73">
        <f>3.5*3+2.5*2</f>
        <v>15.5</v>
      </c>
      <c r="N73">
        <f>N69-12.5</f>
        <v>162.30374999999998</v>
      </c>
    </row>
    <row r="74" spans="2:15" x14ac:dyDescent="0.25">
      <c r="B74" s="22" t="s">
        <v>75</v>
      </c>
      <c r="C74" s="23" t="s">
        <v>78</v>
      </c>
      <c r="D74" s="33" t="s">
        <v>274</v>
      </c>
      <c r="E74" s="24" t="s">
        <v>77</v>
      </c>
      <c r="F74" s="25">
        <f>'[1]Htgan Volume'!BR12</f>
        <v>1</v>
      </c>
      <c r="G74" s="226">
        <v>0</v>
      </c>
      <c r="H74" s="226">
        <f t="shared" si="14"/>
        <v>0</v>
      </c>
      <c r="K74" s="260">
        <f>SUM(K71:K73)</f>
        <v>87.481249999999989</v>
      </c>
    </row>
    <row r="75" spans="2:15" x14ac:dyDescent="0.25">
      <c r="B75" s="22">
        <v>2</v>
      </c>
      <c r="C75" s="33" t="s">
        <v>79</v>
      </c>
      <c r="D75" s="33"/>
      <c r="E75" s="24"/>
      <c r="F75" s="27">
        <v>1</v>
      </c>
      <c r="G75" s="226">
        <v>0</v>
      </c>
      <c r="H75" s="226">
        <f t="shared" si="14"/>
        <v>0</v>
      </c>
    </row>
    <row r="76" spans="2:15" x14ac:dyDescent="0.25">
      <c r="B76" s="22" t="s">
        <v>75</v>
      </c>
      <c r="C76" s="23" t="s">
        <v>80</v>
      </c>
      <c r="D76" s="23" t="s">
        <v>275</v>
      </c>
      <c r="E76" s="24" t="s">
        <v>81</v>
      </c>
      <c r="F76" s="25">
        <f>'[1]Htgan Volume'!BS19</f>
        <v>1</v>
      </c>
      <c r="G76" s="226">
        <v>0</v>
      </c>
      <c r="H76" s="226">
        <f t="shared" si="14"/>
        <v>0</v>
      </c>
    </row>
    <row r="77" spans="2:15" x14ac:dyDescent="0.25">
      <c r="B77" s="22" t="s">
        <v>75</v>
      </c>
      <c r="C77" s="23" t="s">
        <v>82</v>
      </c>
      <c r="D77" s="23" t="s">
        <v>275</v>
      </c>
      <c r="E77" s="24" t="s">
        <v>81</v>
      </c>
      <c r="F77" s="25">
        <f>'[1]Htgan Volume'!BS21</f>
        <v>1</v>
      </c>
      <c r="G77" s="226">
        <v>0</v>
      </c>
      <c r="H77" s="226">
        <f t="shared" si="14"/>
        <v>0</v>
      </c>
    </row>
    <row r="78" spans="2:15" x14ac:dyDescent="0.25">
      <c r="B78" s="22" t="s">
        <v>75</v>
      </c>
      <c r="C78" s="23" t="s">
        <v>83</v>
      </c>
      <c r="D78" s="23" t="s">
        <v>275</v>
      </c>
      <c r="E78" s="24" t="s">
        <v>81</v>
      </c>
      <c r="F78" s="25">
        <f>'[1]Htgan Volume'!BS23</f>
        <v>1</v>
      </c>
      <c r="G78" s="226">
        <v>0</v>
      </c>
      <c r="H78" s="226">
        <f t="shared" si="14"/>
        <v>0</v>
      </c>
    </row>
    <row r="79" spans="2:15" x14ac:dyDescent="0.25">
      <c r="B79" s="22" t="s">
        <v>75</v>
      </c>
      <c r="C79" s="23" t="s">
        <v>84</v>
      </c>
      <c r="D79" s="23" t="s">
        <v>275</v>
      </c>
      <c r="E79" s="24" t="s">
        <v>81</v>
      </c>
      <c r="F79" s="25">
        <f>'[1]Htgan Volume'!BS25</f>
        <v>1</v>
      </c>
      <c r="G79" s="226">
        <v>0</v>
      </c>
      <c r="H79" s="226">
        <f t="shared" si="14"/>
        <v>0</v>
      </c>
    </row>
    <row r="80" spans="2:15" x14ac:dyDescent="0.25">
      <c r="B80" s="22" t="s">
        <v>75</v>
      </c>
      <c r="C80" s="23" t="s">
        <v>85</v>
      </c>
      <c r="D80" s="23" t="s">
        <v>275</v>
      </c>
      <c r="E80" s="24" t="s">
        <v>81</v>
      </c>
      <c r="F80" s="25">
        <f>'[1]Htgan Volume'!BS27</f>
        <v>1</v>
      </c>
      <c r="G80" s="226">
        <v>0</v>
      </c>
      <c r="H80" s="226">
        <f t="shared" si="14"/>
        <v>0</v>
      </c>
    </row>
    <row r="81" spans="2:8" x14ac:dyDescent="0.25">
      <c r="B81" s="22" t="s">
        <v>75</v>
      </c>
      <c r="C81" s="23" t="s">
        <v>86</v>
      </c>
      <c r="D81" s="23" t="s">
        <v>275</v>
      </c>
      <c r="E81" s="24" t="s">
        <v>81</v>
      </c>
      <c r="F81" s="25">
        <f>'[1]Htgan Volume'!BS29</f>
        <v>2</v>
      </c>
      <c r="G81" s="226">
        <v>0</v>
      </c>
      <c r="H81" s="226">
        <f t="shared" si="14"/>
        <v>0</v>
      </c>
    </row>
    <row r="82" spans="2:8" x14ac:dyDescent="0.25">
      <c r="B82" s="22">
        <v>3</v>
      </c>
      <c r="C82" s="23" t="s">
        <v>87</v>
      </c>
      <c r="D82" s="23"/>
      <c r="E82" s="24"/>
      <c r="F82" s="27"/>
      <c r="G82" s="226">
        <v>0</v>
      </c>
      <c r="H82" s="226">
        <f t="shared" si="14"/>
        <v>0</v>
      </c>
    </row>
    <row r="83" spans="2:8" x14ac:dyDescent="0.25">
      <c r="B83" s="22" t="s">
        <v>75</v>
      </c>
      <c r="C83" s="23" t="s">
        <v>276</v>
      </c>
      <c r="D83" s="23" t="s">
        <v>277</v>
      </c>
      <c r="E83" s="24" t="s">
        <v>77</v>
      </c>
      <c r="F83" s="25">
        <f>'[1]Htgan Volume'!BR35</f>
        <v>1</v>
      </c>
      <c r="G83" s="226">
        <v>0</v>
      </c>
      <c r="H83" s="226">
        <f t="shared" si="14"/>
        <v>0</v>
      </c>
    </row>
    <row r="84" spans="2:8" x14ac:dyDescent="0.25">
      <c r="B84" s="22" t="s">
        <v>75</v>
      </c>
      <c r="C84" s="23" t="s">
        <v>89</v>
      </c>
      <c r="D84" s="23" t="s">
        <v>277</v>
      </c>
      <c r="E84" s="24" t="s">
        <v>77</v>
      </c>
      <c r="F84" s="25">
        <f>'[1]Htgan Volume'!BR37</f>
        <v>4</v>
      </c>
      <c r="G84" s="226">
        <v>0</v>
      </c>
      <c r="H84" s="226">
        <f t="shared" si="14"/>
        <v>0</v>
      </c>
    </row>
    <row r="85" spans="2:8" x14ac:dyDescent="0.25">
      <c r="B85" s="22" t="s">
        <v>75</v>
      </c>
      <c r="C85" s="23" t="s">
        <v>90</v>
      </c>
      <c r="D85" s="23" t="s">
        <v>277</v>
      </c>
      <c r="E85" s="24" t="s">
        <v>91</v>
      </c>
      <c r="F85" s="25">
        <f>'[1]Htgan Volume'!BR38</f>
        <v>15</v>
      </c>
      <c r="G85" s="226">
        <v>0</v>
      </c>
      <c r="H85" s="226">
        <f t="shared" si="14"/>
        <v>0</v>
      </c>
    </row>
    <row r="86" spans="2:8" x14ac:dyDescent="0.25">
      <c r="B86" s="22"/>
      <c r="C86" s="23"/>
      <c r="D86" s="23"/>
      <c r="E86" s="24"/>
      <c r="F86" s="27"/>
      <c r="G86" s="226">
        <v>0</v>
      </c>
      <c r="H86" s="227">
        <f t="shared" ref="H86" si="15">SUM(H73:H85)</f>
        <v>0</v>
      </c>
    </row>
    <row r="87" spans="2:8" x14ac:dyDescent="0.25">
      <c r="B87" s="29" t="s">
        <v>92</v>
      </c>
      <c r="C87" s="30" t="s">
        <v>93</v>
      </c>
      <c r="D87" s="30"/>
      <c r="E87" s="24"/>
      <c r="F87" s="27"/>
      <c r="G87" s="226">
        <v>0</v>
      </c>
      <c r="H87" s="226"/>
    </row>
    <row r="88" spans="2:8" x14ac:dyDescent="0.25">
      <c r="B88" s="23">
        <v>1</v>
      </c>
      <c r="C88" s="23" t="s">
        <v>94</v>
      </c>
      <c r="D88" s="23" t="s">
        <v>281</v>
      </c>
      <c r="E88" s="24" t="s">
        <v>19</v>
      </c>
      <c r="F88" s="25">
        <f>'[1]Htgan Volume'!BZ12</f>
        <v>114.125</v>
      </c>
      <c r="G88" s="226">
        <v>0</v>
      </c>
      <c r="H88" s="226">
        <f>G88*F88</f>
        <v>0</v>
      </c>
    </row>
    <row r="89" spans="2:8" x14ac:dyDescent="0.25">
      <c r="B89" s="23">
        <v>2</v>
      </c>
      <c r="C89" s="23" t="s">
        <v>95</v>
      </c>
      <c r="D89" s="23" t="s">
        <v>281</v>
      </c>
      <c r="E89" s="24" t="s">
        <v>19</v>
      </c>
      <c r="F89" s="25">
        <f>'[1]Htgan Volume'!BZ24</f>
        <v>42.65</v>
      </c>
      <c r="G89" s="226">
        <v>0</v>
      </c>
      <c r="H89" s="226">
        <f>G89*F89</f>
        <v>0</v>
      </c>
    </row>
    <row r="90" spans="2:8" x14ac:dyDescent="0.25">
      <c r="B90" s="23">
        <v>3</v>
      </c>
      <c r="C90" s="23" t="s">
        <v>96</v>
      </c>
      <c r="D90" s="23" t="s">
        <v>281</v>
      </c>
      <c r="E90" s="24" t="s">
        <v>19</v>
      </c>
      <c r="F90" s="25">
        <f>'[1]Htgan Volume'!BZ36</f>
        <v>37.799999999999997</v>
      </c>
      <c r="G90" s="226">
        <v>0</v>
      </c>
      <c r="H90" s="226">
        <f>G90*F90</f>
        <v>0</v>
      </c>
    </row>
    <row r="91" spans="2:8" x14ac:dyDescent="0.25">
      <c r="B91" s="23">
        <v>4</v>
      </c>
      <c r="C91" s="23" t="s">
        <v>97</v>
      </c>
      <c r="D91" s="23" t="s">
        <v>281</v>
      </c>
      <c r="E91" s="24" t="s">
        <v>19</v>
      </c>
      <c r="F91" s="25">
        <f>'[1]Htgan Volume'!BZ47</f>
        <v>15.307500000000001</v>
      </c>
      <c r="G91" s="226">
        <v>0</v>
      </c>
      <c r="H91" s="226">
        <f>G91*F91</f>
        <v>0</v>
      </c>
    </row>
    <row r="92" spans="2:8" x14ac:dyDescent="0.25">
      <c r="B92" s="23">
        <v>5</v>
      </c>
      <c r="C92" s="23" t="s">
        <v>98</v>
      </c>
      <c r="D92" s="23" t="s">
        <v>281</v>
      </c>
      <c r="E92" s="24" t="s">
        <v>13</v>
      </c>
      <c r="F92" s="25">
        <f>'[1]Htgan Volume'!BZ53</f>
        <v>5</v>
      </c>
      <c r="G92" s="226">
        <v>0</v>
      </c>
      <c r="H92" s="226">
        <f>G92*F92</f>
        <v>0</v>
      </c>
    </row>
    <row r="93" spans="2:8" x14ac:dyDescent="0.25">
      <c r="B93" s="22"/>
      <c r="C93" s="23"/>
      <c r="D93" s="23"/>
      <c r="E93" s="24"/>
      <c r="F93" s="27"/>
      <c r="G93" s="226">
        <v>0</v>
      </c>
      <c r="H93" s="227">
        <f t="shared" ref="H93" si="16">SUM(H88:H92)</f>
        <v>0</v>
      </c>
    </row>
    <row r="94" spans="2:8" x14ac:dyDescent="0.25">
      <c r="B94" s="29" t="s">
        <v>99</v>
      </c>
      <c r="C94" s="30" t="s">
        <v>100</v>
      </c>
      <c r="D94" s="30"/>
      <c r="E94" s="24"/>
      <c r="F94" s="27"/>
      <c r="G94" s="226">
        <v>0</v>
      </c>
      <c r="H94" s="226"/>
    </row>
    <row r="95" spans="2:8" x14ac:dyDescent="0.25">
      <c r="B95" s="22">
        <v>1</v>
      </c>
      <c r="C95" s="23" t="s">
        <v>101</v>
      </c>
      <c r="D95" s="23"/>
      <c r="E95" s="23"/>
      <c r="F95" s="27"/>
      <c r="G95" s="226">
        <v>0</v>
      </c>
      <c r="H95" s="226"/>
    </row>
    <row r="96" spans="2:8" x14ac:dyDescent="0.25">
      <c r="B96" s="22" t="s">
        <v>75</v>
      </c>
      <c r="C96" s="23" t="s">
        <v>102</v>
      </c>
      <c r="D96" s="23" t="s">
        <v>283</v>
      </c>
      <c r="E96" s="24" t="s">
        <v>77</v>
      </c>
      <c r="F96" s="25">
        <f>'[1]Htgan Volume'!CJ8</f>
        <v>1</v>
      </c>
      <c r="G96" s="226">
        <v>0</v>
      </c>
      <c r="H96" s="226">
        <f>G96*F96</f>
        <v>0</v>
      </c>
    </row>
    <row r="97" spans="2:8" x14ac:dyDescent="0.25">
      <c r="B97" s="22" t="s">
        <v>75</v>
      </c>
      <c r="C97" s="23" t="s">
        <v>284</v>
      </c>
      <c r="D97" s="23" t="s">
        <v>285</v>
      </c>
      <c r="E97" s="24" t="s">
        <v>77</v>
      </c>
      <c r="F97" s="25">
        <f>'[1]Htgan Volume'!CJ10</f>
        <v>1</v>
      </c>
      <c r="G97" s="226">
        <v>0</v>
      </c>
      <c r="H97" s="226">
        <f>G97*F97</f>
        <v>0</v>
      </c>
    </row>
    <row r="98" spans="2:8" x14ac:dyDescent="0.25">
      <c r="B98" s="22" t="s">
        <v>75</v>
      </c>
      <c r="C98" s="23" t="s">
        <v>103</v>
      </c>
      <c r="D98" s="23" t="s">
        <v>286</v>
      </c>
      <c r="E98" s="24" t="s">
        <v>77</v>
      </c>
      <c r="F98" s="25">
        <f>'[1]Htgan Volume'!CJ11</f>
        <v>1</v>
      </c>
      <c r="G98" s="226">
        <v>0</v>
      </c>
      <c r="H98" s="226">
        <f>G98</f>
        <v>0</v>
      </c>
    </row>
    <row r="99" spans="2:8" x14ac:dyDescent="0.25">
      <c r="B99" s="22" t="s">
        <v>75</v>
      </c>
      <c r="C99" s="23" t="s">
        <v>287</v>
      </c>
      <c r="D99" s="23" t="s">
        <v>288</v>
      </c>
      <c r="E99" s="24" t="s">
        <v>77</v>
      </c>
      <c r="F99" s="25">
        <f>'[1]Htgan Volume'!CJ12</f>
        <v>1</v>
      </c>
      <c r="G99" s="226">
        <v>0</v>
      </c>
      <c r="H99" s="226">
        <f t="shared" ref="H99:H115" si="17">G99*F99</f>
        <v>0</v>
      </c>
    </row>
    <row r="100" spans="2:8" x14ac:dyDescent="0.25">
      <c r="B100" s="22" t="s">
        <v>75</v>
      </c>
      <c r="C100" s="23" t="s">
        <v>105</v>
      </c>
      <c r="D100" s="23"/>
      <c r="E100" s="24" t="s">
        <v>77</v>
      </c>
      <c r="F100" s="25">
        <f>'[1]Htgan Volume'!CJ13</f>
        <v>1</v>
      </c>
      <c r="G100" s="226">
        <v>0</v>
      </c>
      <c r="H100" s="226">
        <f t="shared" si="17"/>
        <v>0</v>
      </c>
    </row>
    <row r="101" spans="2:8" x14ac:dyDescent="0.25">
      <c r="B101" s="22" t="s">
        <v>75</v>
      </c>
      <c r="C101" s="23" t="s">
        <v>289</v>
      </c>
      <c r="D101" s="23" t="s">
        <v>290</v>
      </c>
      <c r="E101" s="24" t="s">
        <v>77</v>
      </c>
      <c r="F101" s="25">
        <f>'[1]Htgan Volume'!CJ14</f>
        <v>1</v>
      </c>
      <c r="G101" s="226">
        <v>0</v>
      </c>
      <c r="H101" s="226">
        <f t="shared" si="17"/>
        <v>0</v>
      </c>
    </row>
    <row r="102" spans="2:8" x14ac:dyDescent="0.25">
      <c r="B102" s="23">
        <v>2</v>
      </c>
      <c r="C102" s="23" t="s">
        <v>107</v>
      </c>
      <c r="D102" s="23"/>
      <c r="E102" s="23"/>
      <c r="F102" s="25"/>
      <c r="G102" s="226">
        <v>0</v>
      </c>
      <c r="H102" s="226">
        <f t="shared" si="17"/>
        <v>0</v>
      </c>
    </row>
    <row r="103" spans="2:8" x14ac:dyDescent="0.25">
      <c r="B103" s="22" t="s">
        <v>75</v>
      </c>
      <c r="C103" s="23" t="s">
        <v>108</v>
      </c>
      <c r="D103" s="23" t="s">
        <v>282</v>
      </c>
      <c r="E103" s="24" t="s">
        <v>77</v>
      </c>
      <c r="F103" s="25">
        <f>'[1]Htgan Volume'!CI20</f>
        <v>1</v>
      </c>
      <c r="G103" s="226">
        <v>0</v>
      </c>
      <c r="H103" s="226">
        <f t="shared" si="17"/>
        <v>0</v>
      </c>
    </row>
    <row r="104" spans="2:8" x14ac:dyDescent="0.25">
      <c r="B104" s="22" t="s">
        <v>75</v>
      </c>
      <c r="C104" s="23" t="s">
        <v>291</v>
      </c>
      <c r="D104" s="23" t="s">
        <v>294</v>
      </c>
      <c r="E104" s="24" t="s">
        <v>77</v>
      </c>
      <c r="F104" s="25">
        <f>'[1]Htgan Volume'!CI21</f>
        <v>1</v>
      </c>
      <c r="G104" s="226">
        <v>0</v>
      </c>
      <c r="H104" s="226">
        <f t="shared" si="17"/>
        <v>0</v>
      </c>
    </row>
    <row r="105" spans="2:8" x14ac:dyDescent="0.25">
      <c r="B105" s="22">
        <v>3</v>
      </c>
      <c r="C105" s="23" t="s">
        <v>292</v>
      </c>
      <c r="D105" s="23" t="s">
        <v>293</v>
      </c>
      <c r="E105" s="24" t="s">
        <v>77</v>
      </c>
      <c r="F105" s="25">
        <f>'[1]Htgan Volume'!CH27</f>
        <v>1</v>
      </c>
      <c r="G105" s="226">
        <v>0</v>
      </c>
      <c r="H105" s="226">
        <f t="shared" si="17"/>
        <v>0</v>
      </c>
    </row>
    <row r="106" spans="2:8" x14ac:dyDescent="0.25">
      <c r="B106" s="22">
        <v>4</v>
      </c>
      <c r="C106" s="23" t="s">
        <v>111</v>
      </c>
      <c r="D106" s="23"/>
      <c r="E106" s="24" t="s">
        <v>77</v>
      </c>
      <c r="F106" s="25">
        <f>'[1]Htgan Volume'!CH33</f>
        <v>1</v>
      </c>
      <c r="G106" s="226">
        <v>0</v>
      </c>
      <c r="H106" s="226">
        <f t="shared" si="17"/>
        <v>0</v>
      </c>
    </row>
    <row r="107" spans="2:8" x14ac:dyDescent="0.25">
      <c r="B107" s="22">
        <v>5</v>
      </c>
      <c r="C107" s="23" t="s">
        <v>112</v>
      </c>
      <c r="D107" s="23"/>
      <c r="E107" s="24" t="s">
        <v>77</v>
      </c>
      <c r="F107" s="25">
        <f>'[1]Htgan Volume'!CH39</f>
        <v>2</v>
      </c>
      <c r="G107" s="226">
        <v>0</v>
      </c>
      <c r="H107" s="226">
        <f t="shared" si="17"/>
        <v>0</v>
      </c>
    </row>
    <row r="108" spans="2:8" x14ac:dyDescent="0.25">
      <c r="B108" s="22">
        <v>6</v>
      </c>
      <c r="C108" s="23" t="s">
        <v>113</v>
      </c>
      <c r="D108" s="23" t="s">
        <v>298</v>
      </c>
      <c r="E108" s="23"/>
      <c r="F108" s="27"/>
      <c r="G108" s="226">
        <v>0</v>
      </c>
      <c r="H108" s="226">
        <f t="shared" si="17"/>
        <v>0</v>
      </c>
    </row>
    <row r="109" spans="2:8" x14ac:dyDescent="0.25">
      <c r="B109" s="22" t="s">
        <v>75</v>
      </c>
      <c r="C109" s="23" t="s">
        <v>114</v>
      </c>
      <c r="D109" s="23"/>
      <c r="E109" s="24" t="s">
        <v>13</v>
      </c>
      <c r="F109" s="25">
        <f>'[1]Htgan Volume'!CH45</f>
        <v>10.9</v>
      </c>
      <c r="G109" s="226">
        <v>0</v>
      </c>
      <c r="H109" s="226">
        <f t="shared" si="17"/>
        <v>0</v>
      </c>
    </row>
    <row r="110" spans="2:8" x14ac:dyDescent="0.25">
      <c r="B110" s="22" t="s">
        <v>75</v>
      </c>
      <c r="C110" s="23" t="s">
        <v>115</v>
      </c>
      <c r="D110" s="23"/>
      <c r="E110" s="24" t="s">
        <v>13</v>
      </c>
      <c r="F110" s="25">
        <v>24</v>
      </c>
      <c r="G110" s="226">
        <v>0</v>
      </c>
      <c r="H110" s="226">
        <f t="shared" si="17"/>
        <v>0</v>
      </c>
    </row>
    <row r="111" spans="2:8" x14ac:dyDescent="0.25">
      <c r="B111" s="22">
        <v>7</v>
      </c>
      <c r="C111" s="23" t="s">
        <v>116</v>
      </c>
      <c r="D111" s="23" t="s">
        <v>295</v>
      </c>
      <c r="E111" s="24"/>
      <c r="F111" s="27"/>
      <c r="G111" s="226">
        <v>0</v>
      </c>
      <c r="H111" s="226">
        <f t="shared" si="17"/>
        <v>0</v>
      </c>
    </row>
    <row r="112" spans="2:8" x14ac:dyDescent="0.25">
      <c r="B112" s="22" t="s">
        <v>75</v>
      </c>
      <c r="C112" s="23" t="s">
        <v>117</v>
      </c>
      <c r="D112" s="23"/>
      <c r="E112" s="24" t="s">
        <v>13</v>
      </c>
      <c r="F112" s="25">
        <f>'[1]Htgan Volume'!CH52</f>
        <v>8</v>
      </c>
      <c r="G112" s="226">
        <v>0</v>
      </c>
      <c r="H112" s="226">
        <f t="shared" si="17"/>
        <v>0</v>
      </c>
    </row>
    <row r="113" spans="2:8" x14ac:dyDescent="0.25">
      <c r="B113" s="22" t="s">
        <v>75</v>
      </c>
      <c r="C113" s="23" t="s">
        <v>118</v>
      </c>
      <c r="D113" s="23"/>
      <c r="E113" s="24" t="s">
        <v>13</v>
      </c>
      <c r="F113" s="25">
        <f>'[1]Htgan Volume'!CH53</f>
        <v>30</v>
      </c>
      <c r="G113" s="226">
        <v>0</v>
      </c>
      <c r="H113" s="226">
        <f t="shared" si="17"/>
        <v>0</v>
      </c>
    </row>
    <row r="114" spans="2:8" x14ac:dyDescent="0.25">
      <c r="B114" s="22" t="s">
        <v>75</v>
      </c>
      <c r="C114" s="23" t="s">
        <v>119</v>
      </c>
      <c r="D114" s="23"/>
      <c r="E114" s="24" t="s">
        <v>77</v>
      </c>
      <c r="F114" s="25">
        <f>'[1]Htgan Volume'!CH54</f>
        <v>4</v>
      </c>
      <c r="G114" s="226">
        <v>0</v>
      </c>
      <c r="H114" s="226">
        <f t="shared" si="17"/>
        <v>0</v>
      </c>
    </row>
    <row r="115" spans="2:8" x14ac:dyDescent="0.25">
      <c r="B115" s="22" t="s">
        <v>75</v>
      </c>
      <c r="C115" s="23" t="s">
        <v>120</v>
      </c>
      <c r="D115" s="23"/>
      <c r="E115" s="24" t="s">
        <v>77</v>
      </c>
      <c r="F115" s="25">
        <f>'[1]Htgan Volume'!CH55</f>
        <v>1</v>
      </c>
      <c r="G115" s="226">
        <v>0</v>
      </c>
      <c r="H115" s="226">
        <f t="shared" si="17"/>
        <v>0</v>
      </c>
    </row>
    <row r="116" spans="2:8" x14ac:dyDescent="0.25">
      <c r="B116" s="22"/>
      <c r="C116" s="23"/>
      <c r="D116" s="23"/>
      <c r="E116" s="24"/>
      <c r="F116" s="27"/>
      <c r="G116" s="226">
        <v>0</v>
      </c>
      <c r="H116" s="226"/>
    </row>
    <row r="117" spans="2:8" x14ac:dyDescent="0.25">
      <c r="B117" s="22"/>
      <c r="C117" s="23"/>
      <c r="D117" s="23"/>
      <c r="E117" s="24"/>
      <c r="F117" s="27"/>
      <c r="G117" s="226">
        <v>0</v>
      </c>
      <c r="H117" s="227">
        <f t="shared" ref="H117" si="18">SUM(H96:H115)</f>
        <v>0</v>
      </c>
    </row>
    <row r="118" spans="2:8" x14ac:dyDescent="0.25">
      <c r="B118" s="29" t="s">
        <v>121</v>
      </c>
      <c r="C118" s="30" t="s">
        <v>122</v>
      </c>
      <c r="D118" s="30"/>
      <c r="E118" s="24"/>
      <c r="F118" s="27"/>
      <c r="G118" s="226">
        <v>0</v>
      </c>
      <c r="H118" s="226"/>
    </row>
    <row r="119" spans="2:8" x14ac:dyDescent="0.25">
      <c r="B119" s="29"/>
      <c r="C119" s="30" t="s">
        <v>256</v>
      </c>
      <c r="D119" s="30"/>
      <c r="E119" s="24"/>
      <c r="F119" s="27"/>
      <c r="G119" s="226">
        <v>0</v>
      </c>
      <c r="H119" s="226"/>
    </row>
    <row r="120" spans="2:8" x14ac:dyDescent="0.25">
      <c r="B120" s="23">
        <v>1</v>
      </c>
      <c r="C120" s="23" t="s">
        <v>123</v>
      </c>
      <c r="D120" s="23" t="s">
        <v>300</v>
      </c>
      <c r="E120" s="24" t="s">
        <v>124</v>
      </c>
      <c r="F120" s="25">
        <f>'[1]Htgan Volume'!CQ10</f>
        <v>7</v>
      </c>
      <c r="G120" s="226">
        <v>0</v>
      </c>
      <c r="H120" s="226">
        <f t="shared" ref="H120:H133" si="19">G120*F120</f>
        <v>0</v>
      </c>
    </row>
    <row r="121" spans="2:8" x14ac:dyDescent="0.25">
      <c r="B121" s="23">
        <v>2</v>
      </c>
      <c r="C121" s="23" t="s">
        <v>125</v>
      </c>
      <c r="D121" s="23" t="s">
        <v>301</v>
      </c>
      <c r="E121" s="24" t="s">
        <v>124</v>
      </c>
      <c r="F121" s="25">
        <f>'[1]Htgan Volume'!CQ16</f>
        <v>5</v>
      </c>
      <c r="G121" s="226">
        <v>0</v>
      </c>
      <c r="H121" s="226">
        <f t="shared" si="19"/>
        <v>0</v>
      </c>
    </row>
    <row r="122" spans="2:8" x14ac:dyDescent="0.25">
      <c r="B122" s="23">
        <v>3</v>
      </c>
      <c r="C122" s="23" t="s">
        <v>126</v>
      </c>
      <c r="D122" s="23" t="s">
        <v>301</v>
      </c>
      <c r="E122" s="24" t="s">
        <v>77</v>
      </c>
      <c r="F122" s="25">
        <f>'[1]Htgan Volume'!CQ22</f>
        <v>1</v>
      </c>
      <c r="G122" s="226">
        <v>0</v>
      </c>
      <c r="H122" s="226">
        <f t="shared" si="19"/>
        <v>0</v>
      </c>
    </row>
    <row r="123" spans="2:8" x14ac:dyDescent="0.25">
      <c r="B123" s="23">
        <v>4</v>
      </c>
      <c r="C123" s="23" t="s">
        <v>127</v>
      </c>
      <c r="D123" s="23" t="s">
        <v>301</v>
      </c>
      <c r="E123" s="24" t="s">
        <v>124</v>
      </c>
      <c r="F123" s="25">
        <f>'[1]Htgan Volume'!CQ29</f>
        <v>1</v>
      </c>
      <c r="G123" s="226">
        <v>0</v>
      </c>
      <c r="H123" s="226">
        <f t="shared" si="19"/>
        <v>0</v>
      </c>
    </row>
    <row r="124" spans="2:8" x14ac:dyDescent="0.25">
      <c r="B124" s="23">
        <v>5</v>
      </c>
      <c r="C124" s="23" t="s">
        <v>128</v>
      </c>
      <c r="D124" s="23" t="s">
        <v>301</v>
      </c>
      <c r="E124" s="24" t="s">
        <v>124</v>
      </c>
      <c r="F124" s="25">
        <f>'[1]Htgan Volume'!CQ36</f>
        <v>1</v>
      </c>
      <c r="G124" s="226">
        <v>0</v>
      </c>
      <c r="H124" s="226">
        <f t="shared" si="19"/>
        <v>0</v>
      </c>
    </row>
    <row r="125" spans="2:8" x14ac:dyDescent="0.25">
      <c r="B125" s="23">
        <v>6</v>
      </c>
      <c r="C125" s="23" t="s">
        <v>129</v>
      </c>
      <c r="D125" s="23" t="s">
        <v>301</v>
      </c>
      <c r="E125" s="24" t="s">
        <v>124</v>
      </c>
      <c r="F125" s="25">
        <f>'[1]Htgan Volume'!CQ43</f>
        <v>1</v>
      </c>
      <c r="G125" s="226">
        <v>0</v>
      </c>
      <c r="H125" s="226">
        <f t="shared" si="19"/>
        <v>0</v>
      </c>
    </row>
    <row r="126" spans="2:8" x14ac:dyDescent="0.25">
      <c r="B126" s="23">
        <v>7</v>
      </c>
      <c r="C126" s="23" t="s">
        <v>130</v>
      </c>
      <c r="D126" s="23" t="s">
        <v>301</v>
      </c>
      <c r="E126" s="24" t="s">
        <v>124</v>
      </c>
      <c r="F126" s="25">
        <f>'[1]Htgan Volume'!CQ49</f>
        <v>1</v>
      </c>
      <c r="G126" s="226">
        <v>0</v>
      </c>
      <c r="H126" s="226">
        <f t="shared" si="19"/>
        <v>0</v>
      </c>
    </row>
    <row r="127" spans="2:8" x14ac:dyDescent="0.25">
      <c r="B127" s="23">
        <v>8</v>
      </c>
      <c r="C127" s="23" t="s">
        <v>131</v>
      </c>
      <c r="D127" s="23" t="s">
        <v>299</v>
      </c>
      <c r="E127" s="24" t="s">
        <v>124</v>
      </c>
      <c r="F127" s="25">
        <f>'[1]Htgan Volume'!CQ56</f>
        <v>1</v>
      </c>
      <c r="G127" s="226">
        <v>0</v>
      </c>
      <c r="H127" s="226">
        <f t="shared" si="19"/>
        <v>0</v>
      </c>
    </row>
    <row r="128" spans="2:8" x14ac:dyDescent="0.25">
      <c r="B128" s="23">
        <v>9</v>
      </c>
      <c r="C128" s="23" t="s">
        <v>132</v>
      </c>
      <c r="D128" s="23" t="s">
        <v>301</v>
      </c>
      <c r="E128" s="24" t="s">
        <v>77</v>
      </c>
      <c r="F128" s="25">
        <f>'[1]Htgan Volume'!CQ62</f>
        <v>3</v>
      </c>
      <c r="G128" s="226">
        <v>0</v>
      </c>
      <c r="H128" s="226">
        <f t="shared" si="19"/>
        <v>0</v>
      </c>
    </row>
    <row r="129" spans="2:9" x14ac:dyDescent="0.25">
      <c r="B129" s="23">
        <v>10</v>
      </c>
      <c r="C129" s="23" t="s">
        <v>133</v>
      </c>
      <c r="D129" s="23" t="s">
        <v>301</v>
      </c>
      <c r="E129" s="24" t="s">
        <v>77</v>
      </c>
      <c r="F129" s="25">
        <f>'[1]Htgan Volume'!CQ68</f>
        <v>2</v>
      </c>
      <c r="G129" s="226">
        <v>0</v>
      </c>
      <c r="H129" s="226">
        <f t="shared" si="19"/>
        <v>0</v>
      </c>
    </row>
    <row r="130" spans="2:9" x14ac:dyDescent="0.25">
      <c r="B130" s="23">
        <v>11</v>
      </c>
      <c r="C130" s="23" t="s">
        <v>134</v>
      </c>
      <c r="D130" s="23" t="s">
        <v>301</v>
      </c>
      <c r="E130" s="24" t="s">
        <v>77</v>
      </c>
      <c r="F130" s="25">
        <f>'[1]Htgan Volume'!CQ74</f>
        <v>5</v>
      </c>
      <c r="G130" s="226">
        <v>0</v>
      </c>
      <c r="H130" s="226">
        <f t="shared" si="19"/>
        <v>0</v>
      </c>
    </row>
    <row r="131" spans="2:9" x14ac:dyDescent="0.25">
      <c r="B131" s="23">
        <v>12</v>
      </c>
      <c r="C131" s="23" t="s">
        <v>135</v>
      </c>
      <c r="D131" s="23" t="s">
        <v>301</v>
      </c>
      <c r="E131" s="24" t="s">
        <v>136</v>
      </c>
      <c r="F131" s="25">
        <f>'[1]Htgan Volume'!CQ81</f>
        <v>1</v>
      </c>
      <c r="G131" s="226">
        <v>0</v>
      </c>
      <c r="H131" s="226">
        <f t="shared" si="19"/>
        <v>0</v>
      </c>
    </row>
    <row r="132" spans="2:9" x14ac:dyDescent="0.25">
      <c r="B132" s="23">
        <v>13</v>
      </c>
      <c r="C132" s="23" t="s">
        <v>137</v>
      </c>
      <c r="D132" s="23" t="s">
        <v>301</v>
      </c>
      <c r="E132" s="24" t="s">
        <v>138</v>
      </c>
      <c r="F132" s="25">
        <f>'[1]Htgan Volume'!CQ88</f>
        <v>1</v>
      </c>
      <c r="G132" s="226">
        <v>0</v>
      </c>
      <c r="H132" s="226">
        <f t="shared" si="19"/>
        <v>0</v>
      </c>
    </row>
    <row r="133" spans="2:9" x14ac:dyDescent="0.25">
      <c r="B133" s="23">
        <v>14</v>
      </c>
      <c r="C133" s="23" t="s">
        <v>139</v>
      </c>
      <c r="D133" s="23" t="s">
        <v>301</v>
      </c>
      <c r="E133" s="24" t="s">
        <v>140</v>
      </c>
      <c r="F133" s="25">
        <f>'[1]Htgan Volume'!CQ95</f>
        <v>1</v>
      </c>
      <c r="G133" s="226">
        <v>0</v>
      </c>
      <c r="H133" s="226">
        <f t="shared" si="19"/>
        <v>0</v>
      </c>
    </row>
    <row r="134" spans="2:9" x14ac:dyDescent="0.25">
      <c r="B134" s="22"/>
      <c r="C134" s="23"/>
      <c r="D134" s="23"/>
      <c r="E134" s="24"/>
      <c r="F134" s="27"/>
      <c r="G134" s="226">
        <v>0</v>
      </c>
      <c r="H134" s="230">
        <f t="shared" ref="H134" si="20">SUM(H120:H133)</f>
        <v>0</v>
      </c>
    </row>
    <row r="135" spans="2:9" x14ac:dyDescent="0.25">
      <c r="B135" s="29" t="s">
        <v>141</v>
      </c>
      <c r="C135" s="30" t="s">
        <v>142</v>
      </c>
      <c r="D135" s="30"/>
      <c r="E135" s="24"/>
      <c r="F135" s="27"/>
      <c r="G135" s="226">
        <v>0</v>
      </c>
      <c r="H135" s="226"/>
    </row>
    <row r="136" spans="2:9" x14ac:dyDescent="0.25">
      <c r="B136" s="36">
        <v>1</v>
      </c>
      <c r="C136" s="37" t="s">
        <v>143</v>
      </c>
      <c r="D136" s="37" t="s">
        <v>303</v>
      </c>
      <c r="E136" s="36" t="s">
        <v>140</v>
      </c>
      <c r="F136" s="38">
        <f>'[1]Htgan Volume'!CH61</f>
        <v>1</v>
      </c>
      <c r="G136" s="226">
        <v>0</v>
      </c>
      <c r="H136" s="226">
        <f>G136*F136</f>
        <v>0</v>
      </c>
    </row>
    <row r="137" spans="2:9" x14ac:dyDescent="0.25">
      <c r="B137" s="36"/>
      <c r="C137" s="37"/>
      <c r="D137" s="37"/>
      <c r="E137" s="36"/>
      <c r="F137" s="38"/>
      <c r="G137" s="226">
        <v>0</v>
      </c>
      <c r="H137" s="230">
        <f t="shared" ref="H137" si="21">SUM(H136)</f>
        <v>0</v>
      </c>
    </row>
    <row r="138" spans="2:9" x14ac:dyDescent="0.25">
      <c r="B138" s="39"/>
      <c r="C138" s="40"/>
      <c r="D138" s="204"/>
      <c r="E138" s="36"/>
      <c r="F138" s="38"/>
      <c r="G138" s="226">
        <v>0</v>
      </c>
      <c r="H138" s="226"/>
    </row>
    <row r="139" spans="2:9" x14ac:dyDescent="0.25">
      <c r="B139" s="41" t="s">
        <v>141</v>
      </c>
      <c r="C139" s="42" t="s">
        <v>144</v>
      </c>
      <c r="D139" s="42"/>
      <c r="E139" s="36"/>
      <c r="F139" s="43"/>
      <c r="G139" s="226">
        <v>0</v>
      </c>
      <c r="H139" s="226"/>
    </row>
    <row r="140" spans="2:9" x14ac:dyDescent="0.25">
      <c r="B140" s="36">
        <v>1</v>
      </c>
      <c r="C140" s="44" t="s">
        <v>145</v>
      </c>
      <c r="D140" s="44" t="s">
        <v>302</v>
      </c>
      <c r="E140" s="36" t="s">
        <v>146</v>
      </c>
      <c r="F140" s="38">
        <f>'[1]Htgan Volume'!CX8</f>
        <v>7.25</v>
      </c>
      <c r="G140" s="226">
        <v>0</v>
      </c>
      <c r="H140" s="226">
        <f t="shared" ref="H140:H145" si="22">G140*F140</f>
        <v>0</v>
      </c>
    </row>
    <row r="141" spans="2:9" x14ac:dyDescent="0.25">
      <c r="B141" s="36"/>
      <c r="C141" s="45" t="s">
        <v>147</v>
      </c>
      <c r="D141" s="45"/>
      <c r="E141" s="46"/>
      <c r="F141" s="47"/>
      <c r="G141" s="226">
        <v>0</v>
      </c>
      <c r="H141" s="226">
        <f t="shared" si="22"/>
        <v>0</v>
      </c>
      <c r="I141" s="258">
        <f>280000*F140</f>
        <v>2030000</v>
      </c>
    </row>
    <row r="142" spans="2:9" x14ac:dyDescent="0.25">
      <c r="B142" s="36">
        <v>2</v>
      </c>
      <c r="C142" s="23" t="s">
        <v>148</v>
      </c>
      <c r="D142" s="37" t="s">
        <v>281</v>
      </c>
      <c r="E142" s="24" t="s">
        <v>19</v>
      </c>
      <c r="F142" s="25">
        <f>'[1]Htgan Volume'!CX15</f>
        <v>8.25</v>
      </c>
      <c r="G142" s="226">
        <v>0</v>
      </c>
      <c r="H142" s="226">
        <f t="shared" si="22"/>
        <v>0</v>
      </c>
      <c r="I142" s="258">
        <f>I141*1.04</f>
        <v>2111200</v>
      </c>
    </row>
    <row r="143" spans="2:9" x14ac:dyDescent="0.25">
      <c r="B143" s="36">
        <v>5</v>
      </c>
      <c r="C143" s="37" t="s">
        <v>149</v>
      </c>
      <c r="D143" s="37" t="s">
        <v>281</v>
      </c>
      <c r="E143" s="36" t="s">
        <v>140</v>
      </c>
      <c r="F143" s="38">
        <f>'[1]Htgan Volume'!CX36</f>
        <v>1</v>
      </c>
      <c r="G143" s="226">
        <v>0</v>
      </c>
      <c r="H143" s="226">
        <f t="shared" si="22"/>
        <v>0</v>
      </c>
      <c r="I143" s="258">
        <f>I142/34</f>
        <v>62094.117647058825</v>
      </c>
    </row>
    <row r="144" spans="2:9" x14ac:dyDescent="0.25">
      <c r="B144" s="48">
        <v>6</v>
      </c>
      <c r="C144" s="44" t="s">
        <v>150</v>
      </c>
      <c r="D144" s="37" t="s">
        <v>281</v>
      </c>
      <c r="E144" s="49" t="s">
        <v>146</v>
      </c>
      <c r="F144" s="38">
        <v>8.25</v>
      </c>
      <c r="G144" s="226">
        <v>0</v>
      </c>
      <c r="H144" s="226">
        <f t="shared" si="22"/>
        <v>0</v>
      </c>
    </row>
    <row r="145" spans="2:8" x14ac:dyDescent="0.25">
      <c r="B145" s="48">
        <v>7</v>
      </c>
      <c r="C145" s="44" t="s">
        <v>151</v>
      </c>
      <c r="D145" s="44"/>
      <c r="E145" s="49" t="s">
        <v>140</v>
      </c>
      <c r="F145" s="38">
        <v>8</v>
      </c>
      <c r="G145" s="226">
        <v>0</v>
      </c>
      <c r="H145" s="226">
        <f t="shared" si="22"/>
        <v>0</v>
      </c>
    </row>
    <row r="146" spans="2:8" x14ac:dyDescent="0.25">
      <c r="B146" s="50"/>
      <c r="C146" s="41" t="s">
        <v>152</v>
      </c>
      <c r="D146" s="41"/>
      <c r="E146" s="36"/>
      <c r="F146" s="38"/>
      <c r="G146" s="226">
        <v>0</v>
      </c>
      <c r="H146" s="229">
        <f t="shared" ref="H146" si="23">SUM(H140:H145)</f>
        <v>0</v>
      </c>
    </row>
    <row r="147" spans="2:8" x14ac:dyDescent="0.25">
      <c r="B147" s="39"/>
      <c r="C147" s="40"/>
      <c r="D147" s="40"/>
      <c r="E147" s="39"/>
      <c r="F147" s="47"/>
      <c r="G147" s="226">
        <v>0</v>
      </c>
      <c r="H147" s="226"/>
    </row>
    <row r="148" spans="2:8" x14ac:dyDescent="0.25">
      <c r="B148" s="41" t="s">
        <v>141</v>
      </c>
      <c r="C148" s="42" t="s">
        <v>153</v>
      </c>
      <c r="D148" s="42"/>
      <c r="E148" s="36"/>
      <c r="F148" s="38"/>
      <c r="G148" s="226">
        <v>0</v>
      </c>
      <c r="H148" s="226"/>
    </row>
    <row r="149" spans="2:8" x14ac:dyDescent="0.25">
      <c r="B149" s="36">
        <v>1</v>
      </c>
      <c r="C149" s="37" t="s">
        <v>154</v>
      </c>
      <c r="D149" s="37" t="s">
        <v>281</v>
      </c>
      <c r="E149" s="36" t="s">
        <v>146</v>
      </c>
      <c r="F149" s="38"/>
      <c r="G149" s="226">
        <v>0</v>
      </c>
      <c r="H149" s="226">
        <f>G149*F149</f>
        <v>0</v>
      </c>
    </row>
    <row r="150" spans="2:8" x14ac:dyDescent="0.25">
      <c r="B150" s="36">
        <v>2</v>
      </c>
      <c r="C150" s="37" t="s">
        <v>155</v>
      </c>
      <c r="D150" s="37" t="s">
        <v>281</v>
      </c>
      <c r="E150" s="36" t="s">
        <v>146</v>
      </c>
      <c r="F150" s="38"/>
      <c r="G150" s="226">
        <v>0</v>
      </c>
      <c r="H150" s="226">
        <f>G150*F150</f>
        <v>0</v>
      </c>
    </row>
    <row r="151" spans="2:8" x14ac:dyDescent="0.25">
      <c r="B151" s="36">
        <v>3</v>
      </c>
      <c r="C151" s="51" t="s">
        <v>156</v>
      </c>
      <c r="D151" s="37" t="s">
        <v>281</v>
      </c>
      <c r="E151" s="36" t="s">
        <v>146</v>
      </c>
      <c r="F151" s="43"/>
      <c r="G151" s="226">
        <v>0</v>
      </c>
      <c r="H151" s="226">
        <f>G151*F151</f>
        <v>0</v>
      </c>
    </row>
    <row r="152" spans="2:8" x14ac:dyDescent="0.25">
      <c r="B152" s="36"/>
      <c r="C152" s="51"/>
      <c r="D152" s="51"/>
      <c r="E152" s="36"/>
      <c r="F152" s="43"/>
      <c r="G152" s="231"/>
      <c r="H152" s="229">
        <f t="shared" ref="H152" si="24">SUM(H149:H151)</f>
        <v>0</v>
      </c>
    </row>
    <row r="153" spans="2:8" x14ac:dyDescent="0.25">
      <c r="B153" s="36"/>
      <c r="C153" s="51"/>
      <c r="D153" s="51"/>
      <c r="E153" s="50"/>
      <c r="F153" s="43"/>
      <c r="G153" s="231"/>
      <c r="H153" s="231"/>
    </row>
    <row r="154" spans="2:8" x14ac:dyDescent="0.25">
      <c r="B154" s="53"/>
      <c r="C154" s="54"/>
      <c r="D154" s="54"/>
      <c r="E154" s="55"/>
      <c r="F154" s="56"/>
      <c r="G154" s="232"/>
      <c r="H154" s="232"/>
    </row>
    <row r="155" spans="2:8" x14ac:dyDescent="0.25">
      <c r="B155" s="3"/>
      <c r="C155" s="54"/>
      <c r="D155" s="54"/>
      <c r="E155" s="54"/>
      <c r="F155" s="58"/>
      <c r="G155" s="232"/>
      <c r="H155" s="232"/>
    </row>
    <row r="156" spans="2:8" x14ac:dyDescent="0.25">
      <c r="B156" s="2" t="s">
        <v>157</v>
      </c>
      <c r="C156" s="3"/>
      <c r="D156" s="3"/>
      <c r="E156" s="3"/>
      <c r="F156" s="4"/>
      <c r="G156" s="59"/>
      <c r="H156" s="59"/>
    </row>
    <row r="157" spans="2:8" x14ac:dyDescent="0.25">
      <c r="B157" s="60"/>
      <c r="C157" s="61"/>
      <c r="D157" s="61"/>
      <c r="E157" s="61"/>
      <c r="F157" s="62"/>
      <c r="G157" s="233"/>
      <c r="H157" s="233"/>
    </row>
    <row r="158" spans="2:8" x14ac:dyDescent="0.25">
      <c r="B158" s="64" t="s">
        <v>10</v>
      </c>
      <c r="C158" s="18" t="s">
        <v>11</v>
      </c>
      <c r="D158" s="18"/>
      <c r="E158" s="65"/>
      <c r="F158" s="38"/>
      <c r="G158" s="231"/>
      <c r="H158" s="229">
        <f t="shared" ref="H158" si="25">H15</f>
        <v>0</v>
      </c>
    </row>
    <row r="159" spans="2:8" x14ac:dyDescent="0.25">
      <c r="B159" s="29" t="s">
        <v>21</v>
      </c>
      <c r="C159" s="30" t="s">
        <v>22</v>
      </c>
      <c r="D159" s="30"/>
      <c r="E159" s="65"/>
      <c r="F159" s="38"/>
      <c r="G159" s="231"/>
      <c r="H159" s="234">
        <f t="shared" ref="H159" si="26">H21</f>
        <v>0</v>
      </c>
    </row>
    <row r="160" spans="2:8" x14ac:dyDescent="0.25">
      <c r="B160" s="29" t="s">
        <v>28</v>
      </c>
      <c r="C160" s="30" t="s">
        <v>29</v>
      </c>
      <c r="D160" s="30"/>
      <c r="E160" s="65"/>
      <c r="F160" s="38"/>
      <c r="G160" s="231"/>
      <c r="H160" s="229">
        <f t="shared" ref="H160" si="27">H25</f>
        <v>0</v>
      </c>
    </row>
    <row r="161" spans="2:8" x14ac:dyDescent="0.25">
      <c r="B161" s="29" t="s">
        <v>33</v>
      </c>
      <c r="C161" s="30" t="s">
        <v>34</v>
      </c>
      <c r="D161" s="30"/>
      <c r="E161" s="65"/>
      <c r="F161" s="38"/>
      <c r="G161" s="231"/>
      <c r="H161" s="229">
        <f t="shared" ref="H161" si="28">H36</f>
        <v>0</v>
      </c>
    </row>
    <row r="162" spans="2:8" x14ac:dyDescent="0.25">
      <c r="B162" s="29" t="s">
        <v>44</v>
      </c>
      <c r="C162" s="30" t="s">
        <v>45</v>
      </c>
      <c r="D162" s="30"/>
      <c r="E162" s="65"/>
      <c r="F162" s="38"/>
      <c r="G162" s="231"/>
      <c r="H162" s="229">
        <f t="shared" ref="H162" si="29">H45</f>
        <v>0</v>
      </c>
    </row>
    <row r="163" spans="2:8" x14ac:dyDescent="0.25">
      <c r="B163" s="29" t="s">
        <v>50</v>
      </c>
      <c r="C163" s="30" t="s">
        <v>51</v>
      </c>
      <c r="D163" s="30"/>
      <c r="E163" s="65"/>
      <c r="F163" s="38"/>
      <c r="G163" s="231"/>
      <c r="H163" s="234">
        <f t="shared" ref="H163" si="30">H51</f>
        <v>0</v>
      </c>
    </row>
    <row r="164" spans="2:8" x14ac:dyDescent="0.25">
      <c r="B164" s="29" t="s">
        <v>53</v>
      </c>
      <c r="C164" s="30" t="s">
        <v>54</v>
      </c>
      <c r="D164" s="30"/>
      <c r="E164" s="65"/>
      <c r="F164" s="38"/>
      <c r="G164" s="231"/>
      <c r="H164" s="234">
        <f t="shared" ref="H164" si="31">H57</f>
        <v>0</v>
      </c>
    </row>
    <row r="165" spans="2:8" x14ac:dyDescent="0.25">
      <c r="B165" s="29" t="s">
        <v>59</v>
      </c>
      <c r="C165" s="30" t="s">
        <v>60</v>
      </c>
      <c r="D165" s="30"/>
      <c r="E165" s="65"/>
      <c r="F165" s="38"/>
      <c r="G165" s="231"/>
      <c r="H165" s="234">
        <f t="shared" ref="H165" si="32">H62</f>
        <v>0</v>
      </c>
    </row>
    <row r="166" spans="2:8" x14ac:dyDescent="0.25">
      <c r="B166" s="29" t="s">
        <v>64</v>
      </c>
      <c r="C166" s="30" t="s">
        <v>65</v>
      </c>
      <c r="D166" s="30"/>
      <c r="E166" s="65"/>
      <c r="F166" s="38"/>
      <c r="G166" s="231"/>
      <c r="H166" s="234">
        <f t="shared" ref="H166" si="33">H70</f>
        <v>0</v>
      </c>
    </row>
    <row r="167" spans="2:8" x14ac:dyDescent="0.25">
      <c r="B167" s="29" t="s">
        <v>72</v>
      </c>
      <c r="C167" s="30" t="s">
        <v>73</v>
      </c>
      <c r="D167" s="30"/>
      <c r="E167" s="65"/>
      <c r="F167" s="38"/>
      <c r="G167" s="231"/>
      <c r="H167" s="234">
        <f t="shared" ref="H167" si="34">H86</f>
        <v>0</v>
      </c>
    </row>
    <row r="168" spans="2:8" x14ac:dyDescent="0.25">
      <c r="B168" s="29" t="s">
        <v>92</v>
      </c>
      <c r="C168" s="30" t="s">
        <v>93</v>
      </c>
      <c r="D168" s="30"/>
      <c r="E168" s="65"/>
      <c r="F168" s="38"/>
      <c r="G168" s="231"/>
      <c r="H168" s="234">
        <f t="shared" ref="H168" si="35">H93</f>
        <v>0</v>
      </c>
    </row>
    <row r="169" spans="2:8" x14ac:dyDescent="0.25">
      <c r="B169" s="29" t="s">
        <v>99</v>
      </c>
      <c r="C169" s="30" t="s">
        <v>100</v>
      </c>
      <c r="D169" s="30"/>
      <c r="E169" s="65"/>
      <c r="F169" s="38"/>
      <c r="G169" s="231"/>
      <c r="H169" s="234">
        <f t="shared" ref="H169" si="36">H117</f>
        <v>0</v>
      </c>
    </row>
    <row r="170" spans="2:8" x14ac:dyDescent="0.25">
      <c r="B170" s="29" t="s">
        <v>121</v>
      </c>
      <c r="C170" s="30" t="s">
        <v>122</v>
      </c>
      <c r="D170" s="30"/>
      <c r="E170" s="65"/>
      <c r="F170" s="38"/>
      <c r="G170" s="231"/>
      <c r="H170" s="234">
        <f t="shared" ref="H170" si="37">H134</f>
        <v>0</v>
      </c>
    </row>
    <row r="171" spans="2:8" x14ac:dyDescent="0.25">
      <c r="B171" s="29" t="s">
        <v>141</v>
      </c>
      <c r="C171" s="30" t="str">
        <f>C135</f>
        <v>PEK. LAIN - LAIN</v>
      </c>
      <c r="D171" s="30"/>
      <c r="E171" s="65"/>
      <c r="F171" s="38"/>
      <c r="G171" s="231"/>
      <c r="H171" s="234">
        <f>H137</f>
        <v>0</v>
      </c>
    </row>
    <row r="172" spans="2:8" x14ac:dyDescent="0.25">
      <c r="B172" s="29" t="s">
        <v>159</v>
      </c>
      <c r="C172" s="30" t="str">
        <f>C139</f>
        <v>PEK. PERUBAHAN BENTUK TAMPAK MUKA</v>
      </c>
      <c r="D172" s="30"/>
      <c r="E172" s="65"/>
      <c r="F172" s="38"/>
      <c r="G172" s="231"/>
      <c r="H172" s="234">
        <f t="shared" ref="H172" si="38">H146</f>
        <v>0</v>
      </c>
    </row>
    <row r="173" spans="2:8" x14ac:dyDescent="0.25">
      <c r="B173" s="29" t="s">
        <v>160</v>
      </c>
      <c r="C173" s="30" t="str">
        <f>C148</f>
        <v>PEKERJAAN PLESTER DINDING SAMPING</v>
      </c>
      <c r="D173" s="30"/>
      <c r="E173" s="65"/>
      <c r="F173" s="38"/>
      <c r="G173" s="231"/>
      <c r="H173" s="234">
        <f t="shared" ref="H173" si="39">H152</f>
        <v>0</v>
      </c>
    </row>
    <row r="174" spans="2:8" x14ac:dyDescent="0.25">
      <c r="B174" s="67"/>
      <c r="C174" s="68"/>
      <c r="D174" s="68"/>
      <c r="E174" s="69"/>
      <c r="F174" s="58"/>
      <c r="G174" s="70"/>
      <c r="H174" s="70"/>
    </row>
    <row r="175" spans="2:8" x14ac:dyDescent="0.25">
      <c r="B175" s="3"/>
      <c r="C175" s="3"/>
      <c r="D175" s="3"/>
      <c r="E175" s="3"/>
      <c r="F175" s="4"/>
      <c r="G175" s="59"/>
      <c r="H175" s="59"/>
    </row>
    <row r="176" spans="2:8" x14ac:dyDescent="0.25">
      <c r="B176" s="3"/>
      <c r="C176" s="3"/>
      <c r="D176" s="3"/>
      <c r="E176" s="3"/>
      <c r="F176" s="4"/>
      <c r="G176" s="71"/>
      <c r="H176" s="194">
        <f t="shared" ref="H176" si="40">SUM(H158:H175)</f>
        <v>0</v>
      </c>
    </row>
    <row r="177" spans="2:8" x14ac:dyDescent="0.25">
      <c r="B177" s="3"/>
      <c r="C177" s="3"/>
      <c r="D177" s="3"/>
      <c r="E177" s="3"/>
      <c r="F177" s="4"/>
      <c r="G177" s="72"/>
      <c r="H177" s="195">
        <f>0.04*H176</f>
        <v>0</v>
      </c>
    </row>
    <row r="178" spans="2:8" x14ac:dyDescent="0.25">
      <c r="B178" s="3"/>
      <c r="C178" s="3"/>
      <c r="D178" s="3"/>
      <c r="E178" s="3"/>
      <c r="F178" s="4"/>
      <c r="G178" s="73"/>
      <c r="H178" s="196">
        <f t="shared" ref="H178" si="41">H177+H176</f>
        <v>0</v>
      </c>
    </row>
    <row r="179" spans="2:8" x14ac:dyDescent="0.25">
      <c r="B179" s="3"/>
      <c r="C179" s="3"/>
      <c r="D179" s="3"/>
      <c r="E179" s="3"/>
      <c r="F179" s="74"/>
      <c r="G179" s="73"/>
      <c r="H179" s="195">
        <f t="shared" ref="H179" si="42">0.1*H178</f>
        <v>0</v>
      </c>
    </row>
    <row r="180" spans="2:8" x14ac:dyDescent="0.25">
      <c r="B180" s="3"/>
      <c r="C180" s="3"/>
      <c r="D180" s="3"/>
      <c r="E180" s="3"/>
      <c r="F180" s="74"/>
      <c r="G180" s="72"/>
      <c r="H180" s="194">
        <f t="shared" ref="H180" si="43">H179+H178</f>
        <v>0</v>
      </c>
    </row>
    <row r="181" spans="2:8" x14ac:dyDescent="0.25">
      <c r="B181" s="3"/>
      <c r="C181" s="3"/>
      <c r="D181" s="3"/>
      <c r="E181" s="3"/>
      <c r="F181" s="75"/>
      <c r="G181" s="72"/>
      <c r="H181" s="194"/>
    </row>
    <row r="182" spans="2:8" x14ac:dyDescent="0.25">
      <c r="B182" s="3"/>
      <c r="C182" s="3"/>
      <c r="D182" s="3"/>
      <c r="E182" s="3"/>
      <c r="F182" s="75"/>
      <c r="G182" s="76"/>
      <c r="H182" s="197">
        <f>ROUNDDOWN(H180,-3)</f>
        <v>0</v>
      </c>
    </row>
    <row r="183" spans="2:8" x14ac:dyDescent="0.25">
      <c r="B183" s="3"/>
      <c r="C183" s="3"/>
      <c r="D183" s="3"/>
      <c r="E183" s="3"/>
      <c r="F183" s="75"/>
      <c r="G183" s="76"/>
      <c r="H183" s="197"/>
    </row>
    <row r="184" spans="2:8" x14ac:dyDescent="0.25">
      <c r="B184" s="3"/>
      <c r="C184" s="3"/>
      <c r="D184" s="3"/>
      <c r="E184" s="3"/>
      <c r="F184" s="77" t="s">
        <v>162</v>
      </c>
      <c r="G184" s="5"/>
      <c r="H184" s="75">
        <v>34</v>
      </c>
    </row>
    <row r="185" spans="2:8" x14ac:dyDescent="0.25">
      <c r="B185" s="3"/>
      <c r="C185" s="3"/>
      <c r="D185" s="3"/>
      <c r="E185" s="3"/>
      <c r="F185" s="77"/>
      <c r="G185" s="5"/>
      <c r="H185" s="72"/>
    </row>
    <row r="186" spans="2:8" x14ac:dyDescent="0.25">
      <c r="B186" s="3"/>
      <c r="C186" s="3"/>
      <c r="D186" s="3"/>
      <c r="E186" s="78" t="s">
        <v>163</v>
      </c>
      <c r="F186" s="77" t="s">
        <v>164</v>
      </c>
      <c r="G186" s="5"/>
      <c r="H186" s="79">
        <f t="shared" ref="H186" si="44">H178/H184</f>
        <v>0</v>
      </c>
    </row>
    <row r="188" spans="2:8" x14ac:dyDescent="0.25">
      <c r="C188" s="198"/>
      <c r="D188" s="198"/>
      <c r="E188" s="237"/>
      <c r="F188" s="264"/>
      <c r="G188" s="199"/>
    </row>
    <row r="189" spans="2:8" x14ac:dyDescent="0.25">
      <c r="C189" s="200"/>
      <c r="D189" s="200"/>
      <c r="E189" s="201"/>
      <c r="F189" s="201"/>
      <c r="G189" s="201"/>
    </row>
    <row r="190" spans="2:8" x14ac:dyDescent="0.25">
      <c r="C190" s="200"/>
      <c r="D190" s="200"/>
      <c r="E190" s="201"/>
      <c r="F190" s="201"/>
      <c r="G190" s="201"/>
    </row>
    <row r="191" spans="2:8" x14ac:dyDescent="0.25">
      <c r="C191" s="200"/>
      <c r="D191" s="200"/>
      <c r="E191" s="201"/>
      <c r="F191" s="201"/>
      <c r="G191" s="201"/>
    </row>
    <row r="192" spans="2:8" x14ac:dyDescent="0.25">
      <c r="C192" s="200"/>
      <c r="D192" s="200"/>
      <c r="E192" s="201"/>
      <c r="F192" s="201"/>
      <c r="G192" s="201"/>
    </row>
    <row r="193" spans="3:8" ht="15" customHeight="1" x14ac:dyDescent="0.25">
      <c r="C193" s="202"/>
      <c r="D193" s="205"/>
      <c r="F193" s="265"/>
      <c r="G193" s="265"/>
      <c r="H193" s="262"/>
    </row>
    <row r="194" spans="3:8" ht="15" customHeight="1" x14ac:dyDescent="0.25">
      <c r="C194" s="203"/>
      <c r="D194" s="206"/>
      <c r="F194" s="263"/>
      <c r="G194" s="263"/>
      <c r="H194" s="261"/>
    </row>
  </sheetData>
  <mergeCells count="4">
    <mergeCell ref="B5:B6"/>
    <mergeCell ref="C5:C6"/>
    <mergeCell ref="E5:E6"/>
    <mergeCell ref="D5:D6"/>
  </mergeCells>
  <printOptions horizontalCentered="1"/>
  <pageMargins left="0.39370078740157483" right="0.39370078740157483" top="0.78740157480314965" bottom="0.59055118110236227" header="0.51181102362204722" footer="0.51181102362204722"/>
  <pageSetup paperSize="8" scale="78" fitToHeight="0" orientation="landscape" horizontalDpi="4294967293" verticalDpi="4294967293" r:id="rId1"/>
  <rowBreaks count="1" manualBreakCount="1">
    <brk id="155" min="1" max="1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94"/>
  <sheetViews>
    <sheetView zoomScaleNormal="10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8" sqref="G8"/>
    </sheetView>
  </sheetViews>
  <sheetFormatPr defaultRowHeight="15" x14ac:dyDescent="0.25"/>
  <cols>
    <col min="1" max="1" width="1.85546875" customWidth="1"/>
    <col min="2" max="2" width="3.5703125" customWidth="1"/>
    <col min="3" max="3" width="52.140625" customWidth="1"/>
    <col min="4" max="4" width="23.85546875" customWidth="1"/>
    <col min="5" max="5" width="5.140625" customWidth="1"/>
    <col min="6" max="6" width="10.42578125" customWidth="1"/>
    <col min="7" max="7" width="13" style="255" customWidth="1"/>
    <col min="8" max="8" width="13" customWidth="1"/>
    <col min="9" max="9" width="24.85546875" customWidth="1"/>
  </cols>
  <sheetData>
    <row r="1" spans="2:8" ht="18" x14ac:dyDescent="0.25">
      <c r="B1" s="1" t="s">
        <v>0</v>
      </c>
      <c r="C1" s="2"/>
      <c r="D1" s="2"/>
      <c r="E1" s="3"/>
      <c r="F1" s="4"/>
      <c r="G1" s="240"/>
      <c r="H1" s="5"/>
    </row>
    <row r="2" spans="2:8" ht="18" x14ac:dyDescent="0.25">
      <c r="B2" s="1" t="s">
        <v>1</v>
      </c>
      <c r="C2" s="2"/>
      <c r="D2" s="2"/>
      <c r="E2" s="3"/>
      <c r="F2" s="4"/>
      <c r="G2" s="240"/>
      <c r="H2" s="5"/>
    </row>
    <row r="3" spans="2:8" ht="18" x14ac:dyDescent="0.25">
      <c r="B3" s="1" t="s">
        <v>2</v>
      </c>
      <c r="C3" s="2"/>
      <c r="D3" s="2"/>
      <c r="E3" s="3"/>
      <c r="F3" s="4"/>
      <c r="G3" s="240"/>
      <c r="H3" s="5"/>
    </row>
    <row r="4" spans="2:8" ht="18.75" x14ac:dyDescent="0.3">
      <c r="B4" s="3"/>
      <c r="C4" s="6"/>
      <c r="D4" s="6"/>
      <c r="E4" s="3"/>
      <c r="F4" s="7"/>
      <c r="G4" s="241"/>
      <c r="H4" s="9" t="s">
        <v>165</v>
      </c>
    </row>
    <row r="5" spans="2:8" x14ac:dyDescent="0.25">
      <c r="B5" s="273" t="s">
        <v>4</v>
      </c>
      <c r="C5" s="273" t="s">
        <v>5</v>
      </c>
      <c r="D5" s="273" t="s">
        <v>261</v>
      </c>
      <c r="E5" s="273" t="s">
        <v>6</v>
      </c>
      <c r="F5" s="10" t="s">
        <v>7</v>
      </c>
      <c r="G5" s="267" t="s">
        <v>167</v>
      </c>
      <c r="H5" s="267" t="s">
        <v>8</v>
      </c>
    </row>
    <row r="6" spans="2:8" ht="15.75" thickBot="1" x14ac:dyDescent="0.3">
      <c r="B6" s="274"/>
      <c r="C6" s="274"/>
      <c r="D6" s="274"/>
      <c r="E6" s="274"/>
      <c r="F6" s="11" t="s">
        <v>166</v>
      </c>
      <c r="G6" s="242" t="s">
        <v>314</v>
      </c>
      <c r="H6" s="193" t="s">
        <v>314</v>
      </c>
    </row>
    <row r="7" spans="2:8" ht="16.5" thickTop="1" x14ac:dyDescent="0.25">
      <c r="B7" s="12"/>
      <c r="C7" s="13"/>
      <c r="D7" s="13"/>
      <c r="E7" s="14"/>
      <c r="F7" s="15"/>
      <c r="G7" s="243"/>
      <c r="H7" s="16"/>
    </row>
    <row r="8" spans="2:8" x14ac:dyDescent="0.25">
      <c r="B8" s="17" t="s">
        <v>10</v>
      </c>
      <c r="C8" s="18" t="s">
        <v>11</v>
      </c>
      <c r="D8" s="18"/>
      <c r="E8" s="19"/>
      <c r="F8" s="20"/>
      <c r="G8" s="244"/>
      <c r="H8" s="21"/>
    </row>
    <row r="9" spans="2:8" x14ac:dyDescent="0.25">
      <c r="B9" s="22">
        <v>1</v>
      </c>
      <c r="C9" s="23" t="s">
        <v>12</v>
      </c>
      <c r="D9" s="23"/>
      <c r="E9" s="24" t="s">
        <v>13</v>
      </c>
      <c r="F9" s="25">
        <f>'[2]Htgan Volume'!D10</f>
        <v>36</v>
      </c>
      <c r="G9" s="245">
        <v>0</v>
      </c>
      <c r="H9" s="26">
        <f t="shared" ref="H9:H14" si="0">G9*F9</f>
        <v>0</v>
      </c>
    </row>
    <row r="10" spans="2:8" x14ac:dyDescent="0.25">
      <c r="B10" s="23">
        <v>2</v>
      </c>
      <c r="C10" s="23" t="s">
        <v>14</v>
      </c>
      <c r="D10" s="23"/>
      <c r="E10" s="24" t="s">
        <v>15</v>
      </c>
      <c r="F10" s="25">
        <f>'[2]Htgan Volume'!D16</f>
        <v>1</v>
      </c>
      <c r="G10" s="245">
        <v>0</v>
      </c>
      <c r="H10" s="26">
        <f t="shared" si="0"/>
        <v>0</v>
      </c>
    </row>
    <row r="11" spans="2:8" x14ac:dyDescent="0.25">
      <c r="B11" s="23">
        <v>3</v>
      </c>
      <c r="C11" s="23" t="s">
        <v>16</v>
      </c>
      <c r="D11" s="23"/>
      <c r="E11" s="24" t="s">
        <v>15</v>
      </c>
      <c r="F11" s="25">
        <f>'[2]Htgan Volume'!D22</f>
        <v>1</v>
      </c>
      <c r="G11" s="245">
        <v>0</v>
      </c>
      <c r="H11" s="26">
        <f t="shared" si="0"/>
        <v>0</v>
      </c>
    </row>
    <row r="12" spans="2:8" x14ac:dyDescent="0.25">
      <c r="B12" s="23">
        <v>4</v>
      </c>
      <c r="C12" s="23" t="s">
        <v>17</v>
      </c>
      <c r="D12" s="23"/>
      <c r="E12" s="24" t="s">
        <v>15</v>
      </c>
      <c r="F12" s="25">
        <f>'[2]Htgan Volume'!D28</f>
        <v>1</v>
      </c>
      <c r="G12" s="245">
        <v>0</v>
      </c>
      <c r="H12" s="26">
        <f t="shared" si="0"/>
        <v>0</v>
      </c>
    </row>
    <row r="13" spans="2:8" x14ac:dyDescent="0.25">
      <c r="B13" s="22">
        <v>5</v>
      </c>
      <c r="C13" s="23" t="s">
        <v>18</v>
      </c>
      <c r="D13" s="23"/>
      <c r="E13" s="24" t="s">
        <v>19</v>
      </c>
      <c r="F13" s="25">
        <f>'[2]Htgan Volume'!D38</f>
        <v>29.252499999999991</v>
      </c>
      <c r="G13" s="245">
        <v>0</v>
      </c>
      <c r="H13" s="26">
        <f t="shared" si="0"/>
        <v>0</v>
      </c>
    </row>
    <row r="14" spans="2:8" x14ac:dyDescent="0.25">
      <c r="B14" s="22"/>
      <c r="C14" s="23" t="s">
        <v>20</v>
      </c>
      <c r="D14" s="23"/>
      <c r="E14" s="24" t="s">
        <v>19</v>
      </c>
      <c r="F14" s="25">
        <f>'[2]Htgan Volume'!D48</f>
        <v>40.07</v>
      </c>
      <c r="G14" s="245">
        <v>0</v>
      </c>
      <c r="H14" s="26">
        <f t="shared" si="0"/>
        <v>0</v>
      </c>
    </row>
    <row r="15" spans="2:8" x14ac:dyDescent="0.25">
      <c r="B15" s="23"/>
      <c r="C15" s="23"/>
      <c r="D15" s="23"/>
      <c r="E15" s="24"/>
      <c r="F15" s="27"/>
      <c r="G15" s="245">
        <v>0</v>
      </c>
      <c r="H15" s="28">
        <f t="shared" ref="H15" si="1">SUM(H9:H14)</f>
        <v>0</v>
      </c>
    </row>
    <row r="16" spans="2:8" x14ac:dyDescent="0.25">
      <c r="B16" s="29" t="s">
        <v>21</v>
      </c>
      <c r="C16" s="30" t="s">
        <v>22</v>
      </c>
      <c r="D16" s="30"/>
      <c r="E16" s="24"/>
      <c r="F16" s="27"/>
      <c r="G16" s="245">
        <v>0</v>
      </c>
      <c r="H16" s="26"/>
    </row>
    <row r="17" spans="2:8" x14ac:dyDescent="0.25">
      <c r="B17" s="22">
        <v>1</v>
      </c>
      <c r="C17" s="23" t="s">
        <v>23</v>
      </c>
      <c r="D17" s="23"/>
      <c r="E17" s="24" t="s">
        <v>24</v>
      </c>
      <c r="F17" s="25">
        <f>'[2]Htgan Volume'!K12</f>
        <v>17.424250000000001</v>
      </c>
      <c r="G17" s="245">
        <v>0</v>
      </c>
      <c r="H17" s="26">
        <f>G17*F17</f>
        <v>0</v>
      </c>
    </row>
    <row r="18" spans="2:8" x14ac:dyDescent="0.25">
      <c r="B18" s="22">
        <v>2</v>
      </c>
      <c r="C18" s="23" t="s">
        <v>25</v>
      </c>
      <c r="D18" s="23"/>
      <c r="E18" s="24" t="s">
        <v>24</v>
      </c>
      <c r="F18" s="25">
        <f>'[2]Htgan Volume'!K18</f>
        <v>5.8080833333333333</v>
      </c>
      <c r="G18" s="245">
        <v>0</v>
      </c>
      <c r="H18" s="26">
        <f>G18*F18</f>
        <v>0</v>
      </c>
    </row>
    <row r="19" spans="2:8" x14ac:dyDescent="0.25">
      <c r="B19" s="22">
        <v>3</v>
      </c>
      <c r="C19" s="23" t="s">
        <v>26</v>
      </c>
      <c r="D19" s="23"/>
      <c r="E19" s="24" t="s">
        <v>24</v>
      </c>
      <c r="F19" s="25">
        <f>'[2]Htgan Volume'!K27</f>
        <v>2.0035000000000003</v>
      </c>
      <c r="G19" s="245">
        <v>0</v>
      </c>
      <c r="H19" s="26">
        <f>G19*F19</f>
        <v>0</v>
      </c>
    </row>
    <row r="20" spans="2:8" x14ac:dyDescent="0.25">
      <c r="B20" s="22">
        <v>4</v>
      </c>
      <c r="C20" s="23" t="s">
        <v>27</v>
      </c>
      <c r="D20" s="23"/>
      <c r="E20" s="24" t="s">
        <v>24</v>
      </c>
      <c r="F20" s="238">
        <f>'[2]Htgan Volume'!K33</f>
        <v>1.6028</v>
      </c>
      <c r="G20" s="245">
        <v>0</v>
      </c>
      <c r="H20" s="26">
        <f>G20*F20</f>
        <v>0</v>
      </c>
    </row>
    <row r="21" spans="2:8" x14ac:dyDescent="0.25">
      <c r="B21" s="23"/>
      <c r="C21" s="23"/>
      <c r="D21" s="23"/>
      <c r="E21" s="24"/>
      <c r="F21" s="25"/>
      <c r="G21" s="245">
        <v>0</v>
      </c>
      <c r="H21" s="28">
        <f t="shared" ref="H21" si="2">SUM(H17:H20)</f>
        <v>0</v>
      </c>
    </row>
    <row r="22" spans="2:8" x14ac:dyDescent="0.25">
      <c r="B22" s="29" t="s">
        <v>28</v>
      </c>
      <c r="C22" s="30" t="s">
        <v>29</v>
      </c>
      <c r="D22" s="30"/>
      <c r="E22" s="23"/>
      <c r="F22" s="25"/>
      <c r="G22" s="245">
        <v>0</v>
      </c>
      <c r="H22" s="26"/>
    </row>
    <row r="23" spans="2:8" x14ac:dyDescent="0.25">
      <c r="B23" s="22">
        <v>1</v>
      </c>
      <c r="C23" s="23" t="s">
        <v>30</v>
      </c>
      <c r="D23" s="23"/>
      <c r="E23" s="24" t="s">
        <v>24</v>
      </c>
      <c r="F23" s="25">
        <f>'[2]Htgan Volume'!T11</f>
        <v>6.6280000000000001</v>
      </c>
      <c r="G23" s="245">
        <v>0</v>
      </c>
      <c r="H23" s="26">
        <f>G23*F23</f>
        <v>0</v>
      </c>
    </row>
    <row r="24" spans="2:8" x14ac:dyDescent="0.25">
      <c r="B24" s="22">
        <v>2</v>
      </c>
      <c r="C24" s="23" t="s">
        <v>31</v>
      </c>
      <c r="D24" s="23"/>
      <c r="E24" s="239" t="s">
        <v>168</v>
      </c>
      <c r="F24" s="238">
        <f>'[2]Htgan Volume'!T17</f>
        <v>14.489999999999998</v>
      </c>
      <c r="G24" s="245">
        <v>0</v>
      </c>
      <c r="H24" s="26">
        <f>G24*F24</f>
        <v>0</v>
      </c>
    </row>
    <row r="25" spans="2:8" x14ac:dyDescent="0.25">
      <c r="B25" s="29"/>
      <c r="C25" s="23"/>
      <c r="D25" s="23"/>
      <c r="E25" s="24"/>
      <c r="F25" s="27"/>
      <c r="G25" s="245">
        <v>0</v>
      </c>
      <c r="H25" s="235">
        <f t="shared" ref="H25" si="3">SUM(H23:H24)</f>
        <v>0</v>
      </c>
    </row>
    <row r="26" spans="2:8" x14ac:dyDescent="0.25">
      <c r="B26" s="29" t="s">
        <v>33</v>
      </c>
      <c r="C26" s="30" t="s">
        <v>34</v>
      </c>
      <c r="D26" s="30"/>
      <c r="E26" s="23"/>
      <c r="F26" s="27"/>
      <c r="G26" s="245">
        <v>0</v>
      </c>
      <c r="H26" s="26"/>
    </row>
    <row r="27" spans="2:8" x14ac:dyDescent="0.25">
      <c r="B27" s="29"/>
      <c r="C27" s="30" t="s">
        <v>35</v>
      </c>
      <c r="D27" s="30"/>
      <c r="E27" s="23"/>
      <c r="F27" s="31"/>
      <c r="G27" s="245">
        <v>0</v>
      </c>
      <c r="H27" s="26"/>
    </row>
    <row r="28" spans="2:8" x14ac:dyDescent="0.25">
      <c r="B28" s="22">
        <v>1</v>
      </c>
      <c r="C28" s="23" t="s">
        <v>36</v>
      </c>
      <c r="D28" s="23"/>
      <c r="E28" s="24" t="s">
        <v>24</v>
      </c>
      <c r="F28" s="32">
        <f>'[2]Htgan Volume'!AA11</f>
        <v>1.5314999999999999</v>
      </c>
      <c r="G28" s="245">
        <v>0</v>
      </c>
      <c r="H28" s="26">
        <f t="shared" ref="H28:H35" si="4">G28*F28</f>
        <v>0</v>
      </c>
    </row>
    <row r="29" spans="2:8" x14ac:dyDescent="0.25">
      <c r="B29" s="22">
        <v>2</v>
      </c>
      <c r="C29" s="23" t="s">
        <v>37</v>
      </c>
      <c r="D29" s="23"/>
      <c r="E29" s="24" t="s">
        <v>24</v>
      </c>
      <c r="F29" s="25">
        <f>'[2]Htgan Volume'!AA19</f>
        <v>0.69300000000000006</v>
      </c>
      <c r="G29" s="245">
        <v>0</v>
      </c>
      <c r="H29" s="26">
        <f t="shared" si="4"/>
        <v>0</v>
      </c>
    </row>
    <row r="30" spans="2:8" x14ac:dyDescent="0.25">
      <c r="B30" s="22">
        <v>3</v>
      </c>
      <c r="C30" s="23" t="s">
        <v>38</v>
      </c>
      <c r="D30" s="23"/>
      <c r="E30" s="24" t="s">
        <v>24</v>
      </c>
      <c r="F30" s="25">
        <f>'[2]Htgan Volume'!AA27</f>
        <v>1.6214999999999999</v>
      </c>
      <c r="G30" s="245">
        <v>0</v>
      </c>
      <c r="H30" s="26">
        <f t="shared" si="4"/>
        <v>0</v>
      </c>
    </row>
    <row r="31" spans="2:8" x14ac:dyDescent="0.25">
      <c r="B31" s="22">
        <v>4</v>
      </c>
      <c r="C31" s="23" t="s">
        <v>39</v>
      </c>
      <c r="D31" s="23"/>
      <c r="E31" s="24" t="s">
        <v>24</v>
      </c>
      <c r="F31" s="25">
        <f>'[2]Htgan Volume'!AB39</f>
        <v>2.1017249999999996</v>
      </c>
      <c r="G31" s="245">
        <v>0</v>
      </c>
      <c r="H31" s="26">
        <f t="shared" si="4"/>
        <v>0</v>
      </c>
    </row>
    <row r="32" spans="2:8" x14ac:dyDescent="0.25">
      <c r="B32" s="22">
        <v>5</v>
      </c>
      <c r="C32" s="23" t="s">
        <v>40</v>
      </c>
      <c r="D32" s="23"/>
      <c r="E32" s="24" t="s">
        <v>24</v>
      </c>
      <c r="F32" s="32">
        <f>'[2]Htgan Volume'!AB48</f>
        <v>0.26195000000000002</v>
      </c>
      <c r="G32" s="245">
        <v>0</v>
      </c>
      <c r="H32" s="26">
        <f t="shared" si="4"/>
        <v>0</v>
      </c>
    </row>
    <row r="33" spans="2:8" x14ac:dyDescent="0.25">
      <c r="B33" s="22">
        <v>6</v>
      </c>
      <c r="C33" s="23" t="s">
        <v>41</v>
      </c>
      <c r="D33" s="23"/>
      <c r="E33" s="24" t="s">
        <v>24</v>
      </c>
      <c r="F33" s="25">
        <f>'[2]Htgan Volume'!AA57</f>
        <v>0.54</v>
      </c>
      <c r="G33" s="245">
        <v>0</v>
      </c>
      <c r="H33" s="26">
        <f t="shared" si="4"/>
        <v>0</v>
      </c>
    </row>
    <row r="34" spans="2:8" x14ac:dyDescent="0.25">
      <c r="B34" s="22">
        <v>7</v>
      </c>
      <c r="C34" s="23" t="s">
        <v>42</v>
      </c>
      <c r="D34" s="23"/>
      <c r="E34" s="24" t="s">
        <v>24</v>
      </c>
      <c r="F34" s="25">
        <f>'[2]Htgan Volume'!AA66</f>
        <v>0.54</v>
      </c>
      <c r="G34" s="245">
        <v>0</v>
      </c>
      <c r="H34" s="26">
        <f t="shared" si="4"/>
        <v>0</v>
      </c>
    </row>
    <row r="35" spans="2:8" x14ac:dyDescent="0.25">
      <c r="B35" s="22">
        <v>8</v>
      </c>
      <c r="C35" s="23" t="s">
        <v>43</v>
      </c>
      <c r="D35" s="23" t="s">
        <v>296</v>
      </c>
      <c r="E35" s="24" t="s">
        <v>24</v>
      </c>
      <c r="F35" s="25">
        <f>'[2]Htgan Volume'!AA75</f>
        <v>0.13500000000000001</v>
      </c>
      <c r="G35" s="245">
        <v>0</v>
      </c>
      <c r="H35" s="26">
        <f t="shared" si="4"/>
        <v>0</v>
      </c>
    </row>
    <row r="36" spans="2:8" x14ac:dyDescent="0.25">
      <c r="B36" s="29"/>
      <c r="C36" s="23"/>
      <c r="D36" s="23"/>
      <c r="E36" s="24"/>
      <c r="F36" s="27"/>
      <c r="G36" s="245">
        <v>0</v>
      </c>
      <c r="H36" s="28">
        <f t="shared" ref="H36" si="5">SUM(H27:H35)</f>
        <v>0</v>
      </c>
    </row>
    <row r="37" spans="2:8" x14ac:dyDescent="0.25">
      <c r="B37" s="29" t="s">
        <v>44</v>
      </c>
      <c r="C37" s="30" t="s">
        <v>45</v>
      </c>
      <c r="D37" s="30"/>
      <c r="E37" s="24"/>
      <c r="F37" s="27"/>
      <c r="G37" s="245">
        <v>0</v>
      </c>
      <c r="H37" s="26"/>
    </row>
    <row r="38" spans="2:8" x14ac:dyDescent="0.25">
      <c r="B38" s="22">
        <v>1</v>
      </c>
      <c r="C38" s="33" t="s">
        <v>249</v>
      </c>
      <c r="D38" s="33" t="s">
        <v>262</v>
      </c>
      <c r="E38" s="24" t="s">
        <v>19</v>
      </c>
      <c r="F38" s="25">
        <f>'[2]Htgan Volume'!AH8</f>
        <v>2.2000000000000002</v>
      </c>
      <c r="G38" s="245">
        <v>0</v>
      </c>
      <c r="H38" s="26">
        <f t="shared" ref="H38:H44" si="6">G38*F38</f>
        <v>0</v>
      </c>
    </row>
    <row r="39" spans="2:8" x14ac:dyDescent="0.25">
      <c r="B39" s="22">
        <v>2</v>
      </c>
      <c r="C39" s="33" t="s">
        <v>250</v>
      </c>
      <c r="D39" s="33" t="s">
        <v>262</v>
      </c>
      <c r="E39" s="24" t="s">
        <v>19</v>
      </c>
      <c r="F39" s="25">
        <f>'[2]Htgan Volume'!AH15</f>
        <v>4.5</v>
      </c>
      <c r="G39" s="245">
        <v>0</v>
      </c>
      <c r="H39" s="26">
        <f t="shared" si="6"/>
        <v>0</v>
      </c>
    </row>
    <row r="40" spans="2:8" x14ac:dyDescent="0.25">
      <c r="B40" s="22">
        <v>3</v>
      </c>
      <c r="C40" s="33" t="s">
        <v>47</v>
      </c>
      <c r="D40" s="33" t="s">
        <v>265</v>
      </c>
      <c r="E40" s="24"/>
      <c r="F40" s="25"/>
      <c r="G40" s="245">
        <v>0</v>
      </c>
      <c r="H40" s="26">
        <f t="shared" si="6"/>
        <v>0</v>
      </c>
    </row>
    <row r="41" spans="2:8" x14ac:dyDescent="0.25">
      <c r="B41" s="22"/>
      <c r="C41" s="33" t="s">
        <v>48</v>
      </c>
      <c r="D41" s="33"/>
      <c r="E41" s="24" t="s">
        <v>19</v>
      </c>
      <c r="F41" s="25">
        <f>'[2]Htgan Volume'!AH28</f>
        <v>32.33</v>
      </c>
      <c r="G41" s="245">
        <v>0</v>
      </c>
      <c r="H41" s="26">
        <f t="shared" si="6"/>
        <v>0</v>
      </c>
    </row>
    <row r="42" spans="2:8" x14ac:dyDescent="0.25">
      <c r="B42" s="22">
        <v>4</v>
      </c>
      <c r="C42" s="33" t="s">
        <v>320</v>
      </c>
      <c r="D42" s="33" t="s">
        <v>266</v>
      </c>
      <c r="E42" s="24" t="s">
        <v>19</v>
      </c>
      <c r="F42" s="25">
        <f>'[2]Htgan Volume'!AH37</f>
        <v>2.92</v>
      </c>
      <c r="G42" s="245">
        <v>0</v>
      </c>
      <c r="H42" s="26">
        <f t="shared" si="6"/>
        <v>0</v>
      </c>
    </row>
    <row r="43" spans="2:8" x14ac:dyDescent="0.25">
      <c r="B43" s="22">
        <v>5</v>
      </c>
      <c r="C43" s="33" t="s">
        <v>241</v>
      </c>
      <c r="D43" s="33" t="s">
        <v>265</v>
      </c>
      <c r="E43" s="24" t="s">
        <v>13</v>
      </c>
      <c r="F43" s="25">
        <f>'[2]Htgan Volume'!AH43</f>
        <v>6.05</v>
      </c>
      <c r="G43" s="245">
        <v>0</v>
      </c>
      <c r="H43" s="26">
        <f t="shared" si="6"/>
        <v>0</v>
      </c>
    </row>
    <row r="44" spans="2:8" x14ac:dyDescent="0.25">
      <c r="B44" s="22">
        <v>6</v>
      </c>
      <c r="C44" s="33" t="s">
        <v>49</v>
      </c>
      <c r="D44" s="33" t="s">
        <v>267</v>
      </c>
      <c r="E44" s="24" t="s">
        <v>19</v>
      </c>
      <c r="F44" s="25">
        <f>'[2]Htgan Volume'!AH50</f>
        <v>13.5</v>
      </c>
      <c r="G44" s="245">
        <v>0</v>
      </c>
      <c r="H44" s="26">
        <f t="shared" si="6"/>
        <v>0</v>
      </c>
    </row>
    <row r="45" spans="2:8" x14ac:dyDescent="0.25">
      <c r="B45" s="29"/>
      <c r="C45" s="23"/>
      <c r="D45" s="23"/>
      <c r="E45" s="24"/>
      <c r="F45" s="27"/>
      <c r="G45" s="245">
        <v>0</v>
      </c>
      <c r="H45" s="28">
        <f t="shared" ref="H45" si="7">SUM(H38:H44)</f>
        <v>0</v>
      </c>
    </row>
    <row r="46" spans="2:8" x14ac:dyDescent="0.25">
      <c r="B46" s="29" t="s">
        <v>50</v>
      </c>
      <c r="C46" s="30" t="s">
        <v>51</v>
      </c>
      <c r="D46" s="30"/>
      <c r="E46" s="24"/>
      <c r="F46" s="27"/>
      <c r="G46" s="245">
        <v>0</v>
      </c>
      <c r="H46" s="26"/>
    </row>
    <row r="47" spans="2:8" x14ac:dyDescent="0.25">
      <c r="B47" s="29"/>
      <c r="C47" s="23" t="s">
        <v>52</v>
      </c>
      <c r="D47" s="23"/>
      <c r="E47" s="24"/>
      <c r="F47" s="27"/>
      <c r="G47" s="245">
        <v>0</v>
      </c>
      <c r="H47" s="26"/>
    </row>
    <row r="48" spans="2:8" x14ac:dyDescent="0.25">
      <c r="B48" s="22">
        <v>1</v>
      </c>
      <c r="C48" s="33" t="s">
        <v>251</v>
      </c>
      <c r="D48" s="33" t="s">
        <v>269</v>
      </c>
      <c r="E48" s="24" t="s">
        <v>19</v>
      </c>
      <c r="F48" s="25">
        <f>'[2]Htgan Volume'!AO8</f>
        <v>15.8</v>
      </c>
      <c r="G48" s="245">
        <v>0</v>
      </c>
      <c r="H48" s="26">
        <f>G48*F48</f>
        <v>0</v>
      </c>
    </row>
    <row r="49" spans="2:8" x14ac:dyDescent="0.25">
      <c r="B49" s="22">
        <v>2</v>
      </c>
      <c r="C49" s="33" t="s">
        <v>252</v>
      </c>
      <c r="D49" s="33" t="s">
        <v>271</v>
      </c>
      <c r="E49" s="24" t="s">
        <v>19</v>
      </c>
      <c r="F49" s="25">
        <f>'[2]Htgan Volume'!AO21</f>
        <v>1.4</v>
      </c>
      <c r="G49" s="245">
        <v>0</v>
      </c>
      <c r="H49" s="26">
        <f>G49*F49</f>
        <v>0</v>
      </c>
    </row>
    <row r="50" spans="2:8" x14ac:dyDescent="0.25">
      <c r="B50" s="22">
        <v>3</v>
      </c>
      <c r="C50" s="33" t="s">
        <v>321</v>
      </c>
      <c r="D50" s="33" t="s">
        <v>297</v>
      </c>
      <c r="E50" s="24" t="s">
        <v>19</v>
      </c>
      <c r="F50" s="25">
        <f>'[2]Htgan Volume'!AO28</f>
        <v>2.25</v>
      </c>
      <c r="G50" s="245">
        <v>0</v>
      </c>
      <c r="H50" s="26">
        <f>G50*F50</f>
        <v>0</v>
      </c>
    </row>
    <row r="51" spans="2:8" x14ac:dyDescent="0.25">
      <c r="B51" s="22"/>
      <c r="C51" s="23"/>
      <c r="D51" s="23"/>
      <c r="E51" s="24"/>
      <c r="F51" s="27"/>
      <c r="G51" s="245">
        <v>0</v>
      </c>
      <c r="H51" s="28">
        <f t="shared" ref="H51" si="8">SUM(H48:H50)</f>
        <v>0</v>
      </c>
    </row>
    <row r="52" spans="2:8" x14ac:dyDescent="0.25">
      <c r="B52" s="29" t="s">
        <v>53</v>
      </c>
      <c r="C52" s="30" t="s">
        <v>54</v>
      </c>
      <c r="D52" s="30"/>
      <c r="E52" s="23"/>
      <c r="F52" s="27"/>
      <c r="G52" s="245">
        <v>0</v>
      </c>
      <c r="H52" s="26"/>
    </row>
    <row r="53" spans="2:8" x14ac:dyDescent="0.25">
      <c r="B53" s="23">
        <v>1</v>
      </c>
      <c r="C53" s="33" t="s">
        <v>55</v>
      </c>
      <c r="D53" s="33"/>
      <c r="E53" s="24" t="s">
        <v>19</v>
      </c>
      <c r="F53" s="25">
        <f>'[2]Htgan Volume'!AV13</f>
        <v>32.33</v>
      </c>
      <c r="G53" s="245">
        <v>0</v>
      </c>
      <c r="H53" s="26">
        <f>G53*F53</f>
        <v>0</v>
      </c>
    </row>
    <row r="54" spans="2:8" x14ac:dyDescent="0.25">
      <c r="B54" s="23">
        <v>2</v>
      </c>
      <c r="C54" s="33" t="s">
        <v>56</v>
      </c>
      <c r="D54" s="33"/>
      <c r="E54" s="24" t="s">
        <v>13</v>
      </c>
      <c r="F54" s="25">
        <f>'[2]Htgan Volume'!AV24</f>
        <v>39.475000000000001</v>
      </c>
      <c r="G54" s="245">
        <v>0</v>
      </c>
      <c r="H54" s="26">
        <f>G54*F54</f>
        <v>0</v>
      </c>
    </row>
    <row r="55" spans="2:8" x14ac:dyDescent="0.25">
      <c r="B55" s="22">
        <v>3</v>
      </c>
      <c r="C55" s="33" t="s">
        <v>57</v>
      </c>
      <c r="D55" s="33"/>
      <c r="E55" s="24" t="s">
        <v>13</v>
      </c>
      <c r="F55" s="25">
        <f>'[2]Htgan Volume'!AV33</f>
        <v>15.4</v>
      </c>
      <c r="G55" s="245">
        <v>0</v>
      </c>
      <c r="H55" s="26">
        <f>G55*F55</f>
        <v>0</v>
      </c>
    </row>
    <row r="56" spans="2:8" x14ac:dyDescent="0.25">
      <c r="B56" s="22">
        <v>4</v>
      </c>
      <c r="C56" s="33" t="s">
        <v>58</v>
      </c>
      <c r="D56" s="33"/>
      <c r="E56" s="24" t="s">
        <v>19</v>
      </c>
      <c r="F56" s="25">
        <f>'[2]Htgan Volume'!AV44</f>
        <v>9.620000000000001</v>
      </c>
      <c r="G56" s="245">
        <v>0</v>
      </c>
      <c r="H56" s="26">
        <f>G56*F56</f>
        <v>0</v>
      </c>
    </row>
    <row r="57" spans="2:8" x14ac:dyDescent="0.25">
      <c r="B57" s="29"/>
      <c r="C57" s="23"/>
      <c r="D57" s="23"/>
      <c r="E57" s="23"/>
      <c r="F57" s="27"/>
      <c r="G57" s="245">
        <v>0</v>
      </c>
      <c r="H57" s="34">
        <f t="shared" ref="H57" si="9">SUM(H53:H56)</f>
        <v>0</v>
      </c>
    </row>
    <row r="58" spans="2:8" x14ac:dyDescent="0.25">
      <c r="B58" s="29" t="s">
        <v>59</v>
      </c>
      <c r="C58" s="30" t="s">
        <v>60</v>
      </c>
      <c r="D58" s="30"/>
      <c r="E58" s="24"/>
      <c r="F58" s="27"/>
      <c r="G58" s="245">
        <v>0</v>
      </c>
      <c r="H58" s="26"/>
    </row>
    <row r="59" spans="2:8" x14ac:dyDescent="0.25">
      <c r="B59" s="22">
        <v>1</v>
      </c>
      <c r="C59" s="23" t="s">
        <v>61</v>
      </c>
      <c r="D59" s="23" t="s">
        <v>272</v>
      </c>
      <c r="E59" s="24" t="s">
        <v>19</v>
      </c>
      <c r="F59" s="25">
        <f>'[2]Htgan Volume'!BC9</f>
        <v>25.742499999999996</v>
      </c>
      <c r="G59" s="245">
        <v>0</v>
      </c>
      <c r="H59" s="26">
        <f>G59*F59</f>
        <v>0</v>
      </c>
    </row>
    <row r="60" spans="2:8" x14ac:dyDescent="0.25">
      <c r="B60" s="22">
        <v>2</v>
      </c>
      <c r="C60" s="23" t="s">
        <v>62</v>
      </c>
      <c r="D60" s="23" t="s">
        <v>272</v>
      </c>
      <c r="E60" s="24" t="s">
        <v>19</v>
      </c>
      <c r="F60" s="25">
        <f>'[2]Htgan Volume'!BC24</f>
        <v>154.11000000000001</v>
      </c>
      <c r="G60" s="245">
        <v>0</v>
      </c>
      <c r="H60" s="26">
        <f>G60*F60</f>
        <v>0</v>
      </c>
    </row>
    <row r="61" spans="2:8" x14ac:dyDescent="0.25">
      <c r="B61" s="22">
        <v>3</v>
      </c>
      <c r="C61" s="23" t="s">
        <v>63</v>
      </c>
      <c r="D61" s="23" t="s">
        <v>273</v>
      </c>
      <c r="E61" s="24" t="s">
        <v>19</v>
      </c>
      <c r="F61" s="25">
        <f>'[2]Htgan Volume'!BC33</f>
        <v>344.20500000000004</v>
      </c>
      <c r="G61" s="245">
        <v>0</v>
      </c>
      <c r="H61" s="26">
        <f>G61*F61</f>
        <v>0</v>
      </c>
    </row>
    <row r="62" spans="2:8" x14ac:dyDescent="0.25">
      <c r="B62" s="22"/>
      <c r="C62" s="23"/>
      <c r="D62" s="23"/>
      <c r="E62" s="24"/>
      <c r="F62" s="27"/>
      <c r="G62" s="245">
        <v>0</v>
      </c>
      <c r="H62" s="28">
        <f t="shared" ref="H62" si="10">SUM(H59:H61)</f>
        <v>0</v>
      </c>
    </row>
    <row r="63" spans="2:8" x14ac:dyDescent="0.25">
      <c r="B63" s="29" t="s">
        <v>64</v>
      </c>
      <c r="C63" s="30" t="s">
        <v>65</v>
      </c>
      <c r="D63" s="30"/>
      <c r="E63" s="23"/>
      <c r="F63" s="27"/>
      <c r="G63" s="245">
        <v>0</v>
      </c>
      <c r="H63" s="26"/>
    </row>
    <row r="64" spans="2:8" x14ac:dyDescent="0.25">
      <c r="B64" s="22">
        <v>1</v>
      </c>
      <c r="C64" s="23" t="s">
        <v>66</v>
      </c>
      <c r="D64" s="23" t="s">
        <v>278</v>
      </c>
      <c r="E64" s="24" t="s">
        <v>19</v>
      </c>
      <c r="F64" s="25">
        <f>'[2]Htgan Volume'!BJ12</f>
        <v>43.162500000000001</v>
      </c>
      <c r="G64" s="245">
        <v>0</v>
      </c>
      <c r="H64" s="26">
        <f t="shared" ref="H64:H69" si="11">G64*F64</f>
        <v>0</v>
      </c>
    </row>
    <row r="65" spans="2:8" x14ac:dyDescent="0.25">
      <c r="B65" s="22">
        <v>2</v>
      </c>
      <c r="C65" s="23" t="s">
        <v>67</v>
      </c>
      <c r="D65" s="23" t="s">
        <v>279</v>
      </c>
      <c r="E65" s="24" t="s">
        <v>19</v>
      </c>
      <c r="F65" s="25">
        <f>'[2]Htgan Volume'!BJ21</f>
        <v>43.162500000000001</v>
      </c>
      <c r="G65" s="245">
        <v>0</v>
      </c>
      <c r="H65" s="26">
        <f t="shared" si="11"/>
        <v>0</v>
      </c>
    </row>
    <row r="66" spans="2:8" x14ac:dyDescent="0.25">
      <c r="B66" s="22">
        <v>3</v>
      </c>
      <c r="C66" s="23" t="s">
        <v>68</v>
      </c>
      <c r="D66" s="23" t="s">
        <v>280</v>
      </c>
      <c r="E66" s="24" t="s">
        <v>13</v>
      </c>
      <c r="F66" s="25">
        <f>'[2]Htgan Volume'!BJ28</f>
        <v>18.850000000000001</v>
      </c>
      <c r="G66" s="245">
        <v>0</v>
      </c>
      <c r="H66" s="26">
        <f t="shared" si="11"/>
        <v>0</v>
      </c>
    </row>
    <row r="67" spans="2:8" x14ac:dyDescent="0.25">
      <c r="B67" s="23">
        <v>4</v>
      </c>
      <c r="C67" s="23" t="s">
        <v>69</v>
      </c>
      <c r="D67" s="23" t="s">
        <v>279</v>
      </c>
      <c r="E67" s="24" t="s">
        <v>13</v>
      </c>
      <c r="F67" s="25">
        <f>'[2]Htgan Volume'!BJ34</f>
        <v>19.229999999999997</v>
      </c>
      <c r="G67" s="245">
        <v>0</v>
      </c>
      <c r="H67" s="26">
        <f t="shared" si="11"/>
        <v>0</v>
      </c>
    </row>
    <row r="68" spans="2:8" x14ac:dyDescent="0.25">
      <c r="B68" s="23">
        <v>5</v>
      </c>
      <c r="C68" s="23" t="s">
        <v>70</v>
      </c>
      <c r="D68" s="23" t="s">
        <v>279</v>
      </c>
      <c r="E68" s="24" t="s">
        <v>13</v>
      </c>
      <c r="F68" s="25">
        <f>'[2]Htgan Volume'!BJ40</f>
        <v>6</v>
      </c>
      <c r="G68" s="245">
        <v>0</v>
      </c>
      <c r="H68" s="26">
        <f t="shared" si="11"/>
        <v>0</v>
      </c>
    </row>
    <row r="69" spans="2:8" x14ac:dyDescent="0.25">
      <c r="B69" s="23">
        <v>6</v>
      </c>
      <c r="C69" s="23" t="s">
        <v>71</v>
      </c>
      <c r="D69" s="23" t="s">
        <v>279</v>
      </c>
      <c r="E69" s="24" t="s">
        <v>13</v>
      </c>
      <c r="F69" s="25">
        <f>'[2]Htgan Volume'!BJ49</f>
        <v>7</v>
      </c>
      <c r="G69" s="245">
        <v>0</v>
      </c>
      <c r="H69" s="26">
        <f t="shared" si="11"/>
        <v>0</v>
      </c>
    </row>
    <row r="70" spans="2:8" x14ac:dyDescent="0.25">
      <c r="B70" s="29"/>
      <c r="C70" s="23"/>
      <c r="D70" s="23"/>
      <c r="E70" s="23"/>
      <c r="F70" s="27"/>
      <c r="G70" s="245">
        <v>0</v>
      </c>
      <c r="H70" s="28">
        <f t="shared" ref="H70" si="12">SUM(H64:H69)</f>
        <v>0</v>
      </c>
    </row>
    <row r="71" spans="2:8" x14ac:dyDescent="0.25">
      <c r="B71" s="29" t="s">
        <v>72</v>
      </c>
      <c r="C71" s="30" t="s">
        <v>73</v>
      </c>
      <c r="D71" s="30"/>
      <c r="E71" s="23"/>
      <c r="F71" s="35"/>
      <c r="G71" s="245">
        <v>0</v>
      </c>
      <c r="H71" s="26"/>
    </row>
    <row r="72" spans="2:8" x14ac:dyDescent="0.25">
      <c r="B72" s="22">
        <v>1</v>
      </c>
      <c r="C72" s="33" t="s">
        <v>74</v>
      </c>
      <c r="D72" s="33"/>
      <c r="E72" s="23"/>
      <c r="F72" s="27"/>
      <c r="G72" s="245">
        <v>0</v>
      </c>
      <c r="H72" s="26"/>
    </row>
    <row r="73" spans="2:8" x14ac:dyDescent="0.25">
      <c r="B73" s="22" t="s">
        <v>75</v>
      </c>
      <c r="C73" s="23" t="s">
        <v>76</v>
      </c>
      <c r="D73" s="33" t="s">
        <v>274</v>
      </c>
      <c r="E73" s="24" t="s">
        <v>77</v>
      </c>
      <c r="F73" s="25">
        <f>'[2]Htgan Volume'!BR8</f>
        <v>4</v>
      </c>
      <c r="G73" s="245">
        <v>0</v>
      </c>
      <c r="H73" s="26">
        <f t="shared" ref="H73:H85" si="13">G73*F73</f>
        <v>0</v>
      </c>
    </row>
    <row r="74" spans="2:8" x14ac:dyDescent="0.25">
      <c r="B74" s="22" t="s">
        <v>75</v>
      </c>
      <c r="C74" s="23" t="s">
        <v>78</v>
      </c>
      <c r="D74" s="33" t="s">
        <v>274</v>
      </c>
      <c r="E74" s="24" t="s">
        <v>77</v>
      </c>
      <c r="F74" s="25">
        <f>'[2]Htgan Volume'!BR12</f>
        <v>1</v>
      </c>
      <c r="G74" s="245">
        <v>0</v>
      </c>
      <c r="H74" s="26">
        <f t="shared" si="13"/>
        <v>0</v>
      </c>
    </row>
    <row r="75" spans="2:8" x14ac:dyDescent="0.25">
      <c r="B75" s="22">
        <v>2</v>
      </c>
      <c r="C75" s="33" t="s">
        <v>79</v>
      </c>
      <c r="D75" s="33"/>
      <c r="E75" s="24"/>
      <c r="F75" s="27">
        <v>1</v>
      </c>
      <c r="G75" s="245">
        <v>0</v>
      </c>
      <c r="H75" s="26">
        <f t="shared" si="13"/>
        <v>0</v>
      </c>
    </row>
    <row r="76" spans="2:8" x14ac:dyDescent="0.25">
      <c r="B76" s="22" t="s">
        <v>75</v>
      </c>
      <c r="C76" s="23" t="s">
        <v>80</v>
      </c>
      <c r="D76" s="23" t="s">
        <v>275</v>
      </c>
      <c r="E76" s="24" t="s">
        <v>81</v>
      </c>
      <c r="F76" s="25">
        <f>'[2]Htgan Volume'!BS19</f>
        <v>1</v>
      </c>
      <c r="G76" s="245">
        <v>0</v>
      </c>
      <c r="H76" s="26">
        <f t="shared" si="13"/>
        <v>0</v>
      </c>
    </row>
    <row r="77" spans="2:8" x14ac:dyDescent="0.25">
      <c r="B77" s="22" t="s">
        <v>75</v>
      </c>
      <c r="C77" s="23" t="s">
        <v>82</v>
      </c>
      <c r="D77" s="23" t="s">
        <v>275</v>
      </c>
      <c r="E77" s="24" t="s">
        <v>81</v>
      </c>
      <c r="F77" s="25">
        <f>'[2]Htgan Volume'!BS21</f>
        <v>1</v>
      </c>
      <c r="G77" s="245">
        <v>0</v>
      </c>
      <c r="H77" s="26">
        <f t="shared" si="13"/>
        <v>0</v>
      </c>
    </row>
    <row r="78" spans="2:8" x14ac:dyDescent="0.25">
      <c r="B78" s="22" t="s">
        <v>75</v>
      </c>
      <c r="C78" s="23" t="s">
        <v>83</v>
      </c>
      <c r="D78" s="23" t="s">
        <v>275</v>
      </c>
      <c r="E78" s="24" t="s">
        <v>81</v>
      </c>
      <c r="F78" s="25">
        <f>'[2]Htgan Volume'!BS23</f>
        <v>1</v>
      </c>
      <c r="G78" s="245">
        <v>0</v>
      </c>
      <c r="H78" s="26">
        <f t="shared" si="13"/>
        <v>0</v>
      </c>
    </row>
    <row r="79" spans="2:8" x14ac:dyDescent="0.25">
      <c r="B79" s="22" t="s">
        <v>75</v>
      </c>
      <c r="C79" s="23" t="s">
        <v>84</v>
      </c>
      <c r="D79" s="23" t="s">
        <v>275</v>
      </c>
      <c r="E79" s="24" t="s">
        <v>81</v>
      </c>
      <c r="F79" s="25">
        <f>'[2]Htgan Volume'!BS25</f>
        <v>1</v>
      </c>
      <c r="G79" s="245">
        <v>0</v>
      </c>
      <c r="H79" s="26">
        <f t="shared" si="13"/>
        <v>0</v>
      </c>
    </row>
    <row r="80" spans="2:8" x14ac:dyDescent="0.25">
      <c r="B80" s="22" t="s">
        <v>75</v>
      </c>
      <c r="C80" s="23" t="s">
        <v>85</v>
      </c>
      <c r="D80" s="23" t="s">
        <v>275</v>
      </c>
      <c r="E80" s="24" t="s">
        <v>81</v>
      </c>
      <c r="F80" s="25">
        <f>'[2]Htgan Volume'!BS27</f>
        <v>1</v>
      </c>
      <c r="G80" s="245">
        <v>0</v>
      </c>
      <c r="H80" s="26">
        <f t="shared" si="13"/>
        <v>0</v>
      </c>
    </row>
    <row r="81" spans="2:8" x14ac:dyDescent="0.25">
      <c r="B81" s="22" t="s">
        <v>75</v>
      </c>
      <c r="C81" s="23" t="s">
        <v>86</v>
      </c>
      <c r="D81" s="23" t="s">
        <v>275</v>
      </c>
      <c r="E81" s="24" t="s">
        <v>81</v>
      </c>
      <c r="F81" s="25">
        <f>'[2]Htgan Volume'!BS29</f>
        <v>2</v>
      </c>
      <c r="G81" s="245">
        <v>0</v>
      </c>
      <c r="H81" s="26">
        <f t="shared" si="13"/>
        <v>0</v>
      </c>
    </row>
    <row r="82" spans="2:8" x14ac:dyDescent="0.25">
      <c r="B82" s="22">
        <v>3</v>
      </c>
      <c r="C82" s="23" t="s">
        <v>87</v>
      </c>
      <c r="D82" s="23"/>
      <c r="E82" s="24"/>
      <c r="F82" s="27"/>
      <c r="G82" s="245">
        <v>0</v>
      </c>
      <c r="H82" s="26">
        <f t="shared" si="13"/>
        <v>0</v>
      </c>
    </row>
    <row r="83" spans="2:8" x14ac:dyDescent="0.25">
      <c r="B83" s="22" t="s">
        <v>75</v>
      </c>
      <c r="C83" s="23" t="s">
        <v>253</v>
      </c>
      <c r="D83" s="23" t="s">
        <v>277</v>
      </c>
      <c r="E83" s="24" t="s">
        <v>77</v>
      </c>
      <c r="F83" s="25">
        <f>'[2]Htgan Volume'!BR35</f>
        <v>1</v>
      </c>
      <c r="G83" s="245">
        <v>0</v>
      </c>
      <c r="H83" s="26">
        <f t="shared" si="13"/>
        <v>0</v>
      </c>
    </row>
    <row r="84" spans="2:8" x14ac:dyDescent="0.25">
      <c r="B84" s="22" t="s">
        <v>75</v>
      </c>
      <c r="C84" s="23" t="s">
        <v>254</v>
      </c>
      <c r="D84" s="23" t="s">
        <v>277</v>
      </c>
      <c r="E84" s="24" t="s">
        <v>77</v>
      </c>
      <c r="F84" s="25">
        <f>'[2]Htgan Volume'!BR37</f>
        <v>4</v>
      </c>
      <c r="G84" s="245">
        <v>0</v>
      </c>
      <c r="H84" s="26">
        <f t="shared" si="13"/>
        <v>0</v>
      </c>
    </row>
    <row r="85" spans="2:8" x14ac:dyDescent="0.25">
      <c r="B85" s="22" t="s">
        <v>75</v>
      </c>
      <c r="C85" s="23" t="s">
        <v>255</v>
      </c>
      <c r="D85" s="23" t="s">
        <v>277</v>
      </c>
      <c r="E85" s="24" t="s">
        <v>91</v>
      </c>
      <c r="F85" s="25">
        <f>'[2]Htgan Volume'!BR38</f>
        <v>15</v>
      </c>
      <c r="G85" s="245">
        <v>0</v>
      </c>
      <c r="H85" s="26">
        <f t="shared" si="13"/>
        <v>0</v>
      </c>
    </row>
    <row r="86" spans="2:8" x14ac:dyDescent="0.25">
      <c r="B86" s="22"/>
      <c r="C86" s="23"/>
      <c r="D86" s="23"/>
      <c r="E86" s="24"/>
      <c r="F86" s="27"/>
      <c r="G86" s="245">
        <v>0</v>
      </c>
      <c r="H86" s="28">
        <f t="shared" ref="H86" si="14">SUM(H73:H85)</f>
        <v>0</v>
      </c>
    </row>
    <row r="87" spans="2:8" x14ac:dyDescent="0.25">
      <c r="B87" s="29" t="s">
        <v>92</v>
      </c>
      <c r="C87" s="30" t="s">
        <v>93</v>
      </c>
      <c r="D87" s="30"/>
      <c r="E87" s="24"/>
      <c r="F87" s="27"/>
      <c r="G87" s="245">
        <v>0</v>
      </c>
      <c r="H87" s="26"/>
    </row>
    <row r="88" spans="2:8" x14ac:dyDescent="0.25">
      <c r="B88" s="23">
        <v>1</v>
      </c>
      <c r="C88" s="23" t="s">
        <v>94</v>
      </c>
      <c r="D88" s="23" t="s">
        <v>281</v>
      </c>
      <c r="E88" s="24" t="s">
        <v>19</v>
      </c>
      <c r="F88" s="25">
        <f>'[2]Htgan Volume'!BZ12</f>
        <v>127.48625</v>
      </c>
      <c r="G88" s="245">
        <v>0</v>
      </c>
      <c r="H88" s="26">
        <f>G88*F88</f>
        <v>0</v>
      </c>
    </row>
    <row r="89" spans="2:8" x14ac:dyDescent="0.25">
      <c r="B89" s="23">
        <v>2</v>
      </c>
      <c r="C89" s="23" t="s">
        <v>95</v>
      </c>
      <c r="D89" s="23" t="s">
        <v>281</v>
      </c>
      <c r="E89" s="24" t="s">
        <v>19</v>
      </c>
      <c r="F89" s="25">
        <f>'[2]Htgan Volume'!BZ24</f>
        <v>53.550000000000004</v>
      </c>
      <c r="G89" s="245">
        <v>0</v>
      </c>
      <c r="H89" s="26">
        <f>G89*F89</f>
        <v>0</v>
      </c>
    </row>
    <row r="90" spans="2:8" x14ac:dyDescent="0.25">
      <c r="B90" s="23">
        <v>3</v>
      </c>
      <c r="C90" s="23" t="s">
        <v>96</v>
      </c>
      <c r="D90" s="23" t="s">
        <v>281</v>
      </c>
      <c r="E90" s="24" t="s">
        <v>19</v>
      </c>
      <c r="F90" s="25">
        <f>'[2]Htgan Volume'!BZ36</f>
        <v>39.475000000000001</v>
      </c>
      <c r="G90" s="245">
        <v>0</v>
      </c>
      <c r="H90" s="26">
        <f>G90*F90</f>
        <v>0</v>
      </c>
    </row>
    <row r="91" spans="2:8" x14ac:dyDescent="0.25">
      <c r="B91" s="23">
        <v>4</v>
      </c>
      <c r="C91" s="23" t="s">
        <v>97</v>
      </c>
      <c r="D91" s="23" t="s">
        <v>281</v>
      </c>
      <c r="E91" s="24" t="s">
        <v>19</v>
      </c>
      <c r="F91" s="25">
        <f>'[2]Htgan Volume'!BZ47</f>
        <v>15.952500000000001</v>
      </c>
      <c r="G91" s="245">
        <v>0</v>
      </c>
      <c r="H91" s="26">
        <f>G91*F91</f>
        <v>0</v>
      </c>
    </row>
    <row r="92" spans="2:8" x14ac:dyDescent="0.25">
      <c r="B92" s="23">
        <v>5</v>
      </c>
      <c r="C92" s="23" t="s">
        <v>98</v>
      </c>
      <c r="D92" s="23" t="s">
        <v>281</v>
      </c>
      <c r="E92" s="24" t="s">
        <v>13</v>
      </c>
      <c r="F92" s="25">
        <f>'[2]Htgan Volume'!BZ53</f>
        <v>6</v>
      </c>
      <c r="G92" s="245">
        <v>0</v>
      </c>
      <c r="H92" s="26">
        <f>G92*F92</f>
        <v>0</v>
      </c>
    </row>
    <row r="93" spans="2:8" x14ac:dyDescent="0.25">
      <c r="B93" s="22"/>
      <c r="C93" s="23"/>
      <c r="D93" s="23"/>
      <c r="E93" s="24"/>
      <c r="F93" s="27"/>
      <c r="G93" s="245">
        <v>0</v>
      </c>
      <c r="H93" s="28">
        <f t="shared" ref="H93" si="15">SUM(H88:H92)</f>
        <v>0</v>
      </c>
    </row>
    <row r="94" spans="2:8" x14ac:dyDescent="0.25">
      <c r="B94" s="29" t="s">
        <v>99</v>
      </c>
      <c r="C94" s="30" t="s">
        <v>100</v>
      </c>
      <c r="D94" s="30"/>
      <c r="E94" s="24"/>
      <c r="F94" s="27"/>
      <c r="G94" s="245">
        <v>0</v>
      </c>
      <c r="H94" s="26"/>
    </row>
    <row r="95" spans="2:8" x14ac:dyDescent="0.25">
      <c r="B95" s="22">
        <v>1</v>
      </c>
      <c r="C95" s="23" t="s">
        <v>101</v>
      </c>
      <c r="D95" s="23"/>
      <c r="E95" s="23"/>
      <c r="F95" s="27"/>
      <c r="G95" s="245">
        <v>0</v>
      </c>
      <c r="H95" s="26"/>
    </row>
    <row r="96" spans="2:8" x14ac:dyDescent="0.25">
      <c r="B96" s="22" t="s">
        <v>75</v>
      </c>
      <c r="C96" s="23" t="s">
        <v>242</v>
      </c>
      <c r="D96" s="23" t="s">
        <v>283</v>
      </c>
      <c r="E96" s="24" t="s">
        <v>77</v>
      </c>
      <c r="F96" s="25">
        <f>'[2]Htgan Volume'!CJ8</f>
        <v>1</v>
      </c>
      <c r="G96" s="245">
        <v>0</v>
      </c>
      <c r="H96" s="26">
        <f>G96*F96</f>
        <v>0</v>
      </c>
    </row>
    <row r="97" spans="2:8" x14ac:dyDescent="0.25">
      <c r="B97" s="22" t="s">
        <v>75</v>
      </c>
      <c r="C97" s="23" t="s">
        <v>244</v>
      </c>
      <c r="D97" s="23" t="s">
        <v>285</v>
      </c>
      <c r="E97" s="24" t="s">
        <v>77</v>
      </c>
      <c r="F97" s="25">
        <f>'[2]Htgan Volume'!CJ10</f>
        <v>1</v>
      </c>
      <c r="G97" s="245">
        <v>0</v>
      </c>
      <c r="H97" s="26">
        <f>G97*F97</f>
        <v>0</v>
      </c>
    </row>
    <row r="98" spans="2:8" x14ac:dyDescent="0.25">
      <c r="B98" s="22" t="s">
        <v>75</v>
      </c>
      <c r="C98" s="23" t="s">
        <v>245</v>
      </c>
      <c r="D98" s="23" t="s">
        <v>286</v>
      </c>
      <c r="E98" s="24" t="s">
        <v>77</v>
      </c>
      <c r="F98" s="25">
        <f>'[2]Htgan Volume'!CJ11</f>
        <v>1</v>
      </c>
      <c r="G98" s="245">
        <v>0</v>
      </c>
      <c r="H98" s="26">
        <f>G98</f>
        <v>0</v>
      </c>
    </row>
    <row r="99" spans="2:8" x14ac:dyDescent="0.25">
      <c r="B99" s="22" t="s">
        <v>75</v>
      </c>
      <c r="C99" s="23" t="s">
        <v>243</v>
      </c>
      <c r="D99" s="23" t="s">
        <v>288</v>
      </c>
      <c r="E99" s="24" t="s">
        <v>77</v>
      </c>
      <c r="F99" s="25">
        <f>'[2]Htgan Volume'!CJ12</f>
        <v>1</v>
      </c>
      <c r="G99" s="245">
        <v>0</v>
      </c>
      <c r="H99" s="26">
        <f t="shared" ref="H99:H115" si="16">G99*F99</f>
        <v>0</v>
      </c>
    </row>
    <row r="100" spans="2:8" x14ac:dyDescent="0.25">
      <c r="B100" s="22" t="s">
        <v>75</v>
      </c>
      <c r="C100" s="23" t="s">
        <v>105</v>
      </c>
      <c r="D100" s="23"/>
      <c r="E100" s="24" t="s">
        <v>77</v>
      </c>
      <c r="F100" s="25">
        <f>'[2]Htgan Volume'!CJ13</f>
        <v>1</v>
      </c>
      <c r="G100" s="245">
        <v>0</v>
      </c>
      <c r="H100" s="26">
        <f t="shared" si="16"/>
        <v>0</v>
      </c>
    </row>
    <row r="101" spans="2:8" x14ac:dyDescent="0.25">
      <c r="B101" s="22" t="s">
        <v>75</v>
      </c>
      <c r="C101" s="23" t="s">
        <v>246</v>
      </c>
      <c r="D101" s="23" t="s">
        <v>290</v>
      </c>
      <c r="E101" s="24" t="s">
        <v>77</v>
      </c>
      <c r="F101" s="25">
        <f>'[2]Htgan Volume'!CJ14</f>
        <v>1</v>
      </c>
      <c r="G101" s="245">
        <v>0</v>
      </c>
      <c r="H101" s="26">
        <f t="shared" si="16"/>
        <v>0</v>
      </c>
    </row>
    <row r="102" spans="2:8" x14ac:dyDescent="0.25">
      <c r="B102" s="23">
        <v>2</v>
      </c>
      <c r="C102" s="23" t="s">
        <v>107</v>
      </c>
      <c r="D102" s="23"/>
      <c r="E102" s="23"/>
      <c r="F102" s="25"/>
      <c r="G102" s="245">
        <v>0</v>
      </c>
      <c r="H102" s="26">
        <f t="shared" si="16"/>
        <v>0</v>
      </c>
    </row>
    <row r="103" spans="2:8" x14ac:dyDescent="0.25">
      <c r="B103" s="22" t="s">
        <v>75</v>
      </c>
      <c r="C103" s="23" t="s">
        <v>108</v>
      </c>
      <c r="D103" s="23" t="s">
        <v>282</v>
      </c>
      <c r="E103" s="24" t="s">
        <v>77</v>
      </c>
      <c r="F103" s="25">
        <f>'[2]Htgan Volume'!CI20</f>
        <v>1</v>
      </c>
      <c r="G103" s="245">
        <v>0</v>
      </c>
      <c r="H103" s="26">
        <f t="shared" si="16"/>
        <v>0</v>
      </c>
    </row>
    <row r="104" spans="2:8" x14ac:dyDescent="0.25">
      <c r="B104" s="22" t="s">
        <v>75</v>
      </c>
      <c r="C104" s="23" t="s">
        <v>247</v>
      </c>
      <c r="D104" s="23" t="s">
        <v>294</v>
      </c>
      <c r="E104" s="24" t="s">
        <v>77</v>
      </c>
      <c r="F104" s="25">
        <f>'[2]Htgan Volume'!CI21</f>
        <v>1</v>
      </c>
      <c r="G104" s="245">
        <v>0</v>
      </c>
      <c r="H104" s="26">
        <f t="shared" si="16"/>
        <v>0</v>
      </c>
    </row>
    <row r="105" spans="2:8" x14ac:dyDescent="0.25">
      <c r="B105" s="22">
        <v>3</v>
      </c>
      <c r="C105" s="23" t="s">
        <v>248</v>
      </c>
      <c r="D105" s="23" t="s">
        <v>293</v>
      </c>
      <c r="E105" s="24" t="s">
        <v>77</v>
      </c>
      <c r="F105" s="25">
        <f>'[2]Htgan Volume'!CH27</f>
        <v>1</v>
      </c>
      <c r="G105" s="245">
        <v>0</v>
      </c>
      <c r="H105" s="26">
        <f t="shared" si="16"/>
        <v>0</v>
      </c>
    </row>
    <row r="106" spans="2:8" x14ac:dyDescent="0.25">
      <c r="B106" s="22">
        <v>4</v>
      </c>
      <c r="C106" s="23" t="s">
        <v>111</v>
      </c>
      <c r="D106" s="23"/>
      <c r="E106" s="24" t="s">
        <v>77</v>
      </c>
      <c r="F106" s="25">
        <f>'[2]Htgan Volume'!CH33</f>
        <v>1</v>
      </c>
      <c r="G106" s="245">
        <v>0</v>
      </c>
      <c r="H106" s="26">
        <f t="shared" si="16"/>
        <v>0</v>
      </c>
    </row>
    <row r="107" spans="2:8" x14ac:dyDescent="0.25">
      <c r="B107" s="22">
        <v>5</v>
      </c>
      <c r="C107" s="23" t="s">
        <v>112</v>
      </c>
      <c r="D107" s="23"/>
      <c r="E107" s="24" t="s">
        <v>77</v>
      </c>
      <c r="F107" s="25">
        <f>'[2]Htgan Volume'!CH39</f>
        <v>2</v>
      </c>
      <c r="G107" s="245">
        <v>0</v>
      </c>
      <c r="H107" s="26">
        <f t="shared" si="16"/>
        <v>0</v>
      </c>
    </row>
    <row r="108" spans="2:8" x14ac:dyDescent="0.25">
      <c r="B108" s="22">
        <v>6</v>
      </c>
      <c r="C108" s="23" t="s">
        <v>113</v>
      </c>
      <c r="D108" s="23" t="s">
        <v>298</v>
      </c>
      <c r="E108" s="23"/>
      <c r="F108" s="27"/>
      <c r="G108" s="245">
        <v>0</v>
      </c>
      <c r="H108" s="26">
        <f t="shared" si="16"/>
        <v>0</v>
      </c>
    </row>
    <row r="109" spans="2:8" x14ac:dyDescent="0.25">
      <c r="B109" s="22" t="s">
        <v>75</v>
      </c>
      <c r="C109" s="23" t="s">
        <v>114</v>
      </c>
      <c r="D109" s="23"/>
      <c r="E109" s="24" t="s">
        <v>13</v>
      </c>
      <c r="F109" s="25">
        <f>'[2]Htgan Volume'!CH45</f>
        <v>10.9</v>
      </c>
      <c r="G109" s="245">
        <v>0</v>
      </c>
      <c r="H109" s="26">
        <f t="shared" si="16"/>
        <v>0</v>
      </c>
    </row>
    <row r="110" spans="2:8" x14ac:dyDescent="0.25">
      <c r="B110" s="22" t="s">
        <v>75</v>
      </c>
      <c r="C110" s="23" t="s">
        <v>115</v>
      </c>
      <c r="D110" s="23"/>
      <c r="E110" s="24" t="s">
        <v>13</v>
      </c>
      <c r="F110" s="25">
        <f>'[2]Htgan Volume'!CH46</f>
        <v>24</v>
      </c>
      <c r="G110" s="245">
        <v>0</v>
      </c>
      <c r="H110" s="26">
        <f t="shared" si="16"/>
        <v>0</v>
      </c>
    </row>
    <row r="111" spans="2:8" x14ac:dyDescent="0.25">
      <c r="B111" s="22">
        <v>7</v>
      </c>
      <c r="C111" s="23" t="s">
        <v>116</v>
      </c>
      <c r="D111" s="23" t="s">
        <v>295</v>
      </c>
      <c r="E111" s="24"/>
      <c r="F111" s="27"/>
      <c r="G111" s="245">
        <v>0</v>
      </c>
      <c r="H111" s="26">
        <f t="shared" si="16"/>
        <v>0</v>
      </c>
    </row>
    <row r="112" spans="2:8" x14ac:dyDescent="0.25">
      <c r="B112" s="22" t="s">
        <v>75</v>
      </c>
      <c r="C112" s="23" t="s">
        <v>117</v>
      </c>
      <c r="D112" s="23"/>
      <c r="E112" s="24" t="s">
        <v>13</v>
      </c>
      <c r="F112" s="25">
        <f>'[2]Htgan Volume'!CH52</f>
        <v>8</v>
      </c>
      <c r="G112" s="245">
        <v>0</v>
      </c>
      <c r="H112" s="26">
        <f t="shared" si="16"/>
        <v>0</v>
      </c>
    </row>
    <row r="113" spans="2:8" x14ac:dyDescent="0.25">
      <c r="B113" s="22" t="s">
        <v>75</v>
      </c>
      <c r="C113" s="23" t="s">
        <v>118</v>
      </c>
      <c r="D113" s="23"/>
      <c r="E113" s="24" t="s">
        <v>13</v>
      </c>
      <c r="F113" s="25">
        <f>'[2]Htgan Volume'!CH53</f>
        <v>30</v>
      </c>
      <c r="G113" s="245">
        <v>0</v>
      </c>
      <c r="H113" s="26">
        <f t="shared" si="16"/>
        <v>0</v>
      </c>
    </row>
    <row r="114" spans="2:8" x14ac:dyDescent="0.25">
      <c r="B114" s="22" t="s">
        <v>75</v>
      </c>
      <c r="C114" s="23" t="s">
        <v>119</v>
      </c>
      <c r="D114" s="23"/>
      <c r="E114" s="24" t="s">
        <v>77</v>
      </c>
      <c r="F114" s="25">
        <f>'[2]Htgan Volume'!CH54</f>
        <v>4</v>
      </c>
      <c r="G114" s="245">
        <v>0</v>
      </c>
      <c r="H114" s="26">
        <f t="shared" si="16"/>
        <v>0</v>
      </c>
    </row>
    <row r="115" spans="2:8" x14ac:dyDescent="0.25">
      <c r="B115" s="22" t="s">
        <v>75</v>
      </c>
      <c r="C115" s="23" t="s">
        <v>120</v>
      </c>
      <c r="D115" s="23"/>
      <c r="E115" s="24" t="s">
        <v>77</v>
      </c>
      <c r="F115" s="25">
        <f>'[2]Htgan Volume'!CH55</f>
        <v>1</v>
      </c>
      <c r="G115" s="245">
        <v>0</v>
      </c>
      <c r="H115" s="26">
        <f t="shared" si="16"/>
        <v>0</v>
      </c>
    </row>
    <row r="116" spans="2:8" x14ac:dyDescent="0.25">
      <c r="B116" s="22"/>
      <c r="C116" s="23"/>
      <c r="D116" s="23"/>
      <c r="E116" s="24"/>
      <c r="F116" s="27"/>
      <c r="G116" s="245">
        <v>0</v>
      </c>
      <c r="H116" s="26"/>
    </row>
    <row r="117" spans="2:8" x14ac:dyDescent="0.25">
      <c r="B117" s="22"/>
      <c r="C117" s="23"/>
      <c r="D117" s="23"/>
      <c r="E117" s="24"/>
      <c r="F117" s="27"/>
      <c r="G117" s="245">
        <v>0</v>
      </c>
      <c r="H117" s="28">
        <f t="shared" ref="H117" si="17">SUM(H96:H115)</f>
        <v>0</v>
      </c>
    </row>
    <row r="118" spans="2:8" x14ac:dyDescent="0.25">
      <c r="B118" s="29" t="s">
        <v>121</v>
      </c>
      <c r="C118" s="30" t="s">
        <v>122</v>
      </c>
      <c r="D118" s="30"/>
      <c r="E118" s="24"/>
      <c r="F118" s="27"/>
      <c r="G118" s="245">
        <v>0</v>
      </c>
      <c r="H118" s="26"/>
    </row>
    <row r="119" spans="2:8" x14ac:dyDescent="0.25">
      <c r="B119" s="29"/>
      <c r="C119" s="30" t="s">
        <v>256</v>
      </c>
      <c r="D119" s="30"/>
      <c r="E119" s="24"/>
      <c r="F119" s="27"/>
      <c r="G119" s="245">
        <v>0</v>
      </c>
      <c r="H119" s="26"/>
    </row>
    <row r="120" spans="2:8" x14ac:dyDescent="0.25">
      <c r="B120" s="23">
        <v>1</v>
      </c>
      <c r="C120" s="23" t="s">
        <v>123</v>
      </c>
      <c r="D120" s="23" t="s">
        <v>300</v>
      </c>
      <c r="E120" s="24" t="s">
        <v>124</v>
      </c>
      <c r="F120" s="25">
        <f>'[2]Htgan Volume'!CQ10</f>
        <v>7</v>
      </c>
      <c r="G120" s="245">
        <v>0</v>
      </c>
      <c r="H120" s="26">
        <f t="shared" ref="H120:H133" si="18">G120*F120</f>
        <v>0</v>
      </c>
    </row>
    <row r="121" spans="2:8" x14ac:dyDescent="0.25">
      <c r="B121" s="23">
        <v>2</v>
      </c>
      <c r="C121" s="23" t="s">
        <v>125</v>
      </c>
      <c r="D121" s="23" t="s">
        <v>301</v>
      </c>
      <c r="E121" s="24" t="s">
        <v>124</v>
      </c>
      <c r="F121" s="25">
        <f>'[2]Htgan Volume'!CQ16</f>
        <v>5</v>
      </c>
      <c r="G121" s="245">
        <v>0</v>
      </c>
      <c r="H121" s="26">
        <f t="shared" si="18"/>
        <v>0</v>
      </c>
    </row>
    <row r="122" spans="2:8" x14ac:dyDescent="0.25">
      <c r="B122" s="23">
        <v>3</v>
      </c>
      <c r="C122" s="23" t="s">
        <v>126</v>
      </c>
      <c r="D122" s="23" t="s">
        <v>301</v>
      </c>
      <c r="E122" s="24" t="s">
        <v>77</v>
      </c>
      <c r="F122" s="25">
        <f>'[2]Htgan Volume'!CQ22</f>
        <v>1</v>
      </c>
      <c r="G122" s="245">
        <v>0</v>
      </c>
      <c r="H122" s="26">
        <f t="shared" si="18"/>
        <v>0</v>
      </c>
    </row>
    <row r="123" spans="2:8" x14ac:dyDescent="0.25">
      <c r="B123" s="23">
        <v>4</v>
      </c>
      <c r="C123" s="23" t="s">
        <v>127</v>
      </c>
      <c r="D123" s="23" t="s">
        <v>301</v>
      </c>
      <c r="E123" s="24" t="s">
        <v>124</v>
      </c>
      <c r="F123" s="25">
        <f>'[2]Htgan Volume'!CQ29</f>
        <v>1</v>
      </c>
      <c r="G123" s="245">
        <v>0</v>
      </c>
      <c r="H123" s="26">
        <f t="shared" si="18"/>
        <v>0</v>
      </c>
    </row>
    <row r="124" spans="2:8" x14ac:dyDescent="0.25">
      <c r="B124" s="23">
        <v>5</v>
      </c>
      <c r="C124" s="23" t="s">
        <v>128</v>
      </c>
      <c r="D124" s="23" t="s">
        <v>301</v>
      </c>
      <c r="E124" s="24" t="s">
        <v>124</v>
      </c>
      <c r="F124" s="25">
        <f>'[2]Htgan Volume'!CQ36</f>
        <v>1</v>
      </c>
      <c r="G124" s="245">
        <v>0</v>
      </c>
      <c r="H124" s="26">
        <f t="shared" si="18"/>
        <v>0</v>
      </c>
    </row>
    <row r="125" spans="2:8" x14ac:dyDescent="0.25">
      <c r="B125" s="23">
        <v>6</v>
      </c>
      <c r="C125" s="23" t="s">
        <v>129</v>
      </c>
      <c r="D125" s="23" t="s">
        <v>301</v>
      </c>
      <c r="E125" s="24" t="s">
        <v>124</v>
      </c>
      <c r="F125" s="25">
        <f>'[2]Htgan Volume'!CQ43</f>
        <v>1</v>
      </c>
      <c r="G125" s="245">
        <v>0</v>
      </c>
      <c r="H125" s="26">
        <f t="shared" si="18"/>
        <v>0</v>
      </c>
    </row>
    <row r="126" spans="2:8" x14ac:dyDescent="0.25">
      <c r="B126" s="23">
        <v>7</v>
      </c>
      <c r="C126" s="23" t="s">
        <v>130</v>
      </c>
      <c r="D126" s="23" t="s">
        <v>301</v>
      </c>
      <c r="E126" s="24" t="s">
        <v>124</v>
      </c>
      <c r="F126" s="25">
        <f>'[2]Htgan Volume'!CQ49</f>
        <v>1</v>
      </c>
      <c r="G126" s="245">
        <v>0</v>
      </c>
      <c r="H126" s="26">
        <f t="shared" si="18"/>
        <v>0</v>
      </c>
    </row>
    <row r="127" spans="2:8" x14ac:dyDescent="0.25">
      <c r="B127" s="23">
        <v>8</v>
      </c>
      <c r="C127" s="23" t="s">
        <v>131</v>
      </c>
      <c r="D127" s="23" t="s">
        <v>299</v>
      </c>
      <c r="E127" s="24" t="s">
        <v>124</v>
      </c>
      <c r="F127" s="25">
        <f>'[2]Htgan Volume'!CQ56</f>
        <v>1</v>
      </c>
      <c r="G127" s="245">
        <v>0</v>
      </c>
      <c r="H127" s="26">
        <f t="shared" si="18"/>
        <v>0</v>
      </c>
    </row>
    <row r="128" spans="2:8" x14ac:dyDescent="0.25">
      <c r="B128" s="23">
        <v>9</v>
      </c>
      <c r="C128" s="23" t="s">
        <v>132</v>
      </c>
      <c r="D128" s="23" t="s">
        <v>301</v>
      </c>
      <c r="E128" s="24" t="s">
        <v>77</v>
      </c>
      <c r="F128" s="25">
        <f>'[2]Htgan Volume'!CQ62</f>
        <v>3</v>
      </c>
      <c r="G128" s="245">
        <v>0</v>
      </c>
      <c r="H128" s="26">
        <f t="shared" si="18"/>
        <v>0</v>
      </c>
    </row>
    <row r="129" spans="2:9" x14ac:dyDescent="0.25">
      <c r="B129" s="23">
        <v>10</v>
      </c>
      <c r="C129" s="23" t="s">
        <v>133</v>
      </c>
      <c r="D129" s="23" t="s">
        <v>301</v>
      </c>
      <c r="E129" s="24" t="s">
        <v>77</v>
      </c>
      <c r="F129" s="25">
        <f>'[2]Htgan Volume'!CQ68</f>
        <v>2</v>
      </c>
      <c r="G129" s="245">
        <v>0</v>
      </c>
      <c r="H129" s="26">
        <f t="shared" si="18"/>
        <v>0</v>
      </c>
    </row>
    <row r="130" spans="2:9" x14ac:dyDescent="0.25">
      <c r="B130" s="23">
        <v>11</v>
      </c>
      <c r="C130" s="23" t="s">
        <v>134</v>
      </c>
      <c r="D130" s="23" t="s">
        <v>301</v>
      </c>
      <c r="E130" s="24" t="s">
        <v>77</v>
      </c>
      <c r="F130" s="25">
        <f>'[2]Htgan Volume'!CQ74</f>
        <v>5</v>
      </c>
      <c r="G130" s="245">
        <v>0</v>
      </c>
      <c r="H130" s="26">
        <f t="shared" si="18"/>
        <v>0</v>
      </c>
    </row>
    <row r="131" spans="2:9" x14ac:dyDescent="0.25">
      <c r="B131" s="23">
        <v>12</v>
      </c>
      <c r="C131" s="23" t="s">
        <v>135</v>
      </c>
      <c r="D131" s="23" t="s">
        <v>301</v>
      </c>
      <c r="E131" s="24" t="s">
        <v>136</v>
      </c>
      <c r="F131" s="25">
        <f>'[2]Htgan Volume'!CQ81</f>
        <v>1</v>
      </c>
      <c r="G131" s="245">
        <v>0</v>
      </c>
      <c r="H131" s="26">
        <f t="shared" si="18"/>
        <v>0</v>
      </c>
    </row>
    <row r="132" spans="2:9" x14ac:dyDescent="0.25">
      <c r="B132" s="23">
        <v>13</v>
      </c>
      <c r="C132" s="23" t="s">
        <v>137</v>
      </c>
      <c r="D132" s="23" t="s">
        <v>301</v>
      </c>
      <c r="E132" s="24" t="s">
        <v>138</v>
      </c>
      <c r="F132" s="25">
        <f>'[2]Htgan Volume'!CQ88</f>
        <v>1</v>
      </c>
      <c r="G132" s="245">
        <v>0</v>
      </c>
      <c r="H132" s="26">
        <f t="shared" si="18"/>
        <v>0</v>
      </c>
    </row>
    <row r="133" spans="2:9" x14ac:dyDescent="0.25">
      <c r="B133" s="23">
        <v>14</v>
      </c>
      <c r="C133" s="23" t="s">
        <v>139</v>
      </c>
      <c r="D133" s="23" t="s">
        <v>301</v>
      </c>
      <c r="E133" s="24" t="s">
        <v>140</v>
      </c>
      <c r="F133" s="25">
        <f>'[2]Htgan Volume'!CQ95</f>
        <v>1</v>
      </c>
      <c r="G133" s="245">
        <v>0</v>
      </c>
      <c r="H133" s="26">
        <f t="shared" si="18"/>
        <v>0</v>
      </c>
    </row>
    <row r="134" spans="2:9" x14ac:dyDescent="0.25">
      <c r="B134" s="22"/>
      <c r="C134" s="23"/>
      <c r="D134" s="23"/>
      <c r="E134" s="24"/>
      <c r="F134" s="27"/>
      <c r="G134" s="245">
        <v>0</v>
      </c>
      <c r="H134" s="208">
        <f t="shared" ref="H134" si="19">SUM(H120:H133)</f>
        <v>0</v>
      </c>
    </row>
    <row r="135" spans="2:9" x14ac:dyDescent="0.25">
      <c r="B135" s="29" t="s">
        <v>141</v>
      </c>
      <c r="C135" s="30" t="s">
        <v>142</v>
      </c>
      <c r="D135" s="30"/>
      <c r="E135" s="24"/>
      <c r="F135" s="27"/>
      <c r="G135" s="245">
        <v>0</v>
      </c>
      <c r="H135" s="26"/>
    </row>
    <row r="136" spans="2:9" x14ac:dyDescent="0.25">
      <c r="B136" s="36">
        <v>1</v>
      </c>
      <c r="C136" s="37" t="s">
        <v>143</v>
      </c>
      <c r="D136" s="37" t="s">
        <v>303</v>
      </c>
      <c r="E136" s="36" t="s">
        <v>140</v>
      </c>
      <c r="F136" s="38">
        <f>'[2]Htgan Volume'!CH61</f>
        <v>1</v>
      </c>
      <c r="G136" s="245">
        <v>0</v>
      </c>
      <c r="H136" s="26">
        <f>G136*F136</f>
        <v>0</v>
      </c>
    </row>
    <row r="137" spans="2:9" x14ac:dyDescent="0.25">
      <c r="B137" s="36"/>
      <c r="C137" s="37"/>
      <c r="D137" s="37"/>
      <c r="E137" s="36"/>
      <c r="F137" s="38"/>
      <c r="G137" s="245">
        <v>0</v>
      </c>
      <c r="H137" s="208">
        <f t="shared" ref="H137" si="20">SUM(H136)</f>
        <v>0</v>
      </c>
    </row>
    <row r="138" spans="2:9" x14ac:dyDescent="0.25">
      <c r="B138" s="39"/>
      <c r="C138" s="40"/>
      <c r="D138" s="204"/>
      <c r="E138" s="36"/>
      <c r="F138" s="38"/>
      <c r="G138" s="245">
        <v>0</v>
      </c>
      <c r="H138" s="26"/>
    </row>
    <row r="139" spans="2:9" x14ac:dyDescent="0.25">
      <c r="B139" s="41" t="s">
        <v>141</v>
      </c>
      <c r="C139" s="42" t="s">
        <v>144</v>
      </c>
      <c r="D139" s="42"/>
      <c r="E139" s="36"/>
      <c r="F139" s="43"/>
      <c r="G139" s="245">
        <v>0</v>
      </c>
      <c r="H139" s="26"/>
    </row>
    <row r="140" spans="2:9" x14ac:dyDescent="0.25">
      <c r="B140" s="36">
        <v>1</v>
      </c>
      <c r="C140" s="44" t="s">
        <v>145</v>
      </c>
      <c r="D140" s="44" t="s">
        <v>302</v>
      </c>
      <c r="E140" s="36" t="s">
        <v>146</v>
      </c>
      <c r="F140" s="38">
        <f>'[2]Htgan Volume'!CX8</f>
        <v>7.25</v>
      </c>
      <c r="G140" s="245">
        <v>0</v>
      </c>
      <c r="H140" s="26">
        <f t="shared" ref="H140:H145" si="21">G140*F140</f>
        <v>0</v>
      </c>
    </row>
    <row r="141" spans="2:9" x14ac:dyDescent="0.25">
      <c r="B141" s="36"/>
      <c r="C141" s="45" t="s">
        <v>147</v>
      </c>
      <c r="D141" s="45"/>
      <c r="E141" s="46"/>
      <c r="F141" s="47"/>
      <c r="G141" s="245">
        <v>0</v>
      </c>
      <c r="H141" s="26">
        <f t="shared" si="21"/>
        <v>0</v>
      </c>
      <c r="I141">
        <f>G141*F140</f>
        <v>0</v>
      </c>
    </row>
    <row r="142" spans="2:9" x14ac:dyDescent="0.25">
      <c r="B142" s="36">
        <v>2</v>
      </c>
      <c r="C142" s="23" t="s">
        <v>148</v>
      </c>
      <c r="D142" s="37" t="s">
        <v>281</v>
      </c>
      <c r="E142" s="24" t="s">
        <v>19</v>
      </c>
      <c r="F142" s="25">
        <f>'[2]Htgan Volume'!CX15</f>
        <v>8.25</v>
      </c>
      <c r="G142" s="245">
        <v>0</v>
      </c>
      <c r="H142" s="26">
        <f t="shared" si="21"/>
        <v>0</v>
      </c>
      <c r="I142">
        <f>I141/39</f>
        <v>0</v>
      </c>
    </row>
    <row r="143" spans="2:9" x14ac:dyDescent="0.25">
      <c r="B143" s="36">
        <v>3</v>
      </c>
      <c r="C143" s="37" t="s">
        <v>149</v>
      </c>
      <c r="D143" s="37" t="s">
        <v>281</v>
      </c>
      <c r="E143" s="36" t="s">
        <v>140</v>
      </c>
      <c r="F143" s="38">
        <f>'[2]Htgan Volume'!CX36</f>
        <v>1</v>
      </c>
      <c r="G143" s="245">
        <v>0</v>
      </c>
      <c r="H143" s="26">
        <f t="shared" si="21"/>
        <v>0</v>
      </c>
      <c r="I143">
        <f>I142*1.04</f>
        <v>0</v>
      </c>
    </row>
    <row r="144" spans="2:9" x14ac:dyDescent="0.25">
      <c r="B144" s="36">
        <v>4</v>
      </c>
      <c r="C144" s="44" t="s">
        <v>150</v>
      </c>
      <c r="D144" s="37" t="s">
        <v>281</v>
      </c>
      <c r="E144" s="49" t="s">
        <v>146</v>
      </c>
      <c r="F144" s="38">
        <v>8.25</v>
      </c>
      <c r="G144" s="245">
        <v>0</v>
      </c>
      <c r="H144" s="26">
        <f t="shared" si="21"/>
        <v>0</v>
      </c>
    </row>
    <row r="145" spans="2:8" x14ac:dyDescent="0.25">
      <c r="B145" s="36">
        <v>5</v>
      </c>
      <c r="C145" s="44" t="s">
        <v>151</v>
      </c>
      <c r="D145" s="44"/>
      <c r="E145" s="49" t="s">
        <v>140</v>
      </c>
      <c r="F145" s="38">
        <v>8</v>
      </c>
      <c r="G145" s="245">
        <v>0</v>
      </c>
      <c r="H145" s="26">
        <f t="shared" si="21"/>
        <v>0</v>
      </c>
    </row>
    <row r="146" spans="2:8" x14ac:dyDescent="0.25">
      <c r="B146" s="50"/>
      <c r="C146" s="41" t="s">
        <v>152</v>
      </c>
      <c r="D146" s="41"/>
      <c r="E146" s="36"/>
      <c r="F146" s="38"/>
      <c r="G146" s="245">
        <v>0</v>
      </c>
      <c r="H146" s="34">
        <f>SUM(H140:H145)</f>
        <v>0</v>
      </c>
    </row>
    <row r="147" spans="2:8" x14ac:dyDescent="0.25">
      <c r="B147" s="39"/>
      <c r="C147" s="40"/>
      <c r="D147" s="40"/>
      <c r="E147" s="39"/>
      <c r="F147" s="47"/>
      <c r="G147" s="245">
        <v>0</v>
      </c>
      <c r="H147" s="26"/>
    </row>
    <row r="148" spans="2:8" x14ac:dyDescent="0.25">
      <c r="B148" s="41" t="s">
        <v>141</v>
      </c>
      <c r="C148" s="42" t="s">
        <v>153</v>
      </c>
      <c r="D148" s="42"/>
      <c r="E148" s="36"/>
      <c r="F148" s="38"/>
      <c r="G148" s="245">
        <v>0</v>
      </c>
      <c r="H148" s="26"/>
    </row>
    <row r="149" spans="2:8" x14ac:dyDescent="0.25">
      <c r="B149" s="36">
        <v>1</v>
      </c>
      <c r="C149" s="37" t="s">
        <v>154</v>
      </c>
      <c r="D149" s="37" t="s">
        <v>281</v>
      </c>
      <c r="E149" s="36" t="s">
        <v>146</v>
      </c>
      <c r="F149" s="38"/>
      <c r="G149" s="245">
        <v>0</v>
      </c>
      <c r="H149" s="26">
        <f>G149*F149</f>
        <v>0</v>
      </c>
    </row>
    <row r="150" spans="2:8" x14ac:dyDescent="0.25">
      <c r="B150" s="36">
        <v>2</v>
      </c>
      <c r="C150" s="37" t="s">
        <v>155</v>
      </c>
      <c r="D150" s="37" t="s">
        <v>281</v>
      </c>
      <c r="E150" s="36" t="s">
        <v>146</v>
      </c>
      <c r="F150" s="38"/>
      <c r="G150" s="245">
        <v>0</v>
      </c>
      <c r="H150" s="26">
        <f>G150*F150</f>
        <v>0</v>
      </c>
    </row>
    <row r="151" spans="2:8" x14ac:dyDescent="0.25">
      <c r="B151" s="36">
        <v>3</v>
      </c>
      <c r="C151" s="51" t="s">
        <v>156</v>
      </c>
      <c r="D151" s="37" t="s">
        <v>281</v>
      </c>
      <c r="E151" s="36" t="s">
        <v>146</v>
      </c>
      <c r="F151" s="43"/>
      <c r="G151" s="245">
        <v>0</v>
      </c>
      <c r="H151" s="26">
        <f>G151*F151</f>
        <v>0</v>
      </c>
    </row>
    <row r="152" spans="2:8" x14ac:dyDescent="0.25">
      <c r="B152" s="36"/>
      <c r="C152" s="51"/>
      <c r="D152" s="51"/>
      <c r="E152" s="36"/>
      <c r="F152" s="43"/>
      <c r="G152" s="246"/>
      <c r="H152" s="34">
        <f>SUM(H149:H151)</f>
        <v>0</v>
      </c>
    </row>
    <row r="153" spans="2:8" x14ac:dyDescent="0.25">
      <c r="B153" s="36"/>
      <c r="C153" s="51"/>
      <c r="D153" s="51"/>
      <c r="E153" s="50"/>
      <c r="F153" s="43"/>
      <c r="G153" s="246"/>
      <c r="H153" s="52"/>
    </row>
    <row r="154" spans="2:8" x14ac:dyDescent="0.25">
      <c r="B154" s="53"/>
      <c r="C154" s="54"/>
      <c r="D154" s="54"/>
      <c r="E154" s="55"/>
      <c r="F154" s="56"/>
      <c r="G154" s="247"/>
      <c r="H154" s="57"/>
    </row>
    <row r="155" spans="2:8" x14ac:dyDescent="0.25">
      <c r="B155" s="3"/>
      <c r="C155" s="54"/>
      <c r="D155" s="54"/>
      <c r="E155" s="54"/>
      <c r="F155" s="58"/>
      <c r="G155" s="247"/>
      <c r="H155" s="57"/>
    </row>
    <row r="156" spans="2:8" x14ac:dyDescent="0.25">
      <c r="B156" s="2" t="s">
        <v>157</v>
      </c>
      <c r="C156" s="3"/>
      <c r="D156" s="3"/>
      <c r="E156" s="3"/>
      <c r="F156" s="4"/>
      <c r="G156" s="240"/>
      <c r="H156" s="59"/>
    </row>
    <row r="157" spans="2:8" x14ac:dyDescent="0.25">
      <c r="B157" s="60"/>
      <c r="C157" s="61"/>
      <c r="D157" s="61"/>
      <c r="E157" s="61"/>
      <c r="F157" s="62"/>
      <c r="G157" s="248"/>
      <c r="H157" s="63"/>
    </row>
    <row r="158" spans="2:8" x14ac:dyDescent="0.25">
      <c r="B158" s="64" t="s">
        <v>10</v>
      </c>
      <c r="C158" s="18" t="s">
        <v>11</v>
      </c>
      <c r="D158" s="18"/>
      <c r="E158" s="65"/>
      <c r="F158" s="38"/>
      <c r="G158" s="246"/>
      <c r="H158" s="34">
        <f t="shared" ref="H158" si="22">H15</f>
        <v>0</v>
      </c>
    </row>
    <row r="159" spans="2:8" x14ac:dyDescent="0.25">
      <c r="B159" s="29" t="s">
        <v>21</v>
      </c>
      <c r="C159" s="30" t="s">
        <v>22</v>
      </c>
      <c r="D159" s="30"/>
      <c r="E159" s="65"/>
      <c r="F159" s="38"/>
      <c r="G159" s="246"/>
      <c r="H159" s="66">
        <f t="shared" ref="H159" si="23">H21</f>
        <v>0</v>
      </c>
    </row>
    <row r="160" spans="2:8" x14ac:dyDescent="0.25">
      <c r="B160" s="29" t="s">
        <v>28</v>
      </c>
      <c r="C160" s="30" t="s">
        <v>29</v>
      </c>
      <c r="D160" s="30"/>
      <c r="E160" s="65"/>
      <c r="F160" s="38"/>
      <c r="G160" s="246"/>
      <c r="H160" s="34">
        <f t="shared" ref="H160" si="24">H25</f>
        <v>0</v>
      </c>
    </row>
    <row r="161" spans="2:8" x14ac:dyDescent="0.25">
      <c r="B161" s="29" t="s">
        <v>33</v>
      </c>
      <c r="C161" s="30" t="s">
        <v>34</v>
      </c>
      <c r="D161" s="30"/>
      <c r="E161" s="65"/>
      <c r="F161" s="38"/>
      <c r="G161" s="246"/>
      <c r="H161" s="34">
        <f t="shared" ref="H161" si="25">H36</f>
        <v>0</v>
      </c>
    </row>
    <row r="162" spans="2:8" x14ac:dyDescent="0.25">
      <c r="B162" s="29" t="s">
        <v>44</v>
      </c>
      <c r="C162" s="30" t="s">
        <v>45</v>
      </c>
      <c r="D162" s="30"/>
      <c r="E162" s="65"/>
      <c r="F162" s="38"/>
      <c r="G162" s="246"/>
      <c r="H162" s="34">
        <f t="shared" ref="H162" si="26">H45</f>
        <v>0</v>
      </c>
    </row>
    <row r="163" spans="2:8" x14ac:dyDescent="0.25">
      <c r="B163" s="29" t="s">
        <v>50</v>
      </c>
      <c r="C163" s="30" t="s">
        <v>51</v>
      </c>
      <c r="D163" s="30"/>
      <c r="E163" s="65"/>
      <c r="F163" s="38"/>
      <c r="G163" s="246"/>
      <c r="H163" s="66">
        <f t="shared" ref="H163" si="27">H51</f>
        <v>0</v>
      </c>
    </row>
    <row r="164" spans="2:8" x14ac:dyDescent="0.25">
      <c r="B164" s="29" t="s">
        <v>53</v>
      </c>
      <c r="C164" s="30" t="s">
        <v>54</v>
      </c>
      <c r="D164" s="30"/>
      <c r="E164" s="65"/>
      <c r="F164" s="38"/>
      <c r="G164" s="246"/>
      <c r="H164" s="66">
        <f t="shared" ref="H164" si="28">H57</f>
        <v>0</v>
      </c>
    </row>
    <row r="165" spans="2:8" x14ac:dyDescent="0.25">
      <c r="B165" s="29" t="s">
        <v>59</v>
      </c>
      <c r="C165" s="30" t="s">
        <v>60</v>
      </c>
      <c r="D165" s="30"/>
      <c r="E165" s="65"/>
      <c r="F165" s="38"/>
      <c r="G165" s="246"/>
      <c r="H165" s="66">
        <f t="shared" ref="H165" si="29">H62</f>
        <v>0</v>
      </c>
    </row>
    <row r="166" spans="2:8" x14ac:dyDescent="0.25">
      <c r="B166" s="29" t="s">
        <v>64</v>
      </c>
      <c r="C166" s="30" t="s">
        <v>65</v>
      </c>
      <c r="D166" s="30"/>
      <c r="E166" s="65"/>
      <c r="F166" s="38"/>
      <c r="G166" s="246"/>
      <c r="H166" s="66">
        <f t="shared" ref="H166" si="30">H70</f>
        <v>0</v>
      </c>
    </row>
    <row r="167" spans="2:8" x14ac:dyDescent="0.25">
      <c r="B167" s="29" t="s">
        <v>72</v>
      </c>
      <c r="C167" s="30" t="s">
        <v>73</v>
      </c>
      <c r="D167" s="30"/>
      <c r="E167" s="65"/>
      <c r="F167" s="38"/>
      <c r="G167" s="246"/>
      <c r="H167" s="66">
        <f t="shared" ref="H167" si="31">H86</f>
        <v>0</v>
      </c>
    </row>
    <row r="168" spans="2:8" x14ac:dyDescent="0.25">
      <c r="B168" s="29" t="s">
        <v>92</v>
      </c>
      <c r="C168" s="30" t="s">
        <v>93</v>
      </c>
      <c r="D168" s="30"/>
      <c r="E168" s="65"/>
      <c r="F168" s="38"/>
      <c r="G168" s="246"/>
      <c r="H168" s="66">
        <f t="shared" ref="H168" si="32">H93</f>
        <v>0</v>
      </c>
    </row>
    <row r="169" spans="2:8" x14ac:dyDescent="0.25">
      <c r="B169" s="29" t="s">
        <v>99</v>
      </c>
      <c r="C169" s="30" t="s">
        <v>100</v>
      </c>
      <c r="D169" s="30"/>
      <c r="E169" s="65"/>
      <c r="F169" s="38"/>
      <c r="G169" s="246"/>
      <c r="H169" s="66">
        <f t="shared" ref="H169" si="33">H117</f>
        <v>0</v>
      </c>
    </row>
    <row r="170" spans="2:8" x14ac:dyDescent="0.25">
      <c r="B170" s="29" t="s">
        <v>121</v>
      </c>
      <c r="C170" s="30" t="s">
        <v>122</v>
      </c>
      <c r="D170" s="30"/>
      <c r="E170" s="65"/>
      <c r="F170" s="38"/>
      <c r="G170" s="246"/>
      <c r="H170" s="66">
        <f t="shared" ref="H170" si="34">H134</f>
        <v>0</v>
      </c>
    </row>
    <row r="171" spans="2:8" x14ac:dyDescent="0.25">
      <c r="B171" s="29" t="s">
        <v>141</v>
      </c>
      <c r="C171" s="30" t="str">
        <f>C135</f>
        <v>PEK. LAIN - LAIN</v>
      </c>
      <c r="D171" s="30"/>
      <c r="E171" s="65"/>
      <c r="F171" s="38"/>
      <c r="G171" s="246"/>
      <c r="H171" s="66">
        <f t="shared" ref="H171" si="35">H137</f>
        <v>0</v>
      </c>
    </row>
    <row r="172" spans="2:8" x14ac:dyDescent="0.25">
      <c r="B172" s="29" t="s">
        <v>159</v>
      </c>
      <c r="C172" s="30" t="str">
        <f>C139</f>
        <v>PEK. PERUBAHAN BENTUK TAMPAK MUKA</v>
      </c>
      <c r="D172" s="30"/>
      <c r="E172" s="65"/>
      <c r="F172" s="38"/>
      <c r="G172" s="246"/>
      <c r="H172" s="66">
        <f t="shared" ref="H172" si="36">H146</f>
        <v>0</v>
      </c>
    </row>
    <row r="173" spans="2:8" x14ac:dyDescent="0.25">
      <c r="B173" s="29" t="s">
        <v>160</v>
      </c>
      <c r="C173" s="30" t="str">
        <f>C148</f>
        <v>PEKERJAAN PLESTER DINDING SAMPING</v>
      </c>
      <c r="D173" s="30"/>
      <c r="E173" s="65"/>
      <c r="F173" s="38"/>
      <c r="G173" s="246"/>
      <c r="H173" s="66">
        <f>H152</f>
        <v>0</v>
      </c>
    </row>
    <row r="174" spans="2:8" x14ac:dyDescent="0.25">
      <c r="B174" s="67"/>
      <c r="C174" s="68"/>
      <c r="D174" s="68"/>
      <c r="E174" s="69"/>
      <c r="F174" s="58"/>
      <c r="G174" s="241"/>
      <c r="H174" s="70"/>
    </row>
    <row r="175" spans="2:8" x14ac:dyDescent="0.25">
      <c r="B175" s="3"/>
      <c r="C175" s="3"/>
      <c r="D175" s="3"/>
      <c r="E175" s="3"/>
      <c r="F175" s="4"/>
      <c r="G175" s="240"/>
      <c r="H175" s="59"/>
    </row>
    <row r="176" spans="2:8" x14ac:dyDescent="0.25">
      <c r="B176" s="3"/>
      <c r="C176" s="3"/>
      <c r="D176" s="3"/>
      <c r="E176" s="3"/>
      <c r="F176" s="4"/>
      <c r="G176" s="249"/>
      <c r="H176" s="194">
        <f t="shared" ref="H176" si="37">SUM(H158:H175)</f>
        <v>0</v>
      </c>
    </row>
    <row r="177" spans="2:8" x14ac:dyDescent="0.25">
      <c r="B177" s="3"/>
      <c r="C177" s="3"/>
      <c r="D177" s="3"/>
      <c r="E177" s="3"/>
      <c r="F177" s="4"/>
      <c r="G177" s="250"/>
      <c r="H177" s="195">
        <f>0.04*H176</f>
        <v>0</v>
      </c>
    </row>
    <row r="178" spans="2:8" x14ac:dyDescent="0.25">
      <c r="B178" s="3"/>
      <c r="C178" s="3"/>
      <c r="D178" s="3"/>
      <c r="E178" s="3"/>
      <c r="F178" s="4"/>
      <c r="G178" s="251"/>
      <c r="H178" s="196">
        <f t="shared" ref="H178" si="38">H177+H176</f>
        <v>0</v>
      </c>
    </row>
    <row r="179" spans="2:8" x14ac:dyDescent="0.25">
      <c r="B179" s="3"/>
      <c r="C179" s="3"/>
      <c r="D179" s="3"/>
      <c r="E179" s="3"/>
      <c r="F179" s="74"/>
      <c r="G179" s="251"/>
      <c r="H179" s="195">
        <f t="shared" ref="H179" si="39">0.1*H178</f>
        <v>0</v>
      </c>
    </row>
    <row r="180" spans="2:8" x14ac:dyDescent="0.25">
      <c r="B180" s="3"/>
      <c r="C180" s="3"/>
      <c r="D180" s="3"/>
      <c r="E180" s="3"/>
      <c r="F180" s="74"/>
      <c r="G180" s="250"/>
      <c r="H180" s="194">
        <f t="shared" ref="H180" si="40">H179+H178</f>
        <v>0</v>
      </c>
    </row>
    <row r="181" spans="2:8" x14ac:dyDescent="0.25">
      <c r="B181" s="3"/>
      <c r="C181" s="3"/>
      <c r="D181" s="3"/>
      <c r="E181" s="3"/>
      <c r="F181" s="75"/>
      <c r="G181" s="250"/>
      <c r="H181" s="194"/>
    </row>
    <row r="182" spans="2:8" x14ac:dyDescent="0.25">
      <c r="B182" s="3"/>
      <c r="C182" s="3"/>
      <c r="D182" s="3"/>
      <c r="E182" s="3"/>
      <c r="F182" s="75"/>
      <c r="G182" s="252"/>
      <c r="H182" s="197">
        <f t="shared" ref="H182" si="41">ROUNDDOWN(H180,-4)</f>
        <v>0</v>
      </c>
    </row>
    <row r="183" spans="2:8" x14ac:dyDescent="0.25">
      <c r="B183" s="3"/>
      <c r="C183" s="3"/>
      <c r="D183" s="3"/>
      <c r="E183" s="3"/>
      <c r="F183" s="75"/>
      <c r="G183" s="252"/>
      <c r="H183" s="197"/>
    </row>
    <row r="184" spans="2:8" x14ac:dyDescent="0.25">
      <c r="B184" s="3"/>
      <c r="C184" s="3"/>
      <c r="D184" s="3"/>
      <c r="E184" s="3"/>
      <c r="F184" s="77" t="s">
        <v>162</v>
      </c>
      <c r="G184" s="240"/>
      <c r="H184" s="75">
        <v>39</v>
      </c>
    </row>
    <row r="185" spans="2:8" x14ac:dyDescent="0.25">
      <c r="B185" s="3"/>
      <c r="C185" s="3"/>
      <c r="D185" s="3"/>
      <c r="E185" s="3"/>
      <c r="F185" s="77"/>
      <c r="G185" s="240"/>
      <c r="H185" s="72"/>
    </row>
    <row r="186" spans="2:8" x14ac:dyDescent="0.25">
      <c r="B186" s="3"/>
      <c r="C186" s="3"/>
      <c r="D186" s="3"/>
      <c r="E186" s="78" t="s">
        <v>163</v>
      </c>
      <c r="F186" s="77" t="s">
        <v>164</v>
      </c>
      <c r="G186" s="240"/>
      <c r="H186" s="79">
        <f>ROUNDDOWN(H178/H184,-3)</f>
        <v>0</v>
      </c>
    </row>
    <row r="188" spans="2:8" x14ac:dyDescent="0.25">
      <c r="C188" s="198"/>
      <c r="D188" s="198"/>
      <c r="E188" s="237"/>
      <c r="F188" s="264"/>
      <c r="G188" s="253"/>
    </row>
    <row r="189" spans="2:8" x14ac:dyDescent="0.25">
      <c r="C189" s="200"/>
      <c r="D189" s="200"/>
      <c r="E189" s="201"/>
      <c r="F189" s="201"/>
      <c r="G189" s="254"/>
    </row>
    <row r="190" spans="2:8" x14ac:dyDescent="0.25">
      <c r="C190" s="200"/>
      <c r="D190" s="200"/>
      <c r="E190" s="201"/>
      <c r="F190" s="201"/>
      <c r="G190" s="254"/>
    </row>
    <row r="191" spans="2:8" x14ac:dyDescent="0.25">
      <c r="C191" s="200"/>
      <c r="D191" s="200"/>
      <c r="E191" s="201"/>
      <c r="F191" s="201"/>
      <c r="G191" s="254"/>
    </row>
    <row r="192" spans="2:8" x14ac:dyDescent="0.25">
      <c r="C192" s="200"/>
      <c r="D192" s="200"/>
      <c r="E192" s="201"/>
      <c r="F192" s="201"/>
      <c r="G192" s="254"/>
    </row>
    <row r="193" spans="3:8" ht="15" customHeight="1" x14ac:dyDescent="0.25">
      <c r="C193" s="202"/>
      <c r="D193" s="205"/>
      <c r="F193" s="265"/>
      <c r="G193" s="265"/>
      <c r="H193" s="262"/>
    </row>
    <row r="194" spans="3:8" ht="15" customHeight="1" x14ac:dyDescent="0.25">
      <c r="C194" s="203"/>
      <c r="D194" s="206"/>
      <c r="F194" s="263"/>
      <c r="G194" s="263"/>
      <c r="H194" s="261"/>
    </row>
  </sheetData>
  <mergeCells count="4">
    <mergeCell ref="B5:B6"/>
    <mergeCell ref="C5:C6"/>
    <mergeCell ref="E5:E6"/>
    <mergeCell ref="D5:D6"/>
  </mergeCells>
  <printOptions horizontalCentered="1"/>
  <pageMargins left="0.39370078740157483" right="0.39370078740157483" top="0.78740157480314965" bottom="0.59055118110236227" header="0.51181102362204722" footer="0.51181102362204722"/>
  <pageSetup paperSize="8" scale="79" fitToHeight="0" orientation="landscape" horizontalDpi="4294967293" verticalDpi="4294967293" r:id="rId1"/>
  <rowBreaks count="3" manualBreakCount="3">
    <brk id="54" min="1" max="17" man="1"/>
    <brk id="107" min="1" max="17" man="1"/>
    <brk id="155" min="1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4"/>
  <sheetViews>
    <sheetView workbookViewId="0">
      <selection activeCell="G9" sqref="G9"/>
    </sheetView>
  </sheetViews>
  <sheetFormatPr defaultRowHeight="15" x14ac:dyDescent="0.25"/>
  <cols>
    <col min="1" max="1" width="1.85546875" customWidth="1"/>
    <col min="2" max="2" width="3.5703125" customWidth="1"/>
    <col min="3" max="3" width="52.140625" customWidth="1"/>
    <col min="4" max="4" width="23.85546875" customWidth="1"/>
    <col min="5" max="5" width="5.140625" customWidth="1"/>
    <col min="6" max="6" width="10.42578125" customWidth="1"/>
    <col min="7" max="7" width="13" style="255" customWidth="1"/>
    <col min="8" max="8" width="13" customWidth="1"/>
    <col min="9" max="9" width="24.85546875" customWidth="1"/>
  </cols>
  <sheetData>
    <row r="1" spans="2:8" ht="18" x14ac:dyDescent="0.25">
      <c r="B1" s="1" t="s">
        <v>0</v>
      </c>
      <c r="C1" s="2"/>
      <c r="D1" s="2"/>
      <c r="E1" s="3"/>
      <c r="F1" s="4"/>
      <c r="G1" s="240"/>
      <c r="H1" s="5"/>
    </row>
    <row r="2" spans="2:8" ht="18" x14ac:dyDescent="0.25">
      <c r="B2" s="1" t="s">
        <v>1</v>
      </c>
      <c r="C2" s="2"/>
      <c r="D2" s="2"/>
      <c r="E2" s="3"/>
      <c r="F2" s="4"/>
      <c r="G2" s="240"/>
      <c r="H2" s="5"/>
    </row>
    <row r="3" spans="2:8" ht="18" x14ac:dyDescent="0.25">
      <c r="B3" s="1" t="s">
        <v>2</v>
      </c>
      <c r="C3" s="2"/>
      <c r="D3" s="2"/>
      <c r="E3" s="3"/>
      <c r="F3" s="4"/>
      <c r="G3" s="240"/>
      <c r="H3" s="5"/>
    </row>
    <row r="4" spans="2:8" ht="18.75" x14ac:dyDescent="0.3">
      <c r="B4" s="3"/>
      <c r="C4" s="6"/>
      <c r="D4" s="6"/>
      <c r="E4" s="3"/>
      <c r="F4" s="7"/>
      <c r="G4" s="241"/>
      <c r="H4" s="9" t="s">
        <v>165</v>
      </c>
    </row>
    <row r="5" spans="2:8" x14ac:dyDescent="0.25">
      <c r="B5" s="273" t="s">
        <v>4</v>
      </c>
      <c r="C5" s="273" t="s">
        <v>5</v>
      </c>
      <c r="D5" s="273" t="s">
        <v>261</v>
      </c>
      <c r="E5" s="273" t="s">
        <v>6</v>
      </c>
      <c r="F5" s="10" t="s">
        <v>7</v>
      </c>
      <c r="G5" s="267" t="s">
        <v>167</v>
      </c>
      <c r="H5" s="267" t="s">
        <v>8</v>
      </c>
    </row>
    <row r="6" spans="2:8" ht="15.75" thickBot="1" x14ac:dyDescent="0.3">
      <c r="B6" s="274"/>
      <c r="C6" s="274"/>
      <c r="D6" s="274"/>
      <c r="E6" s="274"/>
      <c r="F6" s="11" t="s">
        <v>166</v>
      </c>
      <c r="G6" s="242" t="s">
        <v>314</v>
      </c>
      <c r="H6" s="193" t="s">
        <v>314</v>
      </c>
    </row>
    <row r="7" spans="2:8" ht="16.5" thickTop="1" x14ac:dyDescent="0.25">
      <c r="B7" s="12"/>
      <c r="C7" s="13"/>
      <c r="D7" s="13"/>
      <c r="E7" s="14"/>
      <c r="F7" s="15"/>
      <c r="G7" s="243"/>
      <c r="H7" s="16"/>
    </row>
    <row r="8" spans="2:8" x14ac:dyDescent="0.25">
      <c r="B8" s="17" t="s">
        <v>10</v>
      </c>
      <c r="C8" s="18" t="s">
        <v>11</v>
      </c>
      <c r="D8" s="18"/>
      <c r="E8" s="19"/>
      <c r="F8" s="20"/>
      <c r="G8" s="244"/>
      <c r="H8" s="21"/>
    </row>
    <row r="9" spans="2:8" x14ac:dyDescent="0.25">
      <c r="B9" s="22">
        <v>1</v>
      </c>
      <c r="C9" s="23" t="s">
        <v>12</v>
      </c>
      <c r="D9" s="23"/>
      <c r="E9" s="24" t="s">
        <v>13</v>
      </c>
      <c r="F9" s="25">
        <f>'[2]Htgan Volume'!D10</f>
        <v>36</v>
      </c>
      <c r="G9" s="245">
        <v>0</v>
      </c>
      <c r="H9" s="26">
        <f t="shared" ref="H9:H14" si="0">G9*F9</f>
        <v>0</v>
      </c>
    </row>
    <row r="10" spans="2:8" x14ac:dyDescent="0.25">
      <c r="B10" s="23">
        <v>2</v>
      </c>
      <c r="C10" s="23" t="s">
        <v>14</v>
      </c>
      <c r="D10" s="23"/>
      <c r="E10" s="24" t="s">
        <v>15</v>
      </c>
      <c r="F10" s="25">
        <f>'[2]Htgan Volume'!D16</f>
        <v>1</v>
      </c>
      <c r="G10" s="245">
        <v>0</v>
      </c>
      <c r="H10" s="26">
        <f t="shared" si="0"/>
        <v>0</v>
      </c>
    </row>
    <row r="11" spans="2:8" x14ac:dyDescent="0.25">
      <c r="B11" s="23">
        <v>3</v>
      </c>
      <c r="C11" s="23" t="s">
        <v>16</v>
      </c>
      <c r="D11" s="23"/>
      <c r="E11" s="24" t="s">
        <v>15</v>
      </c>
      <c r="F11" s="25">
        <f>'[2]Htgan Volume'!D22</f>
        <v>1</v>
      </c>
      <c r="G11" s="245">
        <v>0</v>
      </c>
      <c r="H11" s="26">
        <f t="shared" si="0"/>
        <v>0</v>
      </c>
    </row>
    <row r="12" spans="2:8" x14ac:dyDescent="0.25">
      <c r="B12" s="23">
        <v>4</v>
      </c>
      <c r="C12" s="23" t="s">
        <v>17</v>
      </c>
      <c r="D12" s="23"/>
      <c r="E12" s="24" t="s">
        <v>15</v>
      </c>
      <c r="F12" s="25">
        <f>'[2]Htgan Volume'!D28</f>
        <v>1</v>
      </c>
      <c r="G12" s="245">
        <v>0</v>
      </c>
      <c r="H12" s="26">
        <f t="shared" si="0"/>
        <v>0</v>
      </c>
    </row>
    <row r="13" spans="2:8" x14ac:dyDescent="0.25">
      <c r="B13" s="22">
        <v>5</v>
      </c>
      <c r="C13" s="23" t="s">
        <v>18</v>
      </c>
      <c r="D13" s="23"/>
      <c r="E13" s="24" t="s">
        <v>19</v>
      </c>
      <c r="F13" s="25">
        <f>'[2]Htgan Volume'!D38</f>
        <v>29.252499999999991</v>
      </c>
      <c r="G13" s="245">
        <v>0</v>
      </c>
      <c r="H13" s="26">
        <f t="shared" si="0"/>
        <v>0</v>
      </c>
    </row>
    <row r="14" spans="2:8" x14ac:dyDescent="0.25">
      <c r="B14" s="22"/>
      <c r="C14" s="23" t="s">
        <v>20</v>
      </c>
      <c r="D14" s="23"/>
      <c r="E14" s="24" t="s">
        <v>19</v>
      </c>
      <c r="F14" s="25">
        <f>'[2]Htgan Volume'!D48</f>
        <v>40.07</v>
      </c>
      <c r="G14" s="245">
        <v>0</v>
      </c>
      <c r="H14" s="26">
        <f t="shared" si="0"/>
        <v>0</v>
      </c>
    </row>
    <row r="15" spans="2:8" x14ac:dyDescent="0.25">
      <c r="B15" s="23"/>
      <c r="C15" s="23"/>
      <c r="D15" s="23"/>
      <c r="E15" s="24"/>
      <c r="F15" s="27"/>
      <c r="G15" s="245">
        <v>0</v>
      </c>
      <c r="H15" s="28">
        <f t="shared" ref="H15" si="1">SUM(H9:H14)</f>
        <v>0</v>
      </c>
    </row>
    <row r="16" spans="2:8" x14ac:dyDescent="0.25">
      <c r="B16" s="29" t="s">
        <v>21</v>
      </c>
      <c r="C16" s="30" t="s">
        <v>22</v>
      </c>
      <c r="D16" s="30"/>
      <c r="E16" s="24"/>
      <c r="F16" s="27"/>
      <c r="G16" s="245">
        <v>0</v>
      </c>
      <c r="H16" s="26"/>
    </row>
    <row r="17" spans="2:8" x14ac:dyDescent="0.25">
      <c r="B17" s="22">
        <v>1</v>
      </c>
      <c r="C17" s="23" t="s">
        <v>23</v>
      </c>
      <c r="D17" s="23"/>
      <c r="E17" s="24" t="s">
        <v>24</v>
      </c>
      <c r="F17" s="25">
        <f>'[2]Htgan Volume'!K12</f>
        <v>17.424250000000001</v>
      </c>
      <c r="G17" s="245">
        <v>0</v>
      </c>
      <c r="H17" s="26">
        <f>G17*F17</f>
        <v>0</v>
      </c>
    </row>
    <row r="18" spans="2:8" x14ac:dyDescent="0.25">
      <c r="B18" s="22">
        <v>2</v>
      </c>
      <c r="C18" s="23" t="s">
        <v>25</v>
      </c>
      <c r="D18" s="23"/>
      <c r="E18" s="24" t="s">
        <v>24</v>
      </c>
      <c r="F18" s="25">
        <f>'[2]Htgan Volume'!K18</f>
        <v>5.8080833333333333</v>
      </c>
      <c r="G18" s="245">
        <v>0</v>
      </c>
      <c r="H18" s="26">
        <f>G18*F18</f>
        <v>0</v>
      </c>
    </row>
    <row r="19" spans="2:8" x14ac:dyDescent="0.25">
      <c r="B19" s="22">
        <v>3</v>
      </c>
      <c r="C19" s="23" t="s">
        <v>26</v>
      </c>
      <c r="D19" s="23"/>
      <c r="E19" s="24" t="s">
        <v>24</v>
      </c>
      <c r="F19" s="25">
        <f>'[2]Htgan Volume'!K27</f>
        <v>2.0035000000000003</v>
      </c>
      <c r="G19" s="245">
        <v>0</v>
      </c>
      <c r="H19" s="26">
        <f>G19*F19</f>
        <v>0</v>
      </c>
    </row>
    <row r="20" spans="2:8" x14ac:dyDescent="0.25">
      <c r="B20" s="22">
        <v>4</v>
      </c>
      <c r="C20" s="23" t="s">
        <v>27</v>
      </c>
      <c r="D20" s="23"/>
      <c r="E20" s="24" t="s">
        <v>24</v>
      </c>
      <c r="F20" s="238">
        <f>'[2]Htgan Volume'!K33</f>
        <v>1.6028</v>
      </c>
      <c r="G20" s="245">
        <v>0</v>
      </c>
      <c r="H20" s="26">
        <f>G20*F20</f>
        <v>0</v>
      </c>
    </row>
    <row r="21" spans="2:8" x14ac:dyDescent="0.25">
      <c r="B21" s="23"/>
      <c r="C21" s="23"/>
      <c r="D21" s="23"/>
      <c r="E21" s="24"/>
      <c r="F21" s="25"/>
      <c r="G21" s="245">
        <v>0</v>
      </c>
      <c r="H21" s="28">
        <f t="shared" ref="H21" si="2">SUM(H17:H20)</f>
        <v>0</v>
      </c>
    </row>
    <row r="22" spans="2:8" x14ac:dyDescent="0.25">
      <c r="B22" s="29" t="s">
        <v>28</v>
      </c>
      <c r="C22" s="30" t="s">
        <v>29</v>
      </c>
      <c r="D22" s="30"/>
      <c r="E22" s="23"/>
      <c r="F22" s="25"/>
      <c r="G22" s="245">
        <v>0</v>
      </c>
      <c r="H22" s="26"/>
    </row>
    <row r="23" spans="2:8" x14ac:dyDescent="0.25">
      <c r="B23" s="22">
        <v>1</v>
      </c>
      <c r="C23" s="23" t="s">
        <v>30</v>
      </c>
      <c r="D23" s="23"/>
      <c r="E23" s="24" t="s">
        <v>24</v>
      </c>
      <c r="F23" s="25">
        <f>'[2]Htgan Volume'!T11</f>
        <v>6.6280000000000001</v>
      </c>
      <c r="G23" s="245">
        <v>0</v>
      </c>
      <c r="H23" s="26">
        <f>G23*F23</f>
        <v>0</v>
      </c>
    </row>
    <row r="24" spans="2:8" x14ac:dyDescent="0.25">
      <c r="B24" s="22">
        <v>2</v>
      </c>
      <c r="C24" s="23" t="s">
        <v>31</v>
      </c>
      <c r="D24" s="23"/>
      <c r="E24" s="239" t="s">
        <v>168</v>
      </c>
      <c r="F24" s="238">
        <f>'[2]Htgan Volume'!T17</f>
        <v>14.489999999999998</v>
      </c>
      <c r="G24" s="245">
        <v>0</v>
      </c>
      <c r="H24" s="26">
        <f>G24*F24</f>
        <v>0</v>
      </c>
    </row>
    <row r="25" spans="2:8" x14ac:dyDescent="0.25">
      <c r="B25" s="29"/>
      <c r="C25" s="23"/>
      <c r="D25" s="23"/>
      <c r="E25" s="24"/>
      <c r="F25" s="27"/>
      <c r="G25" s="245">
        <v>0</v>
      </c>
      <c r="H25" s="235">
        <f t="shared" ref="H25" si="3">SUM(H23:H24)</f>
        <v>0</v>
      </c>
    </row>
    <row r="26" spans="2:8" x14ac:dyDescent="0.25">
      <c r="B26" s="29" t="s">
        <v>33</v>
      </c>
      <c r="C26" s="30" t="s">
        <v>34</v>
      </c>
      <c r="D26" s="30"/>
      <c r="E26" s="23"/>
      <c r="F26" s="27"/>
      <c r="G26" s="245">
        <v>0</v>
      </c>
      <c r="H26" s="26"/>
    </row>
    <row r="27" spans="2:8" x14ac:dyDescent="0.25">
      <c r="B27" s="29"/>
      <c r="C27" s="30" t="s">
        <v>35</v>
      </c>
      <c r="D27" s="30"/>
      <c r="E27" s="23"/>
      <c r="F27" s="31"/>
      <c r="G27" s="245">
        <v>0</v>
      </c>
      <c r="H27" s="26"/>
    </row>
    <row r="28" spans="2:8" x14ac:dyDescent="0.25">
      <c r="B28" s="22">
        <v>1</v>
      </c>
      <c r="C28" s="23" t="s">
        <v>36</v>
      </c>
      <c r="D28" s="23"/>
      <c r="E28" s="24" t="s">
        <v>24</v>
      </c>
      <c r="F28" s="32">
        <f>'[2]Htgan Volume'!AA11</f>
        <v>1.5314999999999999</v>
      </c>
      <c r="G28" s="245">
        <v>0</v>
      </c>
      <c r="H28" s="26">
        <f t="shared" ref="H28:H35" si="4">G28*F28</f>
        <v>0</v>
      </c>
    </row>
    <row r="29" spans="2:8" x14ac:dyDescent="0.25">
      <c r="B29" s="22">
        <v>2</v>
      </c>
      <c r="C29" s="23" t="s">
        <v>37</v>
      </c>
      <c r="D29" s="23"/>
      <c r="E29" s="24" t="s">
        <v>24</v>
      </c>
      <c r="F29" s="25">
        <f>'[2]Htgan Volume'!AA19</f>
        <v>0.69300000000000006</v>
      </c>
      <c r="G29" s="245">
        <v>0</v>
      </c>
      <c r="H29" s="26">
        <f t="shared" si="4"/>
        <v>0</v>
      </c>
    </row>
    <row r="30" spans="2:8" x14ac:dyDescent="0.25">
      <c r="B30" s="22">
        <v>3</v>
      </c>
      <c r="C30" s="23" t="s">
        <v>38</v>
      </c>
      <c r="D30" s="23"/>
      <c r="E30" s="24" t="s">
        <v>24</v>
      </c>
      <c r="F30" s="25">
        <f>'[2]Htgan Volume'!AA27</f>
        <v>1.6214999999999999</v>
      </c>
      <c r="G30" s="245">
        <v>0</v>
      </c>
      <c r="H30" s="26">
        <f t="shared" si="4"/>
        <v>0</v>
      </c>
    </row>
    <row r="31" spans="2:8" x14ac:dyDescent="0.25">
      <c r="B31" s="22">
        <v>4</v>
      </c>
      <c r="C31" s="23" t="s">
        <v>39</v>
      </c>
      <c r="D31" s="23"/>
      <c r="E31" s="24" t="s">
        <v>24</v>
      </c>
      <c r="F31" s="25">
        <f>'[2]Htgan Volume'!AB39</f>
        <v>2.1017249999999996</v>
      </c>
      <c r="G31" s="245">
        <v>0</v>
      </c>
      <c r="H31" s="26">
        <f t="shared" si="4"/>
        <v>0</v>
      </c>
    </row>
    <row r="32" spans="2:8" x14ac:dyDescent="0.25">
      <c r="B32" s="22">
        <v>5</v>
      </c>
      <c r="C32" s="23" t="s">
        <v>40</v>
      </c>
      <c r="D32" s="23"/>
      <c r="E32" s="24" t="s">
        <v>24</v>
      </c>
      <c r="F32" s="32">
        <f>'[2]Htgan Volume'!AB48</f>
        <v>0.26195000000000002</v>
      </c>
      <c r="G32" s="245">
        <v>0</v>
      </c>
      <c r="H32" s="26">
        <f t="shared" si="4"/>
        <v>0</v>
      </c>
    </row>
    <row r="33" spans="2:8" x14ac:dyDescent="0.25">
      <c r="B33" s="22">
        <v>6</v>
      </c>
      <c r="C33" s="23" t="s">
        <v>41</v>
      </c>
      <c r="D33" s="23"/>
      <c r="E33" s="24" t="s">
        <v>24</v>
      </c>
      <c r="F33" s="25">
        <f>'[2]Htgan Volume'!AA57</f>
        <v>0.54</v>
      </c>
      <c r="G33" s="245">
        <v>0</v>
      </c>
      <c r="H33" s="26">
        <f t="shared" si="4"/>
        <v>0</v>
      </c>
    </row>
    <row r="34" spans="2:8" x14ac:dyDescent="0.25">
      <c r="B34" s="22">
        <v>7</v>
      </c>
      <c r="C34" s="23" t="s">
        <v>42</v>
      </c>
      <c r="D34" s="23"/>
      <c r="E34" s="24" t="s">
        <v>24</v>
      </c>
      <c r="F34" s="25">
        <f>'[2]Htgan Volume'!AA66</f>
        <v>0.54</v>
      </c>
      <c r="G34" s="245">
        <v>0</v>
      </c>
      <c r="H34" s="26">
        <f t="shared" si="4"/>
        <v>0</v>
      </c>
    </row>
    <row r="35" spans="2:8" x14ac:dyDescent="0.25">
      <c r="B35" s="22">
        <v>8</v>
      </c>
      <c r="C35" s="23" t="s">
        <v>43</v>
      </c>
      <c r="D35" s="23" t="s">
        <v>296</v>
      </c>
      <c r="E35" s="24" t="s">
        <v>24</v>
      </c>
      <c r="F35" s="25">
        <f>'[2]Htgan Volume'!AA75</f>
        <v>0.13500000000000001</v>
      </c>
      <c r="G35" s="245">
        <v>0</v>
      </c>
      <c r="H35" s="26">
        <f t="shared" si="4"/>
        <v>0</v>
      </c>
    </row>
    <row r="36" spans="2:8" x14ac:dyDescent="0.25">
      <c r="B36" s="29"/>
      <c r="C36" s="23"/>
      <c r="D36" s="23"/>
      <c r="E36" s="24"/>
      <c r="F36" s="27"/>
      <c r="G36" s="245">
        <v>0</v>
      </c>
      <c r="H36" s="28">
        <f t="shared" ref="H36" si="5">SUM(H27:H35)</f>
        <v>0</v>
      </c>
    </row>
    <row r="37" spans="2:8" x14ac:dyDescent="0.25">
      <c r="B37" s="29" t="s">
        <v>44</v>
      </c>
      <c r="C37" s="30" t="s">
        <v>45</v>
      </c>
      <c r="D37" s="30"/>
      <c r="E37" s="24"/>
      <c r="F37" s="27"/>
      <c r="G37" s="245">
        <v>0</v>
      </c>
      <c r="H37" s="26"/>
    </row>
    <row r="38" spans="2:8" x14ac:dyDescent="0.25">
      <c r="B38" s="22">
        <v>1</v>
      </c>
      <c r="C38" s="33" t="s">
        <v>249</v>
      </c>
      <c r="D38" s="33" t="s">
        <v>262</v>
      </c>
      <c r="E38" s="24" t="s">
        <v>19</v>
      </c>
      <c r="F38" s="25">
        <f>'[2]Htgan Volume'!AH8</f>
        <v>2.2000000000000002</v>
      </c>
      <c r="G38" s="245">
        <v>0</v>
      </c>
      <c r="H38" s="26">
        <f t="shared" ref="H38:H44" si="6">G38*F38</f>
        <v>0</v>
      </c>
    </row>
    <row r="39" spans="2:8" x14ac:dyDescent="0.25">
      <c r="B39" s="22">
        <v>2</v>
      </c>
      <c r="C39" s="33" t="s">
        <v>250</v>
      </c>
      <c r="D39" s="33" t="s">
        <v>262</v>
      </c>
      <c r="E39" s="24" t="s">
        <v>19</v>
      </c>
      <c r="F39" s="25">
        <f>'[2]Htgan Volume'!AH15</f>
        <v>4.5</v>
      </c>
      <c r="G39" s="245">
        <v>0</v>
      </c>
      <c r="H39" s="26">
        <f t="shared" si="6"/>
        <v>0</v>
      </c>
    </row>
    <row r="40" spans="2:8" x14ac:dyDescent="0.25">
      <c r="B40" s="22">
        <v>3</v>
      </c>
      <c r="C40" s="33" t="s">
        <v>47</v>
      </c>
      <c r="D40" s="33" t="s">
        <v>265</v>
      </c>
      <c r="E40" s="24"/>
      <c r="F40" s="25"/>
      <c r="G40" s="245">
        <v>0</v>
      </c>
      <c r="H40" s="26">
        <f t="shared" si="6"/>
        <v>0</v>
      </c>
    </row>
    <row r="41" spans="2:8" x14ac:dyDescent="0.25">
      <c r="B41" s="22"/>
      <c r="C41" s="33" t="s">
        <v>48</v>
      </c>
      <c r="D41" s="33"/>
      <c r="E41" s="24" t="s">
        <v>19</v>
      </c>
      <c r="F41" s="25">
        <f>'[2]Htgan Volume'!AH28</f>
        <v>32.33</v>
      </c>
      <c r="G41" s="245">
        <v>0</v>
      </c>
      <c r="H41" s="26">
        <f t="shared" si="6"/>
        <v>0</v>
      </c>
    </row>
    <row r="42" spans="2:8" x14ac:dyDescent="0.25">
      <c r="B42" s="22">
        <v>4</v>
      </c>
      <c r="C42" s="33" t="s">
        <v>320</v>
      </c>
      <c r="D42" s="33" t="s">
        <v>266</v>
      </c>
      <c r="E42" s="24" t="s">
        <v>19</v>
      </c>
      <c r="F42" s="25">
        <f>'[2]Htgan Volume'!AH37</f>
        <v>2.92</v>
      </c>
      <c r="G42" s="245">
        <v>0</v>
      </c>
      <c r="H42" s="26">
        <f t="shared" si="6"/>
        <v>0</v>
      </c>
    </row>
    <row r="43" spans="2:8" x14ac:dyDescent="0.25">
      <c r="B43" s="22">
        <v>5</v>
      </c>
      <c r="C43" s="33" t="s">
        <v>241</v>
      </c>
      <c r="D43" s="33" t="s">
        <v>265</v>
      </c>
      <c r="E43" s="24" t="s">
        <v>13</v>
      </c>
      <c r="F43" s="25">
        <f>'[2]Htgan Volume'!AH43</f>
        <v>6.05</v>
      </c>
      <c r="G43" s="245">
        <v>0</v>
      </c>
      <c r="H43" s="26">
        <f t="shared" si="6"/>
        <v>0</v>
      </c>
    </row>
    <row r="44" spans="2:8" x14ac:dyDescent="0.25">
      <c r="B44" s="22">
        <v>6</v>
      </c>
      <c r="C44" s="33" t="s">
        <v>49</v>
      </c>
      <c r="D44" s="33" t="s">
        <v>267</v>
      </c>
      <c r="E44" s="24" t="s">
        <v>19</v>
      </c>
      <c r="F44" s="25">
        <f>'[2]Htgan Volume'!AH50</f>
        <v>13.5</v>
      </c>
      <c r="G44" s="245">
        <v>0</v>
      </c>
      <c r="H44" s="26">
        <f t="shared" si="6"/>
        <v>0</v>
      </c>
    </row>
    <row r="45" spans="2:8" x14ac:dyDescent="0.25">
      <c r="B45" s="29"/>
      <c r="C45" s="23"/>
      <c r="D45" s="23"/>
      <c r="E45" s="24"/>
      <c r="F45" s="27"/>
      <c r="G45" s="245">
        <v>0</v>
      </c>
      <c r="H45" s="28">
        <f t="shared" ref="H45" si="7">SUM(H38:H44)</f>
        <v>0</v>
      </c>
    </row>
    <row r="46" spans="2:8" x14ac:dyDescent="0.25">
      <c r="B46" s="29" t="s">
        <v>50</v>
      </c>
      <c r="C46" s="30" t="s">
        <v>51</v>
      </c>
      <c r="D46" s="30"/>
      <c r="E46" s="24"/>
      <c r="F46" s="27"/>
      <c r="G46" s="245">
        <v>0</v>
      </c>
      <c r="H46" s="26"/>
    </row>
    <row r="47" spans="2:8" x14ac:dyDescent="0.25">
      <c r="B47" s="29"/>
      <c r="C47" s="23" t="s">
        <v>52</v>
      </c>
      <c r="D47" s="23"/>
      <c r="E47" s="24"/>
      <c r="F47" s="27"/>
      <c r="G47" s="245">
        <v>0</v>
      </c>
      <c r="H47" s="26"/>
    </row>
    <row r="48" spans="2:8" x14ac:dyDescent="0.25">
      <c r="B48" s="22">
        <v>1</v>
      </c>
      <c r="C48" s="33" t="s">
        <v>251</v>
      </c>
      <c r="D48" s="33" t="s">
        <v>269</v>
      </c>
      <c r="E48" s="24" t="s">
        <v>19</v>
      </c>
      <c r="F48" s="25">
        <f>'[2]Htgan Volume'!AO8</f>
        <v>15.8</v>
      </c>
      <c r="G48" s="245">
        <v>0</v>
      </c>
      <c r="H48" s="26">
        <f>G48*F48</f>
        <v>0</v>
      </c>
    </row>
    <row r="49" spans="2:8" x14ac:dyDescent="0.25">
      <c r="B49" s="22">
        <v>2</v>
      </c>
      <c r="C49" s="33" t="s">
        <v>252</v>
      </c>
      <c r="D49" s="33" t="s">
        <v>271</v>
      </c>
      <c r="E49" s="24" t="s">
        <v>19</v>
      </c>
      <c r="F49" s="25">
        <f>'[2]Htgan Volume'!AO21</f>
        <v>1.4</v>
      </c>
      <c r="G49" s="245">
        <v>0</v>
      </c>
      <c r="H49" s="26">
        <f>G49*F49</f>
        <v>0</v>
      </c>
    </row>
    <row r="50" spans="2:8" x14ac:dyDescent="0.25">
      <c r="B50" s="22">
        <v>3</v>
      </c>
      <c r="C50" s="33" t="s">
        <v>321</v>
      </c>
      <c r="D50" s="33" t="s">
        <v>297</v>
      </c>
      <c r="E50" s="24" t="s">
        <v>19</v>
      </c>
      <c r="F50" s="25">
        <f>'[2]Htgan Volume'!AO28</f>
        <v>2.25</v>
      </c>
      <c r="G50" s="245">
        <v>0</v>
      </c>
      <c r="H50" s="26">
        <f>G50*F50</f>
        <v>0</v>
      </c>
    </row>
    <row r="51" spans="2:8" x14ac:dyDescent="0.25">
      <c r="B51" s="22"/>
      <c r="C51" s="23"/>
      <c r="D51" s="23"/>
      <c r="E51" s="24"/>
      <c r="F51" s="27"/>
      <c r="G51" s="245">
        <v>0</v>
      </c>
      <c r="H51" s="28">
        <f t="shared" ref="H51" si="8">SUM(H48:H50)</f>
        <v>0</v>
      </c>
    </row>
    <row r="52" spans="2:8" x14ac:dyDescent="0.25">
      <c r="B52" s="29" t="s">
        <v>53</v>
      </c>
      <c r="C52" s="30" t="s">
        <v>54</v>
      </c>
      <c r="D52" s="30"/>
      <c r="E52" s="23"/>
      <c r="F52" s="27"/>
      <c r="G52" s="245">
        <v>0</v>
      </c>
      <c r="H52" s="26"/>
    </row>
    <row r="53" spans="2:8" x14ac:dyDescent="0.25">
      <c r="B53" s="23">
        <v>1</v>
      </c>
      <c r="C53" s="33" t="s">
        <v>55</v>
      </c>
      <c r="D53" s="33"/>
      <c r="E53" s="24" t="s">
        <v>19</v>
      </c>
      <c r="F53" s="25">
        <f>'[2]Htgan Volume'!AV13</f>
        <v>32.33</v>
      </c>
      <c r="G53" s="245">
        <v>0</v>
      </c>
      <c r="H53" s="26">
        <f>G53*F53</f>
        <v>0</v>
      </c>
    </row>
    <row r="54" spans="2:8" x14ac:dyDescent="0.25">
      <c r="B54" s="23">
        <v>2</v>
      </c>
      <c r="C54" s="33" t="s">
        <v>56</v>
      </c>
      <c r="D54" s="33"/>
      <c r="E54" s="24" t="s">
        <v>13</v>
      </c>
      <c r="F54" s="25">
        <f>'[2]Htgan Volume'!AV24</f>
        <v>39.475000000000001</v>
      </c>
      <c r="G54" s="245">
        <v>0</v>
      </c>
      <c r="H54" s="26">
        <f>G54*F54</f>
        <v>0</v>
      </c>
    </row>
    <row r="55" spans="2:8" x14ac:dyDescent="0.25">
      <c r="B55" s="22">
        <v>3</v>
      </c>
      <c r="C55" s="33" t="s">
        <v>57</v>
      </c>
      <c r="D55" s="33"/>
      <c r="E55" s="24" t="s">
        <v>13</v>
      </c>
      <c r="F55" s="25">
        <f>'[2]Htgan Volume'!AV33</f>
        <v>15.4</v>
      </c>
      <c r="G55" s="245">
        <v>0</v>
      </c>
      <c r="H55" s="26">
        <f>G55*F55</f>
        <v>0</v>
      </c>
    </row>
    <row r="56" spans="2:8" x14ac:dyDescent="0.25">
      <c r="B56" s="22">
        <v>4</v>
      </c>
      <c r="C56" s="33" t="s">
        <v>58</v>
      </c>
      <c r="D56" s="33"/>
      <c r="E56" s="24" t="s">
        <v>19</v>
      </c>
      <c r="F56" s="25">
        <f>'[2]Htgan Volume'!AV44</f>
        <v>9.620000000000001</v>
      </c>
      <c r="G56" s="245">
        <v>0</v>
      </c>
      <c r="H56" s="26">
        <f>G56*F56</f>
        <v>0</v>
      </c>
    </row>
    <row r="57" spans="2:8" x14ac:dyDescent="0.25">
      <c r="B57" s="29"/>
      <c r="C57" s="23"/>
      <c r="D57" s="23"/>
      <c r="E57" s="23"/>
      <c r="F57" s="27"/>
      <c r="G57" s="245">
        <v>0</v>
      </c>
      <c r="H57" s="34">
        <f t="shared" ref="H57" si="9">SUM(H53:H56)</f>
        <v>0</v>
      </c>
    </row>
    <row r="58" spans="2:8" x14ac:dyDescent="0.25">
      <c r="B58" s="29" t="s">
        <v>59</v>
      </c>
      <c r="C58" s="30" t="s">
        <v>60</v>
      </c>
      <c r="D58" s="30"/>
      <c r="E58" s="24"/>
      <c r="F58" s="27"/>
      <c r="G58" s="245">
        <v>0</v>
      </c>
      <c r="H58" s="26"/>
    </row>
    <row r="59" spans="2:8" x14ac:dyDescent="0.25">
      <c r="B59" s="22">
        <v>1</v>
      </c>
      <c r="C59" s="23" t="s">
        <v>61</v>
      </c>
      <c r="D59" s="23" t="s">
        <v>272</v>
      </c>
      <c r="E59" s="24" t="s">
        <v>19</v>
      </c>
      <c r="F59" s="25">
        <f>'[2]Htgan Volume'!BC9</f>
        <v>25.742499999999996</v>
      </c>
      <c r="G59" s="245">
        <v>0</v>
      </c>
      <c r="H59" s="26">
        <f>G59*F59</f>
        <v>0</v>
      </c>
    </row>
    <row r="60" spans="2:8" x14ac:dyDescent="0.25">
      <c r="B60" s="22">
        <v>2</v>
      </c>
      <c r="C60" s="23" t="s">
        <v>62</v>
      </c>
      <c r="D60" s="23" t="s">
        <v>272</v>
      </c>
      <c r="E60" s="24" t="s">
        <v>19</v>
      </c>
      <c r="F60" s="25">
        <f>'[2]Htgan Volume'!BC24</f>
        <v>154.11000000000001</v>
      </c>
      <c r="G60" s="245">
        <v>0</v>
      </c>
      <c r="H60" s="26">
        <f>G60*F60</f>
        <v>0</v>
      </c>
    </row>
    <row r="61" spans="2:8" x14ac:dyDescent="0.25">
      <c r="B61" s="22">
        <v>3</v>
      </c>
      <c r="C61" s="23" t="s">
        <v>63</v>
      </c>
      <c r="D61" s="23" t="s">
        <v>273</v>
      </c>
      <c r="E61" s="24" t="s">
        <v>19</v>
      </c>
      <c r="F61" s="25">
        <f>'[2]Htgan Volume'!BC33</f>
        <v>344.20500000000004</v>
      </c>
      <c r="G61" s="245">
        <v>0</v>
      </c>
      <c r="H61" s="26">
        <f>G61*F61</f>
        <v>0</v>
      </c>
    </row>
    <row r="62" spans="2:8" x14ac:dyDescent="0.25">
      <c r="B62" s="22"/>
      <c r="C62" s="23"/>
      <c r="D62" s="23"/>
      <c r="E62" s="24"/>
      <c r="F62" s="27"/>
      <c r="G62" s="245">
        <v>0</v>
      </c>
      <c r="H62" s="28">
        <f t="shared" ref="H62" si="10">SUM(H59:H61)</f>
        <v>0</v>
      </c>
    </row>
    <row r="63" spans="2:8" x14ac:dyDescent="0.25">
      <c r="B63" s="29" t="s">
        <v>64</v>
      </c>
      <c r="C63" s="30" t="s">
        <v>65</v>
      </c>
      <c r="D63" s="30"/>
      <c r="E63" s="23"/>
      <c r="F63" s="27"/>
      <c r="G63" s="245">
        <v>0</v>
      </c>
      <c r="H63" s="26"/>
    </row>
    <row r="64" spans="2:8" x14ac:dyDescent="0.25">
      <c r="B64" s="22">
        <v>1</v>
      </c>
      <c r="C64" s="23" t="s">
        <v>66</v>
      </c>
      <c r="D64" s="23" t="s">
        <v>278</v>
      </c>
      <c r="E64" s="24" t="s">
        <v>19</v>
      </c>
      <c r="F64" s="25">
        <f>43.16+10</f>
        <v>53.16</v>
      </c>
      <c r="G64" s="245">
        <v>0</v>
      </c>
      <c r="H64" s="26">
        <f t="shared" ref="H64:H69" si="11">G64*F64</f>
        <v>0</v>
      </c>
    </row>
    <row r="65" spans="2:8" x14ac:dyDescent="0.25">
      <c r="B65" s="22">
        <v>2</v>
      </c>
      <c r="C65" s="23" t="s">
        <v>67</v>
      </c>
      <c r="D65" s="23" t="s">
        <v>279</v>
      </c>
      <c r="E65" s="24" t="s">
        <v>19</v>
      </c>
      <c r="F65" s="25">
        <f>43.16+10</f>
        <v>53.16</v>
      </c>
      <c r="G65" s="245">
        <v>0</v>
      </c>
      <c r="H65" s="26">
        <f t="shared" si="11"/>
        <v>0</v>
      </c>
    </row>
    <row r="66" spans="2:8" x14ac:dyDescent="0.25">
      <c r="B66" s="22">
        <v>3</v>
      </c>
      <c r="C66" s="23" t="s">
        <v>68</v>
      </c>
      <c r="D66" s="23" t="s">
        <v>280</v>
      </c>
      <c r="E66" s="24" t="s">
        <v>13</v>
      </c>
      <c r="F66" s="25">
        <f>'[2]Htgan Volume'!BJ28</f>
        <v>18.850000000000001</v>
      </c>
      <c r="G66" s="245">
        <v>0</v>
      </c>
      <c r="H66" s="26">
        <f t="shared" si="11"/>
        <v>0</v>
      </c>
    </row>
    <row r="67" spans="2:8" x14ac:dyDescent="0.25">
      <c r="B67" s="23">
        <v>4</v>
      </c>
      <c r="C67" s="23" t="s">
        <v>69</v>
      </c>
      <c r="D67" s="23" t="s">
        <v>279</v>
      </c>
      <c r="E67" s="24" t="s">
        <v>13</v>
      </c>
      <c r="F67" s="25">
        <f>'[2]Htgan Volume'!BJ34</f>
        <v>19.229999999999997</v>
      </c>
      <c r="G67" s="245">
        <v>0</v>
      </c>
      <c r="H67" s="26">
        <f t="shared" si="11"/>
        <v>0</v>
      </c>
    </row>
    <row r="68" spans="2:8" x14ac:dyDescent="0.25">
      <c r="B68" s="23">
        <v>5</v>
      </c>
      <c r="C68" s="23" t="s">
        <v>70</v>
      </c>
      <c r="D68" s="23" t="s">
        <v>279</v>
      </c>
      <c r="E68" s="24" t="s">
        <v>13</v>
      </c>
      <c r="F68" s="25">
        <f>'[2]Htgan Volume'!BJ40</f>
        <v>6</v>
      </c>
      <c r="G68" s="245">
        <v>0</v>
      </c>
      <c r="H68" s="26">
        <f t="shared" si="11"/>
        <v>0</v>
      </c>
    </row>
    <row r="69" spans="2:8" x14ac:dyDescent="0.25">
      <c r="B69" s="23">
        <v>6</v>
      </c>
      <c r="C69" s="23" t="s">
        <v>71</v>
      </c>
      <c r="D69" s="23" t="s">
        <v>279</v>
      </c>
      <c r="E69" s="24" t="s">
        <v>13</v>
      </c>
      <c r="F69" s="25">
        <f>'[2]Htgan Volume'!BJ49</f>
        <v>7</v>
      </c>
      <c r="G69" s="245">
        <v>0</v>
      </c>
      <c r="H69" s="26">
        <f t="shared" si="11"/>
        <v>0</v>
      </c>
    </row>
    <row r="70" spans="2:8" x14ac:dyDescent="0.25">
      <c r="B70" s="29"/>
      <c r="C70" s="23"/>
      <c r="D70" s="23"/>
      <c r="E70" s="23"/>
      <c r="F70" s="27"/>
      <c r="G70" s="245">
        <v>0</v>
      </c>
      <c r="H70" s="28">
        <f t="shared" ref="H70" si="12">SUM(H64:H69)</f>
        <v>0</v>
      </c>
    </row>
    <row r="71" spans="2:8" x14ac:dyDescent="0.25">
      <c r="B71" s="29" t="s">
        <v>72</v>
      </c>
      <c r="C71" s="30" t="s">
        <v>73</v>
      </c>
      <c r="D71" s="30"/>
      <c r="E71" s="23"/>
      <c r="F71" s="35"/>
      <c r="G71" s="245">
        <v>0</v>
      </c>
      <c r="H71" s="26"/>
    </row>
    <row r="72" spans="2:8" x14ac:dyDescent="0.25">
      <c r="B72" s="22">
        <v>1</v>
      </c>
      <c r="C72" s="33" t="s">
        <v>74</v>
      </c>
      <c r="D72" s="33"/>
      <c r="E72" s="23"/>
      <c r="F72" s="27"/>
      <c r="G72" s="245">
        <v>0</v>
      </c>
      <c r="H72" s="26"/>
    </row>
    <row r="73" spans="2:8" x14ac:dyDescent="0.25">
      <c r="B73" s="22" t="s">
        <v>75</v>
      </c>
      <c r="C73" s="23" t="s">
        <v>76</v>
      </c>
      <c r="D73" s="33" t="s">
        <v>274</v>
      </c>
      <c r="E73" s="24" t="s">
        <v>77</v>
      </c>
      <c r="F73" s="25">
        <f>'[2]Htgan Volume'!BR8</f>
        <v>4</v>
      </c>
      <c r="G73" s="245">
        <v>0</v>
      </c>
      <c r="H73" s="26">
        <f t="shared" ref="H73:H85" si="13">G73*F73</f>
        <v>0</v>
      </c>
    </row>
    <row r="74" spans="2:8" x14ac:dyDescent="0.25">
      <c r="B74" s="22" t="s">
        <v>75</v>
      </c>
      <c r="C74" s="23" t="s">
        <v>78</v>
      </c>
      <c r="D74" s="33" t="s">
        <v>274</v>
      </c>
      <c r="E74" s="24" t="s">
        <v>77</v>
      </c>
      <c r="F74" s="25">
        <f>'[2]Htgan Volume'!BR12</f>
        <v>1</v>
      </c>
      <c r="G74" s="245">
        <v>0</v>
      </c>
      <c r="H74" s="26">
        <f t="shared" si="13"/>
        <v>0</v>
      </c>
    </row>
    <row r="75" spans="2:8" x14ac:dyDescent="0.25">
      <c r="B75" s="22">
        <v>2</v>
      </c>
      <c r="C75" s="33" t="s">
        <v>79</v>
      </c>
      <c r="D75" s="33"/>
      <c r="E75" s="24"/>
      <c r="F75" s="27">
        <v>1</v>
      </c>
      <c r="G75" s="245">
        <v>0</v>
      </c>
      <c r="H75" s="26">
        <f t="shared" si="13"/>
        <v>0</v>
      </c>
    </row>
    <row r="76" spans="2:8" x14ac:dyDescent="0.25">
      <c r="B76" s="22" t="s">
        <v>75</v>
      </c>
      <c r="C76" s="23" t="s">
        <v>80</v>
      </c>
      <c r="D76" s="23" t="s">
        <v>275</v>
      </c>
      <c r="E76" s="24" t="s">
        <v>81</v>
      </c>
      <c r="F76" s="25">
        <f>'[2]Htgan Volume'!BS19</f>
        <v>1</v>
      </c>
      <c r="G76" s="245">
        <v>0</v>
      </c>
      <c r="H76" s="26">
        <f t="shared" si="13"/>
        <v>0</v>
      </c>
    </row>
    <row r="77" spans="2:8" x14ac:dyDescent="0.25">
      <c r="B77" s="22" t="s">
        <v>75</v>
      </c>
      <c r="C77" s="23" t="s">
        <v>82</v>
      </c>
      <c r="D77" s="23" t="s">
        <v>275</v>
      </c>
      <c r="E77" s="24" t="s">
        <v>81</v>
      </c>
      <c r="F77" s="25">
        <f>'[2]Htgan Volume'!BS21</f>
        <v>1</v>
      </c>
      <c r="G77" s="245">
        <v>0</v>
      </c>
      <c r="H77" s="26">
        <f t="shared" si="13"/>
        <v>0</v>
      </c>
    </row>
    <row r="78" spans="2:8" x14ac:dyDescent="0.25">
      <c r="B78" s="22" t="s">
        <v>75</v>
      </c>
      <c r="C78" s="23" t="s">
        <v>83</v>
      </c>
      <c r="D78" s="23" t="s">
        <v>275</v>
      </c>
      <c r="E78" s="24" t="s">
        <v>81</v>
      </c>
      <c r="F78" s="25">
        <f>'[2]Htgan Volume'!BS23</f>
        <v>1</v>
      </c>
      <c r="G78" s="245">
        <v>0</v>
      </c>
      <c r="H78" s="26">
        <f t="shared" si="13"/>
        <v>0</v>
      </c>
    </row>
    <row r="79" spans="2:8" x14ac:dyDescent="0.25">
      <c r="B79" s="22" t="s">
        <v>75</v>
      </c>
      <c r="C79" s="23" t="s">
        <v>84</v>
      </c>
      <c r="D79" s="23" t="s">
        <v>275</v>
      </c>
      <c r="E79" s="24" t="s">
        <v>81</v>
      </c>
      <c r="F79" s="25">
        <f>'[2]Htgan Volume'!BS25</f>
        <v>1</v>
      </c>
      <c r="G79" s="245">
        <v>0</v>
      </c>
      <c r="H79" s="26">
        <f t="shared" si="13"/>
        <v>0</v>
      </c>
    </row>
    <row r="80" spans="2:8" x14ac:dyDescent="0.25">
      <c r="B80" s="22" t="s">
        <v>75</v>
      </c>
      <c r="C80" s="23" t="s">
        <v>85</v>
      </c>
      <c r="D80" s="23" t="s">
        <v>275</v>
      </c>
      <c r="E80" s="24" t="s">
        <v>81</v>
      </c>
      <c r="F80" s="25">
        <f>'[2]Htgan Volume'!BS27</f>
        <v>1</v>
      </c>
      <c r="G80" s="245">
        <v>0</v>
      </c>
      <c r="H80" s="26">
        <f t="shared" si="13"/>
        <v>0</v>
      </c>
    </row>
    <row r="81" spans="2:8" x14ac:dyDescent="0.25">
      <c r="B81" s="22" t="s">
        <v>75</v>
      </c>
      <c r="C81" s="23" t="s">
        <v>86</v>
      </c>
      <c r="D81" s="23" t="s">
        <v>275</v>
      </c>
      <c r="E81" s="24" t="s">
        <v>81</v>
      </c>
      <c r="F81" s="25">
        <f>'[2]Htgan Volume'!BS29</f>
        <v>2</v>
      </c>
      <c r="G81" s="245">
        <v>0</v>
      </c>
      <c r="H81" s="26">
        <f t="shared" si="13"/>
        <v>0</v>
      </c>
    </row>
    <row r="82" spans="2:8" x14ac:dyDescent="0.25">
      <c r="B82" s="22">
        <v>3</v>
      </c>
      <c r="C82" s="23" t="s">
        <v>87</v>
      </c>
      <c r="D82" s="23"/>
      <c r="E82" s="24"/>
      <c r="F82" s="27"/>
      <c r="G82" s="245">
        <v>0</v>
      </c>
      <c r="H82" s="26">
        <f t="shared" si="13"/>
        <v>0</v>
      </c>
    </row>
    <row r="83" spans="2:8" x14ac:dyDescent="0.25">
      <c r="B83" s="22" t="s">
        <v>75</v>
      </c>
      <c r="C83" s="23" t="s">
        <v>253</v>
      </c>
      <c r="D83" s="23" t="s">
        <v>277</v>
      </c>
      <c r="E83" s="24" t="s">
        <v>77</v>
      </c>
      <c r="F83" s="25">
        <f>'[2]Htgan Volume'!BR35</f>
        <v>1</v>
      </c>
      <c r="G83" s="245">
        <v>0</v>
      </c>
      <c r="H83" s="26">
        <f t="shared" si="13"/>
        <v>0</v>
      </c>
    </row>
    <row r="84" spans="2:8" x14ac:dyDescent="0.25">
      <c r="B84" s="22" t="s">
        <v>75</v>
      </c>
      <c r="C84" s="23" t="s">
        <v>254</v>
      </c>
      <c r="D84" s="23" t="s">
        <v>277</v>
      </c>
      <c r="E84" s="24" t="s">
        <v>77</v>
      </c>
      <c r="F84" s="25">
        <f>'[2]Htgan Volume'!BR37</f>
        <v>4</v>
      </c>
      <c r="G84" s="245">
        <v>0</v>
      </c>
      <c r="H84" s="26">
        <f t="shared" si="13"/>
        <v>0</v>
      </c>
    </row>
    <row r="85" spans="2:8" x14ac:dyDescent="0.25">
      <c r="B85" s="22" t="s">
        <v>75</v>
      </c>
      <c r="C85" s="23" t="s">
        <v>255</v>
      </c>
      <c r="D85" s="23" t="s">
        <v>277</v>
      </c>
      <c r="E85" s="24" t="s">
        <v>91</v>
      </c>
      <c r="F85" s="25">
        <f>'[2]Htgan Volume'!BR38</f>
        <v>15</v>
      </c>
      <c r="G85" s="245">
        <v>0</v>
      </c>
      <c r="H85" s="26">
        <f t="shared" si="13"/>
        <v>0</v>
      </c>
    </row>
    <row r="86" spans="2:8" x14ac:dyDescent="0.25">
      <c r="B86" s="22"/>
      <c r="C86" s="23"/>
      <c r="D86" s="23"/>
      <c r="E86" s="24"/>
      <c r="F86" s="27"/>
      <c r="G86" s="245">
        <v>0</v>
      </c>
      <c r="H86" s="28">
        <f t="shared" ref="H86" si="14">SUM(H73:H85)</f>
        <v>0</v>
      </c>
    </row>
    <row r="87" spans="2:8" x14ac:dyDescent="0.25">
      <c r="B87" s="29" t="s">
        <v>92</v>
      </c>
      <c r="C87" s="30" t="s">
        <v>93</v>
      </c>
      <c r="D87" s="30"/>
      <c r="E87" s="24"/>
      <c r="F87" s="27"/>
      <c r="G87" s="245">
        <v>0</v>
      </c>
      <c r="H87" s="26"/>
    </row>
    <row r="88" spans="2:8" x14ac:dyDescent="0.25">
      <c r="B88" s="23">
        <v>1</v>
      </c>
      <c r="C88" s="23" t="s">
        <v>94</v>
      </c>
      <c r="D88" s="23" t="s">
        <v>281</v>
      </c>
      <c r="E88" s="24" t="s">
        <v>19</v>
      </c>
      <c r="F88" s="25">
        <f>'[2]Htgan Volume'!BZ12</f>
        <v>127.48625</v>
      </c>
      <c r="G88" s="245">
        <v>0</v>
      </c>
      <c r="H88" s="26">
        <f>G88*F88</f>
        <v>0</v>
      </c>
    </row>
    <row r="89" spans="2:8" x14ac:dyDescent="0.25">
      <c r="B89" s="23">
        <v>2</v>
      </c>
      <c r="C89" s="23" t="s">
        <v>95</v>
      </c>
      <c r="D89" s="23" t="s">
        <v>281</v>
      </c>
      <c r="E89" s="24" t="s">
        <v>19</v>
      </c>
      <c r="F89" s="25">
        <f>'[2]Htgan Volume'!BZ24</f>
        <v>53.550000000000004</v>
      </c>
      <c r="G89" s="245">
        <v>0</v>
      </c>
      <c r="H89" s="26">
        <f>G89*F89</f>
        <v>0</v>
      </c>
    </row>
    <row r="90" spans="2:8" x14ac:dyDescent="0.25">
      <c r="B90" s="23">
        <v>3</v>
      </c>
      <c r="C90" s="23" t="s">
        <v>96</v>
      </c>
      <c r="D90" s="23" t="s">
        <v>281</v>
      </c>
      <c r="E90" s="24" t="s">
        <v>19</v>
      </c>
      <c r="F90" s="25">
        <f>'[2]Htgan Volume'!BZ36</f>
        <v>39.475000000000001</v>
      </c>
      <c r="G90" s="245">
        <v>0</v>
      </c>
      <c r="H90" s="26">
        <f>G90*F90</f>
        <v>0</v>
      </c>
    </row>
    <row r="91" spans="2:8" x14ac:dyDescent="0.25">
      <c r="B91" s="23">
        <v>4</v>
      </c>
      <c r="C91" s="23" t="s">
        <v>97</v>
      </c>
      <c r="D91" s="23" t="s">
        <v>281</v>
      </c>
      <c r="E91" s="24" t="s">
        <v>19</v>
      </c>
      <c r="F91" s="25">
        <f>'[2]Htgan Volume'!BZ47</f>
        <v>15.952500000000001</v>
      </c>
      <c r="G91" s="245">
        <v>0</v>
      </c>
      <c r="H91" s="26">
        <f>G91*F91</f>
        <v>0</v>
      </c>
    </row>
    <row r="92" spans="2:8" x14ac:dyDescent="0.25">
      <c r="B92" s="23">
        <v>5</v>
      </c>
      <c r="C92" s="23" t="s">
        <v>98</v>
      </c>
      <c r="D92" s="23" t="s">
        <v>281</v>
      </c>
      <c r="E92" s="24" t="s">
        <v>13</v>
      </c>
      <c r="F92" s="25">
        <f>'[2]Htgan Volume'!BZ53</f>
        <v>6</v>
      </c>
      <c r="G92" s="245">
        <v>0</v>
      </c>
      <c r="H92" s="26">
        <f>G92*F92</f>
        <v>0</v>
      </c>
    </row>
    <row r="93" spans="2:8" x14ac:dyDescent="0.25">
      <c r="B93" s="22"/>
      <c r="C93" s="23"/>
      <c r="D93" s="23"/>
      <c r="E93" s="24"/>
      <c r="F93" s="27"/>
      <c r="G93" s="245">
        <v>0</v>
      </c>
      <c r="H93" s="28">
        <f t="shared" ref="H93" si="15">SUM(H88:H92)</f>
        <v>0</v>
      </c>
    </row>
    <row r="94" spans="2:8" x14ac:dyDescent="0.25">
      <c r="B94" s="29" t="s">
        <v>99</v>
      </c>
      <c r="C94" s="30" t="s">
        <v>100</v>
      </c>
      <c r="D94" s="30"/>
      <c r="E94" s="24"/>
      <c r="F94" s="27"/>
      <c r="G94" s="245">
        <v>0</v>
      </c>
      <c r="H94" s="26"/>
    </row>
    <row r="95" spans="2:8" x14ac:dyDescent="0.25">
      <c r="B95" s="22">
        <v>1</v>
      </c>
      <c r="C95" s="23" t="s">
        <v>101</v>
      </c>
      <c r="D95" s="23"/>
      <c r="E95" s="23"/>
      <c r="F95" s="27"/>
      <c r="G95" s="245">
        <v>0</v>
      </c>
      <c r="H95" s="26"/>
    </row>
    <row r="96" spans="2:8" x14ac:dyDescent="0.25">
      <c r="B96" s="22" t="s">
        <v>75</v>
      </c>
      <c r="C96" s="23" t="s">
        <v>242</v>
      </c>
      <c r="D96" s="23" t="s">
        <v>283</v>
      </c>
      <c r="E96" s="24" t="s">
        <v>77</v>
      </c>
      <c r="F96" s="25">
        <f>'[2]Htgan Volume'!CJ8</f>
        <v>1</v>
      </c>
      <c r="G96" s="245">
        <v>0</v>
      </c>
      <c r="H96" s="26">
        <f>G96*F96</f>
        <v>0</v>
      </c>
    </row>
    <row r="97" spans="2:8" x14ac:dyDescent="0.25">
      <c r="B97" s="22" t="s">
        <v>75</v>
      </c>
      <c r="C97" s="23" t="s">
        <v>244</v>
      </c>
      <c r="D97" s="23" t="s">
        <v>285</v>
      </c>
      <c r="E97" s="24" t="s">
        <v>77</v>
      </c>
      <c r="F97" s="25">
        <f>'[2]Htgan Volume'!CJ10</f>
        <v>1</v>
      </c>
      <c r="G97" s="245">
        <v>0</v>
      </c>
      <c r="H97" s="26">
        <f>G97*F97</f>
        <v>0</v>
      </c>
    </row>
    <row r="98" spans="2:8" x14ac:dyDescent="0.25">
      <c r="B98" s="22" t="s">
        <v>75</v>
      </c>
      <c r="C98" s="23" t="s">
        <v>245</v>
      </c>
      <c r="D98" s="23" t="s">
        <v>286</v>
      </c>
      <c r="E98" s="24" t="s">
        <v>77</v>
      </c>
      <c r="F98" s="25">
        <f>'[2]Htgan Volume'!CJ11</f>
        <v>1</v>
      </c>
      <c r="G98" s="245">
        <v>0</v>
      </c>
      <c r="H98" s="26">
        <f>G98</f>
        <v>0</v>
      </c>
    </row>
    <row r="99" spans="2:8" x14ac:dyDescent="0.25">
      <c r="B99" s="22" t="s">
        <v>75</v>
      </c>
      <c r="C99" s="23" t="s">
        <v>243</v>
      </c>
      <c r="D99" s="23" t="s">
        <v>288</v>
      </c>
      <c r="E99" s="24" t="s">
        <v>77</v>
      </c>
      <c r="F99" s="25">
        <f>'[2]Htgan Volume'!CJ12</f>
        <v>1</v>
      </c>
      <c r="G99" s="245">
        <v>0</v>
      </c>
      <c r="H99" s="26">
        <f t="shared" ref="H99:H115" si="16">G99*F99</f>
        <v>0</v>
      </c>
    </row>
    <row r="100" spans="2:8" x14ac:dyDescent="0.25">
      <c r="B100" s="22" t="s">
        <v>75</v>
      </c>
      <c r="C100" s="23" t="s">
        <v>105</v>
      </c>
      <c r="D100" s="23"/>
      <c r="E100" s="24" t="s">
        <v>77</v>
      </c>
      <c r="F100" s="25">
        <f>'[2]Htgan Volume'!CJ13</f>
        <v>1</v>
      </c>
      <c r="G100" s="245">
        <v>0</v>
      </c>
      <c r="H100" s="26">
        <f t="shared" si="16"/>
        <v>0</v>
      </c>
    </row>
    <row r="101" spans="2:8" x14ac:dyDescent="0.25">
      <c r="B101" s="22" t="s">
        <v>75</v>
      </c>
      <c r="C101" s="23" t="s">
        <v>246</v>
      </c>
      <c r="D101" s="23" t="s">
        <v>290</v>
      </c>
      <c r="E101" s="24" t="s">
        <v>77</v>
      </c>
      <c r="F101" s="25">
        <f>'[2]Htgan Volume'!CJ14</f>
        <v>1</v>
      </c>
      <c r="G101" s="245">
        <v>0</v>
      </c>
      <c r="H101" s="26">
        <f t="shared" si="16"/>
        <v>0</v>
      </c>
    </row>
    <row r="102" spans="2:8" x14ac:dyDescent="0.25">
      <c r="B102" s="23">
        <v>2</v>
      </c>
      <c r="C102" s="23" t="s">
        <v>107</v>
      </c>
      <c r="D102" s="23"/>
      <c r="E102" s="23"/>
      <c r="F102" s="25"/>
      <c r="G102" s="245">
        <v>0</v>
      </c>
      <c r="H102" s="26">
        <f t="shared" si="16"/>
        <v>0</v>
      </c>
    </row>
    <row r="103" spans="2:8" x14ac:dyDescent="0.25">
      <c r="B103" s="22" t="s">
        <v>75</v>
      </c>
      <c r="C103" s="23" t="s">
        <v>108</v>
      </c>
      <c r="D103" s="23" t="s">
        <v>282</v>
      </c>
      <c r="E103" s="24" t="s">
        <v>77</v>
      </c>
      <c r="F103" s="25">
        <f>'[2]Htgan Volume'!CI20</f>
        <v>1</v>
      </c>
      <c r="G103" s="245">
        <v>0</v>
      </c>
      <c r="H103" s="26">
        <f t="shared" si="16"/>
        <v>0</v>
      </c>
    </row>
    <row r="104" spans="2:8" x14ac:dyDescent="0.25">
      <c r="B104" s="22" t="s">
        <v>75</v>
      </c>
      <c r="C104" s="23" t="s">
        <v>247</v>
      </c>
      <c r="D104" s="23" t="s">
        <v>294</v>
      </c>
      <c r="E104" s="24" t="s">
        <v>77</v>
      </c>
      <c r="F104" s="25">
        <f>'[2]Htgan Volume'!CI21</f>
        <v>1</v>
      </c>
      <c r="G104" s="245">
        <v>0</v>
      </c>
      <c r="H104" s="26">
        <f t="shared" si="16"/>
        <v>0</v>
      </c>
    </row>
    <row r="105" spans="2:8" x14ac:dyDescent="0.25">
      <c r="B105" s="22">
        <v>3</v>
      </c>
      <c r="C105" s="23" t="s">
        <v>248</v>
      </c>
      <c r="D105" s="23" t="s">
        <v>293</v>
      </c>
      <c r="E105" s="24" t="s">
        <v>77</v>
      </c>
      <c r="F105" s="25">
        <f>'[2]Htgan Volume'!CH27</f>
        <v>1</v>
      </c>
      <c r="G105" s="245">
        <v>0</v>
      </c>
      <c r="H105" s="26">
        <f t="shared" si="16"/>
        <v>0</v>
      </c>
    </row>
    <row r="106" spans="2:8" x14ac:dyDescent="0.25">
      <c r="B106" s="22">
        <v>4</v>
      </c>
      <c r="C106" s="23" t="s">
        <v>111</v>
      </c>
      <c r="D106" s="23"/>
      <c r="E106" s="24" t="s">
        <v>77</v>
      </c>
      <c r="F106" s="25">
        <f>'[2]Htgan Volume'!CH33</f>
        <v>1</v>
      </c>
      <c r="G106" s="245">
        <v>0</v>
      </c>
      <c r="H106" s="26">
        <f t="shared" si="16"/>
        <v>0</v>
      </c>
    </row>
    <row r="107" spans="2:8" x14ac:dyDescent="0.25">
      <c r="B107" s="22">
        <v>5</v>
      </c>
      <c r="C107" s="23" t="s">
        <v>112</v>
      </c>
      <c r="D107" s="23"/>
      <c r="E107" s="24" t="s">
        <v>77</v>
      </c>
      <c r="F107" s="25">
        <f>'[2]Htgan Volume'!CH39</f>
        <v>2</v>
      </c>
      <c r="G107" s="245">
        <v>0</v>
      </c>
      <c r="H107" s="26">
        <f t="shared" si="16"/>
        <v>0</v>
      </c>
    </row>
    <row r="108" spans="2:8" x14ac:dyDescent="0.25">
      <c r="B108" s="22">
        <v>6</v>
      </c>
      <c r="C108" s="23" t="s">
        <v>113</v>
      </c>
      <c r="D108" s="23" t="s">
        <v>298</v>
      </c>
      <c r="E108" s="23"/>
      <c r="F108" s="27"/>
      <c r="G108" s="245">
        <v>0</v>
      </c>
      <c r="H108" s="26">
        <f t="shared" si="16"/>
        <v>0</v>
      </c>
    </row>
    <row r="109" spans="2:8" x14ac:dyDescent="0.25">
      <c r="B109" s="22" t="s">
        <v>75</v>
      </c>
      <c r="C109" s="23" t="s">
        <v>114</v>
      </c>
      <c r="D109" s="23"/>
      <c r="E109" s="24" t="s">
        <v>13</v>
      </c>
      <c r="F109" s="25">
        <f>'[2]Htgan Volume'!CH45</f>
        <v>10.9</v>
      </c>
      <c r="G109" s="245">
        <v>0</v>
      </c>
      <c r="H109" s="26">
        <f t="shared" si="16"/>
        <v>0</v>
      </c>
    </row>
    <row r="110" spans="2:8" x14ac:dyDescent="0.25">
      <c r="B110" s="22" t="s">
        <v>75</v>
      </c>
      <c r="C110" s="23" t="s">
        <v>115</v>
      </c>
      <c r="D110" s="23"/>
      <c r="E110" s="24" t="s">
        <v>13</v>
      </c>
      <c r="F110" s="25">
        <f>'[2]Htgan Volume'!CH46</f>
        <v>24</v>
      </c>
      <c r="G110" s="245">
        <v>0</v>
      </c>
      <c r="H110" s="26">
        <f t="shared" si="16"/>
        <v>0</v>
      </c>
    </row>
    <row r="111" spans="2:8" x14ac:dyDescent="0.25">
      <c r="B111" s="22">
        <v>7</v>
      </c>
      <c r="C111" s="23" t="s">
        <v>116</v>
      </c>
      <c r="D111" s="23" t="s">
        <v>295</v>
      </c>
      <c r="E111" s="24"/>
      <c r="F111" s="27"/>
      <c r="G111" s="245">
        <v>0</v>
      </c>
      <c r="H111" s="26">
        <f t="shared" si="16"/>
        <v>0</v>
      </c>
    </row>
    <row r="112" spans="2:8" x14ac:dyDescent="0.25">
      <c r="B112" s="22" t="s">
        <v>75</v>
      </c>
      <c r="C112" s="23" t="s">
        <v>117</v>
      </c>
      <c r="D112" s="23"/>
      <c r="E112" s="24" t="s">
        <v>13</v>
      </c>
      <c r="F112" s="25">
        <f>'[2]Htgan Volume'!CH52</f>
        <v>8</v>
      </c>
      <c r="G112" s="245">
        <v>0</v>
      </c>
      <c r="H112" s="26">
        <f t="shared" si="16"/>
        <v>0</v>
      </c>
    </row>
    <row r="113" spans="2:8" x14ac:dyDescent="0.25">
      <c r="B113" s="22" t="s">
        <v>75</v>
      </c>
      <c r="C113" s="23" t="s">
        <v>118</v>
      </c>
      <c r="D113" s="23"/>
      <c r="E113" s="24" t="s">
        <v>13</v>
      </c>
      <c r="F113" s="25">
        <f>'[2]Htgan Volume'!CH53</f>
        <v>30</v>
      </c>
      <c r="G113" s="245">
        <v>0</v>
      </c>
      <c r="H113" s="26">
        <f t="shared" si="16"/>
        <v>0</v>
      </c>
    </row>
    <row r="114" spans="2:8" x14ac:dyDescent="0.25">
      <c r="B114" s="22" t="s">
        <v>75</v>
      </c>
      <c r="C114" s="23" t="s">
        <v>119</v>
      </c>
      <c r="D114" s="23"/>
      <c r="E114" s="24" t="s">
        <v>77</v>
      </c>
      <c r="F114" s="25">
        <f>'[2]Htgan Volume'!CH54</f>
        <v>4</v>
      </c>
      <c r="G114" s="245">
        <v>0</v>
      </c>
      <c r="H114" s="26">
        <f t="shared" si="16"/>
        <v>0</v>
      </c>
    </row>
    <row r="115" spans="2:8" x14ac:dyDescent="0.25">
      <c r="B115" s="22" t="s">
        <v>75</v>
      </c>
      <c r="C115" s="23" t="s">
        <v>120</v>
      </c>
      <c r="D115" s="23"/>
      <c r="E115" s="24" t="s">
        <v>77</v>
      </c>
      <c r="F115" s="25">
        <f>'[2]Htgan Volume'!CH55</f>
        <v>1</v>
      </c>
      <c r="G115" s="245">
        <v>0</v>
      </c>
      <c r="H115" s="26">
        <f t="shared" si="16"/>
        <v>0</v>
      </c>
    </row>
    <row r="116" spans="2:8" x14ac:dyDescent="0.25">
      <c r="B116" s="22"/>
      <c r="C116" s="23"/>
      <c r="D116" s="23"/>
      <c r="E116" s="24"/>
      <c r="F116" s="27"/>
      <c r="G116" s="245">
        <v>0</v>
      </c>
      <c r="H116" s="26"/>
    </row>
    <row r="117" spans="2:8" x14ac:dyDescent="0.25">
      <c r="B117" s="22"/>
      <c r="C117" s="23"/>
      <c r="D117" s="23"/>
      <c r="E117" s="24"/>
      <c r="F117" s="27"/>
      <c r="G117" s="245">
        <v>0</v>
      </c>
      <c r="H117" s="28">
        <f t="shared" ref="H117" si="17">SUM(H96:H115)</f>
        <v>0</v>
      </c>
    </row>
    <row r="118" spans="2:8" x14ac:dyDescent="0.25">
      <c r="B118" s="29" t="s">
        <v>121</v>
      </c>
      <c r="C118" s="30" t="s">
        <v>122</v>
      </c>
      <c r="D118" s="30"/>
      <c r="E118" s="24"/>
      <c r="F118" s="27"/>
      <c r="G118" s="245">
        <v>0</v>
      </c>
      <c r="H118" s="26"/>
    </row>
    <row r="119" spans="2:8" x14ac:dyDescent="0.25">
      <c r="B119" s="29"/>
      <c r="C119" s="30" t="s">
        <v>256</v>
      </c>
      <c r="D119" s="30"/>
      <c r="E119" s="24"/>
      <c r="F119" s="27"/>
      <c r="G119" s="245">
        <v>0</v>
      </c>
      <c r="H119" s="26"/>
    </row>
    <row r="120" spans="2:8" x14ac:dyDescent="0.25">
      <c r="B120" s="23">
        <v>1</v>
      </c>
      <c r="C120" s="23" t="s">
        <v>123</v>
      </c>
      <c r="D120" s="23" t="s">
        <v>300</v>
      </c>
      <c r="E120" s="24" t="s">
        <v>124</v>
      </c>
      <c r="F120" s="25">
        <f>'[2]Htgan Volume'!CQ10</f>
        <v>7</v>
      </c>
      <c r="G120" s="245">
        <v>0</v>
      </c>
      <c r="H120" s="26">
        <f t="shared" ref="H120:H133" si="18">G120*F120</f>
        <v>0</v>
      </c>
    </row>
    <row r="121" spans="2:8" x14ac:dyDescent="0.25">
      <c r="B121" s="23">
        <v>2</v>
      </c>
      <c r="C121" s="23" t="s">
        <v>125</v>
      </c>
      <c r="D121" s="23" t="s">
        <v>301</v>
      </c>
      <c r="E121" s="24" t="s">
        <v>124</v>
      </c>
      <c r="F121" s="25">
        <f>'[2]Htgan Volume'!CQ16</f>
        <v>5</v>
      </c>
      <c r="G121" s="245">
        <v>0</v>
      </c>
      <c r="H121" s="26">
        <f t="shared" si="18"/>
        <v>0</v>
      </c>
    </row>
    <row r="122" spans="2:8" x14ac:dyDescent="0.25">
      <c r="B122" s="23">
        <v>3</v>
      </c>
      <c r="C122" s="23" t="s">
        <v>126</v>
      </c>
      <c r="D122" s="23" t="s">
        <v>301</v>
      </c>
      <c r="E122" s="24" t="s">
        <v>77</v>
      </c>
      <c r="F122" s="25">
        <f>'[2]Htgan Volume'!CQ22</f>
        <v>1</v>
      </c>
      <c r="G122" s="245">
        <v>0</v>
      </c>
      <c r="H122" s="26">
        <f t="shared" si="18"/>
        <v>0</v>
      </c>
    </row>
    <row r="123" spans="2:8" x14ac:dyDescent="0.25">
      <c r="B123" s="23">
        <v>4</v>
      </c>
      <c r="C123" s="23" t="s">
        <v>127</v>
      </c>
      <c r="D123" s="23" t="s">
        <v>301</v>
      </c>
      <c r="E123" s="24" t="s">
        <v>124</v>
      </c>
      <c r="F123" s="25">
        <f>'[2]Htgan Volume'!CQ29</f>
        <v>1</v>
      </c>
      <c r="G123" s="245">
        <v>0</v>
      </c>
      <c r="H123" s="26">
        <f t="shared" si="18"/>
        <v>0</v>
      </c>
    </row>
    <row r="124" spans="2:8" x14ac:dyDescent="0.25">
      <c r="B124" s="23">
        <v>5</v>
      </c>
      <c r="C124" s="23" t="s">
        <v>128</v>
      </c>
      <c r="D124" s="23" t="s">
        <v>301</v>
      </c>
      <c r="E124" s="24" t="s">
        <v>124</v>
      </c>
      <c r="F124" s="25">
        <f>'[2]Htgan Volume'!CQ36</f>
        <v>1</v>
      </c>
      <c r="G124" s="245">
        <v>0</v>
      </c>
      <c r="H124" s="26">
        <f t="shared" si="18"/>
        <v>0</v>
      </c>
    </row>
    <row r="125" spans="2:8" x14ac:dyDescent="0.25">
      <c r="B125" s="23">
        <v>6</v>
      </c>
      <c r="C125" s="23" t="s">
        <v>129</v>
      </c>
      <c r="D125" s="23" t="s">
        <v>301</v>
      </c>
      <c r="E125" s="24" t="s">
        <v>124</v>
      </c>
      <c r="F125" s="25">
        <f>'[2]Htgan Volume'!CQ43</f>
        <v>1</v>
      </c>
      <c r="G125" s="245">
        <v>0</v>
      </c>
      <c r="H125" s="26">
        <f t="shared" si="18"/>
        <v>0</v>
      </c>
    </row>
    <row r="126" spans="2:8" x14ac:dyDescent="0.25">
      <c r="B126" s="23">
        <v>7</v>
      </c>
      <c r="C126" s="23" t="s">
        <v>130</v>
      </c>
      <c r="D126" s="23" t="s">
        <v>301</v>
      </c>
      <c r="E126" s="24" t="s">
        <v>124</v>
      </c>
      <c r="F126" s="25">
        <f>'[2]Htgan Volume'!CQ49</f>
        <v>1</v>
      </c>
      <c r="G126" s="245">
        <v>0</v>
      </c>
      <c r="H126" s="26">
        <f t="shared" si="18"/>
        <v>0</v>
      </c>
    </row>
    <row r="127" spans="2:8" x14ac:dyDescent="0.25">
      <c r="B127" s="23">
        <v>8</v>
      </c>
      <c r="C127" s="23" t="s">
        <v>131</v>
      </c>
      <c r="D127" s="23" t="s">
        <v>299</v>
      </c>
      <c r="E127" s="24" t="s">
        <v>124</v>
      </c>
      <c r="F127" s="25">
        <f>'[2]Htgan Volume'!CQ56</f>
        <v>1</v>
      </c>
      <c r="G127" s="245">
        <v>0</v>
      </c>
      <c r="H127" s="26">
        <f t="shared" si="18"/>
        <v>0</v>
      </c>
    </row>
    <row r="128" spans="2:8" x14ac:dyDescent="0.25">
      <c r="B128" s="23">
        <v>9</v>
      </c>
      <c r="C128" s="23" t="s">
        <v>132</v>
      </c>
      <c r="D128" s="23" t="s">
        <v>301</v>
      </c>
      <c r="E128" s="24" t="s">
        <v>77</v>
      </c>
      <c r="F128" s="25">
        <f>'[2]Htgan Volume'!CQ62</f>
        <v>3</v>
      </c>
      <c r="G128" s="245">
        <v>0</v>
      </c>
      <c r="H128" s="26">
        <f t="shared" si="18"/>
        <v>0</v>
      </c>
    </row>
    <row r="129" spans="2:9" x14ac:dyDescent="0.25">
      <c r="B129" s="23">
        <v>10</v>
      </c>
      <c r="C129" s="23" t="s">
        <v>133</v>
      </c>
      <c r="D129" s="23" t="s">
        <v>301</v>
      </c>
      <c r="E129" s="24" t="s">
        <v>77</v>
      </c>
      <c r="F129" s="25">
        <f>'[2]Htgan Volume'!CQ68</f>
        <v>2</v>
      </c>
      <c r="G129" s="245">
        <v>0</v>
      </c>
      <c r="H129" s="26">
        <f t="shared" si="18"/>
        <v>0</v>
      </c>
    </row>
    <row r="130" spans="2:9" x14ac:dyDescent="0.25">
      <c r="B130" s="23">
        <v>11</v>
      </c>
      <c r="C130" s="23" t="s">
        <v>134</v>
      </c>
      <c r="D130" s="23" t="s">
        <v>301</v>
      </c>
      <c r="E130" s="24" t="s">
        <v>77</v>
      </c>
      <c r="F130" s="25">
        <f>'[2]Htgan Volume'!CQ74</f>
        <v>5</v>
      </c>
      <c r="G130" s="245">
        <v>0</v>
      </c>
      <c r="H130" s="26">
        <f t="shared" si="18"/>
        <v>0</v>
      </c>
    </row>
    <row r="131" spans="2:9" x14ac:dyDescent="0.25">
      <c r="B131" s="23">
        <v>12</v>
      </c>
      <c r="C131" s="23" t="s">
        <v>135</v>
      </c>
      <c r="D131" s="23" t="s">
        <v>301</v>
      </c>
      <c r="E131" s="24" t="s">
        <v>136</v>
      </c>
      <c r="F131" s="25">
        <f>'[2]Htgan Volume'!CQ81</f>
        <v>1</v>
      </c>
      <c r="G131" s="245">
        <v>0</v>
      </c>
      <c r="H131" s="26">
        <f t="shared" si="18"/>
        <v>0</v>
      </c>
    </row>
    <row r="132" spans="2:9" x14ac:dyDescent="0.25">
      <c r="B132" s="23">
        <v>13</v>
      </c>
      <c r="C132" s="23" t="s">
        <v>137</v>
      </c>
      <c r="D132" s="23" t="s">
        <v>301</v>
      </c>
      <c r="E132" s="24" t="s">
        <v>138</v>
      </c>
      <c r="F132" s="25">
        <f>'[2]Htgan Volume'!CQ88</f>
        <v>1</v>
      </c>
      <c r="G132" s="245">
        <v>0</v>
      </c>
      <c r="H132" s="26">
        <f t="shared" si="18"/>
        <v>0</v>
      </c>
    </row>
    <row r="133" spans="2:9" x14ac:dyDescent="0.25">
      <c r="B133" s="23">
        <v>14</v>
      </c>
      <c r="C133" s="23" t="s">
        <v>139</v>
      </c>
      <c r="D133" s="23" t="s">
        <v>301</v>
      </c>
      <c r="E133" s="24" t="s">
        <v>140</v>
      </c>
      <c r="F133" s="25">
        <f>'[2]Htgan Volume'!CQ95</f>
        <v>1</v>
      </c>
      <c r="G133" s="245">
        <v>0</v>
      </c>
      <c r="H133" s="26">
        <f t="shared" si="18"/>
        <v>0</v>
      </c>
    </row>
    <row r="134" spans="2:9" x14ac:dyDescent="0.25">
      <c r="B134" s="22"/>
      <c r="C134" s="23"/>
      <c r="D134" s="23"/>
      <c r="E134" s="24"/>
      <c r="F134" s="27"/>
      <c r="G134" s="245">
        <v>0</v>
      </c>
      <c r="H134" s="208">
        <f t="shared" ref="H134" si="19">SUM(H120:H133)</f>
        <v>0</v>
      </c>
    </row>
    <row r="135" spans="2:9" x14ac:dyDescent="0.25">
      <c r="B135" s="29" t="s">
        <v>141</v>
      </c>
      <c r="C135" s="30" t="s">
        <v>142</v>
      </c>
      <c r="D135" s="30"/>
      <c r="E135" s="24"/>
      <c r="F135" s="27"/>
      <c r="G135" s="245">
        <v>0</v>
      </c>
      <c r="H135" s="26"/>
    </row>
    <row r="136" spans="2:9" x14ac:dyDescent="0.25">
      <c r="B136" s="36">
        <v>1</v>
      </c>
      <c r="C136" s="37" t="s">
        <v>143</v>
      </c>
      <c r="D136" s="37" t="s">
        <v>303</v>
      </c>
      <c r="E136" s="36" t="s">
        <v>140</v>
      </c>
      <c r="F136" s="38">
        <f>'[2]Htgan Volume'!CH61</f>
        <v>1</v>
      </c>
      <c r="G136" s="245">
        <v>0</v>
      </c>
      <c r="H136" s="26">
        <f>G136*F136</f>
        <v>0</v>
      </c>
    </row>
    <row r="137" spans="2:9" x14ac:dyDescent="0.25">
      <c r="B137" s="36"/>
      <c r="C137" s="37"/>
      <c r="D137" s="37"/>
      <c r="E137" s="36"/>
      <c r="F137" s="38"/>
      <c r="G137" s="245">
        <v>0</v>
      </c>
      <c r="H137" s="208">
        <f t="shared" ref="H137" si="20">SUM(H136)</f>
        <v>0</v>
      </c>
    </row>
    <row r="138" spans="2:9" x14ac:dyDescent="0.25">
      <c r="B138" s="39"/>
      <c r="C138" s="40"/>
      <c r="D138" s="204"/>
      <c r="E138" s="36"/>
      <c r="F138" s="38"/>
      <c r="G138" s="245">
        <v>0</v>
      </c>
      <c r="H138" s="26"/>
    </row>
    <row r="139" spans="2:9" x14ac:dyDescent="0.25">
      <c r="B139" s="41" t="s">
        <v>141</v>
      </c>
      <c r="C139" s="42" t="s">
        <v>144</v>
      </c>
      <c r="D139" s="42"/>
      <c r="E139" s="36"/>
      <c r="F139" s="43"/>
      <c r="G139" s="245">
        <v>0</v>
      </c>
      <c r="H139" s="26"/>
    </row>
    <row r="140" spans="2:9" x14ac:dyDescent="0.25">
      <c r="B140" s="36">
        <v>1</v>
      </c>
      <c r="C140" s="44" t="s">
        <v>145</v>
      </c>
      <c r="D140" s="44" t="s">
        <v>302</v>
      </c>
      <c r="E140" s="36" t="s">
        <v>146</v>
      </c>
      <c r="F140" s="38">
        <f>'[2]Htgan Volume'!CX8</f>
        <v>7.25</v>
      </c>
      <c r="G140" s="245">
        <v>0</v>
      </c>
      <c r="H140" s="26">
        <f t="shared" ref="H140:H145" si="21">G140*F140</f>
        <v>0</v>
      </c>
    </row>
    <row r="141" spans="2:9" x14ac:dyDescent="0.25">
      <c r="B141" s="36"/>
      <c r="C141" s="45" t="s">
        <v>147</v>
      </c>
      <c r="D141" s="45"/>
      <c r="E141" s="46"/>
      <c r="F141" s="47"/>
      <c r="G141" s="245">
        <v>0</v>
      </c>
      <c r="H141" s="26">
        <f t="shared" si="21"/>
        <v>0</v>
      </c>
      <c r="I141">
        <f>G141*F140</f>
        <v>0</v>
      </c>
    </row>
    <row r="142" spans="2:9" x14ac:dyDescent="0.25">
      <c r="B142" s="36">
        <v>2</v>
      </c>
      <c r="C142" s="23" t="s">
        <v>148</v>
      </c>
      <c r="D142" s="37" t="s">
        <v>281</v>
      </c>
      <c r="E142" s="24" t="s">
        <v>19</v>
      </c>
      <c r="F142" s="25">
        <f>'[2]Htgan Volume'!CX15</f>
        <v>8.25</v>
      </c>
      <c r="G142" s="245">
        <v>0</v>
      </c>
      <c r="H142" s="26">
        <f t="shared" si="21"/>
        <v>0</v>
      </c>
      <c r="I142">
        <f>I141/39</f>
        <v>0</v>
      </c>
    </row>
    <row r="143" spans="2:9" x14ac:dyDescent="0.25">
      <c r="B143" s="36">
        <v>3</v>
      </c>
      <c r="C143" s="37" t="s">
        <v>149</v>
      </c>
      <c r="D143" s="37" t="s">
        <v>281</v>
      </c>
      <c r="E143" s="36" t="s">
        <v>140</v>
      </c>
      <c r="F143" s="38">
        <f>'[2]Htgan Volume'!CX36</f>
        <v>1</v>
      </c>
      <c r="G143" s="245">
        <v>0</v>
      </c>
      <c r="H143" s="26">
        <f t="shared" si="21"/>
        <v>0</v>
      </c>
      <c r="I143">
        <f>I142*1.04</f>
        <v>0</v>
      </c>
    </row>
    <row r="144" spans="2:9" x14ac:dyDescent="0.25">
      <c r="B144" s="36">
        <v>4</v>
      </c>
      <c r="C144" s="44" t="s">
        <v>150</v>
      </c>
      <c r="D144" s="37" t="s">
        <v>281</v>
      </c>
      <c r="E144" s="49" t="s">
        <v>146</v>
      </c>
      <c r="F144" s="38">
        <v>8.25</v>
      </c>
      <c r="G144" s="245">
        <v>0</v>
      </c>
      <c r="H144" s="26">
        <f t="shared" si="21"/>
        <v>0</v>
      </c>
    </row>
    <row r="145" spans="2:8" x14ac:dyDescent="0.25">
      <c r="B145" s="36">
        <v>5</v>
      </c>
      <c r="C145" s="44" t="s">
        <v>151</v>
      </c>
      <c r="D145" s="44"/>
      <c r="E145" s="49" t="s">
        <v>140</v>
      </c>
      <c r="F145" s="38">
        <v>8</v>
      </c>
      <c r="G145" s="245">
        <v>0</v>
      </c>
      <c r="H145" s="26">
        <f t="shared" si="21"/>
        <v>0</v>
      </c>
    </row>
    <row r="146" spans="2:8" x14ac:dyDescent="0.25">
      <c r="B146" s="50"/>
      <c r="C146" s="41" t="s">
        <v>152</v>
      </c>
      <c r="D146" s="41"/>
      <c r="E146" s="36"/>
      <c r="F146" s="38"/>
      <c r="G146" s="245">
        <v>0</v>
      </c>
      <c r="H146" s="34">
        <f>SUM(H140:H145)</f>
        <v>0</v>
      </c>
    </row>
    <row r="147" spans="2:8" x14ac:dyDescent="0.25">
      <c r="B147" s="39"/>
      <c r="C147" s="40"/>
      <c r="D147" s="40"/>
      <c r="E147" s="39"/>
      <c r="F147" s="47"/>
      <c r="G147" s="245">
        <v>0</v>
      </c>
      <c r="H147" s="26"/>
    </row>
    <row r="148" spans="2:8" x14ac:dyDescent="0.25">
      <c r="B148" s="41" t="s">
        <v>141</v>
      </c>
      <c r="C148" s="42" t="s">
        <v>153</v>
      </c>
      <c r="D148" s="42"/>
      <c r="E148" s="36"/>
      <c r="F148" s="38"/>
      <c r="G148" s="245">
        <v>0</v>
      </c>
      <c r="H148" s="26"/>
    </row>
    <row r="149" spans="2:8" x14ac:dyDescent="0.25">
      <c r="B149" s="36">
        <v>1</v>
      </c>
      <c r="C149" s="37" t="s">
        <v>154</v>
      </c>
      <c r="D149" s="37" t="s">
        <v>281</v>
      </c>
      <c r="E149" s="36" t="s">
        <v>146</v>
      </c>
      <c r="F149" s="38"/>
      <c r="G149" s="245">
        <v>0</v>
      </c>
      <c r="H149" s="26">
        <f>G149*F149</f>
        <v>0</v>
      </c>
    </row>
    <row r="150" spans="2:8" x14ac:dyDescent="0.25">
      <c r="B150" s="36">
        <v>2</v>
      </c>
      <c r="C150" s="37" t="s">
        <v>155</v>
      </c>
      <c r="D150" s="37" t="s">
        <v>281</v>
      </c>
      <c r="E150" s="36" t="s">
        <v>146</v>
      </c>
      <c r="F150" s="38"/>
      <c r="G150" s="245">
        <v>0</v>
      </c>
      <c r="H150" s="26">
        <f>G150*F150</f>
        <v>0</v>
      </c>
    </row>
    <row r="151" spans="2:8" x14ac:dyDescent="0.25">
      <c r="B151" s="36">
        <v>3</v>
      </c>
      <c r="C151" s="51" t="s">
        <v>156</v>
      </c>
      <c r="D151" s="37" t="s">
        <v>281</v>
      </c>
      <c r="E151" s="36" t="s">
        <v>146</v>
      </c>
      <c r="F151" s="43"/>
      <c r="G151" s="245">
        <v>0</v>
      </c>
      <c r="H151" s="26">
        <f>G151*F151</f>
        <v>0</v>
      </c>
    </row>
    <row r="152" spans="2:8" x14ac:dyDescent="0.25">
      <c r="B152" s="36"/>
      <c r="C152" s="51"/>
      <c r="D152" s="51"/>
      <c r="E152" s="36"/>
      <c r="F152" s="43"/>
      <c r="G152" s="245">
        <v>0</v>
      </c>
      <c r="H152" s="34">
        <f>SUM(H149:H151)</f>
        <v>0</v>
      </c>
    </row>
    <row r="153" spans="2:8" x14ac:dyDescent="0.25">
      <c r="B153" s="36"/>
      <c r="C153" s="51"/>
      <c r="D153" s="51"/>
      <c r="E153" s="50"/>
      <c r="F153" s="43"/>
      <c r="G153" s="245">
        <v>0</v>
      </c>
      <c r="H153" s="52"/>
    </row>
    <row r="154" spans="2:8" x14ac:dyDescent="0.25">
      <c r="B154" s="53"/>
      <c r="C154" s="54"/>
      <c r="D154" s="54"/>
      <c r="E154" s="55"/>
      <c r="F154" s="56"/>
      <c r="G154" s="247"/>
      <c r="H154" s="57"/>
    </row>
    <row r="155" spans="2:8" x14ac:dyDescent="0.25">
      <c r="B155" s="3"/>
      <c r="C155" s="54"/>
      <c r="D155" s="54"/>
      <c r="E155" s="54"/>
      <c r="F155" s="58"/>
      <c r="G155" s="247"/>
      <c r="H155" s="57"/>
    </row>
    <row r="156" spans="2:8" x14ac:dyDescent="0.25">
      <c r="B156" s="2" t="s">
        <v>157</v>
      </c>
      <c r="C156" s="3"/>
      <c r="D156" s="3"/>
      <c r="E156" s="3"/>
      <c r="F156" s="4"/>
      <c r="G156" s="240"/>
      <c r="H156" s="59"/>
    </row>
    <row r="157" spans="2:8" x14ac:dyDescent="0.25">
      <c r="B157" s="60"/>
      <c r="C157" s="61"/>
      <c r="D157" s="61"/>
      <c r="E157" s="61"/>
      <c r="F157" s="62"/>
      <c r="G157" s="248"/>
      <c r="H157" s="63"/>
    </row>
    <row r="158" spans="2:8" x14ac:dyDescent="0.25">
      <c r="B158" s="64" t="s">
        <v>10</v>
      </c>
      <c r="C158" s="18" t="s">
        <v>11</v>
      </c>
      <c r="D158" s="18"/>
      <c r="E158" s="65"/>
      <c r="F158" s="38"/>
      <c r="G158" s="246"/>
      <c r="H158" s="34">
        <f t="shared" ref="H158" si="22">H15</f>
        <v>0</v>
      </c>
    </row>
    <row r="159" spans="2:8" x14ac:dyDescent="0.25">
      <c r="B159" s="29" t="s">
        <v>21</v>
      </c>
      <c r="C159" s="30" t="s">
        <v>22</v>
      </c>
      <c r="D159" s="30"/>
      <c r="E159" s="65"/>
      <c r="F159" s="38"/>
      <c r="G159" s="246"/>
      <c r="H159" s="66">
        <f t="shared" ref="H159" si="23">H21</f>
        <v>0</v>
      </c>
    </row>
    <row r="160" spans="2:8" x14ac:dyDescent="0.25">
      <c r="B160" s="29" t="s">
        <v>28</v>
      </c>
      <c r="C160" s="30" t="s">
        <v>29</v>
      </c>
      <c r="D160" s="30"/>
      <c r="E160" s="65"/>
      <c r="F160" s="38"/>
      <c r="G160" s="246"/>
      <c r="H160" s="34">
        <f t="shared" ref="H160" si="24">H25</f>
        <v>0</v>
      </c>
    </row>
    <row r="161" spans="2:8" x14ac:dyDescent="0.25">
      <c r="B161" s="29" t="s">
        <v>33</v>
      </c>
      <c r="C161" s="30" t="s">
        <v>34</v>
      </c>
      <c r="D161" s="30"/>
      <c r="E161" s="65"/>
      <c r="F161" s="38"/>
      <c r="G161" s="246"/>
      <c r="H161" s="34">
        <f t="shared" ref="H161" si="25">H36</f>
        <v>0</v>
      </c>
    </row>
    <row r="162" spans="2:8" x14ac:dyDescent="0.25">
      <c r="B162" s="29" t="s">
        <v>44</v>
      </c>
      <c r="C162" s="30" t="s">
        <v>45</v>
      </c>
      <c r="D162" s="30"/>
      <c r="E162" s="65"/>
      <c r="F162" s="38"/>
      <c r="G162" s="246"/>
      <c r="H162" s="34">
        <f t="shared" ref="H162" si="26">H45</f>
        <v>0</v>
      </c>
    </row>
    <row r="163" spans="2:8" x14ac:dyDescent="0.25">
      <c r="B163" s="29" t="s">
        <v>50</v>
      </c>
      <c r="C163" s="30" t="s">
        <v>51</v>
      </c>
      <c r="D163" s="30"/>
      <c r="E163" s="65"/>
      <c r="F163" s="38"/>
      <c r="G163" s="246"/>
      <c r="H163" s="66">
        <f t="shared" ref="H163" si="27">H51</f>
        <v>0</v>
      </c>
    </row>
    <row r="164" spans="2:8" x14ac:dyDescent="0.25">
      <c r="B164" s="29" t="s">
        <v>53</v>
      </c>
      <c r="C164" s="30" t="s">
        <v>54</v>
      </c>
      <c r="D164" s="30"/>
      <c r="E164" s="65"/>
      <c r="F164" s="38"/>
      <c r="G164" s="246"/>
      <c r="H164" s="66">
        <f t="shared" ref="H164" si="28">H57</f>
        <v>0</v>
      </c>
    </row>
    <row r="165" spans="2:8" x14ac:dyDescent="0.25">
      <c r="B165" s="29" t="s">
        <v>59</v>
      </c>
      <c r="C165" s="30" t="s">
        <v>60</v>
      </c>
      <c r="D165" s="30"/>
      <c r="E165" s="65"/>
      <c r="F165" s="38"/>
      <c r="G165" s="246"/>
      <c r="H165" s="66">
        <f t="shared" ref="H165" si="29">H62</f>
        <v>0</v>
      </c>
    </row>
    <row r="166" spans="2:8" x14ac:dyDescent="0.25">
      <c r="B166" s="29" t="s">
        <v>64</v>
      </c>
      <c r="C166" s="30" t="s">
        <v>65</v>
      </c>
      <c r="D166" s="30"/>
      <c r="E166" s="65"/>
      <c r="F166" s="38"/>
      <c r="G166" s="246"/>
      <c r="H166" s="66">
        <f t="shared" ref="H166" si="30">H70</f>
        <v>0</v>
      </c>
    </row>
    <row r="167" spans="2:8" x14ac:dyDescent="0.25">
      <c r="B167" s="29" t="s">
        <v>72</v>
      </c>
      <c r="C167" s="30" t="s">
        <v>73</v>
      </c>
      <c r="D167" s="30"/>
      <c r="E167" s="65"/>
      <c r="F167" s="38"/>
      <c r="G167" s="246"/>
      <c r="H167" s="66">
        <f t="shared" ref="H167" si="31">H86</f>
        <v>0</v>
      </c>
    </row>
    <row r="168" spans="2:8" x14ac:dyDescent="0.25">
      <c r="B168" s="29" t="s">
        <v>92</v>
      </c>
      <c r="C168" s="30" t="s">
        <v>93</v>
      </c>
      <c r="D168" s="30"/>
      <c r="E168" s="65"/>
      <c r="F168" s="38"/>
      <c r="G168" s="246"/>
      <c r="H168" s="66">
        <f t="shared" ref="H168" si="32">H93</f>
        <v>0</v>
      </c>
    </row>
    <row r="169" spans="2:8" x14ac:dyDescent="0.25">
      <c r="B169" s="29" t="s">
        <v>99</v>
      </c>
      <c r="C169" s="30" t="s">
        <v>100</v>
      </c>
      <c r="D169" s="30"/>
      <c r="E169" s="65"/>
      <c r="F169" s="38"/>
      <c r="G169" s="246"/>
      <c r="H169" s="66">
        <f t="shared" ref="H169" si="33">H117</f>
        <v>0</v>
      </c>
    </row>
    <row r="170" spans="2:8" x14ac:dyDescent="0.25">
      <c r="B170" s="29" t="s">
        <v>121</v>
      </c>
      <c r="C170" s="30" t="s">
        <v>122</v>
      </c>
      <c r="D170" s="30"/>
      <c r="E170" s="65"/>
      <c r="F170" s="38"/>
      <c r="G170" s="246"/>
      <c r="H170" s="66">
        <f t="shared" ref="H170" si="34">H134</f>
        <v>0</v>
      </c>
    </row>
    <row r="171" spans="2:8" x14ac:dyDescent="0.25">
      <c r="B171" s="29" t="s">
        <v>141</v>
      </c>
      <c r="C171" s="30" t="str">
        <f>C135</f>
        <v>PEK. LAIN - LAIN</v>
      </c>
      <c r="D171" s="30"/>
      <c r="E171" s="65"/>
      <c r="F171" s="38"/>
      <c r="G171" s="246"/>
      <c r="H171" s="66">
        <f t="shared" ref="H171" si="35">H137</f>
        <v>0</v>
      </c>
    </row>
    <row r="172" spans="2:8" x14ac:dyDescent="0.25">
      <c r="B172" s="29" t="s">
        <v>159</v>
      </c>
      <c r="C172" s="30" t="str">
        <f>C139</f>
        <v>PEK. PERUBAHAN BENTUK TAMPAK MUKA</v>
      </c>
      <c r="D172" s="30"/>
      <c r="E172" s="65"/>
      <c r="F172" s="38"/>
      <c r="G172" s="246"/>
      <c r="H172" s="66">
        <f t="shared" ref="H172" si="36">H146</f>
        <v>0</v>
      </c>
    </row>
    <row r="173" spans="2:8" x14ac:dyDescent="0.25">
      <c r="B173" s="29" t="s">
        <v>160</v>
      </c>
      <c r="C173" s="30" t="str">
        <f>C148</f>
        <v>PEKERJAAN PLESTER DINDING SAMPING</v>
      </c>
      <c r="D173" s="30"/>
      <c r="E173" s="65"/>
      <c r="F173" s="38"/>
      <c r="G173" s="246"/>
      <c r="H173" s="66">
        <f>H152</f>
        <v>0</v>
      </c>
    </row>
    <row r="174" spans="2:8" x14ac:dyDescent="0.25">
      <c r="B174" s="67"/>
      <c r="C174" s="68"/>
      <c r="D174" s="68"/>
      <c r="E174" s="69"/>
      <c r="F174" s="58"/>
      <c r="G174" s="241"/>
      <c r="H174" s="70"/>
    </row>
    <row r="175" spans="2:8" x14ac:dyDescent="0.25">
      <c r="B175" s="3"/>
      <c r="C175" s="3"/>
      <c r="D175" s="3"/>
      <c r="E175" s="3"/>
      <c r="F175" s="4"/>
      <c r="G175" s="240"/>
      <c r="H175" s="59"/>
    </row>
    <row r="176" spans="2:8" x14ac:dyDescent="0.25">
      <c r="B176" s="3"/>
      <c r="C176" s="3"/>
      <c r="D176" s="3"/>
      <c r="E176" s="3"/>
      <c r="F176" s="4"/>
      <c r="G176" s="249"/>
      <c r="H176" s="194">
        <f t="shared" ref="H176" si="37">SUM(H158:H175)</f>
        <v>0</v>
      </c>
    </row>
    <row r="177" spans="2:8" x14ac:dyDescent="0.25">
      <c r="B177" s="3"/>
      <c r="C177" s="3"/>
      <c r="D177" s="3"/>
      <c r="E177" s="3"/>
      <c r="F177" s="4"/>
      <c r="G177" s="250"/>
      <c r="H177" s="195">
        <f>0.04*H176</f>
        <v>0</v>
      </c>
    </row>
    <row r="178" spans="2:8" x14ac:dyDescent="0.25">
      <c r="B178" s="3"/>
      <c r="C178" s="3"/>
      <c r="D178" s="3"/>
      <c r="E178" s="3"/>
      <c r="F178" s="4"/>
      <c r="G178" s="251"/>
      <c r="H178" s="196">
        <f t="shared" ref="H178" si="38">H177+H176</f>
        <v>0</v>
      </c>
    </row>
    <row r="179" spans="2:8" x14ac:dyDescent="0.25">
      <c r="B179" s="3"/>
      <c r="C179" s="3"/>
      <c r="D179" s="3"/>
      <c r="E179" s="3"/>
      <c r="F179" s="74"/>
      <c r="G179" s="251"/>
      <c r="H179" s="195">
        <f t="shared" ref="H179" si="39">0.1*H178</f>
        <v>0</v>
      </c>
    </row>
    <row r="180" spans="2:8" x14ac:dyDescent="0.25">
      <c r="B180" s="3"/>
      <c r="C180" s="3"/>
      <c r="D180" s="3"/>
      <c r="E180" s="3"/>
      <c r="F180" s="74"/>
      <c r="G180" s="250"/>
      <c r="H180" s="194">
        <f t="shared" ref="H180" si="40">H179+H178</f>
        <v>0</v>
      </c>
    </row>
    <row r="181" spans="2:8" x14ac:dyDescent="0.25">
      <c r="B181" s="3"/>
      <c r="C181" s="3"/>
      <c r="D181" s="3"/>
      <c r="E181" s="3"/>
      <c r="F181" s="75"/>
      <c r="G181" s="250"/>
      <c r="H181" s="194"/>
    </row>
    <row r="182" spans="2:8" x14ac:dyDescent="0.25">
      <c r="B182" s="3"/>
      <c r="C182" s="3"/>
      <c r="D182" s="3"/>
      <c r="E182" s="3"/>
      <c r="F182" s="75"/>
      <c r="G182" s="252"/>
      <c r="H182" s="197">
        <f t="shared" ref="H182" si="41">ROUNDDOWN(H180,-4)</f>
        <v>0</v>
      </c>
    </row>
    <row r="183" spans="2:8" x14ac:dyDescent="0.25">
      <c r="B183" s="3"/>
      <c r="C183" s="3"/>
      <c r="D183" s="3"/>
      <c r="E183" s="3"/>
      <c r="F183" s="75"/>
      <c r="G183" s="252"/>
      <c r="H183" s="197"/>
    </row>
    <row r="184" spans="2:8" x14ac:dyDescent="0.25">
      <c r="B184" s="3"/>
      <c r="C184" s="3"/>
      <c r="D184" s="3"/>
      <c r="E184" s="3"/>
      <c r="F184" s="77" t="s">
        <v>162</v>
      </c>
      <c r="G184" s="240"/>
      <c r="H184" s="75">
        <v>39</v>
      </c>
    </row>
    <row r="185" spans="2:8" x14ac:dyDescent="0.25">
      <c r="B185" s="3"/>
      <c r="C185" s="3"/>
      <c r="D185" s="3"/>
      <c r="E185" s="3"/>
      <c r="F185" s="77"/>
      <c r="G185" s="240"/>
      <c r="H185" s="72"/>
    </row>
    <row r="186" spans="2:8" x14ac:dyDescent="0.25">
      <c r="B186" s="3"/>
      <c r="C186" s="3"/>
      <c r="D186" s="3"/>
      <c r="E186" s="78" t="s">
        <v>163</v>
      </c>
      <c r="F186" s="77" t="s">
        <v>164</v>
      </c>
      <c r="G186" s="240"/>
      <c r="H186" s="79">
        <f>ROUNDDOWN(H178/H184,-3)</f>
        <v>0</v>
      </c>
    </row>
    <row r="188" spans="2:8" x14ac:dyDescent="0.25">
      <c r="C188" s="198"/>
      <c r="D188" s="198"/>
      <c r="E188" s="237"/>
      <c r="F188" s="264"/>
      <c r="G188" s="253"/>
    </row>
    <row r="189" spans="2:8" x14ac:dyDescent="0.25">
      <c r="C189" s="200"/>
      <c r="D189" s="200"/>
      <c r="E189" s="201"/>
      <c r="F189" s="201"/>
      <c r="G189" s="254"/>
    </row>
    <row r="190" spans="2:8" x14ac:dyDescent="0.25">
      <c r="C190" s="200"/>
      <c r="D190" s="200"/>
      <c r="E190" s="201"/>
      <c r="F190" s="201"/>
      <c r="G190" s="254"/>
    </row>
    <row r="191" spans="2:8" x14ac:dyDescent="0.25">
      <c r="C191" s="200"/>
      <c r="D191" s="200"/>
      <c r="E191" s="201"/>
      <c r="F191" s="201"/>
      <c r="G191" s="254"/>
    </row>
    <row r="192" spans="2:8" x14ac:dyDescent="0.25">
      <c r="C192" s="200"/>
      <c r="D192" s="200"/>
      <c r="E192" s="201"/>
      <c r="F192" s="201"/>
      <c r="G192" s="254"/>
    </row>
    <row r="193" spans="3:8" x14ac:dyDescent="0.25">
      <c r="C193" s="202"/>
      <c r="D193" s="205"/>
      <c r="F193" s="265"/>
      <c r="G193" s="265"/>
      <c r="H193" s="262"/>
    </row>
    <row r="194" spans="3:8" x14ac:dyDescent="0.25">
      <c r="C194" s="203"/>
      <c r="D194" s="206"/>
      <c r="F194" s="263"/>
      <c r="G194" s="263"/>
      <c r="H194" s="261"/>
    </row>
  </sheetData>
  <mergeCells count="4">
    <mergeCell ref="B5:B6"/>
    <mergeCell ref="C5:C6"/>
    <mergeCell ref="D5:D6"/>
    <mergeCell ref="E5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30"/>
  <sheetViews>
    <sheetView topLeftCell="B1" zoomScaleNormal="100" zoomScaleSheetLayoutView="100" workbookViewId="0">
      <pane xSplit="5" ySplit="6" topLeftCell="G7" activePane="bottomRight" state="frozen"/>
      <selection activeCell="B1" sqref="B1"/>
      <selection pane="topRight" activeCell="G1" sqref="G1"/>
      <selection pane="bottomLeft" activeCell="B7" sqref="B7"/>
      <selection pane="bottomRight" activeCell="G9" sqref="G9"/>
    </sheetView>
  </sheetViews>
  <sheetFormatPr defaultRowHeight="15" x14ac:dyDescent="0.25"/>
  <cols>
    <col min="1" max="1" width="2.85546875" customWidth="1"/>
    <col min="2" max="2" width="3.5703125" customWidth="1"/>
    <col min="3" max="3" width="48.7109375" customWidth="1"/>
    <col min="4" max="4" width="13.85546875" customWidth="1"/>
    <col min="5" max="5" width="5.140625" customWidth="1"/>
    <col min="6" max="6" width="9.7109375" bestFit="1" customWidth="1"/>
    <col min="7" max="7" width="14.5703125" customWidth="1"/>
    <col min="8" max="8" width="15.7109375" customWidth="1"/>
  </cols>
  <sheetData>
    <row r="1" spans="2:8" ht="18" x14ac:dyDescent="0.25">
      <c r="B1" s="82" t="s">
        <v>0</v>
      </c>
      <c r="C1" s="83"/>
      <c r="D1" s="83"/>
      <c r="E1" s="84"/>
      <c r="F1" s="85"/>
      <c r="G1" s="86"/>
      <c r="H1" s="86"/>
    </row>
    <row r="2" spans="2:8" ht="18" x14ac:dyDescent="0.25">
      <c r="B2" s="82" t="s">
        <v>1</v>
      </c>
      <c r="C2" s="83"/>
      <c r="D2" s="83"/>
      <c r="E2" s="84"/>
      <c r="F2" s="85"/>
      <c r="G2" s="86"/>
      <c r="H2" s="86"/>
    </row>
    <row r="3" spans="2:8" ht="18" x14ac:dyDescent="0.25">
      <c r="B3" s="82" t="s">
        <v>2</v>
      </c>
      <c r="C3" s="83"/>
      <c r="D3" s="83"/>
      <c r="E3" s="84"/>
      <c r="F3" s="85"/>
      <c r="G3" s="86"/>
      <c r="H3" s="86"/>
    </row>
    <row r="4" spans="2:8" ht="18.75" x14ac:dyDescent="0.3">
      <c r="B4" s="84"/>
      <c r="C4" s="87"/>
      <c r="D4" s="87"/>
      <c r="E4" s="84"/>
      <c r="F4" s="58"/>
      <c r="G4" s="88"/>
      <c r="H4" s="88"/>
    </row>
    <row r="5" spans="2:8" x14ac:dyDescent="0.25">
      <c r="B5" s="273" t="s">
        <v>4</v>
      </c>
      <c r="C5" s="273" t="s">
        <v>5</v>
      </c>
      <c r="D5" s="273" t="s">
        <v>261</v>
      </c>
      <c r="E5" s="273" t="s">
        <v>6</v>
      </c>
      <c r="F5" s="89" t="s">
        <v>7</v>
      </c>
      <c r="G5" s="266" t="s">
        <v>347</v>
      </c>
      <c r="H5" s="266" t="s">
        <v>348</v>
      </c>
    </row>
    <row r="6" spans="2:8" ht="15.75" thickBot="1" x14ac:dyDescent="0.3">
      <c r="B6" s="274"/>
      <c r="C6" s="274"/>
      <c r="D6" s="274"/>
      <c r="E6" s="274"/>
      <c r="F6" s="90" t="s">
        <v>172</v>
      </c>
      <c r="G6" s="193" t="s">
        <v>322</v>
      </c>
      <c r="H6" s="193" t="s">
        <v>322</v>
      </c>
    </row>
    <row r="7" spans="2:8" ht="16.5" thickTop="1" x14ac:dyDescent="0.25">
      <c r="B7" s="91"/>
      <c r="C7" s="92"/>
      <c r="D7" s="92"/>
      <c r="E7" s="93"/>
      <c r="F7" s="15"/>
      <c r="G7" s="94"/>
      <c r="H7" s="94"/>
    </row>
    <row r="8" spans="2:8" x14ac:dyDescent="0.25">
      <c r="B8" s="95" t="s">
        <v>10</v>
      </c>
      <c r="C8" s="96" t="s">
        <v>11</v>
      </c>
      <c r="D8" s="96"/>
      <c r="E8" s="97"/>
      <c r="F8" s="20"/>
      <c r="G8" s="98"/>
      <c r="H8" s="98"/>
    </row>
    <row r="9" spans="2:8" x14ac:dyDescent="0.25">
      <c r="B9" s="99">
        <v>1</v>
      </c>
      <c r="C9" s="33" t="s">
        <v>12</v>
      </c>
      <c r="D9" s="33"/>
      <c r="E9" s="100" t="s">
        <v>13</v>
      </c>
      <c r="F9" s="25">
        <f>8*2+8*2</f>
        <v>32</v>
      </c>
      <c r="G9" s="101">
        <v>0</v>
      </c>
      <c r="H9" s="102">
        <f t="shared" ref="H9:H14" si="0">G9*F9</f>
        <v>0</v>
      </c>
    </row>
    <row r="10" spans="2:8" x14ac:dyDescent="0.25">
      <c r="B10" s="33">
        <v>2</v>
      </c>
      <c r="C10" s="33" t="s">
        <v>14</v>
      </c>
      <c r="D10" s="33"/>
      <c r="E10" s="100" t="s">
        <v>15</v>
      </c>
      <c r="F10" s="25">
        <v>1</v>
      </c>
      <c r="G10" s="101">
        <v>0</v>
      </c>
      <c r="H10" s="102">
        <f t="shared" si="0"/>
        <v>0</v>
      </c>
    </row>
    <row r="11" spans="2:8" x14ac:dyDescent="0.25">
      <c r="B11" s="33">
        <v>3</v>
      </c>
      <c r="C11" s="33" t="s">
        <v>16</v>
      </c>
      <c r="D11" s="33"/>
      <c r="E11" s="100" t="s">
        <v>15</v>
      </c>
      <c r="F11" s="25">
        <v>1</v>
      </c>
      <c r="G11" s="101">
        <v>0</v>
      </c>
      <c r="H11" s="102">
        <f t="shared" si="0"/>
        <v>0</v>
      </c>
    </row>
    <row r="12" spans="2:8" x14ac:dyDescent="0.25">
      <c r="B12" s="33">
        <v>4</v>
      </c>
      <c r="C12" s="33" t="s">
        <v>17</v>
      </c>
      <c r="D12" s="33"/>
      <c r="E12" s="100" t="s">
        <v>15</v>
      </c>
      <c r="F12" s="25">
        <v>1</v>
      </c>
      <c r="G12" s="101">
        <v>0</v>
      </c>
      <c r="H12" s="102">
        <f t="shared" si="0"/>
        <v>0</v>
      </c>
    </row>
    <row r="13" spans="2:8" x14ac:dyDescent="0.25">
      <c r="B13" s="99">
        <v>5</v>
      </c>
      <c r="C13" s="33" t="s">
        <v>18</v>
      </c>
      <c r="D13" s="33"/>
      <c r="E13" s="100" t="s">
        <v>19</v>
      </c>
      <c r="F13" s="25">
        <f>1*(3*4)+2*(3*5)-0.5*2*4+0.5*1</f>
        <v>38.5</v>
      </c>
      <c r="G13" s="101">
        <v>0</v>
      </c>
      <c r="H13" s="102">
        <f t="shared" si="0"/>
        <v>0</v>
      </c>
    </row>
    <row r="14" spans="2:8" x14ac:dyDescent="0.25">
      <c r="B14" s="99"/>
      <c r="C14" s="33" t="s">
        <v>20</v>
      </c>
      <c r="D14" s="33"/>
      <c r="E14" s="100" t="s">
        <v>19</v>
      </c>
      <c r="F14" s="25">
        <f>3*6+3*3+4*5</f>
        <v>47</v>
      </c>
      <c r="G14" s="101">
        <v>0</v>
      </c>
      <c r="H14" s="102">
        <f t="shared" si="0"/>
        <v>0</v>
      </c>
    </row>
    <row r="15" spans="2:8" x14ac:dyDescent="0.25">
      <c r="B15" s="103"/>
      <c r="C15" s="104" t="s">
        <v>152</v>
      </c>
      <c r="D15" s="104"/>
      <c r="E15" s="105"/>
      <c r="F15" s="106"/>
      <c r="G15" s="101">
        <v>0</v>
      </c>
      <c r="H15" s="107">
        <f t="shared" ref="H15" si="1">SUM(H9:H14)</f>
        <v>0</v>
      </c>
    </row>
    <row r="16" spans="2:8" x14ac:dyDescent="0.25">
      <c r="B16" s="33"/>
      <c r="C16" s="33"/>
      <c r="D16" s="33"/>
      <c r="E16" s="100"/>
      <c r="F16" s="108"/>
      <c r="G16" s="101">
        <v>0</v>
      </c>
      <c r="H16" s="109"/>
    </row>
    <row r="17" spans="2:8" x14ac:dyDescent="0.25">
      <c r="B17" s="110" t="s">
        <v>21</v>
      </c>
      <c r="C17" s="111" t="s">
        <v>173</v>
      </c>
      <c r="D17" s="111"/>
      <c r="E17" s="100"/>
      <c r="F17" s="108"/>
      <c r="G17" s="101">
        <v>0</v>
      </c>
      <c r="H17" s="102"/>
    </row>
    <row r="18" spans="2:8" x14ac:dyDescent="0.25">
      <c r="B18" s="99">
        <v>1</v>
      </c>
      <c r="C18" s="33" t="s">
        <v>23</v>
      </c>
      <c r="D18" s="33"/>
      <c r="E18" s="100" t="s">
        <v>24</v>
      </c>
      <c r="F18" s="25">
        <f>0.7*0.8*(3*9)+0.6*0.6*(3*2+2.25)</f>
        <v>18.09</v>
      </c>
      <c r="G18" s="101">
        <v>0</v>
      </c>
      <c r="H18" s="102">
        <f>G18*F18</f>
        <v>0</v>
      </c>
    </row>
    <row r="19" spans="2:8" x14ac:dyDescent="0.25">
      <c r="B19" s="99">
        <v>2</v>
      </c>
      <c r="C19" s="33" t="s">
        <v>25</v>
      </c>
      <c r="D19" s="33"/>
      <c r="E19" s="100" t="s">
        <v>24</v>
      </c>
      <c r="F19" s="25">
        <f>F18-F26-F31-F32</f>
        <v>7.5712499999999991</v>
      </c>
      <c r="G19" s="101">
        <v>0</v>
      </c>
      <c r="H19" s="102">
        <f>G19*F19</f>
        <v>0</v>
      </c>
    </row>
    <row r="20" spans="2:8" x14ac:dyDescent="0.25">
      <c r="B20" s="99">
        <v>3</v>
      </c>
      <c r="C20" s="33" t="s">
        <v>26</v>
      </c>
      <c r="D20" s="33"/>
      <c r="E20" s="100" t="s">
        <v>24</v>
      </c>
      <c r="F20" s="25">
        <f>0.05*(3*3+3*6+1.4*3+3)+0.05*0.6*(3*11.5)</f>
        <v>2.7450000000000001</v>
      </c>
      <c r="G20" s="101">
        <v>0</v>
      </c>
      <c r="H20" s="102">
        <f>G20*F20</f>
        <v>0</v>
      </c>
    </row>
    <row r="21" spans="2:8" x14ac:dyDescent="0.25">
      <c r="B21" s="99">
        <v>4</v>
      </c>
      <c r="C21" s="33" t="s">
        <v>174</v>
      </c>
      <c r="D21" s="33"/>
      <c r="E21" s="100" t="s">
        <v>24</v>
      </c>
      <c r="F21" s="25">
        <f>(3*3+3*6+1.4*3+3)</f>
        <v>34.200000000000003</v>
      </c>
      <c r="G21" s="101">
        <v>0</v>
      </c>
      <c r="H21" s="102">
        <f>G21*F21</f>
        <v>0</v>
      </c>
    </row>
    <row r="22" spans="2:8" x14ac:dyDescent="0.25">
      <c r="B22" s="99">
        <v>5</v>
      </c>
      <c r="C22" s="33" t="s">
        <v>27</v>
      </c>
      <c r="D22" s="33"/>
      <c r="E22" s="100" t="s">
        <v>24</v>
      </c>
      <c r="F22" s="25">
        <f>0.04*(3*3+3*6+1.4*3+3)</f>
        <v>1.3680000000000001</v>
      </c>
      <c r="G22" s="101">
        <v>0</v>
      </c>
      <c r="H22" s="102">
        <f>G22*F22</f>
        <v>0</v>
      </c>
    </row>
    <row r="23" spans="2:8" x14ac:dyDescent="0.25">
      <c r="B23" s="103"/>
      <c r="C23" s="104" t="s">
        <v>152</v>
      </c>
      <c r="D23" s="104"/>
      <c r="E23" s="105"/>
      <c r="F23" s="112"/>
      <c r="G23" s="101">
        <v>0</v>
      </c>
      <c r="H23" s="107">
        <f t="shared" ref="H23" si="2">SUM(H18:H22)</f>
        <v>0</v>
      </c>
    </row>
    <row r="24" spans="2:8" x14ac:dyDescent="0.25">
      <c r="B24" s="33"/>
      <c r="C24" s="33"/>
      <c r="D24" s="33"/>
      <c r="E24" s="100"/>
      <c r="F24" s="25"/>
      <c r="G24" s="101">
        <v>0</v>
      </c>
      <c r="H24" s="109"/>
    </row>
    <row r="25" spans="2:8" x14ac:dyDescent="0.25">
      <c r="B25" s="110" t="s">
        <v>28</v>
      </c>
      <c r="C25" s="111" t="s">
        <v>29</v>
      </c>
      <c r="D25" s="111"/>
      <c r="E25" s="33"/>
      <c r="F25" s="25"/>
      <c r="G25" s="101">
        <v>0</v>
      </c>
      <c r="H25" s="102"/>
    </row>
    <row r="26" spans="2:8" x14ac:dyDescent="0.25">
      <c r="B26" s="99">
        <v>1</v>
      </c>
      <c r="C26" s="33" t="s">
        <v>175</v>
      </c>
      <c r="D26" s="33"/>
      <c r="E26" s="100" t="s">
        <v>24</v>
      </c>
      <c r="F26" s="25">
        <f>0.425*0.6*(3*9.5)+0.375*0.5*(4.5)</f>
        <v>8.1112500000000001</v>
      </c>
      <c r="G26" s="101">
        <v>0</v>
      </c>
      <c r="H26" s="102">
        <f>G26*F26</f>
        <v>0</v>
      </c>
    </row>
    <row r="27" spans="2:8" x14ac:dyDescent="0.25">
      <c r="B27" s="99">
        <v>2</v>
      </c>
      <c r="C27" s="33" t="s">
        <v>31</v>
      </c>
      <c r="D27" s="33"/>
      <c r="E27" s="100" t="s">
        <v>168</v>
      </c>
      <c r="F27" s="25">
        <f>7</f>
        <v>7</v>
      </c>
      <c r="G27" s="101">
        <v>0</v>
      </c>
      <c r="H27" s="102">
        <f>G27*F27</f>
        <v>0</v>
      </c>
    </row>
    <row r="28" spans="2:8" x14ac:dyDescent="0.25">
      <c r="B28" s="113"/>
      <c r="C28" s="104" t="s">
        <v>152</v>
      </c>
      <c r="D28" s="104"/>
      <c r="E28" s="105"/>
      <c r="F28" s="106"/>
      <c r="G28" s="101">
        <v>0</v>
      </c>
      <c r="H28" s="107">
        <f t="shared" ref="H28" si="3">SUM(H26:H27)</f>
        <v>0</v>
      </c>
    </row>
    <row r="29" spans="2:8" x14ac:dyDescent="0.25">
      <c r="B29" s="110"/>
      <c r="C29" s="33"/>
      <c r="D29" s="33"/>
      <c r="E29" s="100"/>
      <c r="F29" s="108"/>
      <c r="G29" s="101">
        <v>0</v>
      </c>
      <c r="H29" s="109"/>
    </row>
    <row r="30" spans="2:8" x14ac:dyDescent="0.25">
      <c r="B30" s="110" t="s">
        <v>33</v>
      </c>
      <c r="C30" s="111" t="s">
        <v>34</v>
      </c>
      <c r="D30" s="111"/>
      <c r="E30" s="33"/>
      <c r="F30" s="25"/>
      <c r="G30" s="101">
        <v>0</v>
      </c>
      <c r="H30" s="102"/>
    </row>
    <row r="31" spans="2:8" x14ac:dyDescent="0.25">
      <c r="B31" s="99">
        <v>1</v>
      </c>
      <c r="C31" s="33" t="s">
        <v>176</v>
      </c>
      <c r="D31" s="33"/>
      <c r="E31" s="100" t="s">
        <v>24</v>
      </c>
      <c r="F31" s="114">
        <f>0.25*(0.8*0.8*6)</f>
        <v>0.96000000000000019</v>
      </c>
      <c r="G31" s="101">
        <v>0</v>
      </c>
      <c r="H31" s="102">
        <f t="shared" ref="H31:H42" si="4">G31*F31</f>
        <v>0</v>
      </c>
    </row>
    <row r="32" spans="2:8" x14ac:dyDescent="0.25">
      <c r="B32" s="99">
        <v>2</v>
      </c>
      <c r="C32" s="33" t="s">
        <v>177</v>
      </c>
      <c r="D32" s="33"/>
      <c r="E32" s="100" t="s">
        <v>24</v>
      </c>
      <c r="F32" s="38">
        <f>0.15*0.25*(3*9)+0.15*0.2*8.5+0.15*0.2*6</f>
        <v>1.4475</v>
      </c>
      <c r="G32" s="101">
        <v>0</v>
      </c>
      <c r="H32" s="102">
        <f t="shared" si="4"/>
        <v>0</v>
      </c>
    </row>
    <row r="33" spans="2:8" x14ac:dyDescent="0.25">
      <c r="B33" s="99">
        <v>3</v>
      </c>
      <c r="C33" s="115" t="s">
        <v>178</v>
      </c>
      <c r="D33" s="115"/>
      <c r="E33" s="100" t="s">
        <v>24</v>
      </c>
      <c r="F33" s="47">
        <f>0.2*0.35*(6+4)+0.2*0.3*(3*6)+0.15*0.25*(7)+0.15*0.3*6</f>
        <v>2.3125</v>
      </c>
      <c r="G33" s="101">
        <v>0</v>
      </c>
      <c r="H33" s="102">
        <f t="shared" si="4"/>
        <v>0</v>
      </c>
    </row>
    <row r="34" spans="2:8" x14ac:dyDescent="0.25">
      <c r="B34" s="99">
        <v>4</v>
      </c>
      <c r="C34" s="33" t="s">
        <v>179</v>
      </c>
      <c r="D34" s="33"/>
      <c r="E34" s="100" t="s">
        <v>24</v>
      </c>
      <c r="F34" s="25">
        <f>0.15*0.25*(3*9+1*4+6)+0.15*0.25*4*6</f>
        <v>2.2874999999999996</v>
      </c>
      <c r="G34" s="101">
        <v>0</v>
      </c>
      <c r="H34" s="102">
        <f t="shared" si="4"/>
        <v>0</v>
      </c>
    </row>
    <row r="35" spans="2:8" x14ac:dyDescent="0.25">
      <c r="B35" s="99">
        <v>5</v>
      </c>
      <c r="C35" s="33" t="s">
        <v>180</v>
      </c>
      <c r="D35" s="33"/>
      <c r="E35" s="100" t="s">
        <v>24</v>
      </c>
      <c r="F35" s="25"/>
      <c r="G35" s="101">
        <v>0</v>
      </c>
      <c r="H35" s="102">
        <f t="shared" si="4"/>
        <v>0</v>
      </c>
    </row>
    <row r="36" spans="2:8" x14ac:dyDescent="0.25">
      <c r="B36" s="99">
        <v>6</v>
      </c>
      <c r="C36" s="33" t="s">
        <v>181</v>
      </c>
      <c r="D36" s="33"/>
      <c r="E36" s="100" t="s">
        <v>24</v>
      </c>
      <c r="F36" s="25">
        <f>0.15*0.35*7*4.5</f>
        <v>1.6537500000000001</v>
      </c>
      <c r="G36" s="101">
        <v>0</v>
      </c>
      <c r="H36" s="102">
        <f t="shared" si="4"/>
        <v>0</v>
      </c>
    </row>
    <row r="37" spans="2:8" x14ac:dyDescent="0.25">
      <c r="B37" s="99">
        <v>7</v>
      </c>
      <c r="C37" s="33" t="s">
        <v>182</v>
      </c>
      <c r="D37" s="33"/>
      <c r="E37" s="100" t="s">
        <v>24</v>
      </c>
      <c r="F37" s="25">
        <f>0.15*0.25*3.5*7+0.15*0.2*3.5*3</f>
        <v>1.2337500000000001</v>
      </c>
      <c r="G37" s="101">
        <v>0</v>
      </c>
      <c r="H37" s="102">
        <f t="shared" si="4"/>
        <v>0</v>
      </c>
    </row>
    <row r="38" spans="2:8" x14ac:dyDescent="0.25">
      <c r="B38" s="99">
        <v>8</v>
      </c>
      <c r="C38" s="115" t="s">
        <v>183</v>
      </c>
      <c r="D38" s="115"/>
      <c r="E38" s="100" t="s">
        <v>24</v>
      </c>
      <c r="F38" s="25">
        <f>0.13*0.2*(3.5*2)+0.13*0.13*(2.5*4)+0.13*0.13*(3.5*4)</f>
        <v>0.58760000000000012</v>
      </c>
      <c r="G38" s="101">
        <v>0</v>
      </c>
      <c r="H38" s="102">
        <f t="shared" si="4"/>
        <v>0</v>
      </c>
    </row>
    <row r="39" spans="2:8" x14ac:dyDescent="0.25">
      <c r="B39" s="99">
        <v>9</v>
      </c>
      <c r="C39" s="115" t="s">
        <v>184</v>
      </c>
      <c r="D39" s="115"/>
      <c r="E39" s="100" t="s">
        <v>24</v>
      </c>
      <c r="F39" s="25">
        <f>0.12*(3*6+1*5-1.15*3-1.1*1)</f>
        <v>2.214</v>
      </c>
      <c r="G39" s="101">
        <v>0</v>
      </c>
      <c r="H39" s="102">
        <f t="shared" si="4"/>
        <v>0</v>
      </c>
    </row>
    <row r="40" spans="2:8" x14ac:dyDescent="0.25">
      <c r="B40" s="99">
        <v>10</v>
      </c>
      <c r="C40" s="115" t="s">
        <v>185</v>
      </c>
      <c r="D40" s="115"/>
      <c r="E40" s="100" t="s">
        <v>24</v>
      </c>
      <c r="F40" s="25">
        <f>0.15*(1.25*1.75*3)+0.5*0.2*1.25*23*0.3</f>
        <v>1.8468749999999998</v>
      </c>
      <c r="G40" s="101">
        <v>0</v>
      </c>
      <c r="H40" s="102">
        <f t="shared" si="4"/>
        <v>0</v>
      </c>
    </row>
    <row r="41" spans="2:8" x14ac:dyDescent="0.25">
      <c r="B41" s="99">
        <v>11</v>
      </c>
      <c r="C41" s="115" t="s">
        <v>186</v>
      </c>
      <c r="D41" s="115"/>
      <c r="E41" s="100" t="s">
        <v>24</v>
      </c>
      <c r="F41" s="25">
        <f>0.15*(0.3*7+1.25*3+0.3*6)+0.12*1.5*3</f>
        <v>1.6875</v>
      </c>
      <c r="G41" s="101">
        <v>0</v>
      </c>
      <c r="H41" s="102">
        <f t="shared" si="4"/>
        <v>0</v>
      </c>
    </row>
    <row r="42" spans="2:8" x14ac:dyDescent="0.25">
      <c r="B42" s="99"/>
      <c r="C42" s="33" t="s">
        <v>187</v>
      </c>
      <c r="D42" s="33"/>
      <c r="E42" s="100" t="s">
        <v>24</v>
      </c>
      <c r="F42" s="25">
        <v>0.12</v>
      </c>
      <c r="G42" s="101">
        <v>0</v>
      </c>
      <c r="H42" s="102">
        <f t="shared" si="4"/>
        <v>0</v>
      </c>
    </row>
    <row r="43" spans="2:8" x14ac:dyDescent="0.25">
      <c r="B43" s="116"/>
      <c r="C43" s="104" t="s">
        <v>152</v>
      </c>
      <c r="D43" s="104"/>
      <c r="E43" s="117"/>
      <c r="F43" s="118"/>
      <c r="G43" s="101">
        <v>0</v>
      </c>
      <c r="H43" s="107">
        <f t="shared" ref="H43" si="5">SUM(H31:H42)</f>
        <v>0</v>
      </c>
    </row>
    <row r="44" spans="2:8" x14ac:dyDescent="0.25">
      <c r="B44" s="110"/>
      <c r="C44" s="33"/>
      <c r="D44" s="33"/>
      <c r="E44" s="100"/>
      <c r="F44" s="108"/>
      <c r="G44" s="101">
        <v>0</v>
      </c>
      <c r="H44" s="109"/>
    </row>
    <row r="45" spans="2:8" x14ac:dyDescent="0.25">
      <c r="B45" s="110" t="s">
        <v>44</v>
      </c>
      <c r="C45" s="111" t="s">
        <v>45</v>
      </c>
      <c r="D45" s="111"/>
      <c r="E45" s="100"/>
      <c r="F45" s="108"/>
      <c r="G45" s="101">
        <v>0</v>
      </c>
      <c r="H45" s="102"/>
    </row>
    <row r="46" spans="2:8" x14ac:dyDescent="0.25">
      <c r="B46" s="99">
        <v>1</v>
      </c>
      <c r="C46" s="33" t="s">
        <v>305</v>
      </c>
      <c r="D46" s="33" t="s">
        <v>306</v>
      </c>
      <c r="E46" s="100" t="s">
        <v>19</v>
      </c>
      <c r="F46" s="25">
        <f>3</f>
        <v>3</v>
      </c>
      <c r="G46" s="101">
        <v>0</v>
      </c>
      <c r="H46" s="102">
        <f t="shared" ref="H46:H55" si="6">G46*F46</f>
        <v>0</v>
      </c>
    </row>
    <row r="47" spans="2:8" x14ac:dyDescent="0.25">
      <c r="B47" s="99">
        <v>2</v>
      </c>
      <c r="C47" s="33" t="s">
        <v>307</v>
      </c>
      <c r="D47" s="33" t="s">
        <v>306</v>
      </c>
      <c r="E47" s="100" t="s">
        <v>19</v>
      </c>
      <c r="F47" s="25">
        <f>1.4*3</f>
        <v>4.1999999999999993</v>
      </c>
      <c r="G47" s="101">
        <v>0</v>
      </c>
      <c r="H47" s="102">
        <f t="shared" si="6"/>
        <v>0</v>
      </c>
    </row>
    <row r="48" spans="2:8" x14ac:dyDescent="0.25">
      <c r="B48" s="99">
        <v>3</v>
      </c>
      <c r="C48" s="33" t="s">
        <v>47</v>
      </c>
      <c r="D48" s="33" t="s">
        <v>308</v>
      </c>
      <c r="E48" s="100"/>
      <c r="F48" s="25"/>
      <c r="G48" s="101">
        <v>0</v>
      </c>
      <c r="H48" s="102">
        <f t="shared" si="6"/>
        <v>0</v>
      </c>
    </row>
    <row r="49" spans="2:8" x14ac:dyDescent="0.25">
      <c r="B49" s="99"/>
      <c r="C49" s="33" t="s">
        <v>264</v>
      </c>
      <c r="D49" s="33"/>
      <c r="E49" s="100" t="s">
        <v>19</v>
      </c>
      <c r="F49" s="25">
        <f>3*5+3*3+2.65*5+1.1*1.25</f>
        <v>38.625</v>
      </c>
      <c r="G49" s="101">
        <v>0</v>
      </c>
      <c r="H49" s="102">
        <f t="shared" si="6"/>
        <v>0</v>
      </c>
    </row>
    <row r="50" spans="2:8" x14ac:dyDescent="0.25">
      <c r="B50" s="99">
        <v>4</v>
      </c>
      <c r="C50" s="33" t="s">
        <v>309</v>
      </c>
      <c r="D50" s="33" t="s">
        <v>310</v>
      </c>
      <c r="E50" s="100" t="s">
        <v>19</v>
      </c>
      <c r="F50" s="25">
        <f>1.25*1.1</f>
        <v>1.375</v>
      </c>
      <c r="G50" s="101">
        <v>0</v>
      </c>
      <c r="H50" s="102">
        <f t="shared" si="6"/>
        <v>0</v>
      </c>
    </row>
    <row r="51" spans="2:8" x14ac:dyDescent="0.25">
      <c r="B51" s="99">
        <v>5</v>
      </c>
      <c r="C51" s="33" t="s">
        <v>311</v>
      </c>
      <c r="D51" s="33" t="s">
        <v>313</v>
      </c>
      <c r="E51" s="100" t="s">
        <v>19</v>
      </c>
      <c r="F51" s="25">
        <f>1.35*3</f>
        <v>4.0500000000000007</v>
      </c>
      <c r="G51" s="101">
        <v>0</v>
      </c>
      <c r="H51" s="102">
        <f t="shared" si="6"/>
        <v>0</v>
      </c>
    </row>
    <row r="52" spans="2:8" x14ac:dyDescent="0.25">
      <c r="B52" s="99">
        <v>5</v>
      </c>
      <c r="C52" s="33" t="s">
        <v>312</v>
      </c>
      <c r="D52" s="33"/>
      <c r="E52" s="100" t="s">
        <v>19</v>
      </c>
      <c r="F52" s="25">
        <v>0</v>
      </c>
      <c r="G52" s="101">
        <v>0</v>
      </c>
      <c r="H52" s="102">
        <f t="shared" si="6"/>
        <v>0</v>
      </c>
    </row>
    <row r="53" spans="2:8" x14ac:dyDescent="0.25">
      <c r="B53" s="99">
        <v>6</v>
      </c>
      <c r="C53" s="33" t="s">
        <v>188</v>
      </c>
      <c r="D53" s="33" t="s">
        <v>308</v>
      </c>
      <c r="E53" s="100" t="s">
        <v>13</v>
      </c>
      <c r="F53" s="25">
        <f>3*4+8+6+2.65*2+5*2+1+1.5-(0.8*8)</f>
        <v>37.4</v>
      </c>
      <c r="G53" s="101">
        <v>0</v>
      </c>
      <c r="H53" s="102">
        <f t="shared" si="6"/>
        <v>0</v>
      </c>
    </row>
    <row r="54" spans="2:8" x14ac:dyDescent="0.25">
      <c r="B54" s="99">
        <v>7</v>
      </c>
      <c r="C54" s="33" t="s">
        <v>349</v>
      </c>
      <c r="D54" s="33"/>
      <c r="E54" s="100" t="s">
        <v>81</v>
      </c>
      <c r="F54" s="25">
        <v>1</v>
      </c>
      <c r="G54" s="101">
        <v>0</v>
      </c>
      <c r="H54" s="102">
        <f t="shared" si="6"/>
        <v>0</v>
      </c>
    </row>
    <row r="55" spans="2:8" x14ac:dyDescent="0.25">
      <c r="B55" s="99">
        <v>8</v>
      </c>
      <c r="C55" s="33" t="s">
        <v>49</v>
      </c>
      <c r="D55" s="33"/>
      <c r="E55" s="100" t="s">
        <v>19</v>
      </c>
      <c r="F55" s="25">
        <f>5.5*3</f>
        <v>16.5</v>
      </c>
      <c r="G55" s="101">
        <v>0</v>
      </c>
      <c r="H55" s="102">
        <f t="shared" si="6"/>
        <v>0</v>
      </c>
    </row>
    <row r="56" spans="2:8" x14ac:dyDescent="0.25">
      <c r="B56" s="113"/>
      <c r="C56" s="104" t="s">
        <v>152</v>
      </c>
      <c r="D56" s="104"/>
      <c r="E56" s="105"/>
      <c r="F56" s="106"/>
      <c r="G56" s="101">
        <v>0</v>
      </c>
      <c r="H56" s="107">
        <f t="shared" ref="H56" si="7">SUM(H46:H55)</f>
        <v>0</v>
      </c>
    </row>
    <row r="57" spans="2:8" x14ac:dyDescent="0.25">
      <c r="B57" s="110"/>
      <c r="C57" s="33"/>
      <c r="D57" s="33"/>
      <c r="E57" s="100"/>
      <c r="F57" s="108"/>
      <c r="G57" s="101">
        <v>0</v>
      </c>
      <c r="H57" s="109"/>
    </row>
    <row r="58" spans="2:8" x14ac:dyDescent="0.25">
      <c r="B58" s="110" t="s">
        <v>50</v>
      </c>
      <c r="C58" s="111" t="s">
        <v>51</v>
      </c>
      <c r="D58" s="111"/>
      <c r="E58" s="100"/>
      <c r="F58" s="25"/>
      <c r="G58" s="101">
        <v>0</v>
      </c>
      <c r="H58" s="102"/>
    </row>
    <row r="59" spans="2:8" x14ac:dyDescent="0.25">
      <c r="B59" s="99">
        <v>1</v>
      </c>
      <c r="C59" s="33" t="s">
        <v>350</v>
      </c>
      <c r="D59" s="33"/>
      <c r="E59" s="100" t="s">
        <v>19</v>
      </c>
      <c r="F59" s="119">
        <f>2.5*(1.85+0.85)</f>
        <v>6.75</v>
      </c>
      <c r="G59" s="101">
        <v>0</v>
      </c>
      <c r="H59" s="102">
        <f t="shared" ref="H59:H64" si="8">G59*F59</f>
        <v>0</v>
      </c>
    </row>
    <row r="60" spans="2:8" x14ac:dyDescent="0.25">
      <c r="B60" s="99">
        <v>2</v>
      </c>
      <c r="C60" s="33" t="s">
        <v>351</v>
      </c>
      <c r="D60" s="33" t="s">
        <v>313</v>
      </c>
      <c r="E60" s="100" t="s">
        <v>19</v>
      </c>
      <c r="F60" s="119">
        <f>3*(1.2*2+6)-(0.8*2.5+1.25*3)</f>
        <v>19.450000000000003</v>
      </c>
      <c r="G60" s="101">
        <v>0</v>
      </c>
      <c r="H60" s="102">
        <f t="shared" si="8"/>
        <v>0</v>
      </c>
    </row>
    <row r="61" spans="2:8" x14ac:dyDescent="0.25">
      <c r="B61" s="99">
        <v>3</v>
      </c>
      <c r="C61" s="33" t="s">
        <v>352</v>
      </c>
      <c r="D61" s="33"/>
      <c r="E61" s="100" t="s">
        <v>19</v>
      </c>
      <c r="F61" s="119">
        <v>0</v>
      </c>
      <c r="G61" s="101">
        <v>0</v>
      </c>
      <c r="H61" s="102">
        <f t="shared" si="8"/>
        <v>0</v>
      </c>
    </row>
    <row r="62" spans="2:8" x14ac:dyDescent="0.25">
      <c r="B62" s="99">
        <v>4</v>
      </c>
      <c r="C62" s="33" t="s">
        <v>353</v>
      </c>
      <c r="D62" s="33"/>
      <c r="E62" s="100" t="s">
        <v>19</v>
      </c>
      <c r="F62" s="119">
        <f>1.2*3</f>
        <v>3.5999999999999996</v>
      </c>
      <c r="G62" s="101">
        <v>0</v>
      </c>
      <c r="H62" s="102">
        <f t="shared" si="8"/>
        <v>0</v>
      </c>
    </row>
    <row r="63" spans="2:8" x14ac:dyDescent="0.25">
      <c r="B63" s="99">
        <v>5</v>
      </c>
      <c r="C63" s="33" t="s">
        <v>189</v>
      </c>
      <c r="D63" s="33"/>
      <c r="E63" s="100" t="s">
        <v>19</v>
      </c>
      <c r="F63" s="119">
        <f>0.8*1.4</f>
        <v>1.1199999999999999</v>
      </c>
      <c r="G63" s="101">
        <v>0</v>
      </c>
      <c r="H63" s="102">
        <f t="shared" si="8"/>
        <v>0</v>
      </c>
    </row>
    <row r="64" spans="2:8" x14ac:dyDescent="0.25">
      <c r="B64" s="99">
        <v>6</v>
      </c>
      <c r="C64" s="33" t="s">
        <v>190</v>
      </c>
      <c r="D64" s="33"/>
      <c r="E64" s="100" t="s">
        <v>19</v>
      </c>
      <c r="F64" s="119">
        <f>0.6*2</f>
        <v>1.2</v>
      </c>
      <c r="G64" s="101">
        <v>0</v>
      </c>
      <c r="H64" s="102">
        <f t="shared" si="8"/>
        <v>0</v>
      </c>
    </row>
    <row r="65" spans="2:8" x14ac:dyDescent="0.25">
      <c r="B65" s="120"/>
      <c r="C65" s="104" t="s">
        <v>152</v>
      </c>
      <c r="D65" s="104"/>
      <c r="E65" s="105"/>
      <c r="F65" s="112"/>
      <c r="G65" s="101">
        <v>0</v>
      </c>
      <c r="H65" s="107">
        <f t="shared" ref="H65" si="9">SUM(H59:H64)</f>
        <v>0</v>
      </c>
    </row>
    <row r="66" spans="2:8" x14ac:dyDescent="0.25">
      <c r="B66" s="99"/>
      <c r="C66" s="33"/>
      <c r="D66" s="33"/>
      <c r="E66" s="100"/>
      <c r="F66" s="121"/>
      <c r="G66" s="101">
        <v>0</v>
      </c>
      <c r="H66" s="109"/>
    </row>
    <row r="67" spans="2:8" x14ac:dyDescent="0.25">
      <c r="B67" s="110" t="s">
        <v>53</v>
      </c>
      <c r="C67" s="111" t="s">
        <v>54</v>
      </c>
      <c r="D67" s="111"/>
      <c r="E67" s="33"/>
      <c r="F67" s="121"/>
      <c r="G67" s="101">
        <v>0</v>
      </c>
      <c r="H67" s="102"/>
    </row>
    <row r="68" spans="2:8" x14ac:dyDescent="0.25">
      <c r="B68" s="33">
        <v>1</v>
      </c>
      <c r="C68" s="33" t="s">
        <v>55</v>
      </c>
      <c r="D68" s="33"/>
      <c r="E68" s="100" t="s">
        <v>19</v>
      </c>
      <c r="F68" s="122">
        <f>3*3+3*4.5+(3*6+1*5)+3</f>
        <v>48.5</v>
      </c>
      <c r="G68" s="101">
        <v>0</v>
      </c>
      <c r="H68" s="102">
        <f>G68*F68</f>
        <v>0</v>
      </c>
    </row>
    <row r="69" spans="2:8" x14ac:dyDescent="0.25">
      <c r="B69" s="99">
        <v>2</v>
      </c>
      <c r="C69" s="33" t="s">
        <v>58</v>
      </c>
      <c r="D69" s="33"/>
      <c r="E69" s="100" t="s">
        <v>19</v>
      </c>
      <c r="F69" s="122">
        <f>1*3+1*6*2+1*1.5</f>
        <v>16.5</v>
      </c>
      <c r="G69" s="101">
        <v>0</v>
      </c>
      <c r="H69" s="102">
        <f>G69*F69</f>
        <v>0</v>
      </c>
    </row>
    <row r="70" spans="2:8" x14ac:dyDescent="0.25">
      <c r="B70" s="33">
        <v>3</v>
      </c>
      <c r="C70" s="33" t="s">
        <v>56</v>
      </c>
      <c r="D70" s="33"/>
      <c r="E70" s="100" t="s">
        <v>13</v>
      </c>
      <c r="F70" s="122">
        <f>(3*4+3*2+5*2)+(6*2+5*2+3*4+2)</f>
        <v>64</v>
      </c>
      <c r="G70" s="101">
        <v>0</v>
      </c>
      <c r="H70" s="102">
        <f>G70*F70</f>
        <v>0</v>
      </c>
    </row>
    <row r="71" spans="2:8" x14ac:dyDescent="0.25">
      <c r="B71" s="99">
        <v>4</v>
      </c>
      <c r="C71" s="33" t="s">
        <v>57</v>
      </c>
      <c r="D71" s="33"/>
      <c r="E71" s="100" t="s">
        <v>13</v>
      </c>
      <c r="F71" s="122">
        <f>3*2+2+6*2+2+6*2+2+3+2</f>
        <v>41</v>
      </c>
      <c r="G71" s="101">
        <v>0</v>
      </c>
      <c r="H71" s="102">
        <f>G71*F71</f>
        <v>0</v>
      </c>
    </row>
    <row r="72" spans="2:8" x14ac:dyDescent="0.25">
      <c r="B72" s="99">
        <v>5</v>
      </c>
      <c r="C72" s="33" t="s">
        <v>191</v>
      </c>
      <c r="D72" s="33"/>
      <c r="E72" s="100" t="s">
        <v>13</v>
      </c>
      <c r="F72" s="122">
        <f>1.5*3+1.2*3+1.5+0.5*6</f>
        <v>12.6</v>
      </c>
      <c r="G72" s="101">
        <v>0</v>
      </c>
      <c r="H72" s="102">
        <f>G72*F72</f>
        <v>0</v>
      </c>
    </row>
    <row r="73" spans="2:8" x14ac:dyDescent="0.25">
      <c r="B73" s="113"/>
      <c r="C73" s="104" t="s">
        <v>152</v>
      </c>
      <c r="D73" s="104"/>
      <c r="E73" s="103"/>
      <c r="F73" s="106"/>
      <c r="G73" s="101">
        <v>0</v>
      </c>
      <c r="H73" s="123">
        <f t="shared" ref="H73" si="10">SUM(H68:H72)</f>
        <v>0</v>
      </c>
    </row>
    <row r="74" spans="2:8" x14ac:dyDescent="0.25">
      <c r="B74" s="110"/>
      <c r="C74" s="33"/>
      <c r="D74" s="33"/>
      <c r="E74" s="33"/>
      <c r="F74" s="121"/>
      <c r="G74" s="101">
        <v>0</v>
      </c>
      <c r="H74" s="124"/>
    </row>
    <row r="75" spans="2:8" x14ac:dyDescent="0.25">
      <c r="B75" s="110" t="s">
        <v>59</v>
      </c>
      <c r="C75" s="111" t="s">
        <v>60</v>
      </c>
      <c r="D75" s="111"/>
      <c r="E75" s="100"/>
      <c r="F75" s="121"/>
      <c r="G75" s="101">
        <v>0</v>
      </c>
      <c r="H75" s="102"/>
    </row>
    <row r="76" spans="2:8" x14ac:dyDescent="0.25">
      <c r="B76" s="99">
        <v>1</v>
      </c>
      <c r="C76" s="33" t="s">
        <v>61</v>
      </c>
      <c r="D76" s="33" t="s">
        <v>304</v>
      </c>
      <c r="E76" s="100" t="s">
        <v>19</v>
      </c>
      <c r="F76" s="122">
        <f>0.5*(3*10)</f>
        <v>15</v>
      </c>
      <c r="G76" s="101">
        <v>0</v>
      </c>
      <c r="H76" s="102">
        <f>G76*F76</f>
        <v>0</v>
      </c>
    </row>
    <row r="77" spans="2:8" x14ac:dyDescent="0.25">
      <c r="B77" s="99">
        <v>2</v>
      </c>
      <c r="C77" s="33" t="s">
        <v>62</v>
      </c>
      <c r="D77" s="33" t="s">
        <v>304</v>
      </c>
      <c r="E77" s="100" t="s">
        <v>19</v>
      </c>
      <c r="F77" s="122">
        <f>3.25*(27+0.5)+3*2.8+1.8*3+2.5*6+0.5*1.75*3+1.75*3+3.25*(3*9+0.8*3+0.5)+0.5*1.75*3*3-30.75</f>
        <v>200.35000000000002</v>
      </c>
      <c r="G77" s="101">
        <v>0</v>
      </c>
      <c r="H77" s="102">
        <f>G77*F77</f>
        <v>0</v>
      </c>
    </row>
    <row r="78" spans="2:8" x14ac:dyDescent="0.25">
      <c r="B78" s="99">
        <v>3</v>
      </c>
      <c r="C78" s="33" t="s">
        <v>63</v>
      </c>
      <c r="D78" s="33" t="s">
        <v>273</v>
      </c>
      <c r="E78" s="100" t="s">
        <v>19</v>
      </c>
      <c r="F78" s="122">
        <v>441.50000000000023</v>
      </c>
      <c r="G78" s="101">
        <v>0</v>
      </c>
      <c r="H78" s="102">
        <f>G78*F78</f>
        <v>0</v>
      </c>
    </row>
    <row r="79" spans="2:8" x14ac:dyDescent="0.25">
      <c r="B79" s="120"/>
      <c r="C79" s="104" t="s">
        <v>152</v>
      </c>
      <c r="D79" s="104"/>
      <c r="E79" s="105"/>
      <c r="F79" s="106"/>
      <c r="G79" s="101">
        <v>0</v>
      </c>
      <c r="H79" s="107">
        <f t="shared" ref="H79" si="11">SUM(H76:H78)</f>
        <v>0</v>
      </c>
    </row>
    <row r="80" spans="2:8" x14ac:dyDescent="0.25">
      <c r="B80" s="99"/>
      <c r="C80" s="33"/>
      <c r="D80" s="33"/>
      <c r="E80" s="100"/>
      <c r="F80" s="121"/>
      <c r="G80" s="101">
        <v>0</v>
      </c>
      <c r="H80" s="109"/>
    </row>
    <row r="81" spans="2:8" x14ac:dyDescent="0.25">
      <c r="B81" s="110" t="s">
        <v>64</v>
      </c>
      <c r="C81" s="111" t="s">
        <v>65</v>
      </c>
      <c r="D81" s="111"/>
      <c r="E81" s="33"/>
      <c r="F81" s="121"/>
      <c r="G81" s="101">
        <v>0</v>
      </c>
      <c r="H81" s="102"/>
    </row>
    <row r="82" spans="2:8" x14ac:dyDescent="0.25">
      <c r="B82" s="99">
        <v>1</v>
      </c>
      <c r="C82" s="33" t="s">
        <v>66</v>
      </c>
      <c r="D82" s="33"/>
      <c r="E82" s="100" t="s">
        <v>19</v>
      </c>
      <c r="F82" s="122">
        <f>4.25*3+52</f>
        <v>64.75</v>
      </c>
      <c r="G82" s="101">
        <v>0</v>
      </c>
      <c r="H82" s="102">
        <f t="shared" ref="H82:H88" si="12">G82*F82</f>
        <v>0</v>
      </c>
    </row>
    <row r="83" spans="2:8" x14ac:dyDescent="0.25">
      <c r="B83" s="99">
        <v>2</v>
      </c>
      <c r="C83" s="33" t="s">
        <v>67</v>
      </c>
      <c r="D83" s="33"/>
      <c r="E83" s="100" t="s">
        <v>19</v>
      </c>
      <c r="F83" s="122">
        <f>F82</f>
        <v>64.75</v>
      </c>
      <c r="G83" s="101">
        <v>0</v>
      </c>
      <c r="H83" s="102">
        <f t="shared" si="12"/>
        <v>0</v>
      </c>
    </row>
    <row r="84" spans="2:8" x14ac:dyDescent="0.25">
      <c r="B84" s="99">
        <v>3</v>
      </c>
      <c r="C84" s="33" t="s">
        <v>68</v>
      </c>
      <c r="D84" s="33"/>
      <c r="E84" s="100" t="s">
        <v>13</v>
      </c>
      <c r="F84" s="122">
        <f>4.5+6+3+5.5+1</f>
        <v>20</v>
      </c>
      <c r="G84" s="101">
        <v>0</v>
      </c>
      <c r="H84" s="102">
        <f t="shared" si="12"/>
        <v>0</v>
      </c>
    </row>
    <row r="85" spans="2:8" x14ac:dyDescent="0.25">
      <c r="B85" s="33">
        <v>4</v>
      </c>
      <c r="C85" s="33" t="s">
        <v>69</v>
      </c>
      <c r="D85" s="33"/>
      <c r="E85" s="100" t="s">
        <v>13</v>
      </c>
      <c r="F85" s="122">
        <f>4.25*2+4*2+3+3.5+3</f>
        <v>26</v>
      </c>
      <c r="G85" s="101">
        <v>0</v>
      </c>
      <c r="H85" s="102">
        <f t="shared" si="12"/>
        <v>0</v>
      </c>
    </row>
    <row r="86" spans="2:8" x14ac:dyDescent="0.25">
      <c r="B86" s="33">
        <v>5</v>
      </c>
      <c r="C86" s="33" t="s">
        <v>70</v>
      </c>
      <c r="D86" s="33"/>
      <c r="E86" s="100" t="s">
        <v>13</v>
      </c>
      <c r="F86" s="122">
        <f>6</f>
        <v>6</v>
      </c>
      <c r="G86" s="101">
        <v>0</v>
      </c>
      <c r="H86" s="102">
        <f t="shared" si="12"/>
        <v>0</v>
      </c>
    </row>
    <row r="87" spans="2:8" x14ac:dyDescent="0.25">
      <c r="B87" s="33">
        <v>6</v>
      </c>
      <c r="C87" s="33" t="s">
        <v>192</v>
      </c>
      <c r="D87" s="33"/>
      <c r="E87" s="100" t="s">
        <v>91</v>
      </c>
      <c r="F87" s="125">
        <v>0</v>
      </c>
      <c r="G87" s="101">
        <v>0</v>
      </c>
      <c r="H87" s="102">
        <f t="shared" si="12"/>
        <v>0</v>
      </c>
    </row>
    <row r="88" spans="2:8" x14ac:dyDescent="0.25">
      <c r="B88" s="33">
        <v>7</v>
      </c>
      <c r="C88" s="33" t="s">
        <v>193</v>
      </c>
      <c r="D88" s="33"/>
      <c r="E88" s="100" t="s">
        <v>91</v>
      </c>
      <c r="F88" s="122">
        <v>1</v>
      </c>
      <c r="G88" s="101">
        <v>0</v>
      </c>
      <c r="H88" s="102">
        <f t="shared" si="12"/>
        <v>0</v>
      </c>
    </row>
    <row r="89" spans="2:8" x14ac:dyDescent="0.25">
      <c r="B89" s="113"/>
      <c r="C89" s="104" t="s">
        <v>152</v>
      </c>
      <c r="D89" s="104"/>
      <c r="E89" s="103"/>
      <c r="F89" s="106"/>
      <c r="G89" s="101">
        <v>0</v>
      </c>
      <c r="H89" s="107">
        <f t="shared" ref="H89" si="13">SUM(H82:H88)</f>
        <v>0</v>
      </c>
    </row>
    <row r="90" spans="2:8" x14ac:dyDescent="0.25">
      <c r="B90" s="110"/>
      <c r="C90" s="126"/>
      <c r="D90" s="126"/>
      <c r="E90" s="33"/>
      <c r="F90" s="121"/>
      <c r="G90" s="101">
        <v>0</v>
      </c>
      <c r="H90" s="109"/>
    </row>
    <row r="91" spans="2:8" x14ac:dyDescent="0.25">
      <c r="B91" s="110" t="s">
        <v>72</v>
      </c>
      <c r="C91" s="111" t="s">
        <v>73</v>
      </c>
      <c r="D91" s="111"/>
      <c r="E91" s="33"/>
      <c r="F91" s="127"/>
      <c r="G91" s="101">
        <v>0</v>
      </c>
      <c r="H91" s="102"/>
    </row>
    <row r="92" spans="2:8" x14ac:dyDescent="0.25">
      <c r="B92" s="99">
        <v>1</v>
      </c>
      <c r="C92" s="33" t="s">
        <v>74</v>
      </c>
      <c r="D92" s="33"/>
      <c r="E92" s="100"/>
      <c r="F92" s="119"/>
      <c r="G92" s="101">
        <v>0</v>
      </c>
      <c r="H92" s="102">
        <f t="shared" ref="H92:H97" si="14">G92*F92</f>
        <v>0</v>
      </c>
    </row>
    <row r="93" spans="2:8" x14ac:dyDescent="0.25">
      <c r="B93" s="99"/>
      <c r="C93" s="33" t="s">
        <v>194</v>
      </c>
      <c r="D93" s="33"/>
      <c r="E93" s="100" t="s">
        <v>81</v>
      </c>
      <c r="F93" s="119">
        <v>1</v>
      </c>
      <c r="G93" s="101">
        <v>0</v>
      </c>
      <c r="H93" s="102">
        <f t="shared" si="14"/>
        <v>0</v>
      </c>
    </row>
    <row r="94" spans="2:8" x14ac:dyDescent="0.25">
      <c r="B94" s="99"/>
      <c r="C94" s="33" t="s">
        <v>195</v>
      </c>
      <c r="D94" s="33"/>
      <c r="E94" s="100" t="s">
        <v>81</v>
      </c>
      <c r="F94" s="119">
        <v>1</v>
      </c>
      <c r="G94" s="101">
        <v>0</v>
      </c>
      <c r="H94" s="102">
        <f t="shared" si="14"/>
        <v>0</v>
      </c>
    </row>
    <row r="95" spans="2:8" x14ac:dyDescent="0.25">
      <c r="B95" s="99"/>
      <c r="C95" s="33" t="s">
        <v>196</v>
      </c>
      <c r="D95" s="33"/>
      <c r="E95" s="100" t="s">
        <v>81</v>
      </c>
      <c r="F95" s="119">
        <v>2</v>
      </c>
      <c r="G95" s="101">
        <v>0</v>
      </c>
      <c r="H95" s="102">
        <f t="shared" si="14"/>
        <v>0</v>
      </c>
    </row>
    <row r="96" spans="2:8" x14ac:dyDescent="0.25">
      <c r="B96" s="99"/>
      <c r="C96" s="33" t="s">
        <v>197</v>
      </c>
      <c r="D96" s="33"/>
      <c r="E96" s="100" t="s">
        <v>81</v>
      </c>
      <c r="F96" s="119">
        <v>2</v>
      </c>
      <c r="G96" s="101">
        <v>0</v>
      </c>
      <c r="H96" s="102">
        <f t="shared" si="14"/>
        <v>0</v>
      </c>
    </row>
    <row r="97" spans="2:8" x14ac:dyDescent="0.25">
      <c r="B97" s="128">
        <v>2</v>
      </c>
      <c r="C97" s="129" t="s">
        <v>79</v>
      </c>
      <c r="D97" s="129"/>
      <c r="E97" s="130" t="s">
        <v>198</v>
      </c>
      <c r="F97" s="131">
        <v>1</v>
      </c>
      <c r="G97" s="101">
        <v>0</v>
      </c>
      <c r="H97" s="132">
        <f t="shared" si="14"/>
        <v>0</v>
      </c>
    </row>
    <row r="98" spans="2:8" x14ac:dyDescent="0.25">
      <c r="B98" s="128" t="s">
        <v>75</v>
      </c>
      <c r="C98" s="129" t="s">
        <v>199</v>
      </c>
      <c r="D98" s="129"/>
      <c r="E98" s="130" t="s">
        <v>81</v>
      </c>
      <c r="F98" s="131">
        <v>1</v>
      </c>
      <c r="G98" s="101">
        <v>0</v>
      </c>
      <c r="H98" s="132"/>
    </row>
    <row r="99" spans="2:8" x14ac:dyDescent="0.25">
      <c r="B99" s="128" t="s">
        <v>75</v>
      </c>
      <c r="C99" s="129" t="s">
        <v>200</v>
      </c>
      <c r="D99" s="129"/>
      <c r="E99" s="130" t="s">
        <v>81</v>
      </c>
      <c r="F99" s="131">
        <v>1</v>
      </c>
      <c r="G99" s="101">
        <v>0</v>
      </c>
      <c r="H99" s="132"/>
    </row>
    <row r="100" spans="2:8" x14ac:dyDescent="0.25">
      <c r="B100" s="128" t="s">
        <v>75</v>
      </c>
      <c r="C100" s="129" t="s">
        <v>201</v>
      </c>
      <c r="D100" s="129"/>
      <c r="E100" s="130" t="s">
        <v>81</v>
      </c>
      <c r="F100" s="131">
        <v>1</v>
      </c>
      <c r="G100" s="101">
        <v>0</v>
      </c>
      <c r="H100" s="132"/>
    </row>
    <row r="101" spans="2:8" x14ac:dyDescent="0.25">
      <c r="B101" s="128" t="s">
        <v>75</v>
      </c>
      <c r="C101" s="129" t="s">
        <v>202</v>
      </c>
      <c r="D101" s="129"/>
      <c r="E101" s="130" t="s">
        <v>81</v>
      </c>
      <c r="F101" s="131">
        <v>1</v>
      </c>
      <c r="G101" s="101">
        <v>0</v>
      </c>
      <c r="H101" s="132"/>
    </row>
    <row r="102" spans="2:8" x14ac:dyDescent="0.25">
      <c r="B102" s="128" t="s">
        <v>75</v>
      </c>
      <c r="C102" s="129" t="s">
        <v>203</v>
      </c>
      <c r="D102" s="129"/>
      <c r="E102" s="130" t="s">
        <v>81</v>
      </c>
      <c r="F102" s="131">
        <v>1</v>
      </c>
      <c r="G102" s="101">
        <v>0</v>
      </c>
      <c r="H102" s="132"/>
    </row>
    <row r="103" spans="2:8" x14ac:dyDescent="0.25">
      <c r="B103" s="128" t="s">
        <v>75</v>
      </c>
      <c r="C103" s="129" t="s">
        <v>204</v>
      </c>
      <c r="D103" s="129"/>
      <c r="E103" s="130" t="s">
        <v>81</v>
      </c>
      <c r="F103" s="131">
        <v>1</v>
      </c>
      <c r="G103" s="101">
        <v>0</v>
      </c>
      <c r="H103" s="132"/>
    </row>
    <row r="104" spans="2:8" x14ac:dyDescent="0.25">
      <c r="B104" s="128" t="s">
        <v>75</v>
      </c>
      <c r="C104" s="129" t="s">
        <v>205</v>
      </c>
      <c r="D104" s="129"/>
      <c r="E104" s="130" t="s">
        <v>81</v>
      </c>
      <c r="F104" s="131">
        <v>1</v>
      </c>
      <c r="G104" s="101">
        <v>0</v>
      </c>
      <c r="H104" s="132"/>
    </row>
    <row r="105" spans="2:8" x14ac:dyDescent="0.25">
      <c r="B105" s="128" t="s">
        <v>75</v>
      </c>
      <c r="C105" s="129" t="s">
        <v>206</v>
      </c>
      <c r="D105" s="129"/>
      <c r="E105" s="130" t="s">
        <v>81</v>
      </c>
      <c r="F105" s="131">
        <v>1</v>
      </c>
      <c r="G105" s="101">
        <v>0</v>
      </c>
      <c r="H105" s="132"/>
    </row>
    <row r="106" spans="2:8" x14ac:dyDescent="0.25">
      <c r="B106" s="128" t="s">
        <v>75</v>
      </c>
      <c r="C106" s="129" t="s">
        <v>207</v>
      </c>
      <c r="D106" s="129"/>
      <c r="E106" s="130" t="s">
        <v>81</v>
      </c>
      <c r="F106" s="131">
        <v>1</v>
      </c>
      <c r="G106" s="101">
        <v>0</v>
      </c>
      <c r="H106" s="132"/>
    </row>
    <row r="107" spans="2:8" x14ac:dyDescent="0.25">
      <c r="B107" s="128" t="s">
        <v>75</v>
      </c>
      <c r="C107" s="129" t="s">
        <v>208</v>
      </c>
      <c r="D107" s="129"/>
      <c r="E107" s="130" t="s">
        <v>81</v>
      </c>
      <c r="F107" s="131">
        <v>1</v>
      </c>
      <c r="G107" s="101">
        <v>0</v>
      </c>
      <c r="H107" s="132"/>
    </row>
    <row r="108" spans="2:8" x14ac:dyDescent="0.25">
      <c r="B108" s="128" t="s">
        <v>75</v>
      </c>
      <c r="C108" s="129" t="s">
        <v>209</v>
      </c>
      <c r="D108" s="129"/>
      <c r="E108" s="130" t="s">
        <v>81</v>
      </c>
      <c r="F108" s="131">
        <v>3</v>
      </c>
      <c r="G108" s="101">
        <v>0</v>
      </c>
      <c r="H108" s="132"/>
    </row>
    <row r="109" spans="2:8" x14ac:dyDescent="0.25">
      <c r="B109" s="128" t="s">
        <v>75</v>
      </c>
      <c r="C109" s="129" t="s">
        <v>210</v>
      </c>
      <c r="D109" s="129"/>
      <c r="E109" s="130" t="s">
        <v>81</v>
      </c>
      <c r="F109" s="131">
        <v>1</v>
      </c>
      <c r="G109" s="101">
        <v>0</v>
      </c>
      <c r="H109" s="132"/>
    </row>
    <row r="110" spans="2:8" x14ac:dyDescent="0.25">
      <c r="B110" s="128" t="s">
        <v>75</v>
      </c>
      <c r="C110" s="129" t="s">
        <v>211</v>
      </c>
      <c r="D110" s="129"/>
      <c r="E110" s="130" t="s">
        <v>81</v>
      </c>
      <c r="F110" s="131">
        <v>1</v>
      </c>
      <c r="G110" s="101">
        <v>0</v>
      </c>
      <c r="H110" s="132"/>
    </row>
    <row r="111" spans="2:8" x14ac:dyDescent="0.25">
      <c r="B111" s="128" t="s">
        <v>75</v>
      </c>
      <c r="C111" s="129" t="s">
        <v>212</v>
      </c>
      <c r="D111" s="129"/>
      <c r="E111" s="130" t="s">
        <v>81</v>
      </c>
      <c r="F111" s="131">
        <v>1</v>
      </c>
      <c r="G111" s="101">
        <v>0</v>
      </c>
      <c r="H111" s="132"/>
    </row>
    <row r="112" spans="2:8" x14ac:dyDescent="0.25">
      <c r="B112" s="99">
        <v>3</v>
      </c>
      <c r="C112" s="33" t="s">
        <v>87</v>
      </c>
      <c r="D112" s="33"/>
      <c r="E112" s="100"/>
      <c r="F112" s="119"/>
      <c r="G112" s="101">
        <v>0</v>
      </c>
      <c r="H112" s="102"/>
    </row>
    <row r="113" spans="2:8" x14ac:dyDescent="0.25">
      <c r="B113" s="99" t="s">
        <v>75</v>
      </c>
      <c r="C113" s="33" t="s">
        <v>88</v>
      </c>
      <c r="D113" s="33"/>
      <c r="E113" s="100" t="s">
        <v>77</v>
      </c>
      <c r="F113" s="119">
        <v>1</v>
      </c>
      <c r="G113" s="101">
        <v>0</v>
      </c>
      <c r="H113" s="102">
        <f>G113*F113</f>
        <v>0</v>
      </c>
    </row>
    <row r="114" spans="2:8" x14ac:dyDescent="0.25">
      <c r="B114" s="99" t="s">
        <v>75</v>
      </c>
      <c r="C114" s="33" t="s">
        <v>213</v>
      </c>
      <c r="D114" s="33"/>
      <c r="E114" s="100" t="s">
        <v>77</v>
      </c>
      <c r="F114" s="119">
        <v>5</v>
      </c>
      <c r="G114" s="101">
        <v>0</v>
      </c>
      <c r="H114" s="102">
        <f>G114*F114</f>
        <v>0</v>
      </c>
    </row>
    <row r="115" spans="2:8" x14ac:dyDescent="0.25">
      <c r="B115" s="99" t="s">
        <v>75</v>
      </c>
      <c r="C115" s="33" t="s">
        <v>90</v>
      </c>
      <c r="D115" s="33"/>
      <c r="E115" s="100" t="s">
        <v>91</v>
      </c>
      <c r="F115" s="119">
        <f>6*3</f>
        <v>18</v>
      </c>
      <c r="G115" s="101">
        <v>0</v>
      </c>
      <c r="H115" s="102">
        <f>G115*F115</f>
        <v>0</v>
      </c>
    </row>
    <row r="116" spans="2:8" x14ac:dyDescent="0.25">
      <c r="B116" s="120"/>
      <c r="C116" s="104" t="s">
        <v>152</v>
      </c>
      <c r="D116" s="104"/>
      <c r="E116" s="105"/>
      <c r="F116" s="106"/>
      <c r="G116" s="101">
        <v>0</v>
      </c>
      <c r="H116" s="107">
        <f t="shared" ref="H116" si="15">SUM(H92:H115)</f>
        <v>0</v>
      </c>
    </row>
    <row r="117" spans="2:8" x14ac:dyDescent="0.25">
      <c r="B117" s="99"/>
      <c r="C117" s="33"/>
      <c r="D117" s="33"/>
      <c r="E117" s="100"/>
      <c r="F117" s="121"/>
      <c r="G117" s="101">
        <v>0</v>
      </c>
      <c r="H117" s="109"/>
    </row>
    <row r="118" spans="2:8" x14ac:dyDescent="0.25">
      <c r="B118" s="110" t="s">
        <v>92</v>
      </c>
      <c r="C118" s="111" t="s">
        <v>93</v>
      </c>
      <c r="D118" s="111"/>
      <c r="E118" s="100"/>
      <c r="F118" s="121"/>
      <c r="G118" s="101">
        <v>0</v>
      </c>
      <c r="H118" s="102"/>
    </row>
    <row r="119" spans="2:8" x14ac:dyDescent="0.25">
      <c r="B119" s="33">
        <v>1</v>
      </c>
      <c r="C119" s="33" t="s">
        <v>354</v>
      </c>
      <c r="D119" s="33"/>
      <c r="E119" s="100" t="s">
        <v>19</v>
      </c>
      <c r="F119" s="122">
        <f>F78-F120-66</f>
        <v>292.60000000000025</v>
      </c>
      <c r="G119" s="101">
        <v>0</v>
      </c>
      <c r="H119" s="102">
        <f>G119*F119</f>
        <v>0</v>
      </c>
    </row>
    <row r="120" spans="2:8" x14ac:dyDescent="0.25">
      <c r="B120" s="33">
        <v>2</v>
      </c>
      <c r="C120" s="33" t="s">
        <v>355</v>
      </c>
      <c r="D120" s="33"/>
      <c r="E120" s="100" t="s">
        <v>19</v>
      </c>
      <c r="F120" s="119">
        <f>82.9</f>
        <v>82.9</v>
      </c>
      <c r="G120" s="101">
        <v>0</v>
      </c>
      <c r="H120" s="102">
        <f>G120*F120</f>
        <v>0</v>
      </c>
    </row>
    <row r="121" spans="2:8" x14ac:dyDescent="0.25">
      <c r="B121" s="33">
        <v>3</v>
      </c>
      <c r="C121" s="33" t="s">
        <v>96</v>
      </c>
      <c r="D121" s="33"/>
      <c r="E121" s="100" t="s">
        <v>19</v>
      </c>
      <c r="F121" s="119">
        <f>F68+F69</f>
        <v>65</v>
      </c>
      <c r="G121" s="101">
        <v>0</v>
      </c>
      <c r="H121" s="102">
        <f>G121*F121</f>
        <v>0</v>
      </c>
    </row>
    <row r="122" spans="2:8" x14ac:dyDescent="0.25">
      <c r="B122" s="33">
        <v>4</v>
      </c>
      <c r="C122" s="33" t="s">
        <v>97</v>
      </c>
      <c r="D122" s="33"/>
      <c r="E122" s="100" t="s">
        <v>19</v>
      </c>
      <c r="F122" s="119">
        <f>F84</f>
        <v>20</v>
      </c>
      <c r="G122" s="101">
        <v>0</v>
      </c>
      <c r="H122" s="102">
        <f>G122*F122</f>
        <v>0</v>
      </c>
    </row>
    <row r="123" spans="2:8" x14ac:dyDescent="0.25">
      <c r="B123" s="33">
        <v>5</v>
      </c>
      <c r="C123" s="33" t="s">
        <v>98</v>
      </c>
      <c r="D123" s="33"/>
      <c r="E123" s="100" t="s">
        <v>13</v>
      </c>
      <c r="F123" s="119">
        <f>F86</f>
        <v>6</v>
      </c>
      <c r="G123" s="101">
        <v>0</v>
      </c>
      <c r="H123" s="102">
        <f>G123*F123</f>
        <v>0</v>
      </c>
    </row>
    <row r="124" spans="2:8" x14ac:dyDescent="0.25">
      <c r="B124" s="120"/>
      <c r="C124" s="104" t="s">
        <v>152</v>
      </c>
      <c r="D124" s="104"/>
      <c r="E124" s="105"/>
      <c r="F124" s="106"/>
      <c r="G124" s="101">
        <v>0</v>
      </c>
      <c r="H124" s="107">
        <f t="shared" ref="H124" si="16">SUM(H119:H123)</f>
        <v>0</v>
      </c>
    </row>
    <row r="125" spans="2:8" x14ac:dyDescent="0.25">
      <c r="B125" s="99"/>
      <c r="C125" s="33"/>
      <c r="D125" s="33"/>
      <c r="E125" s="100"/>
      <c r="F125" s="121"/>
      <c r="G125" s="101">
        <v>0</v>
      </c>
      <c r="H125" s="109"/>
    </row>
    <row r="126" spans="2:8" x14ac:dyDescent="0.25">
      <c r="B126" s="110" t="s">
        <v>99</v>
      </c>
      <c r="C126" s="111" t="s">
        <v>100</v>
      </c>
      <c r="D126" s="111"/>
      <c r="E126" s="100"/>
      <c r="F126" s="121"/>
      <c r="G126" s="101">
        <v>0</v>
      </c>
      <c r="H126" s="102"/>
    </row>
    <row r="127" spans="2:8" x14ac:dyDescent="0.25">
      <c r="B127" s="99">
        <v>1</v>
      </c>
      <c r="C127" s="33" t="s">
        <v>214</v>
      </c>
      <c r="D127" s="33"/>
      <c r="E127" s="33"/>
      <c r="F127" s="121"/>
      <c r="G127" s="101">
        <v>0</v>
      </c>
      <c r="H127" s="102"/>
    </row>
    <row r="128" spans="2:8" x14ac:dyDescent="0.25">
      <c r="B128" s="99" t="s">
        <v>75</v>
      </c>
      <c r="C128" s="33" t="s">
        <v>242</v>
      </c>
      <c r="D128" s="33"/>
      <c r="E128" s="100" t="s">
        <v>77</v>
      </c>
      <c r="F128" s="119">
        <v>1</v>
      </c>
      <c r="G128" s="101">
        <v>0</v>
      </c>
      <c r="H128" s="102">
        <f t="shared" ref="H128:H133" si="17">G128*F128</f>
        <v>0</v>
      </c>
    </row>
    <row r="129" spans="2:8" x14ac:dyDescent="0.25">
      <c r="B129" s="99" t="s">
        <v>75</v>
      </c>
      <c r="C129" s="33" t="s">
        <v>215</v>
      </c>
      <c r="D129" s="33"/>
      <c r="E129" s="100" t="s">
        <v>77</v>
      </c>
      <c r="F129" s="119">
        <v>1</v>
      </c>
      <c r="G129" s="101">
        <v>0</v>
      </c>
      <c r="H129" s="102">
        <f t="shared" si="17"/>
        <v>0</v>
      </c>
    </row>
    <row r="130" spans="2:8" x14ac:dyDescent="0.25">
      <c r="B130" s="99" t="s">
        <v>75</v>
      </c>
      <c r="C130" s="33" t="s">
        <v>257</v>
      </c>
      <c r="D130" s="33"/>
      <c r="E130" s="100" t="s">
        <v>77</v>
      </c>
      <c r="F130" s="119">
        <v>1</v>
      </c>
      <c r="G130" s="101">
        <v>0</v>
      </c>
      <c r="H130" s="102">
        <f t="shared" si="17"/>
        <v>0</v>
      </c>
    </row>
    <row r="131" spans="2:8" x14ac:dyDescent="0.25">
      <c r="B131" s="99">
        <v>2</v>
      </c>
      <c r="C131" s="33" t="s">
        <v>216</v>
      </c>
      <c r="D131" s="33"/>
      <c r="E131" s="33"/>
      <c r="F131" s="121">
        <v>1</v>
      </c>
      <c r="G131" s="101">
        <v>0</v>
      </c>
      <c r="H131" s="102">
        <f t="shared" si="17"/>
        <v>0</v>
      </c>
    </row>
    <row r="132" spans="2:8" x14ac:dyDescent="0.25">
      <c r="B132" s="99" t="s">
        <v>75</v>
      </c>
      <c r="C132" s="33" t="s">
        <v>242</v>
      </c>
      <c r="D132" s="33"/>
      <c r="E132" s="100" t="s">
        <v>77</v>
      </c>
      <c r="F132" s="119">
        <v>1</v>
      </c>
      <c r="G132" s="101">
        <v>0</v>
      </c>
      <c r="H132" s="102">
        <f t="shared" si="17"/>
        <v>0</v>
      </c>
    </row>
    <row r="133" spans="2:8" x14ac:dyDescent="0.25">
      <c r="B133" s="99" t="s">
        <v>75</v>
      </c>
      <c r="C133" s="33" t="s">
        <v>258</v>
      </c>
      <c r="D133" s="33"/>
      <c r="E133" s="100" t="s">
        <v>77</v>
      </c>
      <c r="F133" s="119">
        <v>1</v>
      </c>
      <c r="G133" s="101">
        <v>0</v>
      </c>
      <c r="H133" s="102">
        <f t="shared" si="17"/>
        <v>0</v>
      </c>
    </row>
    <row r="134" spans="2:8" x14ac:dyDescent="0.25">
      <c r="B134" s="99" t="s">
        <v>75</v>
      </c>
      <c r="C134" s="33" t="s">
        <v>259</v>
      </c>
      <c r="D134" s="33"/>
      <c r="E134" s="100" t="s">
        <v>77</v>
      </c>
      <c r="F134" s="119">
        <v>1</v>
      </c>
      <c r="G134" s="101">
        <v>0</v>
      </c>
      <c r="H134" s="102">
        <f>G134</f>
        <v>0</v>
      </c>
    </row>
    <row r="135" spans="2:8" x14ac:dyDescent="0.25">
      <c r="B135" s="99" t="s">
        <v>75</v>
      </c>
      <c r="C135" s="33" t="s">
        <v>260</v>
      </c>
      <c r="D135" s="33"/>
      <c r="E135" s="100" t="s">
        <v>77</v>
      </c>
      <c r="F135" s="119">
        <v>1</v>
      </c>
      <c r="G135" s="101">
        <v>0</v>
      </c>
      <c r="H135" s="102">
        <f t="shared" ref="H135:H153" si="18">G135*F135</f>
        <v>0</v>
      </c>
    </row>
    <row r="136" spans="2:8" x14ac:dyDescent="0.25">
      <c r="B136" s="99" t="s">
        <v>75</v>
      </c>
      <c r="C136" s="33" t="s">
        <v>215</v>
      </c>
      <c r="D136" s="33"/>
      <c r="E136" s="100" t="s">
        <v>77</v>
      </c>
      <c r="F136" s="119">
        <v>1</v>
      </c>
      <c r="G136" s="101">
        <v>0</v>
      </c>
      <c r="H136" s="102">
        <f t="shared" si="18"/>
        <v>0</v>
      </c>
    </row>
    <row r="137" spans="2:8" x14ac:dyDescent="0.25">
      <c r="B137" s="99" t="s">
        <v>75</v>
      </c>
      <c r="C137" s="33" t="s">
        <v>257</v>
      </c>
      <c r="D137" s="33"/>
      <c r="E137" s="100" t="s">
        <v>77</v>
      </c>
      <c r="F137" s="119">
        <v>1</v>
      </c>
      <c r="G137" s="101">
        <v>0</v>
      </c>
      <c r="H137" s="102">
        <f t="shared" si="18"/>
        <v>0</v>
      </c>
    </row>
    <row r="138" spans="2:8" x14ac:dyDescent="0.25">
      <c r="B138" s="33">
        <v>4</v>
      </c>
      <c r="C138" s="33" t="s">
        <v>107</v>
      </c>
      <c r="D138" s="33"/>
      <c r="E138" s="33"/>
      <c r="F138" s="119"/>
      <c r="G138" s="101">
        <v>0</v>
      </c>
      <c r="H138" s="102">
        <f t="shared" si="18"/>
        <v>0</v>
      </c>
    </row>
    <row r="139" spans="2:8" x14ac:dyDescent="0.25">
      <c r="B139" s="99" t="s">
        <v>75</v>
      </c>
      <c r="C139" s="33" t="s">
        <v>108</v>
      </c>
      <c r="D139" s="33"/>
      <c r="E139" s="100" t="s">
        <v>77</v>
      </c>
      <c r="F139" s="119">
        <v>1</v>
      </c>
      <c r="G139" s="101">
        <v>0</v>
      </c>
      <c r="H139" s="102">
        <f t="shared" si="18"/>
        <v>0</v>
      </c>
    </row>
    <row r="140" spans="2:8" x14ac:dyDescent="0.25">
      <c r="B140" s="99" t="s">
        <v>75</v>
      </c>
      <c r="C140" s="33" t="s">
        <v>109</v>
      </c>
      <c r="D140" s="33"/>
      <c r="E140" s="100" t="s">
        <v>77</v>
      </c>
      <c r="F140" s="119">
        <v>1</v>
      </c>
      <c r="G140" s="101">
        <v>0</v>
      </c>
      <c r="H140" s="102">
        <f t="shared" si="18"/>
        <v>0</v>
      </c>
    </row>
    <row r="141" spans="2:8" x14ac:dyDescent="0.25">
      <c r="B141" s="99">
        <v>5</v>
      </c>
      <c r="C141" s="33" t="s">
        <v>110</v>
      </c>
      <c r="D141" s="33"/>
      <c r="E141" s="100" t="s">
        <v>77</v>
      </c>
      <c r="F141" s="119">
        <v>1</v>
      </c>
      <c r="G141" s="101">
        <v>0</v>
      </c>
      <c r="H141" s="102">
        <f t="shared" si="18"/>
        <v>0</v>
      </c>
    </row>
    <row r="142" spans="2:8" x14ac:dyDescent="0.25">
      <c r="B142" s="99">
        <v>6</v>
      </c>
      <c r="C142" s="33" t="s">
        <v>111</v>
      </c>
      <c r="D142" s="33"/>
      <c r="E142" s="100" t="s">
        <v>77</v>
      </c>
      <c r="F142" s="119">
        <v>2</v>
      </c>
      <c r="G142" s="101">
        <v>0</v>
      </c>
      <c r="H142" s="102">
        <f t="shared" si="18"/>
        <v>0</v>
      </c>
    </row>
    <row r="143" spans="2:8" x14ac:dyDescent="0.25">
      <c r="B143" s="99">
        <v>7</v>
      </c>
      <c r="C143" s="33" t="s">
        <v>112</v>
      </c>
      <c r="D143" s="33"/>
      <c r="E143" s="100" t="s">
        <v>77</v>
      </c>
      <c r="F143" s="119">
        <v>2</v>
      </c>
      <c r="G143" s="101">
        <v>0</v>
      </c>
      <c r="H143" s="102">
        <f t="shared" si="18"/>
        <v>0</v>
      </c>
    </row>
    <row r="144" spans="2:8" x14ac:dyDescent="0.25">
      <c r="B144" s="99">
        <v>8</v>
      </c>
      <c r="C144" s="33" t="s">
        <v>113</v>
      </c>
      <c r="D144" s="33"/>
      <c r="E144" s="33"/>
      <c r="F144" s="121">
        <v>0</v>
      </c>
      <c r="G144" s="101">
        <v>0</v>
      </c>
      <c r="H144" s="102">
        <f t="shared" si="18"/>
        <v>0</v>
      </c>
    </row>
    <row r="145" spans="2:8" x14ac:dyDescent="0.25">
      <c r="B145" s="99" t="s">
        <v>75</v>
      </c>
      <c r="C145" s="33" t="s">
        <v>218</v>
      </c>
      <c r="D145" s="33"/>
      <c r="E145" s="100" t="s">
        <v>13</v>
      </c>
      <c r="F145" s="119">
        <v>7</v>
      </c>
      <c r="G145" s="101">
        <v>0</v>
      </c>
      <c r="H145" s="102">
        <f t="shared" si="18"/>
        <v>0</v>
      </c>
    </row>
    <row r="146" spans="2:8" x14ac:dyDescent="0.25">
      <c r="B146" s="99" t="s">
        <v>75</v>
      </c>
      <c r="C146" s="33" t="s">
        <v>219</v>
      </c>
      <c r="D146" s="33"/>
      <c r="E146" s="100" t="s">
        <v>13</v>
      </c>
      <c r="F146" s="119">
        <f>6+3+7+1.5+3+3*3+(4.5+4+6+2+0)+3.5*4</f>
        <v>60</v>
      </c>
      <c r="G146" s="101">
        <v>0</v>
      </c>
      <c r="H146" s="102">
        <f t="shared" si="18"/>
        <v>0</v>
      </c>
    </row>
    <row r="147" spans="2:8" x14ac:dyDescent="0.25">
      <c r="B147" s="99">
        <v>9</v>
      </c>
      <c r="C147" s="33" t="s">
        <v>116</v>
      </c>
      <c r="D147" s="33"/>
      <c r="E147" s="100"/>
      <c r="F147" s="119"/>
      <c r="G147" s="101">
        <v>0</v>
      </c>
      <c r="H147" s="102">
        <f t="shared" si="18"/>
        <v>0</v>
      </c>
    </row>
    <row r="148" spans="2:8" x14ac:dyDescent="0.25">
      <c r="B148" s="99" t="s">
        <v>75</v>
      </c>
      <c r="C148" s="33" t="s">
        <v>220</v>
      </c>
      <c r="D148" s="33"/>
      <c r="E148" s="100" t="s">
        <v>13</v>
      </c>
      <c r="F148" s="119">
        <v>2.15</v>
      </c>
      <c r="G148" s="101">
        <v>0</v>
      </c>
      <c r="H148" s="102">
        <f t="shared" si="18"/>
        <v>0</v>
      </c>
    </row>
    <row r="149" spans="2:8" x14ac:dyDescent="0.25">
      <c r="B149" s="99" t="s">
        <v>75</v>
      </c>
      <c r="C149" s="33" t="s">
        <v>221</v>
      </c>
      <c r="D149" s="33"/>
      <c r="E149" s="100" t="s">
        <v>13</v>
      </c>
      <c r="F149" s="119">
        <f>2.5+2.5+4+2</f>
        <v>11</v>
      </c>
      <c r="G149" s="101">
        <v>0</v>
      </c>
      <c r="H149" s="102">
        <f t="shared" si="18"/>
        <v>0</v>
      </c>
    </row>
    <row r="150" spans="2:8" x14ac:dyDescent="0.25">
      <c r="B150" s="99" t="s">
        <v>75</v>
      </c>
      <c r="C150" s="33" t="s">
        <v>117</v>
      </c>
      <c r="D150" s="33"/>
      <c r="E150" s="100" t="s">
        <v>13</v>
      </c>
      <c r="F150" s="119">
        <f>2.5+3.5</f>
        <v>6</v>
      </c>
      <c r="G150" s="101">
        <v>0</v>
      </c>
      <c r="H150" s="102">
        <f t="shared" si="18"/>
        <v>0</v>
      </c>
    </row>
    <row r="151" spans="2:8" x14ac:dyDescent="0.25">
      <c r="B151" s="99" t="s">
        <v>75</v>
      </c>
      <c r="C151" s="33" t="s">
        <v>118</v>
      </c>
      <c r="D151" s="33"/>
      <c r="E151" s="100" t="s">
        <v>13</v>
      </c>
      <c r="F151" s="119">
        <f>12+9+15</f>
        <v>36</v>
      </c>
      <c r="G151" s="101">
        <v>0</v>
      </c>
      <c r="H151" s="102">
        <f t="shared" si="18"/>
        <v>0</v>
      </c>
    </row>
    <row r="152" spans="2:8" x14ac:dyDescent="0.25">
      <c r="B152" s="99" t="s">
        <v>75</v>
      </c>
      <c r="C152" s="33" t="s">
        <v>119</v>
      </c>
      <c r="D152" s="33"/>
      <c r="E152" s="100" t="s">
        <v>77</v>
      </c>
      <c r="F152" s="119">
        <v>3</v>
      </c>
      <c r="G152" s="101">
        <v>0</v>
      </c>
      <c r="H152" s="102">
        <f t="shared" si="18"/>
        <v>0</v>
      </c>
    </row>
    <row r="153" spans="2:8" x14ac:dyDescent="0.25">
      <c r="B153" s="99" t="s">
        <v>75</v>
      </c>
      <c r="C153" s="33" t="s">
        <v>120</v>
      </c>
      <c r="D153" s="33"/>
      <c r="E153" s="100" t="s">
        <v>77</v>
      </c>
      <c r="F153" s="119">
        <v>1</v>
      </c>
      <c r="G153" s="101">
        <v>0</v>
      </c>
      <c r="H153" s="102">
        <f t="shared" si="18"/>
        <v>0</v>
      </c>
    </row>
    <row r="154" spans="2:8" x14ac:dyDescent="0.25">
      <c r="B154" s="120"/>
      <c r="C154" s="104" t="s">
        <v>152</v>
      </c>
      <c r="D154" s="104"/>
      <c r="E154" s="105"/>
      <c r="F154" s="106"/>
      <c r="G154" s="101">
        <v>0</v>
      </c>
      <c r="H154" s="107">
        <f t="shared" ref="H154" si="19">SUM(H128:H153)</f>
        <v>0</v>
      </c>
    </row>
    <row r="155" spans="2:8" x14ac:dyDescent="0.25">
      <c r="B155" s="99"/>
      <c r="C155" s="126"/>
      <c r="D155" s="126"/>
      <c r="E155" s="100"/>
      <c r="F155" s="121"/>
      <c r="G155" s="101">
        <v>0</v>
      </c>
      <c r="H155" s="109"/>
    </row>
    <row r="156" spans="2:8" x14ac:dyDescent="0.25">
      <c r="B156" s="110" t="s">
        <v>121</v>
      </c>
      <c r="C156" s="111" t="s">
        <v>122</v>
      </c>
      <c r="D156" s="111"/>
      <c r="E156" s="100"/>
      <c r="F156" s="121"/>
      <c r="G156" s="101">
        <v>0</v>
      </c>
      <c r="H156" s="102"/>
    </row>
    <row r="157" spans="2:8" x14ac:dyDescent="0.25">
      <c r="B157" s="110"/>
      <c r="C157" s="111" t="s">
        <v>356</v>
      </c>
      <c r="D157" s="111"/>
      <c r="E157" s="100"/>
      <c r="F157" s="121"/>
      <c r="G157" s="101">
        <v>0</v>
      </c>
      <c r="H157" s="102"/>
    </row>
    <row r="158" spans="2:8" x14ac:dyDescent="0.25">
      <c r="B158" s="33">
        <v>1</v>
      </c>
      <c r="C158" s="33" t="s">
        <v>123</v>
      </c>
      <c r="D158" s="33"/>
      <c r="E158" s="100" t="s">
        <v>124</v>
      </c>
      <c r="F158" s="119">
        <v>11</v>
      </c>
      <c r="G158" s="101">
        <v>0</v>
      </c>
      <c r="H158" s="102">
        <f t="shared" ref="H158:H173" si="20">G158*F158</f>
        <v>0</v>
      </c>
    </row>
    <row r="159" spans="2:8" x14ac:dyDescent="0.25">
      <c r="B159" s="33">
        <v>2</v>
      </c>
      <c r="C159" s="33" t="s">
        <v>125</v>
      </c>
      <c r="D159" s="33"/>
      <c r="E159" s="100" t="s">
        <v>124</v>
      </c>
      <c r="F159" s="119">
        <v>9</v>
      </c>
      <c r="G159" s="101">
        <v>0</v>
      </c>
      <c r="H159" s="102">
        <f t="shared" si="20"/>
        <v>0</v>
      </c>
    </row>
    <row r="160" spans="2:8" x14ac:dyDescent="0.25">
      <c r="B160" s="33">
        <v>3</v>
      </c>
      <c r="C160" s="33" t="s">
        <v>127</v>
      </c>
      <c r="D160" s="33"/>
      <c r="E160" s="100" t="s">
        <v>124</v>
      </c>
      <c r="F160" s="119">
        <v>1</v>
      </c>
      <c r="G160" s="101">
        <v>0</v>
      </c>
      <c r="H160" s="102">
        <f t="shared" si="20"/>
        <v>0</v>
      </c>
    </row>
    <row r="161" spans="2:8" x14ac:dyDescent="0.25">
      <c r="B161" s="33">
        <v>4</v>
      </c>
      <c r="C161" s="33" t="s">
        <v>128</v>
      </c>
      <c r="D161" s="33"/>
      <c r="E161" s="100" t="s">
        <v>124</v>
      </c>
      <c r="F161" s="119">
        <v>2</v>
      </c>
      <c r="G161" s="101">
        <v>0</v>
      </c>
      <c r="H161" s="102">
        <f t="shared" si="20"/>
        <v>0</v>
      </c>
    </row>
    <row r="162" spans="2:8" x14ac:dyDescent="0.25">
      <c r="B162" s="33">
        <v>5</v>
      </c>
      <c r="C162" s="33" t="s">
        <v>222</v>
      </c>
      <c r="D162" s="33"/>
      <c r="E162" s="100" t="s">
        <v>124</v>
      </c>
      <c r="F162" s="119">
        <v>2</v>
      </c>
      <c r="G162" s="101">
        <v>0</v>
      </c>
      <c r="H162" s="102">
        <f t="shared" si="20"/>
        <v>0</v>
      </c>
    </row>
    <row r="163" spans="2:8" x14ac:dyDescent="0.25">
      <c r="B163" s="33">
        <v>6</v>
      </c>
      <c r="C163" s="33" t="s">
        <v>130</v>
      </c>
      <c r="D163" s="33"/>
      <c r="E163" s="100" t="s">
        <v>124</v>
      </c>
      <c r="F163" s="119">
        <v>1</v>
      </c>
      <c r="G163" s="101">
        <v>0</v>
      </c>
      <c r="H163" s="102">
        <f t="shared" si="20"/>
        <v>0</v>
      </c>
    </row>
    <row r="164" spans="2:8" x14ac:dyDescent="0.25">
      <c r="B164" s="33">
        <v>7</v>
      </c>
      <c r="C164" s="33" t="s">
        <v>131</v>
      </c>
      <c r="D164" s="33"/>
      <c r="E164" s="100" t="s">
        <v>124</v>
      </c>
      <c r="F164" s="119">
        <v>1</v>
      </c>
      <c r="G164" s="101">
        <v>0</v>
      </c>
      <c r="H164" s="102">
        <f t="shared" si="20"/>
        <v>0</v>
      </c>
    </row>
    <row r="165" spans="2:8" x14ac:dyDescent="0.25">
      <c r="B165" s="33">
        <v>8</v>
      </c>
      <c r="C165" s="33" t="s">
        <v>132</v>
      </c>
      <c r="D165" s="33"/>
      <c r="E165" s="100" t="s">
        <v>77</v>
      </c>
      <c r="F165" s="119">
        <v>2</v>
      </c>
      <c r="G165" s="101">
        <v>0</v>
      </c>
      <c r="H165" s="102">
        <f t="shared" si="20"/>
        <v>0</v>
      </c>
    </row>
    <row r="166" spans="2:8" x14ac:dyDescent="0.25">
      <c r="B166" s="33">
        <v>9</v>
      </c>
      <c r="C166" s="33" t="s">
        <v>133</v>
      </c>
      <c r="D166" s="33"/>
      <c r="E166" s="100" t="s">
        <v>77</v>
      </c>
      <c r="F166" s="119">
        <v>4</v>
      </c>
      <c r="G166" s="101">
        <v>0</v>
      </c>
      <c r="H166" s="102">
        <f t="shared" si="20"/>
        <v>0</v>
      </c>
    </row>
    <row r="167" spans="2:8" x14ac:dyDescent="0.25">
      <c r="B167" s="33">
        <v>10</v>
      </c>
      <c r="C167" s="33" t="s">
        <v>134</v>
      </c>
      <c r="D167" s="33"/>
      <c r="E167" s="100" t="s">
        <v>77</v>
      </c>
      <c r="F167" s="119">
        <f>F159</f>
        <v>9</v>
      </c>
      <c r="G167" s="101">
        <v>0</v>
      </c>
      <c r="H167" s="102">
        <f t="shared" si="20"/>
        <v>0</v>
      </c>
    </row>
    <row r="168" spans="2:8" x14ac:dyDescent="0.25">
      <c r="B168" s="33">
        <v>11</v>
      </c>
      <c r="C168" s="33" t="s">
        <v>223</v>
      </c>
      <c r="D168" s="33"/>
      <c r="E168" s="100" t="s">
        <v>77</v>
      </c>
      <c r="F168" s="119">
        <v>2</v>
      </c>
      <c r="G168" s="101">
        <v>0</v>
      </c>
      <c r="H168" s="102">
        <f t="shared" si="20"/>
        <v>0</v>
      </c>
    </row>
    <row r="169" spans="2:8" x14ac:dyDescent="0.25">
      <c r="B169" s="33">
        <v>12</v>
      </c>
      <c r="C169" s="33" t="s">
        <v>224</v>
      </c>
      <c r="D169" s="33"/>
      <c r="E169" s="100" t="s">
        <v>77</v>
      </c>
      <c r="F169" s="119">
        <v>1</v>
      </c>
      <c r="G169" s="101">
        <v>0</v>
      </c>
      <c r="H169" s="102">
        <f t="shared" si="20"/>
        <v>0</v>
      </c>
    </row>
    <row r="170" spans="2:8" x14ac:dyDescent="0.25">
      <c r="B170" s="33">
        <v>13</v>
      </c>
      <c r="C170" s="33" t="s">
        <v>126</v>
      </c>
      <c r="D170" s="33"/>
      <c r="E170" s="100" t="s">
        <v>77</v>
      </c>
      <c r="F170" s="119">
        <v>1</v>
      </c>
      <c r="G170" s="101">
        <v>0</v>
      </c>
      <c r="H170" s="102">
        <f t="shared" si="20"/>
        <v>0</v>
      </c>
    </row>
    <row r="171" spans="2:8" x14ac:dyDescent="0.25">
      <c r="B171" s="33">
        <v>14</v>
      </c>
      <c r="C171" s="33" t="s">
        <v>135</v>
      </c>
      <c r="D171" s="33"/>
      <c r="E171" s="100" t="s">
        <v>136</v>
      </c>
      <c r="F171" s="119">
        <v>1</v>
      </c>
      <c r="G171" s="101">
        <v>0</v>
      </c>
      <c r="H171" s="102">
        <f t="shared" si="20"/>
        <v>0</v>
      </c>
    </row>
    <row r="172" spans="2:8" x14ac:dyDescent="0.25">
      <c r="B172" s="33">
        <v>15</v>
      </c>
      <c r="C172" s="33" t="s">
        <v>137</v>
      </c>
      <c r="D172" s="33"/>
      <c r="E172" s="100" t="s">
        <v>138</v>
      </c>
      <c r="F172" s="119">
        <v>1</v>
      </c>
      <c r="G172" s="101">
        <v>0</v>
      </c>
      <c r="H172" s="102">
        <f t="shared" si="20"/>
        <v>0</v>
      </c>
    </row>
    <row r="173" spans="2:8" x14ac:dyDescent="0.25">
      <c r="B173" s="33">
        <v>16</v>
      </c>
      <c r="C173" s="33" t="s">
        <v>139</v>
      </c>
      <c r="D173" s="33"/>
      <c r="E173" s="100" t="s">
        <v>140</v>
      </c>
      <c r="F173" s="119">
        <v>1</v>
      </c>
      <c r="G173" s="101">
        <v>0</v>
      </c>
      <c r="H173" s="102">
        <f t="shared" si="20"/>
        <v>0</v>
      </c>
    </row>
    <row r="174" spans="2:8" x14ac:dyDescent="0.25">
      <c r="B174" s="120"/>
      <c r="C174" s="104" t="s">
        <v>152</v>
      </c>
      <c r="D174" s="104"/>
      <c r="E174" s="105"/>
      <c r="F174" s="106"/>
      <c r="G174" s="101">
        <v>0</v>
      </c>
      <c r="H174" s="123">
        <f t="shared" ref="H174" si="21">SUM(H158:H173)</f>
        <v>0</v>
      </c>
    </row>
    <row r="175" spans="2:8" x14ac:dyDescent="0.25">
      <c r="B175" s="99"/>
      <c r="C175" s="126"/>
      <c r="D175" s="126"/>
      <c r="E175" s="100"/>
      <c r="F175" s="121"/>
      <c r="G175" s="101">
        <v>0</v>
      </c>
      <c r="H175" s="124"/>
    </row>
    <row r="176" spans="2:8" x14ac:dyDescent="0.25">
      <c r="B176" s="110" t="s">
        <v>141</v>
      </c>
      <c r="C176" s="111" t="s">
        <v>142</v>
      </c>
      <c r="D176" s="111"/>
      <c r="E176" s="100"/>
      <c r="F176" s="121"/>
      <c r="G176" s="101">
        <v>0</v>
      </c>
      <c r="H176" s="102"/>
    </row>
    <row r="177" spans="2:8" x14ac:dyDescent="0.25">
      <c r="B177" s="49">
        <v>1</v>
      </c>
      <c r="C177" s="44" t="s">
        <v>225</v>
      </c>
      <c r="D177" s="44"/>
      <c r="E177" s="49" t="s">
        <v>140</v>
      </c>
      <c r="F177" s="133">
        <v>1</v>
      </c>
      <c r="G177" s="101">
        <v>0</v>
      </c>
      <c r="H177" s="102">
        <f>G177*F177</f>
        <v>0</v>
      </c>
    </row>
    <row r="178" spans="2:8" x14ac:dyDescent="0.25">
      <c r="B178" s="49">
        <v>2</v>
      </c>
      <c r="C178" s="44" t="s">
        <v>226</v>
      </c>
      <c r="D178" s="44"/>
      <c r="E178" s="49" t="s">
        <v>140</v>
      </c>
      <c r="F178" s="133">
        <v>0</v>
      </c>
      <c r="G178" s="101">
        <v>0</v>
      </c>
      <c r="H178" s="102">
        <f>G178*F178</f>
        <v>0</v>
      </c>
    </row>
    <row r="179" spans="2:8" x14ac:dyDescent="0.25">
      <c r="B179" s="49">
        <v>3</v>
      </c>
      <c r="C179" s="44" t="s">
        <v>357</v>
      </c>
      <c r="D179" s="44"/>
      <c r="E179" s="100" t="s">
        <v>158</v>
      </c>
      <c r="F179" s="133"/>
      <c r="G179" s="101">
        <v>0</v>
      </c>
      <c r="H179" s="102"/>
    </row>
    <row r="180" spans="2:8" x14ac:dyDescent="0.25">
      <c r="B180" s="49"/>
      <c r="C180" s="134" t="s">
        <v>227</v>
      </c>
      <c r="D180" s="134"/>
      <c r="E180" s="100" t="s">
        <v>13</v>
      </c>
      <c r="F180" s="133">
        <f>4</f>
        <v>4</v>
      </c>
      <c r="G180" s="101">
        <v>0</v>
      </c>
      <c r="H180" s="102">
        <f>G180*F180</f>
        <v>0</v>
      </c>
    </row>
    <row r="181" spans="2:8" x14ac:dyDescent="0.25">
      <c r="B181" s="49">
        <v>4</v>
      </c>
      <c r="C181" s="44" t="s">
        <v>228</v>
      </c>
      <c r="D181" s="44"/>
      <c r="E181" s="100" t="s">
        <v>158</v>
      </c>
      <c r="F181" s="133"/>
      <c r="G181" s="101">
        <v>0</v>
      </c>
      <c r="H181" s="102"/>
    </row>
    <row r="182" spans="2:8" x14ac:dyDescent="0.25">
      <c r="B182" s="49"/>
      <c r="C182" s="134" t="s">
        <v>229</v>
      </c>
      <c r="D182" s="134"/>
      <c r="E182" s="100" t="s">
        <v>140</v>
      </c>
      <c r="F182" s="133">
        <v>1</v>
      </c>
      <c r="G182" s="101">
        <v>0</v>
      </c>
      <c r="H182" s="102">
        <f>G182*F182</f>
        <v>0</v>
      </c>
    </row>
    <row r="183" spans="2:8" x14ac:dyDescent="0.25">
      <c r="B183" s="135"/>
      <c r="C183" s="104" t="s">
        <v>152</v>
      </c>
      <c r="D183" s="104"/>
      <c r="E183" s="135"/>
      <c r="F183" s="136"/>
      <c r="G183" s="101">
        <v>0</v>
      </c>
      <c r="H183" s="123">
        <f t="shared" ref="H183" si="22">SUM(H177:H182)</f>
        <v>0</v>
      </c>
    </row>
    <row r="184" spans="2:8" x14ac:dyDescent="0.25">
      <c r="B184" s="138"/>
      <c r="C184" s="139"/>
      <c r="D184" s="45"/>
      <c r="E184" s="49"/>
      <c r="F184" s="133"/>
      <c r="G184" s="101">
        <v>0</v>
      </c>
      <c r="H184" s="124"/>
    </row>
    <row r="185" spans="2:8" x14ac:dyDescent="0.25">
      <c r="B185" s="126" t="s">
        <v>141</v>
      </c>
      <c r="C185" s="141" t="s">
        <v>144</v>
      </c>
      <c r="D185" s="141"/>
      <c r="E185" s="49"/>
      <c r="F185" s="142"/>
      <c r="G185" s="101">
        <v>0</v>
      </c>
      <c r="H185" s="102"/>
    </row>
    <row r="186" spans="2:8" x14ac:dyDescent="0.25">
      <c r="B186" s="49">
        <v>1</v>
      </c>
      <c r="C186" s="44" t="s">
        <v>230</v>
      </c>
      <c r="D186" s="44"/>
      <c r="E186" s="100"/>
      <c r="F186" s="133"/>
      <c r="G186" s="101">
        <v>0</v>
      </c>
      <c r="H186" s="102"/>
    </row>
    <row r="187" spans="2:8" x14ac:dyDescent="0.25">
      <c r="B187" s="49"/>
      <c r="C187" s="45" t="s">
        <v>358</v>
      </c>
      <c r="D187" s="45"/>
      <c r="E187" s="100" t="s">
        <v>19</v>
      </c>
      <c r="F187" s="133">
        <f>6*2.5-(2.1*2.5)+0.2*2.5*4</f>
        <v>11.75</v>
      </c>
      <c r="G187" s="101">
        <v>0</v>
      </c>
      <c r="H187" s="102">
        <f>G187*F187</f>
        <v>0</v>
      </c>
    </row>
    <row r="188" spans="2:8" x14ac:dyDescent="0.25">
      <c r="B188" s="49">
        <v>2</v>
      </c>
      <c r="C188" s="44" t="s">
        <v>359</v>
      </c>
      <c r="D188" s="44"/>
      <c r="E188" s="100"/>
      <c r="F188" s="133"/>
      <c r="G188" s="101">
        <v>0</v>
      </c>
      <c r="H188" s="102"/>
    </row>
    <row r="189" spans="2:8" x14ac:dyDescent="0.25">
      <c r="B189" s="49"/>
      <c r="C189" s="45" t="s">
        <v>358</v>
      </c>
      <c r="D189" s="45"/>
      <c r="E189" s="143"/>
      <c r="F189" s="133">
        <f>6*3.25-(0.4*5+2.25*1.6+2*2.5)</f>
        <v>8.9</v>
      </c>
      <c r="G189" s="101">
        <v>0</v>
      </c>
      <c r="H189" s="102">
        <f>G189*F189</f>
        <v>0</v>
      </c>
    </row>
    <row r="190" spans="2:8" x14ac:dyDescent="0.25">
      <c r="B190" s="49">
        <v>3</v>
      </c>
      <c r="C190" s="44" t="s">
        <v>231</v>
      </c>
      <c r="D190" s="44"/>
      <c r="E190" s="100" t="s">
        <v>19</v>
      </c>
      <c r="F190" s="133">
        <f>3+1+5+1</f>
        <v>10</v>
      </c>
      <c r="G190" s="101">
        <v>0</v>
      </c>
      <c r="H190" s="102">
        <f>G190*F190</f>
        <v>0</v>
      </c>
    </row>
    <row r="191" spans="2:8" x14ac:dyDescent="0.25">
      <c r="B191" s="49">
        <v>4</v>
      </c>
      <c r="C191" s="33" t="s">
        <v>232</v>
      </c>
      <c r="D191" s="33"/>
      <c r="E191" s="100" t="s">
        <v>19</v>
      </c>
      <c r="F191" s="119">
        <f>1.4*3+3*1.6</f>
        <v>9</v>
      </c>
      <c r="G191" s="101">
        <v>0</v>
      </c>
      <c r="H191" s="102">
        <f>G191*F191</f>
        <v>0</v>
      </c>
    </row>
    <row r="192" spans="2:8" x14ac:dyDescent="0.25">
      <c r="B192" s="49">
        <v>5</v>
      </c>
      <c r="C192" s="33" t="s">
        <v>318</v>
      </c>
      <c r="D192" s="33"/>
      <c r="E192" s="100" t="s">
        <v>19</v>
      </c>
      <c r="F192" s="119">
        <v>6.4</v>
      </c>
      <c r="G192" s="101">
        <v>0</v>
      </c>
      <c r="H192" s="102"/>
    </row>
    <row r="193" spans="2:8" x14ac:dyDescent="0.25">
      <c r="B193" s="49">
        <v>6</v>
      </c>
      <c r="C193" s="33" t="s">
        <v>319</v>
      </c>
      <c r="D193" s="33"/>
      <c r="E193" s="100" t="s">
        <v>13</v>
      </c>
      <c r="F193" s="119">
        <v>81.849999999999994</v>
      </c>
      <c r="G193" s="101">
        <v>0</v>
      </c>
      <c r="H193" s="102"/>
    </row>
    <row r="194" spans="2:8" x14ac:dyDescent="0.25">
      <c r="B194" s="49">
        <v>7</v>
      </c>
      <c r="C194" s="44" t="s">
        <v>149</v>
      </c>
      <c r="D194" s="44"/>
      <c r="E194" s="49" t="s">
        <v>140</v>
      </c>
      <c r="F194" s="133">
        <v>0</v>
      </c>
      <c r="G194" s="101">
        <v>0</v>
      </c>
      <c r="H194" s="102">
        <f>G194*F194</f>
        <v>0</v>
      </c>
    </row>
    <row r="195" spans="2:8" x14ac:dyDescent="0.25">
      <c r="B195" s="144"/>
      <c r="C195" s="104" t="s">
        <v>152</v>
      </c>
      <c r="D195" s="104"/>
      <c r="E195" s="135"/>
      <c r="F195" s="136"/>
      <c r="G195" s="101">
        <v>0</v>
      </c>
      <c r="H195" s="123">
        <f t="shared" ref="H195" si="23">SUM(H186:H194)</f>
        <v>0</v>
      </c>
    </row>
    <row r="196" spans="2:8" x14ac:dyDescent="0.25">
      <c r="B196" s="126" t="s">
        <v>141</v>
      </c>
      <c r="C196" s="141" t="s">
        <v>153</v>
      </c>
      <c r="D196" s="141"/>
      <c r="E196" s="49"/>
      <c r="F196" s="133"/>
      <c r="G196" s="101">
        <v>0</v>
      </c>
      <c r="H196" s="102"/>
    </row>
    <row r="197" spans="2:8" x14ac:dyDescent="0.25">
      <c r="B197" s="49">
        <v>1</v>
      </c>
      <c r="C197" s="44" t="s">
        <v>233</v>
      </c>
      <c r="D197" s="44"/>
      <c r="E197" s="49" t="s">
        <v>146</v>
      </c>
      <c r="F197" s="133">
        <f>24*0</f>
        <v>0</v>
      </c>
      <c r="G197" s="101">
        <v>0</v>
      </c>
      <c r="H197" s="102">
        <f>G197*F197</f>
        <v>0</v>
      </c>
    </row>
    <row r="198" spans="2:8" x14ac:dyDescent="0.25">
      <c r="B198" s="49">
        <v>2</v>
      </c>
      <c r="C198" s="44" t="s">
        <v>234</v>
      </c>
      <c r="D198" s="44"/>
      <c r="E198" s="49" t="s">
        <v>146</v>
      </c>
      <c r="F198" s="133">
        <f>22*0</f>
        <v>0</v>
      </c>
      <c r="G198" s="101">
        <v>0</v>
      </c>
      <c r="H198" s="102">
        <f>G198*F198</f>
        <v>0</v>
      </c>
    </row>
    <row r="199" spans="2:8" x14ac:dyDescent="0.25">
      <c r="B199" s="49">
        <v>3</v>
      </c>
      <c r="C199" s="44" t="s">
        <v>235</v>
      </c>
      <c r="D199" s="44"/>
      <c r="E199" s="49" t="s">
        <v>146</v>
      </c>
      <c r="F199" s="133">
        <f>19*0</f>
        <v>0</v>
      </c>
      <c r="G199" s="101">
        <v>0</v>
      </c>
      <c r="H199" s="102">
        <f>G199*F199</f>
        <v>0</v>
      </c>
    </row>
    <row r="200" spans="2:8" x14ac:dyDescent="0.25">
      <c r="B200" s="135"/>
      <c r="C200" s="104" t="s">
        <v>152</v>
      </c>
      <c r="D200" s="207"/>
      <c r="E200" s="144"/>
      <c r="F200" s="145"/>
      <c r="G200" s="137"/>
      <c r="H200" s="123">
        <f t="shared" ref="H200" si="24">SUM(H197:H199)</f>
        <v>0</v>
      </c>
    </row>
    <row r="201" spans="2:8" x14ac:dyDescent="0.25">
      <c r="B201" s="83" t="s">
        <v>157</v>
      </c>
      <c r="C201" s="84"/>
      <c r="D201" s="84"/>
      <c r="E201" s="84"/>
      <c r="F201" s="85"/>
      <c r="G201" s="150"/>
      <c r="H201" s="150"/>
    </row>
    <row r="202" spans="2:8" x14ac:dyDescent="0.25">
      <c r="B202" s="151"/>
      <c r="C202" s="152"/>
      <c r="D202" s="152"/>
      <c r="E202" s="152"/>
      <c r="F202" s="153"/>
      <c r="G202" s="154"/>
      <c r="H202" s="155"/>
    </row>
    <row r="203" spans="2:8" x14ac:dyDescent="0.25">
      <c r="B203" s="156" t="s">
        <v>10</v>
      </c>
      <c r="C203" s="96" t="s">
        <v>11</v>
      </c>
      <c r="D203" s="96"/>
      <c r="E203" s="157"/>
      <c r="F203" s="38"/>
      <c r="G203" s="140"/>
      <c r="H203" s="124">
        <f>H15</f>
        <v>0</v>
      </c>
    </row>
    <row r="204" spans="2:8" x14ac:dyDescent="0.25">
      <c r="B204" s="110" t="s">
        <v>21</v>
      </c>
      <c r="C204" s="111" t="s">
        <v>22</v>
      </c>
      <c r="D204" s="111"/>
      <c r="E204" s="157"/>
      <c r="F204" s="38"/>
      <c r="G204" s="140"/>
      <c r="H204" s="158">
        <f>H23</f>
        <v>0</v>
      </c>
    </row>
    <row r="205" spans="2:8" x14ac:dyDescent="0.25">
      <c r="B205" s="110" t="s">
        <v>28</v>
      </c>
      <c r="C205" s="111" t="s">
        <v>29</v>
      </c>
      <c r="D205" s="111"/>
      <c r="E205" s="157"/>
      <c r="F205" s="38"/>
      <c r="G205" s="140"/>
      <c r="H205" s="124">
        <f>H28</f>
        <v>0</v>
      </c>
    </row>
    <row r="206" spans="2:8" x14ac:dyDescent="0.25">
      <c r="B206" s="110" t="s">
        <v>33</v>
      </c>
      <c r="C206" s="111" t="s">
        <v>34</v>
      </c>
      <c r="D206" s="111"/>
      <c r="E206" s="157"/>
      <c r="F206" s="38"/>
      <c r="G206" s="140"/>
      <c r="H206" s="124">
        <f>H43</f>
        <v>0</v>
      </c>
    </row>
    <row r="207" spans="2:8" x14ac:dyDescent="0.25">
      <c r="B207" s="110" t="s">
        <v>44</v>
      </c>
      <c r="C207" s="111" t="s">
        <v>45</v>
      </c>
      <c r="D207" s="111"/>
      <c r="E207" s="157"/>
      <c r="F207" s="38"/>
      <c r="G207" s="140"/>
      <c r="H207" s="124">
        <f>H56</f>
        <v>0</v>
      </c>
    </row>
    <row r="208" spans="2:8" x14ac:dyDescent="0.25">
      <c r="B208" s="110" t="s">
        <v>50</v>
      </c>
      <c r="C208" s="111" t="s">
        <v>51</v>
      </c>
      <c r="D208" s="111"/>
      <c r="E208" s="157"/>
      <c r="F208" s="38"/>
      <c r="G208" s="140"/>
      <c r="H208" s="268">
        <f>H65</f>
        <v>0</v>
      </c>
    </row>
    <row r="209" spans="2:8" x14ac:dyDescent="0.25">
      <c r="B209" s="110" t="s">
        <v>53</v>
      </c>
      <c r="C209" s="111" t="s">
        <v>54</v>
      </c>
      <c r="D209" s="111"/>
      <c r="E209" s="157"/>
      <c r="F209" s="38"/>
      <c r="G209" s="140"/>
      <c r="H209" s="158">
        <f>H73</f>
        <v>0</v>
      </c>
    </row>
    <row r="210" spans="2:8" x14ac:dyDescent="0.25">
      <c r="B210" s="110" t="s">
        <v>59</v>
      </c>
      <c r="C210" s="111" t="s">
        <v>60</v>
      </c>
      <c r="D210" s="111"/>
      <c r="E210" s="157"/>
      <c r="F210" s="38"/>
      <c r="G210" s="140"/>
      <c r="H210" s="158">
        <f>H79</f>
        <v>0</v>
      </c>
    </row>
    <row r="211" spans="2:8" x14ac:dyDescent="0.25">
      <c r="B211" s="110" t="s">
        <v>64</v>
      </c>
      <c r="C211" s="111" t="s">
        <v>65</v>
      </c>
      <c r="D211" s="111"/>
      <c r="E211" s="157"/>
      <c r="F211" s="38"/>
      <c r="G211" s="140"/>
      <c r="H211" s="158">
        <f>H89</f>
        <v>0</v>
      </c>
    </row>
    <row r="212" spans="2:8" x14ac:dyDescent="0.25">
      <c r="B212" s="110" t="s">
        <v>72</v>
      </c>
      <c r="C212" s="111" t="s">
        <v>73</v>
      </c>
      <c r="D212" s="111"/>
      <c r="E212" s="157"/>
      <c r="F212" s="38"/>
      <c r="G212" s="140"/>
      <c r="H212" s="158">
        <f>H116</f>
        <v>0</v>
      </c>
    </row>
    <row r="213" spans="2:8" x14ac:dyDescent="0.25">
      <c r="B213" s="110" t="s">
        <v>92</v>
      </c>
      <c r="C213" s="111" t="s">
        <v>93</v>
      </c>
      <c r="D213" s="111"/>
      <c r="E213" s="157"/>
      <c r="F213" s="38"/>
      <c r="G213" s="140"/>
      <c r="H213" s="158">
        <f>H124</f>
        <v>0</v>
      </c>
    </row>
    <row r="214" spans="2:8" x14ac:dyDescent="0.25">
      <c r="B214" s="110" t="s">
        <v>99</v>
      </c>
      <c r="C214" s="111" t="s">
        <v>100</v>
      </c>
      <c r="D214" s="111"/>
      <c r="E214" s="157"/>
      <c r="F214" s="38"/>
      <c r="G214" s="140"/>
      <c r="H214" s="158">
        <f>H154</f>
        <v>0</v>
      </c>
    </row>
    <row r="215" spans="2:8" x14ac:dyDescent="0.25">
      <c r="B215" s="110" t="s">
        <v>121</v>
      </c>
      <c r="C215" s="111" t="s">
        <v>122</v>
      </c>
      <c r="D215" s="111"/>
      <c r="E215" s="157"/>
      <c r="F215" s="38"/>
      <c r="G215" s="140"/>
      <c r="H215" s="158">
        <f>H174</f>
        <v>0</v>
      </c>
    </row>
    <row r="216" spans="2:8" x14ac:dyDescent="0.25">
      <c r="B216" s="110" t="s">
        <v>141</v>
      </c>
      <c r="C216" s="111" t="str">
        <f>C176</f>
        <v>PEK. LAIN - LAIN</v>
      </c>
      <c r="D216" s="111"/>
      <c r="E216" s="157"/>
      <c r="F216" s="38"/>
      <c r="G216" s="140"/>
      <c r="H216" s="158">
        <f>H183</f>
        <v>0</v>
      </c>
    </row>
    <row r="217" spans="2:8" x14ac:dyDescent="0.25">
      <c r="B217" s="110" t="s">
        <v>159</v>
      </c>
      <c r="C217" s="111" t="str">
        <f>C185</f>
        <v>PEK. PERUBAHAN BENTUK TAMPAK MUKA</v>
      </c>
      <c r="D217" s="111"/>
      <c r="E217" s="157"/>
      <c r="F217" s="38"/>
      <c r="G217" s="140"/>
      <c r="H217" s="158">
        <f>H195</f>
        <v>0</v>
      </c>
    </row>
    <row r="218" spans="2:8" x14ac:dyDescent="0.25">
      <c r="B218" s="110" t="s">
        <v>160</v>
      </c>
      <c r="C218" s="111" t="str">
        <f>C196</f>
        <v>PEKERJAAN PLESTER DINDING SAMPING</v>
      </c>
      <c r="D218" s="111"/>
      <c r="E218" s="157"/>
      <c r="F218" s="38"/>
      <c r="G218" s="140"/>
      <c r="H218" s="158">
        <f>H200</f>
        <v>0</v>
      </c>
    </row>
    <row r="219" spans="2:8" x14ac:dyDescent="0.25">
      <c r="B219" s="159"/>
      <c r="C219" s="160"/>
      <c r="D219" s="160"/>
      <c r="E219" s="161"/>
      <c r="F219" s="56"/>
      <c r="G219" s="162"/>
      <c r="H219" s="163"/>
    </row>
    <row r="220" spans="2:8" x14ac:dyDescent="0.25">
      <c r="B220" s="164"/>
      <c r="C220" s="80" t="s">
        <v>161</v>
      </c>
      <c r="D220" s="84"/>
      <c r="E220" s="84"/>
      <c r="F220" s="85"/>
      <c r="G220" s="165"/>
      <c r="H220" s="166">
        <f>SUM(H202:H218)</f>
        <v>0</v>
      </c>
    </row>
    <row r="221" spans="2:8" x14ac:dyDescent="0.25">
      <c r="B221" s="164"/>
      <c r="C221" s="80" t="s">
        <v>360</v>
      </c>
      <c r="D221" s="84"/>
      <c r="E221" s="84"/>
      <c r="F221" s="85"/>
      <c r="G221" s="165"/>
      <c r="H221" s="166">
        <f>H220*0.04</f>
        <v>0</v>
      </c>
    </row>
    <row r="222" spans="2:8" x14ac:dyDescent="0.25">
      <c r="B222" s="164"/>
      <c r="C222" s="80" t="s">
        <v>171</v>
      </c>
      <c r="D222" s="84"/>
      <c r="E222" s="84"/>
      <c r="F222" s="85"/>
      <c r="G222" s="165"/>
      <c r="H222" s="166">
        <f t="shared" ref="H222" si="25">H220+H221</f>
        <v>0</v>
      </c>
    </row>
    <row r="223" spans="2:8" x14ac:dyDescent="0.25">
      <c r="B223" s="164"/>
      <c r="C223" s="81" t="s">
        <v>169</v>
      </c>
      <c r="D223" s="84"/>
      <c r="E223" s="84"/>
      <c r="F223" s="85"/>
      <c r="G223" s="167"/>
      <c r="H223" s="236">
        <f t="shared" ref="H223" si="26">ROUNDDOWN(H222,-4)</f>
        <v>0</v>
      </c>
    </row>
    <row r="224" spans="2:8" x14ac:dyDescent="0.25">
      <c r="B224" s="164"/>
      <c r="C224" s="81" t="s">
        <v>170</v>
      </c>
      <c r="D224" s="84"/>
      <c r="E224" s="84"/>
      <c r="F224" s="169"/>
      <c r="G224" s="170"/>
      <c r="H224" s="171">
        <f t="shared" ref="H224" si="27">0.1*H223</f>
        <v>0</v>
      </c>
    </row>
    <row r="225" spans="2:8" x14ac:dyDescent="0.25">
      <c r="B225" s="164"/>
      <c r="C225" s="80" t="s">
        <v>171</v>
      </c>
      <c r="D225" s="84"/>
      <c r="E225" s="84"/>
      <c r="F225" s="169"/>
      <c r="G225" s="170"/>
      <c r="H225" s="172">
        <f t="shared" ref="H225" si="28">H224+H223</f>
        <v>0</v>
      </c>
    </row>
    <row r="226" spans="2:8" x14ac:dyDescent="0.25">
      <c r="B226" s="164"/>
      <c r="C226" s="84"/>
      <c r="D226" s="84"/>
      <c r="E226" s="84"/>
      <c r="F226" s="85"/>
      <c r="G226" s="170"/>
      <c r="H226" s="173"/>
    </row>
    <row r="227" spans="2:8" x14ac:dyDescent="0.25">
      <c r="B227" s="164"/>
      <c r="C227" s="84"/>
      <c r="D227" s="84"/>
      <c r="E227" s="84"/>
      <c r="F227" s="85"/>
      <c r="G227" s="165"/>
      <c r="H227" s="174"/>
    </row>
    <row r="228" spans="2:8" x14ac:dyDescent="0.25">
      <c r="B228" s="164"/>
      <c r="C228" s="84"/>
      <c r="D228" s="84"/>
      <c r="E228" s="175" t="s">
        <v>162</v>
      </c>
      <c r="F228" s="175"/>
      <c r="G228" s="86"/>
      <c r="H228" s="86">
        <v>55</v>
      </c>
    </row>
    <row r="229" spans="2:8" x14ac:dyDescent="0.25">
      <c r="B229" s="164"/>
      <c r="C229" s="84"/>
      <c r="D229" s="84"/>
      <c r="E229" s="175"/>
      <c r="F229" s="175"/>
      <c r="G229" s="86"/>
      <c r="H229" s="170"/>
    </row>
    <row r="230" spans="2:8" x14ac:dyDescent="0.25">
      <c r="B230" s="164"/>
      <c r="C230" s="84"/>
      <c r="D230" s="84"/>
      <c r="E230" s="175" t="s">
        <v>164</v>
      </c>
      <c r="F230" s="175"/>
      <c r="G230" s="86"/>
      <c r="H230" s="176">
        <f t="shared" ref="H230" si="29">H223/H228</f>
        <v>0</v>
      </c>
    </row>
  </sheetData>
  <mergeCells count="4">
    <mergeCell ref="B5:B6"/>
    <mergeCell ref="C5:C6"/>
    <mergeCell ref="E5:E6"/>
    <mergeCell ref="D5:D6"/>
  </mergeCells>
  <pageMargins left="0.39370078740157483" right="0.39370078740157483" top="0.78740157480314965" bottom="0.59055118110236227" header="0.51181102362204722" footer="0.51181102362204722"/>
  <pageSetup paperSize="8" scale="95" fitToHeight="0" orientation="landscape" horizontalDpi="4294967293" verticalDpi="4294967293" r:id="rId1"/>
  <rowBreaks count="3" manualBreakCount="3">
    <brk id="70" min="1" max="17" man="1"/>
    <brk id="134" min="1" max="17" man="1"/>
    <brk id="198" min="1" max="1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238"/>
  <sheetViews>
    <sheetView tabSelected="1" zoomScale="90" zoomScaleNormal="9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9" sqref="F9"/>
    </sheetView>
  </sheetViews>
  <sheetFormatPr defaultRowHeight="15" x14ac:dyDescent="0.25"/>
  <cols>
    <col min="1" max="1" width="3.28515625" customWidth="1"/>
    <col min="2" max="2" width="3.5703125" customWidth="1"/>
    <col min="3" max="3" width="44.7109375" customWidth="1"/>
    <col min="4" max="4" width="5.140625" customWidth="1"/>
    <col min="5" max="5" width="9.7109375" bestFit="1" customWidth="1"/>
    <col min="6" max="6" width="14.5703125" customWidth="1"/>
    <col min="7" max="7" width="14.5703125" hidden="1" customWidth="1"/>
    <col min="8" max="8" width="19.5703125" customWidth="1"/>
    <col min="9" max="9" width="24.28515625" hidden="1" customWidth="1"/>
    <col min="10" max="10" width="23.5703125" customWidth="1"/>
    <col min="11" max="11" width="22.85546875" customWidth="1"/>
    <col min="12" max="12" width="25.7109375" customWidth="1"/>
  </cols>
  <sheetData>
    <row r="1" spans="2:11" ht="18" x14ac:dyDescent="0.25">
      <c r="B1" s="82" t="s">
        <v>0</v>
      </c>
      <c r="C1" s="83"/>
      <c r="D1" s="84"/>
      <c r="E1" s="85"/>
      <c r="F1" s="86"/>
      <c r="G1" s="86"/>
      <c r="H1" s="86"/>
      <c r="I1" s="86"/>
    </row>
    <row r="2" spans="2:11" ht="18" x14ac:dyDescent="0.25">
      <c r="B2" s="82" t="s">
        <v>1</v>
      </c>
      <c r="C2" s="83"/>
      <c r="D2" s="84"/>
      <c r="E2" s="85"/>
      <c r="F2" s="86"/>
      <c r="G2" s="86"/>
      <c r="H2" s="86"/>
      <c r="I2" s="86"/>
    </row>
    <row r="3" spans="2:11" ht="18" x14ac:dyDescent="0.25">
      <c r="B3" s="82" t="s">
        <v>2</v>
      </c>
      <c r="C3" s="83"/>
      <c r="D3" s="84"/>
      <c r="E3" s="85"/>
      <c r="F3" s="86"/>
      <c r="G3" s="86"/>
      <c r="H3" s="86"/>
      <c r="I3" s="86"/>
    </row>
    <row r="4" spans="2:11" ht="18.75" x14ac:dyDescent="0.3">
      <c r="B4" s="84"/>
      <c r="C4" s="87"/>
      <c r="D4" s="84"/>
      <c r="E4" s="58"/>
      <c r="F4" s="88"/>
      <c r="G4" s="88"/>
      <c r="H4" s="88" t="s">
        <v>236</v>
      </c>
      <c r="I4" s="88"/>
    </row>
    <row r="5" spans="2:11" x14ac:dyDescent="0.25">
      <c r="B5" s="273" t="s">
        <v>4</v>
      </c>
      <c r="C5" s="273" t="s">
        <v>5</v>
      </c>
      <c r="D5" s="273" t="s">
        <v>6</v>
      </c>
      <c r="E5" s="89" t="s">
        <v>7</v>
      </c>
      <c r="F5" s="275" t="s">
        <v>361</v>
      </c>
      <c r="G5" s="275"/>
      <c r="H5" s="275" t="s">
        <v>348</v>
      </c>
      <c r="I5" s="275"/>
      <c r="K5">
        <f>5000000/46</f>
        <v>108695.65217391304</v>
      </c>
    </row>
    <row r="6" spans="2:11" ht="15.75" thickBot="1" x14ac:dyDescent="0.3">
      <c r="B6" s="274"/>
      <c r="C6" s="274"/>
      <c r="D6" s="274"/>
      <c r="E6" s="90" t="s">
        <v>237</v>
      </c>
      <c r="F6" s="269" t="s">
        <v>362</v>
      </c>
      <c r="G6" s="269" t="s">
        <v>314</v>
      </c>
      <c r="H6" s="256" t="s">
        <v>363</v>
      </c>
      <c r="I6" s="256" t="s">
        <v>314</v>
      </c>
    </row>
    <row r="7" spans="2:11" ht="16.5" thickTop="1" x14ac:dyDescent="0.25">
      <c r="B7" s="91"/>
      <c r="C7" s="92"/>
      <c r="D7" s="93"/>
      <c r="E7" s="15"/>
      <c r="F7" s="94"/>
      <c r="G7" s="94"/>
      <c r="H7" s="94"/>
      <c r="I7" s="94"/>
    </row>
    <row r="8" spans="2:11" x14ac:dyDescent="0.25">
      <c r="B8" s="95" t="s">
        <v>10</v>
      </c>
      <c r="C8" s="96" t="s">
        <v>11</v>
      </c>
      <c r="D8" s="97"/>
      <c r="E8" s="20"/>
      <c r="F8" s="98"/>
      <c r="G8" s="98"/>
      <c r="H8" s="98"/>
      <c r="I8" s="98"/>
    </row>
    <row r="9" spans="2:11" x14ac:dyDescent="0.25">
      <c r="B9" s="99">
        <v>1</v>
      </c>
      <c r="C9" s="33" t="s">
        <v>12</v>
      </c>
      <c r="D9" s="100" t="s">
        <v>13</v>
      </c>
      <c r="E9" s="25">
        <f>8*2+7*2</f>
        <v>30</v>
      </c>
      <c r="F9" s="209">
        <v>0</v>
      </c>
      <c r="G9" s="209">
        <v>16443.424999999999</v>
      </c>
      <c r="H9" s="209">
        <f t="shared" ref="H9:H14" si="0">F9*E9</f>
        <v>0</v>
      </c>
      <c r="I9" s="209">
        <f t="shared" ref="I9:I14" si="1">G9*E9</f>
        <v>493302.75</v>
      </c>
      <c r="J9" s="25">
        <f>8*2+7*2</f>
        <v>30</v>
      </c>
    </row>
    <row r="10" spans="2:11" x14ac:dyDescent="0.25">
      <c r="B10" s="33">
        <v>2</v>
      </c>
      <c r="C10" s="33" t="s">
        <v>14</v>
      </c>
      <c r="D10" s="100" t="s">
        <v>15</v>
      </c>
      <c r="E10" s="25">
        <v>1</v>
      </c>
      <c r="F10" s="209">
        <v>0</v>
      </c>
      <c r="G10" s="209">
        <v>600000</v>
      </c>
      <c r="H10" s="209">
        <f t="shared" si="0"/>
        <v>0</v>
      </c>
      <c r="I10" s="209">
        <f t="shared" si="1"/>
        <v>600000</v>
      </c>
      <c r="J10" s="25">
        <v>1</v>
      </c>
    </row>
    <row r="11" spans="2:11" x14ac:dyDescent="0.25">
      <c r="B11" s="33">
        <v>3</v>
      </c>
      <c r="C11" s="33" t="s">
        <v>16</v>
      </c>
      <c r="D11" s="100" t="s">
        <v>15</v>
      </c>
      <c r="E11" s="25">
        <v>1</v>
      </c>
      <c r="F11" s="209">
        <v>0</v>
      </c>
      <c r="G11" s="209">
        <v>850000</v>
      </c>
      <c r="H11" s="209">
        <f t="shared" si="0"/>
        <v>0</v>
      </c>
      <c r="I11" s="209">
        <f t="shared" si="1"/>
        <v>850000</v>
      </c>
      <c r="J11" s="25">
        <v>1</v>
      </c>
    </row>
    <row r="12" spans="2:11" x14ac:dyDescent="0.25">
      <c r="B12" s="33">
        <v>4</v>
      </c>
      <c r="C12" s="33" t="s">
        <v>17</v>
      </c>
      <c r="D12" s="100" t="s">
        <v>15</v>
      </c>
      <c r="E12" s="25">
        <v>1</v>
      </c>
      <c r="F12" s="209">
        <v>0</v>
      </c>
      <c r="G12" s="209">
        <v>300000</v>
      </c>
      <c r="H12" s="209">
        <f t="shared" si="0"/>
        <v>0</v>
      </c>
      <c r="I12" s="209">
        <f t="shared" si="1"/>
        <v>300000</v>
      </c>
      <c r="J12" s="25">
        <v>1</v>
      </c>
    </row>
    <row r="13" spans="2:11" x14ac:dyDescent="0.25">
      <c r="B13" s="99">
        <v>5</v>
      </c>
      <c r="C13" s="33" t="s">
        <v>18</v>
      </c>
      <c r="D13" s="100" t="s">
        <v>19</v>
      </c>
      <c r="E13" s="25">
        <f>1*(3*4)+2*(3*5)-0.5*2*4+0.5*1-(2*3)</f>
        <v>32.5</v>
      </c>
      <c r="F13" s="209">
        <v>0</v>
      </c>
      <c r="G13" s="209">
        <v>7000</v>
      </c>
      <c r="H13" s="209">
        <f t="shared" si="0"/>
        <v>0</v>
      </c>
      <c r="I13" s="209">
        <f t="shared" si="1"/>
        <v>227500</v>
      </c>
      <c r="J13" s="25">
        <f>1*(3*4)+2*(3*5)-0.5*2*4+0.5*1-(2*3)</f>
        <v>32.5</v>
      </c>
    </row>
    <row r="14" spans="2:11" x14ac:dyDescent="0.25">
      <c r="B14" s="99"/>
      <c r="C14" s="33" t="s">
        <v>20</v>
      </c>
      <c r="D14" s="100" t="s">
        <v>19</v>
      </c>
      <c r="E14" s="25">
        <f>3*5+3*3+4*5</f>
        <v>44</v>
      </c>
      <c r="F14" s="209">
        <v>0</v>
      </c>
      <c r="G14" s="209">
        <v>5000</v>
      </c>
      <c r="H14" s="209">
        <f t="shared" si="0"/>
        <v>0</v>
      </c>
      <c r="I14" s="209">
        <f t="shared" si="1"/>
        <v>220000</v>
      </c>
      <c r="J14" s="25">
        <f>3*5+3*3+4*5</f>
        <v>44</v>
      </c>
    </row>
    <row r="15" spans="2:11" x14ac:dyDescent="0.25">
      <c r="B15" s="33"/>
      <c r="C15" s="126" t="s">
        <v>152</v>
      </c>
      <c r="D15" s="100"/>
      <c r="E15" s="108"/>
      <c r="F15" s="209">
        <v>0</v>
      </c>
      <c r="G15" s="209"/>
      <c r="H15" s="211">
        <f t="shared" ref="H15:I15" si="2">SUM(H9:H14)</f>
        <v>0</v>
      </c>
      <c r="I15" s="211">
        <f t="shared" si="2"/>
        <v>2690802.75</v>
      </c>
      <c r="J15" s="108"/>
    </row>
    <row r="16" spans="2:11" x14ac:dyDescent="0.25">
      <c r="B16" s="33"/>
      <c r="C16" s="33"/>
      <c r="D16" s="100"/>
      <c r="E16" s="108"/>
      <c r="F16" s="209">
        <v>0</v>
      </c>
      <c r="G16" s="209"/>
      <c r="H16" s="210"/>
      <c r="I16" s="210"/>
      <c r="J16" s="108"/>
    </row>
    <row r="17" spans="2:12" x14ac:dyDescent="0.25">
      <c r="B17" s="110" t="s">
        <v>21</v>
      </c>
      <c r="C17" s="111" t="s">
        <v>22</v>
      </c>
      <c r="D17" s="100"/>
      <c r="E17" s="108"/>
      <c r="F17" s="209">
        <v>0</v>
      </c>
      <c r="G17" s="209"/>
      <c r="H17" s="209"/>
      <c r="I17" s="209"/>
      <c r="J17" s="108"/>
    </row>
    <row r="18" spans="2:12" x14ac:dyDescent="0.25">
      <c r="B18" s="99">
        <v>1</v>
      </c>
      <c r="C18" s="33" t="s">
        <v>23</v>
      </c>
      <c r="D18" s="100" t="s">
        <v>24</v>
      </c>
      <c r="E18" s="25">
        <f>0.7*0.8*(3*7+2*3)+0.6*0.6*(3*2+2*4)-0.6*0.6*1-0.7*0.8*1.5</f>
        <v>18.96</v>
      </c>
      <c r="F18" s="209">
        <v>0</v>
      </c>
      <c r="G18" s="209">
        <v>55000</v>
      </c>
      <c r="H18" s="209">
        <f>F18*E18</f>
        <v>0</v>
      </c>
      <c r="I18" s="209">
        <f>G18*E18</f>
        <v>1042800</v>
      </c>
      <c r="J18" s="25">
        <f>0.7*0.8*(3*7+2*3)+0.6*0.6*(3*2+2*4)-0.6*0.6*1-0.7*0.8*1.5</f>
        <v>18.96</v>
      </c>
    </row>
    <row r="19" spans="2:12" x14ac:dyDescent="0.25">
      <c r="B19" s="99">
        <v>2</v>
      </c>
      <c r="C19" s="33" t="s">
        <v>25</v>
      </c>
      <c r="D19" s="100" t="s">
        <v>24</v>
      </c>
      <c r="E19" s="25">
        <f>E18-E25-E30-E31</f>
        <v>6.911999999999999</v>
      </c>
      <c r="F19" s="209">
        <v>0</v>
      </c>
      <c r="G19" s="209">
        <v>18333.333333333332</v>
      </c>
      <c r="H19" s="209">
        <f>F19*E19</f>
        <v>0</v>
      </c>
      <c r="I19" s="209">
        <f>G19*E19</f>
        <v>126719.99999999997</v>
      </c>
      <c r="J19" s="25">
        <f>J18-J25-J30-J31</f>
        <v>6.4605000000000015</v>
      </c>
    </row>
    <row r="20" spans="2:12" x14ac:dyDescent="0.25">
      <c r="B20" s="99">
        <v>3</v>
      </c>
      <c r="C20" s="33" t="s">
        <v>26</v>
      </c>
      <c r="D20" s="100" t="s">
        <v>24</v>
      </c>
      <c r="E20" s="25">
        <f>0.05*(3*3+3*5+1.4*2+2)+0.05*0.6*(38)</f>
        <v>2.58</v>
      </c>
      <c r="F20" s="209">
        <v>0</v>
      </c>
      <c r="G20" s="209">
        <v>280047.5</v>
      </c>
      <c r="H20" s="209">
        <f>F20*E20</f>
        <v>0</v>
      </c>
      <c r="I20" s="209">
        <f>G20*E20</f>
        <v>722522.55</v>
      </c>
      <c r="J20" s="25">
        <f>0.05*(3*3+3*5+1.4*2+2)+0.05*0.6*(38)</f>
        <v>2.58</v>
      </c>
    </row>
    <row r="21" spans="2:12" x14ac:dyDescent="0.25">
      <c r="B21" s="99">
        <v>4</v>
      </c>
      <c r="C21" s="33" t="s">
        <v>27</v>
      </c>
      <c r="D21" s="100" t="s">
        <v>24</v>
      </c>
      <c r="E21" s="25">
        <f>0.04*(9+2.8+15+2)</f>
        <v>1.1520000000000001</v>
      </c>
      <c r="F21" s="209">
        <v>0</v>
      </c>
      <c r="G21" s="209">
        <v>774887.43386243377</v>
      </c>
      <c r="H21" s="209">
        <f>F21*E21</f>
        <v>0</v>
      </c>
      <c r="I21" s="209">
        <f>G21*E21</f>
        <v>892670.32380952383</v>
      </c>
      <c r="J21" s="25">
        <f>0.04*(9+2.8+15+2)</f>
        <v>1.1520000000000001</v>
      </c>
    </row>
    <row r="22" spans="2:12" x14ac:dyDescent="0.25">
      <c r="B22" s="33"/>
      <c r="C22" s="126" t="s">
        <v>152</v>
      </c>
      <c r="D22" s="100"/>
      <c r="E22" s="25"/>
      <c r="F22" s="209">
        <v>0</v>
      </c>
      <c r="G22" s="209"/>
      <c r="H22" s="211">
        <f t="shared" ref="H22:I22" si="3">SUM(H18:H21)</f>
        <v>0</v>
      </c>
      <c r="I22" s="211">
        <f t="shared" si="3"/>
        <v>2784712.8738095239</v>
      </c>
      <c r="J22" s="25"/>
    </row>
    <row r="23" spans="2:12" x14ac:dyDescent="0.25">
      <c r="B23" s="33"/>
      <c r="C23" s="33"/>
      <c r="D23" s="100"/>
      <c r="E23" s="25"/>
      <c r="F23" s="209">
        <v>0</v>
      </c>
      <c r="G23" s="209"/>
      <c r="H23" s="212"/>
      <c r="I23" s="212"/>
      <c r="J23" s="25"/>
    </row>
    <row r="24" spans="2:12" x14ac:dyDescent="0.25">
      <c r="B24" s="110" t="s">
        <v>28</v>
      </c>
      <c r="C24" s="111" t="s">
        <v>29</v>
      </c>
      <c r="D24" s="33"/>
      <c r="E24" s="25"/>
      <c r="F24" s="209">
        <v>0</v>
      </c>
      <c r="G24" s="209"/>
      <c r="H24" s="213"/>
      <c r="I24" s="213"/>
      <c r="J24" s="25"/>
    </row>
    <row r="25" spans="2:12" x14ac:dyDescent="0.25">
      <c r="B25" s="99">
        <v>1</v>
      </c>
      <c r="C25" s="33" t="s">
        <v>175</v>
      </c>
      <c r="D25" s="100" t="s">
        <v>24</v>
      </c>
      <c r="E25" s="112">
        <f>0.425*0.6*(26)+0.375*0.4*(21)</f>
        <v>9.7800000000000011</v>
      </c>
      <c r="F25" s="209">
        <v>0</v>
      </c>
      <c r="G25" s="209">
        <v>533711.0625</v>
      </c>
      <c r="H25" s="209">
        <f>F25*E25</f>
        <v>0</v>
      </c>
      <c r="I25" s="209">
        <f>G25*E25</f>
        <v>5219694.1912500001</v>
      </c>
      <c r="J25" s="25">
        <f>0.425*0.6*(26)+0.375*0.5*(21)</f>
        <v>10.567499999999999</v>
      </c>
    </row>
    <row r="26" spans="2:12" x14ac:dyDescent="0.25">
      <c r="B26" s="99">
        <v>2</v>
      </c>
      <c r="C26" s="33" t="s">
        <v>31</v>
      </c>
      <c r="D26" s="100" t="s">
        <v>168</v>
      </c>
      <c r="E26" s="25">
        <v>5</v>
      </c>
      <c r="F26" s="209">
        <v>0</v>
      </c>
      <c r="G26" s="209">
        <v>45347.518007397179</v>
      </c>
      <c r="H26" s="209">
        <f>F26*E26</f>
        <v>0</v>
      </c>
      <c r="I26" s="209">
        <f>G26*E26</f>
        <v>226737.5900369859</v>
      </c>
      <c r="J26" s="25">
        <v>5</v>
      </c>
    </row>
    <row r="27" spans="2:12" x14ac:dyDescent="0.25">
      <c r="B27" s="110"/>
      <c r="C27" s="126" t="s">
        <v>152</v>
      </c>
      <c r="D27" s="100"/>
      <c r="E27" s="108"/>
      <c r="F27" s="209">
        <v>0</v>
      </c>
      <c r="G27" s="213"/>
      <c r="H27" s="211">
        <f t="shared" ref="H27:I27" si="4">SUM(H25:H26)</f>
        <v>0</v>
      </c>
      <c r="I27" s="211">
        <f t="shared" si="4"/>
        <v>5446431.7812869856</v>
      </c>
      <c r="J27" s="108"/>
    </row>
    <row r="28" spans="2:12" x14ac:dyDescent="0.25">
      <c r="B28" s="110"/>
      <c r="C28" s="33"/>
      <c r="D28" s="100"/>
      <c r="E28" s="108"/>
      <c r="F28" s="209">
        <v>0</v>
      </c>
      <c r="G28" s="213"/>
      <c r="H28" s="212"/>
      <c r="I28" s="212"/>
      <c r="J28" s="108"/>
    </row>
    <row r="29" spans="2:12" x14ac:dyDescent="0.25">
      <c r="B29" s="110" t="s">
        <v>33</v>
      </c>
      <c r="C29" s="111" t="s">
        <v>34</v>
      </c>
      <c r="D29" s="33"/>
      <c r="E29" s="25"/>
      <c r="F29" s="209">
        <v>0</v>
      </c>
      <c r="G29" s="213"/>
      <c r="H29" s="213"/>
      <c r="I29" s="213"/>
      <c r="J29" s="25"/>
    </row>
    <row r="30" spans="2:12" x14ac:dyDescent="0.25">
      <c r="B30" s="99">
        <v>1</v>
      </c>
      <c r="C30" s="33" t="s">
        <v>176</v>
      </c>
      <c r="D30" s="100" t="s">
        <v>24</v>
      </c>
      <c r="E30" s="114">
        <f>0.2*(0.8*0.8*6)</f>
        <v>0.76800000000000024</v>
      </c>
      <c r="F30" s="209">
        <v>0</v>
      </c>
      <c r="G30" s="209">
        <v>3437210.5186000001</v>
      </c>
      <c r="H30" s="209">
        <f t="shared" ref="H30:H42" si="5">F30*E30</f>
        <v>0</v>
      </c>
      <c r="I30" s="209">
        <f t="shared" ref="I30:I42" si="6">G30*E30</f>
        <v>2639777.6782848011</v>
      </c>
      <c r="J30" s="114">
        <f>0.2*(0.6*0.6*6)</f>
        <v>0.43200000000000005</v>
      </c>
    </row>
    <row r="31" spans="2:12" x14ac:dyDescent="0.25">
      <c r="B31" s="99">
        <v>2</v>
      </c>
      <c r="C31" s="33" t="s">
        <v>238</v>
      </c>
      <c r="D31" s="100" t="s">
        <v>24</v>
      </c>
      <c r="E31" s="38">
        <f>0.15*0.25*(3*8+4)+0.15*0.2*(12+3)</f>
        <v>1.5</v>
      </c>
      <c r="F31" s="209">
        <v>0</v>
      </c>
      <c r="G31" s="209">
        <v>3437210.5186000001</v>
      </c>
      <c r="H31" s="209">
        <f t="shared" si="5"/>
        <v>0</v>
      </c>
      <c r="I31" s="209">
        <f t="shared" si="6"/>
        <v>5155815.7779000001</v>
      </c>
      <c r="J31" s="38">
        <f>0.15*0.25*(3*8+4)+0.15*0.2*(12+3)</f>
        <v>1.5</v>
      </c>
      <c r="K31" t="s">
        <v>337</v>
      </c>
    </row>
    <row r="32" spans="2:12" x14ac:dyDescent="0.25">
      <c r="B32" s="99">
        <v>3</v>
      </c>
      <c r="C32" s="115" t="s">
        <v>178</v>
      </c>
      <c r="D32" s="100" t="s">
        <v>24</v>
      </c>
      <c r="E32" s="47">
        <f>0.2*0.35*(6+4)+0.2*0.3*(3*6)+0.15*0.25*(7)+0.15*0.3*6-0.15*0.35*3</f>
        <v>2.1549999999999998</v>
      </c>
      <c r="F32" s="209">
        <v>0</v>
      </c>
      <c r="G32" s="209">
        <v>4468290.145260511</v>
      </c>
      <c r="H32" s="209">
        <f t="shared" si="5"/>
        <v>0</v>
      </c>
      <c r="I32" s="209">
        <f t="shared" si="6"/>
        <v>9629165.2630364001</v>
      </c>
      <c r="J32" s="47">
        <f>0.2*0.35*(6+4)+0.2*0.3*(3*6)+0.15*0.25*(7)+0.15*0.3*6-0.15*0.35*3</f>
        <v>2.1549999999999998</v>
      </c>
      <c r="K32" t="s">
        <v>338</v>
      </c>
      <c r="L32">
        <f>0.15*0.3*5</f>
        <v>0.22499999999999998</v>
      </c>
    </row>
    <row r="33" spans="2:12" x14ac:dyDescent="0.25">
      <c r="B33" s="99">
        <v>4</v>
      </c>
      <c r="C33" s="33" t="s">
        <v>179</v>
      </c>
      <c r="D33" s="100" t="s">
        <v>24</v>
      </c>
      <c r="E33" s="25">
        <f>0.15*0.25*(3*9+1*4+6)+0.15*0.25*4*6-0.2*0.35*3+0.15*0.15*0.2*7-1</f>
        <v>1.1089999999999995</v>
      </c>
      <c r="F33" s="209">
        <v>0</v>
      </c>
      <c r="G33" s="209">
        <v>3289825.7449425939</v>
      </c>
      <c r="H33" s="209">
        <f t="shared" si="5"/>
        <v>0</v>
      </c>
      <c r="I33" s="209">
        <f t="shared" si="6"/>
        <v>3648416.7511413349</v>
      </c>
      <c r="J33" s="25">
        <f>0.15*0.25*(3*9+1*4+6)+0.15*0.25*4*6-0.2*0.35*3+0.15*0.15*0.2*7</f>
        <v>2.1089999999999995</v>
      </c>
      <c r="K33" t="s">
        <v>339</v>
      </c>
      <c r="L33">
        <f>0.15*0.25*(6+6+5.4)+0.15*0.25*(5+3+3)</f>
        <v>1.0649999999999999</v>
      </c>
    </row>
    <row r="34" spans="2:12" x14ac:dyDescent="0.25">
      <c r="B34" s="99">
        <v>5</v>
      </c>
      <c r="C34" s="33" t="s">
        <v>180</v>
      </c>
      <c r="D34" s="100" t="s">
        <v>24</v>
      </c>
      <c r="E34" s="25">
        <v>0.26</v>
      </c>
      <c r="F34" s="209">
        <v>0</v>
      </c>
      <c r="G34" s="209">
        <v>3289825.7449425939</v>
      </c>
      <c r="H34" s="209">
        <f t="shared" si="5"/>
        <v>0</v>
      </c>
      <c r="I34" s="209">
        <f t="shared" si="6"/>
        <v>855354.69368507445</v>
      </c>
      <c r="J34" s="25"/>
      <c r="K34" t="s">
        <v>340</v>
      </c>
      <c r="L34">
        <f>0.1*0.15*(2+5+3.6)</f>
        <v>0.159</v>
      </c>
    </row>
    <row r="35" spans="2:12" x14ac:dyDescent="0.25">
      <c r="B35" s="99">
        <v>6</v>
      </c>
      <c r="C35" s="33" t="s">
        <v>181</v>
      </c>
      <c r="D35" s="100" t="s">
        <v>24</v>
      </c>
      <c r="E35" s="112">
        <f>0.15*0.35*7*4</f>
        <v>1.47</v>
      </c>
      <c r="F35" s="209">
        <v>0</v>
      </c>
      <c r="G35" s="209">
        <v>4468290.145260511</v>
      </c>
      <c r="H35" s="209">
        <f t="shared" si="5"/>
        <v>0</v>
      </c>
      <c r="I35" s="209">
        <f t="shared" si="6"/>
        <v>6568386.5135329505</v>
      </c>
      <c r="J35" s="25">
        <f>0.15*0.35*7*4.5</f>
        <v>1.6537500000000001</v>
      </c>
    </row>
    <row r="36" spans="2:12" x14ac:dyDescent="0.25">
      <c r="B36" s="99">
        <v>7</v>
      </c>
      <c r="C36" s="33" t="s">
        <v>182</v>
      </c>
      <c r="D36" s="100" t="s">
        <v>24</v>
      </c>
      <c r="E36" s="25">
        <f>0.15*0.25*3.5*7+0.15*0.2*3.5*3</f>
        <v>1.2337500000000001</v>
      </c>
      <c r="F36" s="209">
        <v>0</v>
      </c>
      <c r="G36" s="209">
        <v>4468290.145260511</v>
      </c>
      <c r="H36" s="209">
        <f t="shared" si="5"/>
        <v>0</v>
      </c>
      <c r="I36" s="209">
        <f t="shared" si="6"/>
        <v>5512752.9667151561</v>
      </c>
      <c r="J36" s="25">
        <f>0.15*0.25*3.5*7+0.15*0.2*3.5*3</f>
        <v>1.2337500000000001</v>
      </c>
      <c r="K36" t="s">
        <v>341</v>
      </c>
    </row>
    <row r="37" spans="2:12" x14ac:dyDescent="0.25">
      <c r="B37" s="99">
        <v>8</v>
      </c>
      <c r="C37" s="115" t="s">
        <v>183</v>
      </c>
      <c r="D37" s="100" t="s">
        <v>24</v>
      </c>
      <c r="E37" s="238">
        <f>0.13*0.2*(3.5*2)+0.13*0.13*(1.5*4)+0.13*0.13*(3.5*4)-(0.13*0.13*1*5)</f>
        <v>0.4355</v>
      </c>
      <c r="F37" s="209">
        <v>0</v>
      </c>
      <c r="G37" s="209">
        <v>5116843.6771750022</v>
      </c>
      <c r="H37" s="209">
        <f t="shared" si="5"/>
        <v>0</v>
      </c>
      <c r="I37" s="209">
        <f t="shared" si="6"/>
        <v>2228385.4214097136</v>
      </c>
      <c r="J37" s="238">
        <f>0.13*0.2*(3.5*2)+0.13*0.13*(2.5*4)+0.13*0.13*(3.5*4)-(0.13*0.13*1*5)</f>
        <v>0.5031000000000001</v>
      </c>
      <c r="K37" t="s">
        <v>342</v>
      </c>
      <c r="L37">
        <f>0.15*0.3*(5*2)+0.15*0.3*(3*4)</f>
        <v>0.99</v>
      </c>
    </row>
    <row r="38" spans="2:12" x14ac:dyDescent="0.25">
      <c r="B38" s="99">
        <v>9</v>
      </c>
      <c r="C38" s="115" t="s">
        <v>184</v>
      </c>
      <c r="D38" s="100" t="s">
        <v>24</v>
      </c>
      <c r="E38" s="25">
        <f>0.12*(3*5+1*4-1.15*3-1.1*1)</f>
        <v>1.734</v>
      </c>
      <c r="F38" s="209">
        <v>0</v>
      </c>
      <c r="G38" s="209">
        <v>3276685.24851309</v>
      </c>
      <c r="H38" s="209">
        <f t="shared" si="5"/>
        <v>0</v>
      </c>
      <c r="I38" s="209">
        <f t="shared" si="6"/>
        <v>5681772.220921698</v>
      </c>
      <c r="J38" s="25">
        <f>0.12*(3*5+1*4-1.15*3-1.1*1)</f>
        <v>1.734</v>
      </c>
      <c r="K38" t="s">
        <v>343</v>
      </c>
      <c r="L38">
        <f>0.15*0.25*(2+3.85)+0.15*0.25*(3+1.25*3)</f>
        <v>0.47249999999999998</v>
      </c>
    </row>
    <row r="39" spans="2:12" x14ac:dyDescent="0.25">
      <c r="B39" s="99">
        <v>10</v>
      </c>
      <c r="C39" s="115" t="s">
        <v>185</v>
      </c>
      <c r="D39" s="100" t="s">
        <v>24</v>
      </c>
      <c r="E39" s="25">
        <f>0.15*(1.25*1.75*3)+0.5*0.2*1.25*23*0.3</f>
        <v>1.8468749999999998</v>
      </c>
      <c r="F39" s="209">
        <v>0</v>
      </c>
      <c r="G39" s="209">
        <v>4468290.145260511</v>
      </c>
      <c r="H39" s="209">
        <f t="shared" si="5"/>
        <v>0</v>
      </c>
      <c r="I39" s="209">
        <f t="shared" si="6"/>
        <v>8252373.3620280055</v>
      </c>
      <c r="J39" s="25">
        <f>0.15*(1.25*1.75*3)+0.5*0.2*1.25*23*0.3</f>
        <v>1.8468749999999998</v>
      </c>
      <c r="K39" t="s">
        <v>344</v>
      </c>
      <c r="L39">
        <f>0.15*0.2*(9+5*2+4)+0.15*0.2*(4*3)</f>
        <v>1.0499999999999998</v>
      </c>
    </row>
    <row r="40" spans="2:12" x14ac:dyDescent="0.25">
      <c r="B40" s="99">
        <v>11</v>
      </c>
      <c r="C40" s="115" t="s">
        <v>186</v>
      </c>
      <c r="D40" s="100" t="s">
        <v>24</v>
      </c>
      <c r="E40" s="25">
        <f>0.15*(0.3*6+1.25*2+0.3*6)+0.12*1.5*2</f>
        <v>1.2749999999999999</v>
      </c>
      <c r="F40" s="209">
        <v>0</v>
      </c>
      <c r="G40" s="209">
        <v>3017760.6695942418</v>
      </c>
      <c r="H40" s="209">
        <f t="shared" si="5"/>
        <v>0</v>
      </c>
      <c r="I40" s="209">
        <f t="shared" si="6"/>
        <v>3847644.8537326581</v>
      </c>
      <c r="J40" s="25">
        <f>0.15*(0.3*6+1.25*2+0.3*6)+0.12*1.5*2</f>
        <v>1.2749999999999999</v>
      </c>
      <c r="K40" t="s">
        <v>345</v>
      </c>
      <c r="L40">
        <f>0.13*0.15*(2+5+3.8)+0.15*0.15*(3.5+3)+0.15*0.13*(3*2+3.75*4)</f>
        <v>0.76634999999999998</v>
      </c>
    </row>
    <row r="41" spans="2:12" x14ac:dyDescent="0.25">
      <c r="B41" s="99">
        <v>12</v>
      </c>
      <c r="C41" s="33" t="s">
        <v>43</v>
      </c>
      <c r="D41" s="100" t="s">
        <v>24</v>
      </c>
      <c r="E41" s="25">
        <f>0.12*1.4*0.7</f>
        <v>0.11759999999999998</v>
      </c>
      <c r="F41" s="209">
        <v>0</v>
      </c>
      <c r="G41" s="209">
        <v>2817137.1245314255</v>
      </c>
      <c r="H41" s="209">
        <f t="shared" si="5"/>
        <v>0</v>
      </c>
      <c r="I41" s="209">
        <f t="shared" si="6"/>
        <v>331295.32584489562</v>
      </c>
      <c r="J41" s="25">
        <f>0.12*1.4*0.7</f>
        <v>0.11759999999999998</v>
      </c>
      <c r="K41" t="s">
        <v>346</v>
      </c>
      <c r="L41">
        <f>0.1*0.2*(2.5+1*6+0.5*2+2*2)</f>
        <v>0.27000000000000007</v>
      </c>
    </row>
    <row r="42" spans="2:12" x14ac:dyDescent="0.25">
      <c r="B42" s="99"/>
      <c r="C42" s="33" t="s">
        <v>239</v>
      </c>
      <c r="D42" s="105" t="s">
        <v>24</v>
      </c>
      <c r="E42" s="112"/>
      <c r="F42" s="209">
        <v>0</v>
      </c>
      <c r="G42" s="214"/>
      <c r="H42" s="209">
        <f t="shared" si="5"/>
        <v>0</v>
      </c>
      <c r="I42" s="209">
        <f t="shared" si="6"/>
        <v>0</v>
      </c>
      <c r="J42" s="112"/>
    </row>
    <row r="43" spans="2:12" x14ac:dyDescent="0.25">
      <c r="B43" s="181"/>
      <c r="C43" s="126" t="s">
        <v>152</v>
      </c>
      <c r="D43" s="182"/>
      <c r="E43" s="183"/>
      <c r="F43" s="209">
        <v>0</v>
      </c>
      <c r="G43" s="209"/>
      <c r="H43" s="211">
        <f t="shared" ref="H43:I43" si="7">SUM(H30:H42)</f>
        <v>0</v>
      </c>
      <c r="I43" s="211">
        <f t="shared" si="7"/>
        <v>54351140.828232683</v>
      </c>
      <c r="J43" s="183"/>
    </row>
    <row r="44" spans="2:12" x14ac:dyDescent="0.25">
      <c r="B44" s="110"/>
      <c r="C44" s="33"/>
      <c r="D44" s="100"/>
      <c r="E44" s="108"/>
      <c r="F44" s="209">
        <v>0</v>
      </c>
      <c r="G44" s="209"/>
      <c r="H44" s="212"/>
      <c r="I44" s="212"/>
      <c r="J44" s="108"/>
    </row>
    <row r="45" spans="2:12" x14ac:dyDescent="0.25">
      <c r="B45" s="110" t="s">
        <v>44</v>
      </c>
      <c r="C45" s="111" t="s">
        <v>45</v>
      </c>
      <c r="D45" s="100"/>
      <c r="E45" s="108"/>
      <c r="F45" s="209">
        <v>0</v>
      </c>
      <c r="G45" s="209"/>
      <c r="H45" s="213"/>
      <c r="I45" s="213"/>
      <c r="J45" s="108"/>
      <c r="K45" t="s">
        <v>364</v>
      </c>
    </row>
    <row r="46" spans="2:12" x14ac:dyDescent="0.25">
      <c r="B46" s="99">
        <v>1</v>
      </c>
      <c r="C46" s="33" t="s">
        <v>365</v>
      </c>
      <c r="D46" s="100" t="s">
        <v>19</v>
      </c>
      <c r="E46" s="25">
        <f>2</f>
        <v>2</v>
      </c>
      <c r="F46" s="209">
        <v>0</v>
      </c>
      <c r="G46" s="209">
        <v>245000</v>
      </c>
      <c r="H46" s="209">
        <f t="shared" ref="H46:H55" si="8">F46*E46</f>
        <v>0</v>
      </c>
      <c r="I46" s="209">
        <f t="shared" ref="I46:I55" si="9">G46*E46</f>
        <v>490000</v>
      </c>
      <c r="J46" s="25">
        <f>2</f>
        <v>2</v>
      </c>
      <c r="K46" t="s">
        <v>366</v>
      </c>
      <c r="L46">
        <f>0.1*0.125*10*3000000</f>
        <v>375000</v>
      </c>
    </row>
    <row r="47" spans="2:12" x14ac:dyDescent="0.25">
      <c r="B47" s="99">
        <v>2</v>
      </c>
      <c r="C47" s="33" t="s">
        <v>367</v>
      </c>
      <c r="D47" s="100" t="s">
        <v>19</v>
      </c>
      <c r="E47" s="25">
        <f>1.4*2</f>
        <v>2.8</v>
      </c>
      <c r="F47" s="209">
        <v>0</v>
      </c>
      <c r="G47" s="209">
        <v>178000</v>
      </c>
      <c r="H47" s="209">
        <f t="shared" si="8"/>
        <v>0</v>
      </c>
      <c r="I47" s="209">
        <f t="shared" si="9"/>
        <v>498399.99999999994</v>
      </c>
      <c r="J47" s="25">
        <f>1.4*2</f>
        <v>2.8</v>
      </c>
      <c r="K47" t="s">
        <v>368</v>
      </c>
      <c r="L47">
        <f>(72000+61000*2+15000*2)*4</f>
        <v>896000</v>
      </c>
    </row>
    <row r="48" spans="2:12" x14ac:dyDescent="0.25">
      <c r="B48" s="99">
        <v>3</v>
      </c>
      <c r="C48" s="33" t="s">
        <v>47</v>
      </c>
      <c r="D48" s="100"/>
      <c r="E48" s="25"/>
      <c r="F48" s="209">
        <v>0</v>
      </c>
      <c r="G48" s="209"/>
      <c r="H48" s="209">
        <f t="shared" si="8"/>
        <v>0</v>
      </c>
      <c r="I48" s="209">
        <f t="shared" si="9"/>
        <v>0</v>
      </c>
      <c r="J48" s="25"/>
      <c r="K48" t="s">
        <v>369</v>
      </c>
      <c r="L48">
        <f>225000*4</f>
        <v>900000</v>
      </c>
    </row>
    <row r="49" spans="2:12" x14ac:dyDescent="0.25">
      <c r="B49" s="99"/>
      <c r="C49" s="33" t="s">
        <v>370</v>
      </c>
      <c r="D49" s="100" t="s">
        <v>19</v>
      </c>
      <c r="E49" s="25">
        <f>3*5+3*3+2.65*4+1.1*1.25</f>
        <v>35.975000000000001</v>
      </c>
      <c r="F49" s="209">
        <v>0</v>
      </c>
      <c r="G49" s="209">
        <v>178000</v>
      </c>
      <c r="H49" s="209">
        <f t="shared" si="8"/>
        <v>0</v>
      </c>
      <c r="I49" s="209">
        <f t="shared" si="9"/>
        <v>6403550</v>
      </c>
      <c r="J49" s="25">
        <f>3*5+3*3+2.65*4+1.1*1.25</f>
        <v>35.975000000000001</v>
      </c>
      <c r="L49">
        <f>L48+L47+L46</f>
        <v>2171000</v>
      </c>
    </row>
    <row r="50" spans="2:12" x14ac:dyDescent="0.25">
      <c r="B50" s="99">
        <v>4</v>
      </c>
      <c r="C50" s="33" t="s">
        <v>371</v>
      </c>
      <c r="D50" s="100" t="s">
        <v>19</v>
      </c>
      <c r="E50" s="25">
        <f>1.25*1.1</f>
        <v>1.375</v>
      </c>
      <c r="F50" s="209">
        <v>0</v>
      </c>
      <c r="G50" s="209">
        <v>170000</v>
      </c>
      <c r="H50" s="209">
        <f t="shared" si="8"/>
        <v>0</v>
      </c>
      <c r="I50" s="209">
        <f t="shared" si="9"/>
        <v>233750</v>
      </c>
      <c r="J50" s="25">
        <f>1.25*1.1</f>
        <v>1.375</v>
      </c>
      <c r="L50" s="257">
        <f>L49/4</f>
        <v>542750</v>
      </c>
    </row>
    <row r="51" spans="2:12" x14ac:dyDescent="0.25">
      <c r="B51" s="99">
        <v>5</v>
      </c>
      <c r="C51" s="33" t="s">
        <v>372</v>
      </c>
      <c r="D51" s="100" t="s">
        <v>19</v>
      </c>
      <c r="E51" s="25">
        <f>1.35*2</f>
        <v>2.7</v>
      </c>
      <c r="F51" s="209">
        <v>0</v>
      </c>
      <c r="G51" s="209">
        <v>170000</v>
      </c>
      <c r="H51" s="209">
        <f t="shared" si="8"/>
        <v>0</v>
      </c>
      <c r="I51" s="209">
        <f t="shared" si="9"/>
        <v>459000.00000000006</v>
      </c>
      <c r="J51" s="25">
        <f>1.35*2</f>
        <v>2.7</v>
      </c>
    </row>
    <row r="52" spans="2:12" x14ac:dyDescent="0.25">
      <c r="B52" s="99">
        <v>5</v>
      </c>
      <c r="C52" s="33" t="s">
        <v>373</v>
      </c>
      <c r="D52" s="100" t="s">
        <v>19</v>
      </c>
      <c r="E52" s="25">
        <v>0</v>
      </c>
      <c r="F52" s="209">
        <v>0</v>
      </c>
      <c r="G52" s="209">
        <v>230000</v>
      </c>
      <c r="H52" s="209">
        <f t="shared" si="8"/>
        <v>0</v>
      </c>
      <c r="I52" s="209">
        <f t="shared" si="9"/>
        <v>0</v>
      </c>
      <c r="J52" s="25">
        <v>0</v>
      </c>
    </row>
    <row r="53" spans="2:12" x14ac:dyDescent="0.25">
      <c r="B53" s="99">
        <v>6</v>
      </c>
      <c r="C53" s="33" t="s">
        <v>188</v>
      </c>
      <c r="D53" s="100" t="s">
        <v>13</v>
      </c>
      <c r="E53" s="25">
        <f>3*4+8+6+2.65*2+5*2+1+1.5-(0.8*8)-(4)</f>
        <v>33.4</v>
      </c>
      <c r="F53" s="209">
        <v>0</v>
      </c>
      <c r="G53" s="209">
        <v>32363.636363636364</v>
      </c>
      <c r="H53" s="209">
        <f t="shared" si="8"/>
        <v>0</v>
      </c>
      <c r="I53" s="209">
        <f t="shared" si="9"/>
        <v>1080945.4545454546</v>
      </c>
      <c r="J53" s="25">
        <f>3*4+8+6+2.65*2+5*2+1+1.5-(0.8*8)-(4)</f>
        <v>33.4</v>
      </c>
    </row>
    <row r="54" spans="2:12" x14ac:dyDescent="0.25">
      <c r="B54" s="99">
        <v>7</v>
      </c>
      <c r="C54" s="33" t="s">
        <v>240</v>
      </c>
      <c r="D54" s="100" t="s">
        <v>81</v>
      </c>
      <c r="E54" s="25">
        <v>1</v>
      </c>
      <c r="F54" s="209">
        <v>0</v>
      </c>
      <c r="G54" s="209">
        <v>2750000</v>
      </c>
      <c r="H54" s="209">
        <f t="shared" si="8"/>
        <v>0</v>
      </c>
      <c r="I54" s="209">
        <f t="shared" si="9"/>
        <v>2750000</v>
      </c>
      <c r="J54" s="25">
        <v>1</v>
      </c>
    </row>
    <row r="55" spans="2:12" x14ac:dyDescent="0.25">
      <c r="B55" s="99">
        <v>8</v>
      </c>
      <c r="C55" s="33" t="s">
        <v>49</v>
      </c>
      <c r="D55" s="100" t="s">
        <v>19</v>
      </c>
      <c r="E55" s="25">
        <f>5.5*3</f>
        <v>16.5</v>
      </c>
      <c r="F55" s="209">
        <v>0</v>
      </c>
      <c r="G55" s="209">
        <v>226925.92592592593</v>
      </c>
      <c r="H55" s="209">
        <f t="shared" si="8"/>
        <v>0</v>
      </c>
      <c r="I55" s="209">
        <f t="shared" si="9"/>
        <v>3744277.777777778</v>
      </c>
      <c r="J55" s="25">
        <f>5.5*3</f>
        <v>16.5</v>
      </c>
    </row>
    <row r="56" spans="2:12" x14ac:dyDescent="0.25">
      <c r="B56" s="110"/>
      <c r="C56" s="126" t="s">
        <v>152</v>
      </c>
      <c r="D56" s="100"/>
      <c r="E56" s="108"/>
      <c r="F56" s="209">
        <v>0</v>
      </c>
      <c r="G56" s="209"/>
      <c r="H56" s="211">
        <f t="shared" ref="H56:I56" si="10">SUM(H46:H55)</f>
        <v>0</v>
      </c>
      <c r="I56" s="211">
        <f t="shared" si="10"/>
        <v>15659923.232323233</v>
      </c>
      <c r="J56" s="108"/>
    </row>
    <row r="57" spans="2:12" x14ac:dyDescent="0.25">
      <c r="B57" s="110"/>
      <c r="C57" s="33"/>
      <c r="D57" s="100"/>
      <c r="E57" s="108"/>
      <c r="F57" s="209">
        <v>0</v>
      </c>
      <c r="G57" s="209"/>
      <c r="H57" s="212"/>
      <c r="I57" s="212"/>
      <c r="J57" s="108"/>
    </row>
    <row r="58" spans="2:12" x14ac:dyDescent="0.25">
      <c r="B58" s="110" t="s">
        <v>50</v>
      </c>
      <c r="C58" s="111" t="s">
        <v>51</v>
      </c>
      <c r="D58" s="100"/>
      <c r="E58" s="25"/>
      <c r="F58" s="209">
        <v>0</v>
      </c>
      <c r="G58" s="209"/>
      <c r="H58" s="213"/>
      <c r="I58" s="213"/>
      <c r="J58" s="25"/>
    </row>
    <row r="59" spans="2:12" x14ac:dyDescent="0.25">
      <c r="B59" s="99">
        <v>1</v>
      </c>
      <c r="C59" s="33" t="s">
        <v>374</v>
      </c>
      <c r="D59" s="100" t="s">
        <v>19</v>
      </c>
      <c r="E59" s="119">
        <f>2.5*(1.85+0.85)</f>
        <v>6.75</v>
      </c>
      <c r="F59" s="209">
        <v>0</v>
      </c>
      <c r="G59" s="209">
        <v>210000</v>
      </c>
      <c r="H59" s="209">
        <f>F59*E59</f>
        <v>0</v>
      </c>
      <c r="I59" s="209">
        <f>G59*E59</f>
        <v>1417500</v>
      </c>
      <c r="J59" s="119">
        <f>2.5*(1.85+0.85)</f>
        <v>6.75</v>
      </c>
    </row>
    <row r="60" spans="2:12" x14ac:dyDescent="0.25">
      <c r="B60" s="99">
        <v>2</v>
      </c>
      <c r="C60" s="33" t="s">
        <v>375</v>
      </c>
      <c r="D60" s="100" t="s">
        <v>19</v>
      </c>
      <c r="E60" s="119">
        <f>2.6*(1.2*2+4)-(0.8*2.5+1.25*2.6+5.2)</f>
        <v>6.1900000000000013</v>
      </c>
      <c r="F60" s="209">
        <v>0</v>
      </c>
      <c r="G60" s="209">
        <v>157000</v>
      </c>
      <c r="H60" s="209">
        <f>F60*E60</f>
        <v>0</v>
      </c>
      <c r="I60" s="209">
        <f>G60*E60</f>
        <v>971830.00000000023</v>
      </c>
      <c r="J60" s="119">
        <f>2.6*(1.2*2+4)-(0.8*2.5+1.25*2.6+5.2)</f>
        <v>6.1900000000000013</v>
      </c>
    </row>
    <row r="61" spans="2:12" x14ac:dyDescent="0.25">
      <c r="B61" s="99">
        <v>3</v>
      </c>
      <c r="C61" s="33" t="s">
        <v>376</v>
      </c>
      <c r="D61" s="100" t="s">
        <v>19</v>
      </c>
      <c r="E61" s="238">
        <f>1.2*2.6+2.6*2</f>
        <v>8.32</v>
      </c>
      <c r="F61" s="209">
        <v>0</v>
      </c>
      <c r="G61" s="209">
        <v>262800</v>
      </c>
      <c r="H61" s="209">
        <f>F61*E61</f>
        <v>0</v>
      </c>
      <c r="I61" s="209">
        <f>G61*E61</f>
        <v>2186496</v>
      </c>
      <c r="J61" s="238">
        <f>1.2*2.6+2.6*2</f>
        <v>8.32</v>
      </c>
    </row>
    <row r="62" spans="2:12" x14ac:dyDescent="0.25">
      <c r="B62" s="99">
        <v>4</v>
      </c>
      <c r="C62" s="33" t="s">
        <v>189</v>
      </c>
      <c r="D62" s="100" t="s">
        <v>19</v>
      </c>
      <c r="E62" s="119">
        <f>0.8*1.4</f>
        <v>1.1199999999999999</v>
      </c>
      <c r="F62" s="209">
        <v>0</v>
      </c>
      <c r="G62" s="209">
        <v>210000</v>
      </c>
      <c r="H62" s="209">
        <f>F62*E62</f>
        <v>0</v>
      </c>
      <c r="I62" s="209">
        <f>G62*E62</f>
        <v>235199.99999999997</v>
      </c>
      <c r="J62" s="119">
        <f>0.8*1.4</f>
        <v>1.1199999999999999</v>
      </c>
    </row>
    <row r="63" spans="2:12" x14ac:dyDescent="0.25">
      <c r="B63" s="99">
        <v>5</v>
      </c>
      <c r="C63" s="33" t="s">
        <v>190</v>
      </c>
      <c r="D63" s="100" t="s">
        <v>19</v>
      </c>
      <c r="E63" s="119">
        <f>0.6*2</f>
        <v>1.2</v>
      </c>
      <c r="F63" s="209">
        <v>0</v>
      </c>
      <c r="G63" s="209">
        <v>210000</v>
      </c>
      <c r="H63" s="209">
        <f>F63*E63</f>
        <v>0</v>
      </c>
      <c r="I63" s="209">
        <f>G63*E63</f>
        <v>252000</v>
      </c>
      <c r="J63" s="119">
        <f>0.6*2</f>
        <v>1.2</v>
      </c>
    </row>
    <row r="64" spans="2:12" x14ac:dyDescent="0.25">
      <c r="B64" s="99"/>
      <c r="C64" s="126" t="s">
        <v>152</v>
      </c>
      <c r="D64" s="100"/>
      <c r="E64" s="119"/>
      <c r="F64" s="209">
        <v>0</v>
      </c>
      <c r="G64" s="215"/>
      <c r="H64" s="211">
        <f t="shared" ref="H64:I64" si="11">SUM(H59:H63)</f>
        <v>0</v>
      </c>
      <c r="I64" s="211">
        <f t="shared" si="11"/>
        <v>5063026</v>
      </c>
      <c r="J64" s="119"/>
    </row>
    <row r="65" spans="2:15" x14ac:dyDescent="0.25">
      <c r="B65" s="99"/>
      <c r="C65" s="33"/>
      <c r="D65" s="100"/>
      <c r="E65" s="121"/>
      <c r="F65" s="209">
        <v>0</v>
      </c>
      <c r="G65" s="215"/>
      <c r="H65" s="212"/>
      <c r="I65" s="212"/>
      <c r="J65" s="121"/>
    </row>
    <row r="66" spans="2:15" x14ac:dyDescent="0.25">
      <c r="B66" s="110" t="s">
        <v>53</v>
      </c>
      <c r="C66" s="111" t="s">
        <v>54</v>
      </c>
      <c r="D66" s="33"/>
      <c r="E66" s="121"/>
      <c r="F66" s="209">
        <v>0</v>
      </c>
      <c r="G66" s="209"/>
      <c r="H66" s="213"/>
      <c r="I66" s="213"/>
      <c r="J66" s="121"/>
      <c r="L66" s="270">
        <f>J76-E76</f>
        <v>32.775000000000006</v>
      </c>
    </row>
    <row r="67" spans="2:15" x14ac:dyDescent="0.25">
      <c r="B67" s="33">
        <v>1</v>
      </c>
      <c r="C67" s="33" t="s">
        <v>55</v>
      </c>
      <c r="D67" s="100" t="s">
        <v>19</v>
      </c>
      <c r="E67" s="122">
        <f>3*3+3*4+(3*5+1*4)+2</f>
        <v>42</v>
      </c>
      <c r="F67" s="209">
        <v>0</v>
      </c>
      <c r="G67" s="209">
        <v>75000</v>
      </c>
      <c r="H67" s="209">
        <f>F67*E67</f>
        <v>0</v>
      </c>
      <c r="I67" s="209">
        <f>G67*E67</f>
        <v>3150000</v>
      </c>
      <c r="J67" s="122">
        <f>3*3+3*4+(3*5+1*4)+2</f>
        <v>42</v>
      </c>
      <c r="L67" s="258">
        <f>G76-F76</f>
        <v>85804.4</v>
      </c>
    </row>
    <row r="68" spans="2:15" x14ac:dyDescent="0.25">
      <c r="B68" s="99">
        <v>2</v>
      </c>
      <c r="C68" s="33" t="s">
        <v>58</v>
      </c>
      <c r="D68" s="100" t="s">
        <v>19</v>
      </c>
      <c r="E68" s="122">
        <f>1*3+1*6*2+1*1.5</f>
        <v>16.5</v>
      </c>
      <c r="F68" s="209">
        <v>0</v>
      </c>
      <c r="G68" s="209">
        <v>80000</v>
      </c>
      <c r="H68" s="209">
        <f>F68*E68</f>
        <v>0</v>
      </c>
      <c r="I68" s="209">
        <f>G68*E68</f>
        <v>1320000</v>
      </c>
      <c r="J68" s="122">
        <f>1*3+1*6*2+1*1.5</f>
        <v>16.5</v>
      </c>
      <c r="L68" s="258">
        <f>L67*E76</f>
        <v>14940691.149999999</v>
      </c>
    </row>
    <row r="69" spans="2:15" x14ac:dyDescent="0.25">
      <c r="B69" s="33">
        <v>3</v>
      </c>
      <c r="C69" s="33" t="s">
        <v>56</v>
      </c>
      <c r="D69" s="100" t="s">
        <v>13</v>
      </c>
      <c r="E69" s="122">
        <f>(3*4+3*2+5*2)+(6*2+5*2+3*4+2)-6</f>
        <v>58</v>
      </c>
      <c r="F69" s="209">
        <v>0</v>
      </c>
      <c r="G69" s="209">
        <v>15000</v>
      </c>
      <c r="H69" s="209">
        <f>F69*E69</f>
        <v>0</v>
      </c>
      <c r="I69" s="209">
        <f>G69*E69</f>
        <v>870000</v>
      </c>
      <c r="J69" s="122">
        <f>(3*4+3*2+5*2)+(6*2+5*2+3*4+2)-6</f>
        <v>58</v>
      </c>
      <c r="K69" s="245">
        <v>74216</v>
      </c>
      <c r="L69" s="258">
        <f>L68/46</f>
        <v>324797.63369565213</v>
      </c>
    </row>
    <row r="70" spans="2:15" x14ac:dyDescent="0.25">
      <c r="B70" s="99">
        <v>4</v>
      </c>
      <c r="C70" s="33" t="s">
        <v>57</v>
      </c>
      <c r="D70" s="100" t="s">
        <v>13</v>
      </c>
      <c r="E70" s="122">
        <f>3*2+2+6*2+2+6*2+2+3+2-4</f>
        <v>37</v>
      </c>
      <c r="F70" s="209">
        <v>0</v>
      </c>
      <c r="G70" s="209">
        <v>12500</v>
      </c>
      <c r="H70" s="209">
        <f>F70*E70</f>
        <v>0</v>
      </c>
      <c r="I70" s="209">
        <f>G70*E70</f>
        <v>462500</v>
      </c>
      <c r="J70" s="122">
        <f>3*2+2+6*2+2+6*2+2+3+2-4</f>
        <v>37</v>
      </c>
      <c r="K70" s="245">
        <v>72216</v>
      </c>
      <c r="L70" s="258">
        <f>G76-K70</f>
        <v>13588.399999999994</v>
      </c>
    </row>
    <row r="71" spans="2:15" x14ac:dyDescent="0.25">
      <c r="B71" s="99">
        <v>5</v>
      </c>
      <c r="C71" s="33" t="s">
        <v>191</v>
      </c>
      <c r="D71" s="100" t="s">
        <v>13</v>
      </c>
      <c r="E71" s="122">
        <f>1.5*2+1.2*2+1.5+0.5*6</f>
        <v>9.9</v>
      </c>
      <c r="F71" s="209">
        <v>0</v>
      </c>
      <c r="G71" s="209">
        <v>65000</v>
      </c>
      <c r="H71" s="209">
        <f>F71*E71</f>
        <v>0</v>
      </c>
      <c r="I71" s="209">
        <f>G71*E71</f>
        <v>643500</v>
      </c>
      <c r="J71" s="122">
        <f>1.5*2+1.2*2+1.5+0.5*6</f>
        <v>9.9</v>
      </c>
      <c r="L71" s="258">
        <f>L70*E76*1.04</f>
        <v>2460723.3559999992</v>
      </c>
    </row>
    <row r="72" spans="2:15" x14ac:dyDescent="0.25">
      <c r="B72" s="110"/>
      <c r="C72" s="126" t="s">
        <v>152</v>
      </c>
      <c r="D72" s="33"/>
      <c r="E72" s="121"/>
      <c r="F72" s="209">
        <v>0</v>
      </c>
      <c r="G72" s="209"/>
      <c r="H72" s="216">
        <f t="shared" ref="H72:I72" si="12">SUM(H67:H71)</f>
        <v>0</v>
      </c>
      <c r="I72" s="216">
        <f t="shared" si="12"/>
        <v>6446000</v>
      </c>
      <c r="J72" s="121"/>
      <c r="L72" s="258">
        <f>I78-H78</f>
        <v>47964770.143071331</v>
      </c>
    </row>
    <row r="73" spans="2:15" x14ac:dyDescent="0.25">
      <c r="B73" s="110"/>
      <c r="C73" s="33"/>
      <c r="D73" s="33"/>
      <c r="E73" s="121"/>
      <c r="F73" s="209">
        <v>0</v>
      </c>
      <c r="G73" s="215"/>
      <c r="H73" s="217"/>
      <c r="I73" s="217"/>
      <c r="J73" s="121"/>
      <c r="L73" s="258">
        <f>L72/46</f>
        <v>1042712.3944145942</v>
      </c>
    </row>
    <row r="74" spans="2:15" x14ac:dyDescent="0.25">
      <c r="B74" s="110" t="s">
        <v>59</v>
      </c>
      <c r="C74" s="111" t="s">
        <v>60</v>
      </c>
      <c r="D74" s="100"/>
      <c r="E74" s="121"/>
      <c r="F74" s="209">
        <v>0</v>
      </c>
      <c r="G74" s="215"/>
      <c r="H74" s="213"/>
      <c r="I74" s="213"/>
      <c r="J74" s="121"/>
    </row>
    <row r="75" spans="2:15" x14ac:dyDescent="0.25">
      <c r="B75" s="99">
        <v>1</v>
      </c>
      <c r="C75" s="33" t="s">
        <v>61</v>
      </c>
      <c r="D75" s="100" t="s">
        <v>19</v>
      </c>
      <c r="E75" s="259">
        <f>0.5*(3*7+2*2)</f>
        <v>12.5</v>
      </c>
      <c r="F75" s="209">
        <v>0</v>
      </c>
      <c r="G75" s="218">
        <v>87804.4</v>
      </c>
      <c r="H75" s="209">
        <f>F75*E75</f>
        <v>0</v>
      </c>
      <c r="I75" s="209">
        <f>G75*12.5</f>
        <v>1097555</v>
      </c>
      <c r="J75" s="259">
        <f>0.5*(3*7+2*2)</f>
        <v>12.5</v>
      </c>
      <c r="L75" t="s">
        <v>323</v>
      </c>
      <c r="M75" t="s">
        <v>326</v>
      </c>
      <c r="N75" t="s">
        <v>327</v>
      </c>
      <c r="O75" t="s">
        <v>377</v>
      </c>
    </row>
    <row r="76" spans="2:15" x14ac:dyDescent="0.25">
      <c r="B76" s="99">
        <v>2</v>
      </c>
      <c r="C76" s="33" t="s">
        <v>62</v>
      </c>
      <c r="D76" s="100" t="s">
        <v>19</v>
      </c>
      <c r="E76" s="259">
        <f>254.4*0-(30+1*10+0.5*1.5*10)*0+174.125</f>
        <v>174.125</v>
      </c>
      <c r="F76" s="209">
        <v>0</v>
      </c>
      <c r="G76" s="219">
        <v>85804.4</v>
      </c>
      <c r="H76" s="209">
        <f>F76*E76</f>
        <v>0</v>
      </c>
      <c r="I76" s="209">
        <f>G76*224.4</f>
        <v>19254507.359999999</v>
      </c>
      <c r="J76" s="259">
        <f>254.4-(30+1*10+0.5*1.5*10)</f>
        <v>206.9</v>
      </c>
      <c r="K76" t="s">
        <v>324</v>
      </c>
      <c r="L76">
        <f>3*(6.5+6+1.5)+2.4*3.2</f>
        <v>49.68</v>
      </c>
      <c r="M76">
        <f>0.75*2.3*1+2.55*0.8*3+0.4*2.4*2</f>
        <v>9.7650000000000006</v>
      </c>
      <c r="N76">
        <f>0.3*3*6</f>
        <v>5.3999999999999995</v>
      </c>
      <c r="O76">
        <f>L76-M76-N76</f>
        <v>34.515000000000001</v>
      </c>
    </row>
    <row r="77" spans="2:15" x14ac:dyDescent="0.25">
      <c r="B77" s="99">
        <v>3</v>
      </c>
      <c r="C77" s="33" t="s">
        <v>63</v>
      </c>
      <c r="D77" s="100" t="s">
        <v>19</v>
      </c>
      <c r="E77" s="259">
        <v>314</v>
      </c>
      <c r="F77" s="209">
        <v>0</v>
      </c>
      <c r="G77" s="220">
        <v>61525.641227877299</v>
      </c>
      <c r="H77" s="209">
        <f>F77*E77</f>
        <v>0</v>
      </c>
      <c r="I77" s="209">
        <f>G77*448.8</f>
        <v>27612707.783071332</v>
      </c>
      <c r="J77" s="259">
        <f>J76*2</f>
        <v>413.8</v>
      </c>
      <c r="K77" t="s">
        <v>325</v>
      </c>
      <c r="L77">
        <f>3*(3+5+5+3)</f>
        <v>48</v>
      </c>
      <c r="M77">
        <f>0.75*2.4*2+2*0.8</f>
        <v>5.1999999999999993</v>
      </c>
      <c r="N77">
        <f>0.3*3*2</f>
        <v>1.7999999999999998</v>
      </c>
      <c r="O77">
        <f>L77-M77-N77</f>
        <v>41</v>
      </c>
    </row>
    <row r="78" spans="2:15" x14ac:dyDescent="0.25">
      <c r="B78" s="99"/>
      <c r="C78" s="126" t="s">
        <v>152</v>
      </c>
      <c r="D78" s="100"/>
      <c r="E78" s="121"/>
      <c r="F78" s="209">
        <v>0</v>
      </c>
      <c r="G78" s="215"/>
      <c r="H78" s="211">
        <f t="shared" ref="H78:I78" si="13">SUM(H75:H77)</f>
        <v>0</v>
      </c>
      <c r="I78" s="211">
        <f t="shared" si="13"/>
        <v>47964770.143071331</v>
      </c>
      <c r="J78" s="121"/>
      <c r="K78" t="s">
        <v>329</v>
      </c>
      <c r="L78">
        <f>1.8*3*0.5+3*1.75</f>
        <v>7.95</v>
      </c>
      <c r="O78">
        <f>L78-M78-N78</f>
        <v>7.95</v>
      </c>
    </row>
    <row r="79" spans="2:15" x14ac:dyDescent="0.25">
      <c r="B79" s="99"/>
      <c r="C79" s="33"/>
      <c r="D79" s="100"/>
      <c r="E79" s="121"/>
      <c r="F79" s="209">
        <v>0</v>
      </c>
      <c r="G79" s="215"/>
      <c r="H79" s="212"/>
      <c r="I79" s="212"/>
      <c r="J79" s="121"/>
      <c r="K79" t="s">
        <v>328</v>
      </c>
      <c r="L79">
        <f>3.25*(5+5+3.85*2)</f>
        <v>57.524999999999999</v>
      </c>
      <c r="M79">
        <f>0.8*1.6+0.8*2.4+0.8*2.4+2.4*1.8+0.6*0.4</f>
        <v>9.6800000000000015</v>
      </c>
      <c r="N79">
        <f>0.2*3.25*6</f>
        <v>3.9000000000000004</v>
      </c>
      <c r="O79">
        <f>L79-M79-N79</f>
        <v>43.945</v>
      </c>
    </row>
    <row r="80" spans="2:15" x14ac:dyDescent="0.25">
      <c r="B80" s="110" t="s">
        <v>64</v>
      </c>
      <c r="C80" s="111" t="s">
        <v>65</v>
      </c>
      <c r="D80" s="33"/>
      <c r="E80" s="121"/>
      <c r="F80" s="209">
        <v>0</v>
      </c>
      <c r="G80" s="209"/>
      <c r="H80" s="213"/>
      <c r="I80" s="213"/>
      <c r="J80" s="121"/>
      <c r="K80" t="s">
        <v>330</v>
      </c>
      <c r="L80">
        <f>3.25*(4.3+4+5.6)</f>
        <v>45.175000000000004</v>
      </c>
      <c r="M80">
        <f>0.8*2.4</f>
        <v>1.92</v>
      </c>
      <c r="N80">
        <f>N79</f>
        <v>3.9000000000000004</v>
      </c>
      <c r="O80">
        <f t="shared" ref="O80:O81" si="14">L80-M80-N80</f>
        <v>39.355000000000004</v>
      </c>
    </row>
    <row r="81" spans="2:17" x14ac:dyDescent="0.25">
      <c r="B81" s="99">
        <v>1</v>
      </c>
      <c r="C81" s="33" t="s">
        <v>66</v>
      </c>
      <c r="D81" s="100" t="s">
        <v>19</v>
      </c>
      <c r="E81" s="184">
        <f>4.25*3+43.5</f>
        <v>56.25</v>
      </c>
      <c r="F81" s="209">
        <v>0</v>
      </c>
      <c r="G81" s="209">
        <v>109000</v>
      </c>
      <c r="H81" s="209">
        <f t="shared" ref="H81:H87" si="15">F81*E81</f>
        <v>0</v>
      </c>
      <c r="I81" s="209">
        <f t="shared" ref="I81:I87" si="16">G81*E81</f>
        <v>6131250</v>
      </c>
      <c r="J81" s="184">
        <f>4.25*3+43.5</f>
        <v>56.25</v>
      </c>
      <c r="K81" t="s">
        <v>329</v>
      </c>
      <c r="L81">
        <f>4*0.5*1.75*2+0.5*1.4*3</f>
        <v>9.1</v>
      </c>
      <c r="O81">
        <f t="shared" si="14"/>
        <v>9.1</v>
      </c>
    </row>
    <row r="82" spans="2:17" x14ac:dyDescent="0.25">
      <c r="B82" s="99">
        <v>2</v>
      </c>
      <c r="C82" s="33" t="s">
        <v>67</v>
      </c>
      <c r="D82" s="100" t="s">
        <v>19</v>
      </c>
      <c r="E82" s="184">
        <f>E81</f>
        <v>56.25</v>
      </c>
      <c r="F82" s="209">
        <v>0</v>
      </c>
      <c r="G82" s="221">
        <v>78182</v>
      </c>
      <c r="H82" s="209">
        <f t="shared" si="15"/>
        <v>0</v>
      </c>
      <c r="I82" s="209">
        <f t="shared" si="16"/>
        <v>4397737.5</v>
      </c>
      <c r="J82" s="184">
        <f>J81</f>
        <v>56.25</v>
      </c>
      <c r="O82" s="260">
        <f>SUM(O76:O81)</f>
        <v>175.86499999999998</v>
      </c>
    </row>
    <row r="83" spans="2:17" x14ac:dyDescent="0.25">
      <c r="B83" s="99">
        <v>3</v>
      </c>
      <c r="C83" s="33" t="s">
        <v>68</v>
      </c>
      <c r="D83" s="100" t="s">
        <v>13</v>
      </c>
      <c r="E83" s="184">
        <f>4.5+6+3+5.5+1-2</f>
        <v>18</v>
      </c>
      <c r="F83" s="209">
        <v>0</v>
      </c>
      <c r="G83" s="221">
        <v>46819.675000000003</v>
      </c>
      <c r="H83" s="209">
        <f t="shared" si="15"/>
        <v>0</v>
      </c>
      <c r="I83" s="209">
        <f t="shared" si="16"/>
        <v>842754.15</v>
      </c>
      <c r="J83" s="184">
        <f>4.5+6+3+5.5+1-2</f>
        <v>18</v>
      </c>
      <c r="K83" t="s">
        <v>331</v>
      </c>
      <c r="L83" s="257">
        <f>1.3*10.6*0.5</f>
        <v>6.89</v>
      </c>
      <c r="O83">
        <f>L83</f>
        <v>6.89</v>
      </c>
      <c r="Q83">
        <f>6.8*72216*1.04</f>
        <v>510711.55200000003</v>
      </c>
    </row>
    <row r="84" spans="2:17" x14ac:dyDescent="0.25">
      <c r="B84" s="33">
        <v>4</v>
      </c>
      <c r="C84" s="33" t="s">
        <v>69</v>
      </c>
      <c r="D84" s="100" t="s">
        <v>13</v>
      </c>
      <c r="E84" s="184">
        <f>4.25*2+4*2+3+3.5+3</f>
        <v>26</v>
      </c>
      <c r="F84" s="209">
        <v>0</v>
      </c>
      <c r="G84" s="221">
        <v>45000</v>
      </c>
      <c r="H84" s="209">
        <f t="shared" si="15"/>
        <v>0</v>
      </c>
      <c r="I84" s="209">
        <f t="shared" si="16"/>
        <v>1170000</v>
      </c>
      <c r="J84" s="184">
        <f>4.25*2+4*2+3+3.5+3</f>
        <v>26</v>
      </c>
      <c r="L84">
        <f>0.4*9.7</f>
        <v>3.88</v>
      </c>
      <c r="O84">
        <f>L84</f>
        <v>3.88</v>
      </c>
    </row>
    <row r="85" spans="2:17" x14ac:dyDescent="0.25">
      <c r="B85" s="33">
        <v>5</v>
      </c>
      <c r="C85" s="33" t="s">
        <v>70</v>
      </c>
      <c r="D85" s="100" t="s">
        <v>13</v>
      </c>
      <c r="E85" s="184">
        <f>6-1</f>
        <v>5</v>
      </c>
      <c r="F85" s="209">
        <v>0</v>
      </c>
      <c r="G85" s="221">
        <v>52634.417317764797</v>
      </c>
      <c r="H85" s="209">
        <f t="shared" si="15"/>
        <v>0</v>
      </c>
      <c r="I85" s="209">
        <f t="shared" si="16"/>
        <v>263172.08658882399</v>
      </c>
      <c r="J85" s="184">
        <f>6-1</f>
        <v>5</v>
      </c>
      <c r="O85" s="260">
        <f>SUM(O83:O84)+O82</f>
        <v>186.63499999999999</v>
      </c>
      <c r="P85">
        <f>30</f>
        <v>30</v>
      </c>
    </row>
    <row r="86" spans="2:17" x14ac:dyDescent="0.25">
      <c r="B86" s="33">
        <v>6</v>
      </c>
      <c r="C86" s="33" t="s">
        <v>192</v>
      </c>
      <c r="D86" s="100" t="s">
        <v>91</v>
      </c>
      <c r="E86" s="184">
        <v>0</v>
      </c>
      <c r="F86" s="209">
        <v>0</v>
      </c>
      <c r="G86" s="221">
        <v>52634.417317764797</v>
      </c>
      <c r="H86" s="209">
        <f t="shared" si="15"/>
        <v>0</v>
      </c>
      <c r="I86" s="209">
        <f t="shared" si="16"/>
        <v>0</v>
      </c>
      <c r="J86" s="184">
        <v>0</v>
      </c>
      <c r="K86" t="s">
        <v>332</v>
      </c>
      <c r="L86" t="s">
        <v>333</v>
      </c>
      <c r="O86">
        <f>O85*2</f>
        <v>373.27</v>
      </c>
    </row>
    <row r="87" spans="2:17" x14ac:dyDescent="0.25">
      <c r="B87" s="33">
        <v>7</v>
      </c>
      <c r="C87" s="33" t="s">
        <v>193</v>
      </c>
      <c r="D87" s="100" t="s">
        <v>91</v>
      </c>
      <c r="E87" s="184">
        <v>1</v>
      </c>
      <c r="F87" s="209">
        <v>0</v>
      </c>
      <c r="G87" s="221">
        <v>52634.417317764797</v>
      </c>
      <c r="H87" s="209">
        <f t="shared" si="15"/>
        <v>0</v>
      </c>
      <c r="I87" s="209">
        <f t="shared" si="16"/>
        <v>52634.417317764797</v>
      </c>
      <c r="J87" s="184">
        <v>1</v>
      </c>
      <c r="K87" t="s">
        <v>334</v>
      </c>
      <c r="L87">
        <f>1.5*4.5+4*6.75+0.8*6.3*2+0.3*3+0.5*4*1.75</f>
        <v>48.23</v>
      </c>
      <c r="O87" s="260">
        <f>O86-L90+30</f>
        <v>300.815</v>
      </c>
    </row>
    <row r="88" spans="2:17" x14ac:dyDescent="0.25">
      <c r="B88" s="110"/>
      <c r="C88" s="126" t="s">
        <v>152</v>
      </c>
      <c r="D88" s="33"/>
      <c r="E88" s="121"/>
      <c r="F88" s="209">
        <v>0</v>
      </c>
      <c r="G88" s="209"/>
      <c r="H88" s="211">
        <f t="shared" ref="H88:I88" si="17">SUM(H81:H87)</f>
        <v>0</v>
      </c>
      <c r="I88" s="211">
        <f t="shared" si="17"/>
        <v>12857548.153906589</v>
      </c>
      <c r="J88" s="121"/>
      <c r="K88" t="s">
        <v>335</v>
      </c>
      <c r="L88">
        <f>3*6.75+0.5*1.6*3+5.5*3+0.5*6.75+0.8*1.5+2*1.5</f>
        <v>46.725000000000001</v>
      </c>
    </row>
    <row r="89" spans="2:17" x14ac:dyDescent="0.25">
      <c r="B89" s="110"/>
      <c r="C89" s="126"/>
      <c r="D89" s="33"/>
      <c r="E89" s="121"/>
      <c r="F89" s="209">
        <v>0</v>
      </c>
      <c r="G89" s="209"/>
      <c r="H89" s="212"/>
      <c r="I89" s="212"/>
      <c r="J89" s="121"/>
      <c r="K89" t="s">
        <v>336</v>
      </c>
      <c r="L89">
        <f>1.5*5</f>
        <v>7.5</v>
      </c>
      <c r="O89">
        <f>O85-12.5</f>
        <v>174.13499999999999</v>
      </c>
    </row>
    <row r="90" spans="2:17" x14ac:dyDescent="0.25">
      <c r="B90" s="110" t="s">
        <v>72</v>
      </c>
      <c r="C90" s="111" t="s">
        <v>73</v>
      </c>
      <c r="D90" s="33"/>
      <c r="E90" s="127"/>
      <c r="F90" s="209">
        <v>0</v>
      </c>
      <c r="G90" s="209"/>
      <c r="H90" s="213"/>
      <c r="I90" s="213"/>
      <c r="J90" s="127"/>
      <c r="L90" s="260">
        <f>SUM(L87:L89)</f>
        <v>102.455</v>
      </c>
    </row>
    <row r="91" spans="2:17" x14ac:dyDescent="0.25">
      <c r="B91" s="99">
        <v>1</v>
      </c>
      <c r="C91" s="33" t="s">
        <v>74</v>
      </c>
      <c r="D91" s="100" t="s">
        <v>198</v>
      </c>
      <c r="E91" s="185">
        <v>1</v>
      </c>
      <c r="F91" s="209">
        <v>0</v>
      </c>
      <c r="G91" s="209">
        <v>0</v>
      </c>
      <c r="H91" s="209">
        <f t="shared" ref="H91:H96" si="18">F91*E91</f>
        <v>0</v>
      </c>
      <c r="I91" s="209">
        <f t="shared" ref="I91:I96" si="19">G91*E91</f>
        <v>0</v>
      </c>
      <c r="J91" s="185">
        <v>1</v>
      </c>
    </row>
    <row r="92" spans="2:17" x14ac:dyDescent="0.25">
      <c r="B92" s="99"/>
      <c r="C92" s="33" t="s">
        <v>194</v>
      </c>
      <c r="D92" s="100" t="s">
        <v>81</v>
      </c>
      <c r="E92" s="185">
        <v>1</v>
      </c>
      <c r="F92" s="209">
        <v>0</v>
      </c>
      <c r="G92" s="209">
        <v>1195000</v>
      </c>
      <c r="H92" s="209">
        <f t="shared" si="18"/>
        <v>0</v>
      </c>
      <c r="I92" s="209">
        <f t="shared" si="19"/>
        <v>1195000</v>
      </c>
      <c r="J92" s="185">
        <v>1</v>
      </c>
    </row>
    <row r="93" spans="2:17" x14ac:dyDescent="0.25">
      <c r="B93" s="99"/>
      <c r="C93" s="33" t="s">
        <v>195</v>
      </c>
      <c r="D93" s="100" t="s">
        <v>81</v>
      </c>
      <c r="E93" s="185">
        <v>1</v>
      </c>
      <c r="F93" s="209">
        <v>0</v>
      </c>
      <c r="G93" s="209">
        <v>805000</v>
      </c>
      <c r="H93" s="209">
        <f t="shared" si="18"/>
        <v>0</v>
      </c>
      <c r="I93" s="209">
        <f t="shared" si="19"/>
        <v>805000</v>
      </c>
      <c r="J93" s="185">
        <v>1</v>
      </c>
      <c r="K93" t="s">
        <v>378</v>
      </c>
    </row>
    <row r="94" spans="2:17" x14ac:dyDescent="0.25">
      <c r="B94" s="99"/>
      <c r="C94" s="33" t="s">
        <v>196</v>
      </c>
      <c r="D94" s="100" t="s">
        <v>81</v>
      </c>
      <c r="E94" s="185">
        <v>2</v>
      </c>
      <c r="F94" s="209">
        <v>0</v>
      </c>
      <c r="G94" s="209">
        <v>805000</v>
      </c>
      <c r="H94" s="209">
        <f t="shared" si="18"/>
        <v>0</v>
      </c>
      <c r="I94" s="209">
        <f t="shared" si="19"/>
        <v>1610000</v>
      </c>
      <c r="J94" s="185">
        <v>2</v>
      </c>
    </row>
    <row r="95" spans="2:17" x14ac:dyDescent="0.25">
      <c r="B95" s="99"/>
      <c r="C95" s="33" t="s">
        <v>197</v>
      </c>
      <c r="D95" s="100" t="s">
        <v>81</v>
      </c>
      <c r="E95" s="185">
        <v>2</v>
      </c>
      <c r="F95" s="209">
        <v>0</v>
      </c>
      <c r="G95" s="209">
        <v>805000</v>
      </c>
      <c r="H95" s="209">
        <f t="shared" si="18"/>
        <v>0</v>
      </c>
      <c r="I95" s="209">
        <f t="shared" si="19"/>
        <v>1610000</v>
      </c>
      <c r="J95" s="185">
        <v>2</v>
      </c>
    </row>
    <row r="96" spans="2:17" x14ac:dyDescent="0.25">
      <c r="B96" s="99">
        <v>2</v>
      </c>
      <c r="C96" s="33" t="s">
        <v>79</v>
      </c>
      <c r="D96" s="100" t="s">
        <v>198</v>
      </c>
      <c r="E96" s="185">
        <v>1</v>
      </c>
      <c r="F96" s="209">
        <v>0</v>
      </c>
      <c r="G96" s="214">
        <v>12500000</v>
      </c>
      <c r="H96" s="214">
        <f t="shared" si="18"/>
        <v>0</v>
      </c>
      <c r="I96" s="214">
        <f t="shared" si="19"/>
        <v>12500000</v>
      </c>
      <c r="J96" s="185">
        <v>1</v>
      </c>
    </row>
    <row r="97" spans="2:10" x14ac:dyDescent="0.25">
      <c r="B97" s="99" t="s">
        <v>75</v>
      </c>
      <c r="C97" s="33" t="s">
        <v>199</v>
      </c>
      <c r="D97" s="100" t="s">
        <v>81</v>
      </c>
      <c r="E97" s="185">
        <v>1</v>
      </c>
      <c r="F97" s="209">
        <v>0</v>
      </c>
      <c r="G97" s="209">
        <v>0</v>
      </c>
      <c r="H97" s="213"/>
      <c r="I97" s="213"/>
      <c r="J97" s="185">
        <v>1</v>
      </c>
    </row>
    <row r="98" spans="2:10" x14ac:dyDescent="0.25">
      <c r="B98" s="99" t="s">
        <v>75</v>
      </c>
      <c r="C98" s="33" t="s">
        <v>200</v>
      </c>
      <c r="D98" s="100" t="s">
        <v>81</v>
      </c>
      <c r="E98" s="185">
        <v>1</v>
      </c>
      <c r="F98" s="209">
        <v>0</v>
      </c>
      <c r="G98" s="209">
        <v>0</v>
      </c>
      <c r="H98" s="213"/>
      <c r="I98" s="213"/>
      <c r="J98" s="185">
        <v>1</v>
      </c>
    </row>
    <row r="99" spans="2:10" x14ac:dyDescent="0.25">
      <c r="B99" s="99" t="s">
        <v>75</v>
      </c>
      <c r="C99" s="33" t="s">
        <v>201</v>
      </c>
      <c r="D99" s="100" t="s">
        <v>81</v>
      </c>
      <c r="E99" s="185">
        <v>1</v>
      </c>
      <c r="F99" s="209">
        <v>0</v>
      </c>
      <c r="G99" s="209">
        <v>0</v>
      </c>
      <c r="H99" s="213"/>
      <c r="I99" s="213"/>
      <c r="J99" s="185">
        <v>1</v>
      </c>
    </row>
    <row r="100" spans="2:10" x14ac:dyDescent="0.25">
      <c r="B100" s="99" t="s">
        <v>75</v>
      </c>
      <c r="C100" s="33" t="s">
        <v>202</v>
      </c>
      <c r="D100" s="100" t="s">
        <v>81</v>
      </c>
      <c r="E100" s="185">
        <v>1</v>
      </c>
      <c r="F100" s="209">
        <v>0</v>
      </c>
      <c r="G100" s="209">
        <v>0</v>
      </c>
      <c r="H100" s="213"/>
      <c r="I100" s="213"/>
      <c r="J100" s="185">
        <v>1</v>
      </c>
    </row>
    <row r="101" spans="2:10" x14ac:dyDescent="0.25">
      <c r="B101" s="99" t="s">
        <v>75</v>
      </c>
      <c r="C101" s="33" t="s">
        <v>203</v>
      </c>
      <c r="D101" s="100" t="s">
        <v>81</v>
      </c>
      <c r="E101" s="185">
        <v>1</v>
      </c>
      <c r="F101" s="209">
        <v>0</v>
      </c>
      <c r="G101" s="209">
        <v>0</v>
      </c>
      <c r="H101" s="213"/>
      <c r="I101" s="213"/>
      <c r="J101" s="185">
        <v>1</v>
      </c>
    </row>
    <row r="102" spans="2:10" x14ac:dyDescent="0.25">
      <c r="B102" s="99" t="s">
        <v>75</v>
      </c>
      <c r="C102" s="33" t="s">
        <v>204</v>
      </c>
      <c r="D102" s="100" t="s">
        <v>81</v>
      </c>
      <c r="E102" s="185">
        <v>1</v>
      </c>
      <c r="F102" s="209">
        <v>0</v>
      </c>
      <c r="G102" s="209">
        <v>0</v>
      </c>
      <c r="H102" s="213"/>
      <c r="I102" s="213"/>
      <c r="J102" s="185">
        <v>1</v>
      </c>
    </row>
    <row r="103" spans="2:10" x14ac:dyDescent="0.25">
      <c r="B103" s="99" t="s">
        <v>75</v>
      </c>
      <c r="C103" s="33" t="s">
        <v>205</v>
      </c>
      <c r="D103" s="100" t="s">
        <v>81</v>
      </c>
      <c r="E103" s="185">
        <v>1</v>
      </c>
      <c r="F103" s="209">
        <v>0</v>
      </c>
      <c r="G103" s="209">
        <v>0</v>
      </c>
      <c r="H103" s="213"/>
      <c r="I103" s="213"/>
      <c r="J103" s="185">
        <v>1</v>
      </c>
    </row>
    <row r="104" spans="2:10" x14ac:dyDescent="0.25">
      <c r="B104" s="99" t="s">
        <v>75</v>
      </c>
      <c r="C104" s="33" t="s">
        <v>206</v>
      </c>
      <c r="D104" s="100" t="s">
        <v>81</v>
      </c>
      <c r="E104" s="185">
        <v>1</v>
      </c>
      <c r="F104" s="209">
        <v>0</v>
      </c>
      <c r="G104" s="209">
        <v>0</v>
      </c>
      <c r="H104" s="213"/>
      <c r="I104" s="213"/>
      <c r="J104" s="185">
        <v>1</v>
      </c>
    </row>
    <row r="105" spans="2:10" x14ac:dyDescent="0.25">
      <c r="B105" s="99" t="s">
        <v>75</v>
      </c>
      <c r="C105" s="33" t="s">
        <v>207</v>
      </c>
      <c r="D105" s="100" t="s">
        <v>81</v>
      </c>
      <c r="E105" s="185">
        <v>1</v>
      </c>
      <c r="F105" s="209">
        <v>0</v>
      </c>
      <c r="G105" s="209">
        <v>0</v>
      </c>
      <c r="H105" s="213"/>
      <c r="I105" s="213"/>
      <c r="J105" s="185">
        <v>1</v>
      </c>
    </row>
    <row r="106" spans="2:10" x14ac:dyDescent="0.25">
      <c r="B106" s="99" t="s">
        <v>75</v>
      </c>
      <c r="C106" s="33" t="s">
        <v>208</v>
      </c>
      <c r="D106" s="100" t="s">
        <v>81</v>
      </c>
      <c r="E106" s="185">
        <v>1</v>
      </c>
      <c r="F106" s="209">
        <v>0</v>
      </c>
      <c r="G106" s="209">
        <v>0</v>
      </c>
      <c r="H106" s="213"/>
      <c r="I106" s="213"/>
      <c r="J106" s="185">
        <v>1</v>
      </c>
    </row>
    <row r="107" spans="2:10" x14ac:dyDescent="0.25">
      <c r="B107" s="99" t="s">
        <v>75</v>
      </c>
      <c r="C107" s="33" t="s">
        <v>209</v>
      </c>
      <c r="D107" s="100" t="s">
        <v>81</v>
      </c>
      <c r="E107" s="185">
        <v>3</v>
      </c>
      <c r="F107" s="209">
        <v>0</v>
      </c>
      <c r="G107" s="209">
        <v>0</v>
      </c>
      <c r="H107" s="213"/>
      <c r="I107" s="213"/>
      <c r="J107" s="185">
        <v>3</v>
      </c>
    </row>
    <row r="108" spans="2:10" x14ac:dyDescent="0.25">
      <c r="B108" s="99" t="s">
        <v>75</v>
      </c>
      <c r="C108" s="33" t="s">
        <v>210</v>
      </c>
      <c r="D108" s="100" t="s">
        <v>81</v>
      </c>
      <c r="E108" s="185">
        <v>1</v>
      </c>
      <c r="F108" s="209">
        <v>0</v>
      </c>
      <c r="G108" s="209">
        <v>0</v>
      </c>
      <c r="H108" s="213"/>
      <c r="I108" s="213"/>
      <c r="J108" s="185">
        <v>1</v>
      </c>
    </row>
    <row r="109" spans="2:10" x14ac:dyDescent="0.25">
      <c r="B109" s="99" t="s">
        <v>75</v>
      </c>
      <c r="C109" s="33" t="s">
        <v>211</v>
      </c>
      <c r="D109" s="100" t="s">
        <v>81</v>
      </c>
      <c r="E109" s="185">
        <v>1</v>
      </c>
      <c r="F109" s="209">
        <v>0</v>
      </c>
      <c r="G109" s="209">
        <v>0</v>
      </c>
      <c r="H109" s="213"/>
      <c r="I109" s="213"/>
      <c r="J109" s="185">
        <v>1</v>
      </c>
    </row>
    <row r="110" spans="2:10" x14ac:dyDescent="0.25">
      <c r="B110" s="99" t="s">
        <v>75</v>
      </c>
      <c r="C110" s="33" t="s">
        <v>212</v>
      </c>
      <c r="D110" s="100" t="s">
        <v>81</v>
      </c>
      <c r="E110" s="185">
        <v>1</v>
      </c>
      <c r="F110" s="209">
        <v>0</v>
      </c>
      <c r="G110" s="209">
        <v>0</v>
      </c>
      <c r="H110" s="213"/>
      <c r="I110" s="213"/>
      <c r="J110" s="185">
        <v>1</v>
      </c>
    </row>
    <row r="111" spans="2:10" x14ac:dyDescent="0.25">
      <c r="B111" s="99">
        <v>3</v>
      </c>
      <c r="C111" s="33" t="s">
        <v>87</v>
      </c>
      <c r="D111" s="100"/>
      <c r="E111" s="185"/>
      <c r="F111" s="209">
        <v>0</v>
      </c>
      <c r="G111" s="209"/>
      <c r="H111" s="213"/>
      <c r="I111" s="213"/>
      <c r="J111" s="185"/>
    </row>
    <row r="112" spans="2:10" x14ac:dyDescent="0.25">
      <c r="B112" s="99" t="s">
        <v>75</v>
      </c>
      <c r="C112" s="33" t="s">
        <v>88</v>
      </c>
      <c r="D112" s="100" t="s">
        <v>77</v>
      </c>
      <c r="E112" s="185">
        <v>1</v>
      </c>
      <c r="F112" s="209">
        <v>0</v>
      </c>
      <c r="G112" s="209">
        <v>434360</v>
      </c>
      <c r="H112" s="209">
        <f>F112*E112</f>
        <v>0</v>
      </c>
      <c r="I112" s="209">
        <f>G112*E112</f>
        <v>434360</v>
      </c>
      <c r="J112" s="185">
        <v>1</v>
      </c>
    </row>
    <row r="113" spans="2:10" x14ac:dyDescent="0.25">
      <c r="B113" s="99" t="s">
        <v>75</v>
      </c>
      <c r="C113" s="33" t="s">
        <v>213</v>
      </c>
      <c r="D113" s="100" t="s">
        <v>77</v>
      </c>
      <c r="E113" s="185">
        <v>5</v>
      </c>
      <c r="F113" s="209">
        <v>0</v>
      </c>
      <c r="G113" s="209">
        <v>210000</v>
      </c>
      <c r="H113" s="209">
        <f>F113*E113</f>
        <v>0</v>
      </c>
      <c r="I113" s="209">
        <f>G113*E113</f>
        <v>1050000</v>
      </c>
      <c r="J113" s="185">
        <v>5</v>
      </c>
    </row>
    <row r="114" spans="2:10" x14ac:dyDescent="0.25">
      <c r="B114" s="99" t="s">
        <v>75</v>
      </c>
      <c r="C114" s="33" t="s">
        <v>90</v>
      </c>
      <c r="D114" s="100" t="s">
        <v>91</v>
      </c>
      <c r="E114" s="185">
        <f>6*3</f>
        <v>18</v>
      </c>
      <c r="F114" s="209">
        <v>0</v>
      </c>
      <c r="G114" s="209">
        <v>21600</v>
      </c>
      <c r="H114" s="209">
        <f>F114*E114</f>
        <v>0</v>
      </c>
      <c r="I114" s="209">
        <f>G114*E114</f>
        <v>388800</v>
      </c>
      <c r="J114" s="185">
        <f>6*3</f>
        <v>18</v>
      </c>
    </row>
    <row r="115" spans="2:10" x14ac:dyDescent="0.25">
      <c r="B115" s="99"/>
      <c r="C115" s="126" t="s">
        <v>152</v>
      </c>
      <c r="D115" s="100"/>
      <c r="E115" s="121"/>
      <c r="F115" s="209">
        <v>0</v>
      </c>
      <c r="G115" s="209"/>
      <c r="H115" s="211">
        <f t="shared" ref="H115:I115" si="20">SUM(H91:H114)</f>
        <v>0</v>
      </c>
      <c r="I115" s="211">
        <f t="shared" si="20"/>
        <v>19593160</v>
      </c>
      <c r="J115" s="121"/>
    </row>
    <row r="116" spans="2:10" x14ac:dyDescent="0.25">
      <c r="B116" s="99"/>
      <c r="C116" s="33"/>
      <c r="D116" s="100"/>
      <c r="E116" s="121"/>
      <c r="F116" s="209">
        <v>0</v>
      </c>
      <c r="G116" s="209"/>
      <c r="H116" s="212"/>
      <c r="I116" s="212"/>
      <c r="J116" s="121"/>
    </row>
    <row r="117" spans="2:10" x14ac:dyDescent="0.25">
      <c r="B117" s="110" t="s">
        <v>92</v>
      </c>
      <c r="C117" s="111" t="s">
        <v>93</v>
      </c>
      <c r="D117" s="100"/>
      <c r="E117" s="121"/>
      <c r="F117" s="209">
        <v>0</v>
      </c>
      <c r="G117" s="209"/>
      <c r="H117" s="213"/>
      <c r="I117" s="213"/>
      <c r="J117" s="121"/>
    </row>
    <row r="118" spans="2:10" x14ac:dyDescent="0.25">
      <c r="B118" s="33">
        <v>1</v>
      </c>
      <c r="C118" s="33" t="s">
        <v>379</v>
      </c>
      <c r="D118" s="100" t="s">
        <v>19</v>
      </c>
      <c r="E118" s="122">
        <f>E77-E119-101</f>
        <v>157.375</v>
      </c>
      <c r="F118" s="209">
        <v>0</v>
      </c>
      <c r="G118" s="209">
        <v>14500</v>
      </c>
      <c r="H118" s="209">
        <f>F118*E118</f>
        <v>0</v>
      </c>
      <c r="I118" s="209">
        <f>G118*E118</f>
        <v>2281937.5</v>
      </c>
      <c r="J118" s="122">
        <f>J77-J119-101</f>
        <v>257.17500000000001</v>
      </c>
    </row>
    <row r="119" spans="2:10" x14ac:dyDescent="0.25">
      <c r="B119" s="33">
        <v>2</v>
      </c>
      <c r="C119" s="33" t="s">
        <v>380</v>
      </c>
      <c r="D119" s="100" t="s">
        <v>19</v>
      </c>
      <c r="E119" s="119">
        <f>2.5*11+3.5*3+0.5*3*1.75+3*(5)</f>
        <v>55.625</v>
      </c>
      <c r="F119" s="209">
        <v>0</v>
      </c>
      <c r="G119" s="209">
        <v>24000</v>
      </c>
      <c r="H119" s="209">
        <f>F119*E119</f>
        <v>0</v>
      </c>
      <c r="I119" s="209">
        <f>G119*E119</f>
        <v>1335000</v>
      </c>
      <c r="J119" s="119">
        <f>2.5*11+3.5*3+0.5*3*1.75+3*(5)</f>
        <v>55.625</v>
      </c>
    </row>
    <row r="120" spans="2:10" x14ac:dyDescent="0.25">
      <c r="B120" s="33">
        <v>3</v>
      </c>
      <c r="C120" s="33" t="s">
        <v>96</v>
      </c>
      <c r="D120" s="100" t="s">
        <v>19</v>
      </c>
      <c r="E120" s="119">
        <f>E67+E68</f>
        <v>58.5</v>
      </c>
      <c r="F120" s="209">
        <v>0</v>
      </c>
      <c r="G120" s="209">
        <v>14500</v>
      </c>
      <c r="H120" s="209">
        <f>F120*E120</f>
        <v>0</v>
      </c>
      <c r="I120" s="209">
        <f>G120*E120</f>
        <v>848250</v>
      </c>
      <c r="J120" s="119">
        <f>J67+J68</f>
        <v>58.5</v>
      </c>
    </row>
    <row r="121" spans="2:10" x14ac:dyDescent="0.25">
      <c r="B121" s="33">
        <v>4</v>
      </c>
      <c r="C121" s="33" t="s">
        <v>97</v>
      </c>
      <c r="D121" s="100" t="s">
        <v>19</v>
      </c>
      <c r="E121" s="119">
        <f>E83</f>
        <v>18</v>
      </c>
      <c r="F121" s="209">
        <v>0</v>
      </c>
      <c r="G121" s="209">
        <v>16000</v>
      </c>
      <c r="H121" s="209">
        <f>F121*E121</f>
        <v>0</v>
      </c>
      <c r="I121" s="209">
        <f>G121*E121</f>
        <v>288000</v>
      </c>
      <c r="J121" s="119">
        <f>J83</f>
        <v>18</v>
      </c>
    </row>
    <row r="122" spans="2:10" x14ac:dyDescent="0.25">
      <c r="B122" s="33">
        <v>5</v>
      </c>
      <c r="C122" s="33" t="s">
        <v>98</v>
      </c>
      <c r="D122" s="100" t="s">
        <v>13</v>
      </c>
      <c r="E122" s="119">
        <f>E85</f>
        <v>5</v>
      </c>
      <c r="F122" s="209">
        <v>0</v>
      </c>
      <c r="G122" s="209">
        <v>16000</v>
      </c>
      <c r="H122" s="209">
        <f>F122*E122</f>
        <v>0</v>
      </c>
      <c r="I122" s="209">
        <f>G122*E122</f>
        <v>80000</v>
      </c>
      <c r="J122" s="119">
        <f>J85</f>
        <v>5</v>
      </c>
    </row>
    <row r="123" spans="2:10" x14ac:dyDescent="0.25">
      <c r="B123" s="99"/>
      <c r="C123" s="126" t="s">
        <v>152</v>
      </c>
      <c r="D123" s="100"/>
      <c r="E123" s="121"/>
      <c r="F123" s="209">
        <v>0</v>
      </c>
      <c r="G123" s="209"/>
      <c r="H123" s="211">
        <f t="shared" ref="H123:I123" si="21">SUM(H118:H122)</f>
        <v>0</v>
      </c>
      <c r="I123" s="211">
        <f t="shared" si="21"/>
        <v>4833187.5</v>
      </c>
      <c r="J123" s="121"/>
    </row>
    <row r="124" spans="2:10" x14ac:dyDescent="0.25">
      <c r="B124" s="99"/>
      <c r="C124" s="33"/>
      <c r="D124" s="100"/>
      <c r="E124" s="121"/>
      <c r="F124" s="209">
        <v>0</v>
      </c>
      <c r="G124" s="209"/>
      <c r="H124" s="212"/>
      <c r="I124" s="212"/>
      <c r="J124" s="121"/>
    </row>
    <row r="125" spans="2:10" x14ac:dyDescent="0.25">
      <c r="B125" s="110" t="s">
        <v>99</v>
      </c>
      <c r="C125" s="111" t="s">
        <v>100</v>
      </c>
      <c r="D125" s="100"/>
      <c r="E125" s="121"/>
      <c r="F125" s="209">
        <v>0</v>
      </c>
      <c r="G125" s="209"/>
      <c r="H125" s="213"/>
      <c r="I125" s="213"/>
      <c r="J125" s="121"/>
    </row>
    <row r="126" spans="2:10" x14ac:dyDescent="0.25">
      <c r="B126" s="99">
        <v>1</v>
      </c>
      <c r="C126" s="33" t="s">
        <v>214</v>
      </c>
      <c r="D126" s="33"/>
      <c r="E126" s="121"/>
      <c r="F126" s="209">
        <v>0</v>
      </c>
      <c r="G126" s="209"/>
      <c r="H126" s="213"/>
      <c r="I126" s="213"/>
      <c r="J126" s="121"/>
    </row>
    <row r="127" spans="2:10" x14ac:dyDescent="0.25">
      <c r="B127" s="99" t="s">
        <v>75</v>
      </c>
      <c r="C127" s="33" t="s">
        <v>102</v>
      </c>
      <c r="D127" s="100" t="s">
        <v>77</v>
      </c>
      <c r="E127" s="185">
        <v>1</v>
      </c>
      <c r="F127" s="209">
        <v>0</v>
      </c>
      <c r="G127" s="209">
        <v>1779750.0000000002</v>
      </c>
      <c r="H127" s="209">
        <f t="shared" ref="H127:H132" si="22">F127*E127</f>
        <v>0</v>
      </c>
      <c r="I127" s="209">
        <f t="shared" ref="I127:I132" si="23">G127*E127</f>
        <v>1779750.0000000002</v>
      </c>
      <c r="J127" s="185">
        <v>1</v>
      </c>
    </row>
    <row r="128" spans="2:10" x14ac:dyDescent="0.25">
      <c r="B128" s="99" t="s">
        <v>75</v>
      </c>
      <c r="C128" s="33" t="s">
        <v>215</v>
      </c>
      <c r="D128" s="100" t="s">
        <v>77</v>
      </c>
      <c r="E128" s="185">
        <v>1</v>
      </c>
      <c r="F128" s="209">
        <v>0</v>
      </c>
      <c r="G128" s="209">
        <v>128936</v>
      </c>
      <c r="H128" s="209">
        <f t="shared" si="22"/>
        <v>0</v>
      </c>
      <c r="I128" s="209">
        <f t="shared" si="23"/>
        <v>128936</v>
      </c>
      <c r="J128" s="185">
        <v>1</v>
      </c>
    </row>
    <row r="129" spans="2:10" x14ac:dyDescent="0.25">
      <c r="B129" s="99" t="s">
        <v>75</v>
      </c>
      <c r="C129" s="33" t="s">
        <v>106</v>
      </c>
      <c r="D129" s="100" t="s">
        <v>77</v>
      </c>
      <c r="E129" s="185">
        <v>1</v>
      </c>
      <c r="F129" s="209">
        <v>0</v>
      </c>
      <c r="G129" s="209">
        <v>122850</v>
      </c>
      <c r="H129" s="209">
        <f t="shared" si="22"/>
        <v>0</v>
      </c>
      <c r="I129" s="209">
        <f t="shared" si="23"/>
        <v>122850</v>
      </c>
      <c r="J129" s="185">
        <v>1</v>
      </c>
    </row>
    <row r="130" spans="2:10" x14ac:dyDescent="0.25">
      <c r="B130" s="99">
        <v>2</v>
      </c>
      <c r="C130" s="33" t="s">
        <v>216</v>
      </c>
      <c r="D130" s="33"/>
      <c r="E130" s="186">
        <v>1</v>
      </c>
      <c r="F130" s="209">
        <v>0</v>
      </c>
      <c r="G130" s="209"/>
      <c r="H130" s="209">
        <f t="shared" si="22"/>
        <v>0</v>
      </c>
      <c r="I130" s="209">
        <f t="shared" si="23"/>
        <v>0</v>
      </c>
      <c r="J130" s="186">
        <v>1</v>
      </c>
    </row>
    <row r="131" spans="2:10" x14ac:dyDescent="0.25">
      <c r="B131" s="99" t="s">
        <v>75</v>
      </c>
      <c r="C131" s="33" t="s">
        <v>102</v>
      </c>
      <c r="D131" s="100" t="s">
        <v>77</v>
      </c>
      <c r="E131" s="185">
        <v>1</v>
      </c>
      <c r="F131" s="209">
        <v>0</v>
      </c>
      <c r="G131" s="209">
        <v>1779750.0000000002</v>
      </c>
      <c r="H131" s="209">
        <f t="shared" si="22"/>
        <v>0</v>
      </c>
      <c r="I131" s="209">
        <f t="shared" si="23"/>
        <v>1779750.0000000002</v>
      </c>
      <c r="J131" s="185">
        <v>1</v>
      </c>
    </row>
    <row r="132" spans="2:10" x14ac:dyDescent="0.25">
      <c r="B132" s="99" t="s">
        <v>75</v>
      </c>
      <c r="C132" s="33" t="s">
        <v>217</v>
      </c>
      <c r="D132" s="100" t="s">
        <v>77</v>
      </c>
      <c r="E132" s="185">
        <v>1</v>
      </c>
      <c r="F132" s="209">
        <v>0</v>
      </c>
      <c r="G132" s="209">
        <v>1347000</v>
      </c>
      <c r="H132" s="209">
        <f t="shared" si="22"/>
        <v>0</v>
      </c>
      <c r="I132" s="209">
        <f t="shared" si="23"/>
        <v>1347000</v>
      </c>
      <c r="J132" s="185">
        <v>1</v>
      </c>
    </row>
    <row r="133" spans="2:10" x14ac:dyDescent="0.25">
      <c r="B133" s="99" t="s">
        <v>75</v>
      </c>
      <c r="C133" s="33" t="s">
        <v>103</v>
      </c>
      <c r="D133" s="100" t="s">
        <v>77</v>
      </c>
      <c r="E133" s="185">
        <v>1</v>
      </c>
      <c r="F133" s="209">
        <v>0</v>
      </c>
      <c r="G133" s="209" t="s">
        <v>315</v>
      </c>
      <c r="H133" s="209">
        <f>F133</f>
        <v>0</v>
      </c>
      <c r="I133" s="209" t="str">
        <f>G133</f>
        <v>incld</v>
      </c>
      <c r="J133" s="185">
        <v>1</v>
      </c>
    </row>
    <row r="134" spans="2:10" x14ac:dyDescent="0.25">
      <c r="B134" s="99" t="s">
        <v>75</v>
      </c>
      <c r="C134" s="33" t="s">
        <v>104</v>
      </c>
      <c r="D134" s="100" t="s">
        <v>77</v>
      </c>
      <c r="E134" s="185">
        <v>1</v>
      </c>
      <c r="F134" s="209">
        <v>0</v>
      </c>
      <c r="G134" s="209">
        <v>676597</v>
      </c>
      <c r="H134" s="209">
        <f t="shared" ref="H134:H152" si="24">F134*E134</f>
        <v>0</v>
      </c>
      <c r="I134" s="209">
        <f t="shared" ref="I134:I152" si="25">G134*E134</f>
        <v>676597</v>
      </c>
      <c r="J134" s="185">
        <v>1</v>
      </c>
    </row>
    <row r="135" spans="2:10" x14ac:dyDescent="0.25">
      <c r="B135" s="99" t="s">
        <v>75</v>
      </c>
      <c r="C135" s="33" t="s">
        <v>215</v>
      </c>
      <c r="D135" s="100" t="s">
        <v>77</v>
      </c>
      <c r="E135" s="185">
        <v>1</v>
      </c>
      <c r="F135" s="209">
        <v>0</v>
      </c>
      <c r="G135" s="209">
        <v>128936</v>
      </c>
      <c r="H135" s="209">
        <f t="shared" si="24"/>
        <v>0</v>
      </c>
      <c r="I135" s="209">
        <f t="shared" si="25"/>
        <v>128936</v>
      </c>
      <c r="J135" s="185">
        <v>1</v>
      </c>
    </row>
    <row r="136" spans="2:10" x14ac:dyDescent="0.25">
      <c r="B136" s="99" t="s">
        <v>75</v>
      </c>
      <c r="C136" s="33" t="s">
        <v>106</v>
      </c>
      <c r="D136" s="100" t="s">
        <v>77</v>
      </c>
      <c r="E136" s="185">
        <v>1</v>
      </c>
      <c r="F136" s="209">
        <v>0</v>
      </c>
      <c r="G136" s="209">
        <v>276800</v>
      </c>
      <c r="H136" s="209">
        <f t="shared" si="24"/>
        <v>0</v>
      </c>
      <c r="I136" s="209">
        <f t="shared" si="25"/>
        <v>276800</v>
      </c>
      <c r="J136" s="185">
        <v>1</v>
      </c>
    </row>
    <row r="137" spans="2:10" x14ac:dyDescent="0.25">
      <c r="B137" s="33">
        <v>4</v>
      </c>
      <c r="C137" s="33" t="s">
        <v>107</v>
      </c>
      <c r="D137" s="33"/>
      <c r="E137" s="185"/>
      <c r="F137" s="209">
        <v>0</v>
      </c>
      <c r="G137" s="209"/>
      <c r="H137" s="209">
        <f t="shared" si="24"/>
        <v>0</v>
      </c>
      <c r="I137" s="209">
        <f t="shared" si="25"/>
        <v>0</v>
      </c>
      <c r="J137" s="185"/>
    </row>
    <row r="138" spans="2:10" x14ac:dyDescent="0.25">
      <c r="B138" s="99" t="s">
        <v>75</v>
      </c>
      <c r="C138" s="33" t="s">
        <v>108</v>
      </c>
      <c r="D138" s="100" t="s">
        <v>77</v>
      </c>
      <c r="E138" s="185">
        <v>1</v>
      </c>
      <c r="F138" s="209">
        <v>0</v>
      </c>
      <c r="G138" s="209">
        <v>255000</v>
      </c>
      <c r="H138" s="209">
        <f t="shared" si="24"/>
        <v>0</v>
      </c>
      <c r="I138" s="209">
        <f t="shared" si="25"/>
        <v>255000</v>
      </c>
      <c r="J138" s="185">
        <v>1</v>
      </c>
    </row>
    <row r="139" spans="2:10" x14ac:dyDescent="0.25">
      <c r="B139" s="99" t="s">
        <v>75</v>
      </c>
      <c r="C139" s="33" t="s">
        <v>109</v>
      </c>
      <c r="D139" s="100" t="s">
        <v>77</v>
      </c>
      <c r="E139" s="185">
        <v>1</v>
      </c>
      <c r="F139" s="209">
        <v>0</v>
      </c>
      <c r="G139" s="209">
        <v>259000</v>
      </c>
      <c r="H139" s="209">
        <f t="shared" si="24"/>
        <v>0</v>
      </c>
      <c r="I139" s="209">
        <f t="shared" si="25"/>
        <v>259000</v>
      </c>
      <c r="J139" s="185">
        <v>1</v>
      </c>
    </row>
    <row r="140" spans="2:10" x14ac:dyDescent="0.25">
      <c r="B140" s="99">
        <v>5</v>
      </c>
      <c r="C140" s="33" t="s">
        <v>110</v>
      </c>
      <c r="D140" s="100" t="s">
        <v>77</v>
      </c>
      <c r="E140" s="185">
        <v>1</v>
      </c>
      <c r="F140" s="209">
        <v>0</v>
      </c>
      <c r="G140" s="209">
        <v>154000</v>
      </c>
      <c r="H140" s="209">
        <f t="shared" si="24"/>
        <v>0</v>
      </c>
      <c r="I140" s="209">
        <f t="shared" si="25"/>
        <v>154000</v>
      </c>
      <c r="J140" s="185">
        <v>1</v>
      </c>
    </row>
    <row r="141" spans="2:10" x14ac:dyDescent="0.25">
      <c r="B141" s="99">
        <v>6</v>
      </c>
      <c r="C141" s="33" t="s">
        <v>111</v>
      </c>
      <c r="D141" s="100" t="s">
        <v>77</v>
      </c>
      <c r="E141" s="185">
        <v>2</v>
      </c>
      <c r="F141" s="209">
        <v>0</v>
      </c>
      <c r="G141" s="209">
        <v>93000</v>
      </c>
      <c r="H141" s="209">
        <f t="shared" si="24"/>
        <v>0</v>
      </c>
      <c r="I141" s="209">
        <f t="shared" si="25"/>
        <v>186000</v>
      </c>
      <c r="J141" s="185">
        <v>2</v>
      </c>
    </row>
    <row r="142" spans="2:10" x14ac:dyDescent="0.25">
      <c r="B142" s="99">
        <v>7</v>
      </c>
      <c r="C142" s="33" t="s">
        <v>112</v>
      </c>
      <c r="D142" s="100" t="s">
        <v>77</v>
      </c>
      <c r="E142" s="185">
        <v>2</v>
      </c>
      <c r="F142" s="209">
        <v>0</v>
      </c>
      <c r="G142" s="209">
        <v>104170</v>
      </c>
      <c r="H142" s="209">
        <f t="shared" si="24"/>
        <v>0</v>
      </c>
      <c r="I142" s="209">
        <f t="shared" si="25"/>
        <v>208340</v>
      </c>
      <c r="J142" s="185">
        <v>2</v>
      </c>
    </row>
    <row r="143" spans="2:10" x14ac:dyDescent="0.25">
      <c r="B143" s="99">
        <v>8</v>
      </c>
      <c r="C143" s="33" t="s">
        <v>113</v>
      </c>
      <c r="D143" s="33"/>
      <c r="E143" s="186">
        <v>0</v>
      </c>
      <c r="F143" s="209">
        <v>0</v>
      </c>
      <c r="G143" s="209"/>
      <c r="H143" s="209">
        <f t="shared" si="24"/>
        <v>0</v>
      </c>
      <c r="I143" s="209">
        <f t="shared" si="25"/>
        <v>0</v>
      </c>
      <c r="J143" s="186">
        <v>0</v>
      </c>
    </row>
    <row r="144" spans="2:10" x14ac:dyDescent="0.25">
      <c r="B144" s="99" t="s">
        <v>75</v>
      </c>
      <c r="C144" s="33" t="s">
        <v>218</v>
      </c>
      <c r="D144" s="100" t="s">
        <v>13</v>
      </c>
      <c r="E144" s="185">
        <v>7</v>
      </c>
      <c r="F144" s="209">
        <v>0</v>
      </c>
      <c r="G144" s="209">
        <v>33085.763862711865</v>
      </c>
      <c r="H144" s="209">
        <f t="shared" si="24"/>
        <v>0</v>
      </c>
      <c r="I144" s="209">
        <f t="shared" si="25"/>
        <v>231600.34703898305</v>
      </c>
      <c r="J144" s="185">
        <v>7</v>
      </c>
    </row>
    <row r="145" spans="2:10" x14ac:dyDescent="0.25">
      <c r="B145" s="99" t="s">
        <v>75</v>
      </c>
      <c r="C145" s="33" t="s">
        <v>219</v>
      </c>
      <c r="D145" s="100" t="s">
        <v>13</v>
      </c>
      <c r="E145" s="185">
        <f>6+3+7+1.5+3+3*3+(4.5+4+6+2+0)+3.5*4</f>
        <v>60</v>
      </c>
      <c r="F145" s="209">
        <v>0</v>
      </c>
      <c r="G145" s="209">
        <v>18380.979923728813</v>
      </c>
      <c r="H145" s="209">
        <f t="shared" si="24"/>
        <v>0</v>
      </c>
      <c r="I145" s="209">
        <f t="shared" si="25"/>
        <v>1102858.7954237289</v>
      </c>
      <c r="J145" s="185">
        <f>6+3+7+1.5+3+3*3+(4.5+4+6+2+0)+3.5*4</f>
        <v>60</v>
      </c>
    </row>
    <row r="146" spans="2:10" x14ac:dyDescent="0.25">
      <c r="B146" s="99">
        <v>9</v>
      </c>
      <c r="C146" s="33" t="s">
        <v>116</v>
      </c>
      <c r="D146" s="100"/>
      <c r="E146" s="185"/>
      <c r="F146" s="209">
        <v>0</v>
      </c>
      <c r="G146" s="209"/>
      <c r="H146" s="209">
        <f t="shared" si="24"/>
        <v>0</v>
      </c>
      <c r="I146" s="209">
        <f t="shared" si="25"/>
        <v>0</v>
      </c>
      <c r="J146" s="185"/>
    </row>
    <row r="147" spans="2:10" x14ac:dyDescent="0.25">
      <c r="B147" s="99" t="s">
        <v>75</v>
      </c>
      <c r="C147" s="33" t="s">
        <v>220</v>
      </c>
      <c r="D147" s="100" t="s">
        <v>13</v>
      </c>
      <c r="E147" s="185">
        <v>2.15</v>
      </c>
      <c r="F147" s="209">
        <v>0</v>
      </c>
      <c r="G147" s="209">
        <v>28965.07</v>
      </c>
      <c r="H147" s="209">
        <f t="shared" si="24"/>
        <v>0</v>
      </c>
      <c r="I147" s="209">
        <f t="shared" si="25"/>
        <v>62274.900499999996</v>
      </c>
      <c r="J147" s="185">
        <v>2.15</v>
      </c>
    </row>
    <row r="148" spans="2:10" x14ac:dyDescent="0.25">
      <c r="B148" s="99" t="s">
        <v>75</v>
      </c>
      <c r="C148" s="33" t="s">
        <v>221</v>
      </c>
      <c r="D148" s="100" t="s">
        <v>13</v>
      </c>
      <c r="E148" s="185">
        <f>2.5+2.5+4+2</f>
        <v>11</v>
      </c>
      <c r="F148" s="209">
        <v>0</v>
      </c>
      <c r="G148" s="209">
        <v>37770.300000000003</v>
      </c>
      <c r="H148" s="209">
        <f t="shared" si="24"/>
        <v>0</v>
      </c>
      <c r="I148" s="209">
        <f t="shared" si="25"/>
        <v>415473.30000000005</v>
      </c>
      <c r="J148" s="185">
        <f>2.5+2.5+4+2</f>
        <v>11</v>
      </c>
    </row>
    <row r="149" spans="2:10" x14ac:dyDescent="0.25">
      <c r="B149" s="99" t="s">
        <v>75</v>
      </c>
      <c r="C149" s="33" t="s">
        <v>117</v>
      </c>
      <c r="D149" s="100" t="s">
        <v>13</v>
      </c>
      <c r="E149" s="185">
        <f>2.5+3.5</f>
        <v>6</v>
      </c>
      <c r="F149" s="209">
        <v>0</v>
      </c>
      <c r="G149" s="209">
        <v>52750</v>
      </c>
      <c r="H149" s="209">
        <f t="shared" si="24"/>
        <v>0</v>
      </c>
      <c r="I149" s="209">
        <f t="shared" si="25"/>
        <v>316500</v>
      </c>
      <c r="J149" s="185">
        <f>2.5+3.5</f>
        <v>6</v>
      </c>
    </row>
    <row r="150" spans="2:10" x14ac:dyDescent="0.25">
      <c r="B150" s="99" t="s">
        <v>75</v>
      </c>
      <c r="C150" s="33" t="s">
        <v>118</v>
      </c>
      <c r="D150" s="100" t="s">
        <v>13</v>
      </c>
      <c r="E150" s="185">
        <f>12+9+15</f>
        <v>36</v>
      </c>
      <c r="F150" s="209">
        <v>0</v>
      </c>
      <c r="G150" s="209">
        <v>84878</v>
      </c>
      <c r="H150" s="209">
        <f t="shared" si="24"/>
        <v>0</v>
      </c>
      <c r="I150" s="209">
        <f t="shared" si="25"/>
        <v>3055608</v>
      </c>
      <c r="J150" s="185">
        <f>12+9+15</f>
        <v>36</v>
      </c>
    </row>
    <row r="151" spans="2:10" x14ac:dyDescent="0.25">
      <c r="B151" s="99" t="s">
        <v>75</v>
      </c>
      <c r="C151" s="33" t="s">
        <v>119</v>
      </c>
      <c r="D151" s="100" t="s">
        <v>77</v>
      </c>
      <c r="E151" s="185">
        <v>3</v>
      </c>
      <c r="F151" s="209">
        <v>0</v>
      </c>
      <c r="G151" s="209">
        <v>255319</v>
      </c>
      <c r="H151" s="209">
        <f t="shared" si="24"/>
        <v>0</v>
      </c>
      <c r="I151" s="209">
        <f t="shared" si="25"/>
        <v>765957</v>
      </c>
      <c r="J151" s="185">
        <v>3</v>
      </c>
    </row>
    <row r="152" spans="2:10" x14ac:dyDescent="0.25">
      <c r="B152" s="99" t="s">
        <v>75</v>
      </c>
      <c r="C152" s="33" t="s">
        <v>120</v>
      </c>
      <c r="D152" s="100" t="s">
        <v>77</v>
      </c>
      <c r="E152" s="185">
        <v>1</v>
      </c>
      <c r="F152" s="209">
        <v>0</v>
      </c>
      <c r="G152" s="213">
        <v>687648</v>
      </c>
      <c r="H152" s="209">
        <f t="shared" si="24"/>
        <v>0</v>
      </c>
      <c r="I152" s="209">
        <f t="shared" si="25"/>
        <v>687648</v>
      </c>
      <c r="J152" s="185">
        <v>1</v>
      </c>
    </row>
    <row r="153" spans="2:10" x14ac:dyDescent="0.25">
      <c r="B153" s="99"/>
      <c r="C153" s="126" t="s">
        <v>152</v>
      </c>
      <c r="D153" s="100"/>
      <c r="E153" s="186"/>
      <c r="F153" s="209">
        <v>0</v>
      </c>
      <c r="G153" s="209"/>
      <c r="H153" s="211">
        <f t="shared" ref="H153:I153" si="26">SUM(H127:H152)</f>
        <v>0</v>
      </c>
      <c r="I153" s="211">
        <f t="shared" si="26"/>
        <v>13940879.342962712</v>
      </c>
      <c r="J153" s="186"/>
    </row>
    <row r="154" spans="2:10" x14ac:dyDescent="0.25">
      <c r="B154" s="99"/>
      <c r="C154" s="126"/>
      <c r="D154" s="100"/>
      <c r="E154" s="186"/>
      <c r="F154" s="209">
        <v>0</v>
      </c>
      <c r="G154" s="209"/>
      <c r="H154" s="212"/>
      <c r="I154" s="212"/>
      <c r="J154" s="186"/>
    </row>
    <row r="155" spans="2:10" x14ac:dyDescent="0.25">
      <c r="B155" s="110" t="s">
        <v>121</v>
      </c>
      <c r="C155" s="111" t="s">
        <v>122</v>
      </c>
      <c r="D155" s="100"/>
      <c r="E155" s="186"/>
      <c r="F155" s="209">
        <v>0</v>
      </c>
      <c r="G155" s="209"/>
      <c r="H155" s="213"/>
      <c r="I155" s="213"/>
      <c r="J155" s="186"/>
    </row>
    <row r="156" spans="2:10" x14ac:dyDescent="0.25">
      <c r="B156" s="110"/>
      <c r="C156" s="111" t="s">
        <v>356</v>
      </c>
      <c r="D156" s="100"/>
      <c r="E156" s="186"/>
      <c r="F156" s="209">
        <v>0</v>
      </c>
      <c r="G156" s="209"/>
      <c r="H156" s="213"/>
      <c r="I156" s="213"/>
      <c r="J156" s="186"/>
    </row>
    <row r="157" spans="2:10" x14ac:dyDescent="0.25">
      <c r="B157" s="33">
        <v>1</v>
      </c>
      <c r="C157" s="33" t="s">
        <v>123</v>
      </c>
      <c r="D157" s="100" t="s">
        <v>124</v>
      </c>
      <c r="E157" s="185">
        <v>11</v>
      </c>
      <c r="F157" s="209">
        <v>0</v>
      </c>
      <c r="G157" s="209">
        <v>227652.5</v>
      </c>
      <c r="H157" s="209">
        <f t="shared" ref="H157:H172" si="27">F157*E157</f>
        <v>0</v>
      </c>
      <c r="I157" s="209">
        <f t="shared" ref="I157:I172" si="28">G157*E157</f>
        <v>2504177.5</v>
      </c>
      <c r="J157" s="185">
        <v>11</v>
      </c>
    </row>
    <row r="158" spans="2:10" x14ac:dyDescent="0.25">
      <c r="B158" s="33">
        <v>2</v>
      </c>
      <c r="C158" s="33" t="s">
        <v>125</v>
      </c>
      <c r="D158" s="100" t="s">
        <v>124</v>
      </c>
      <c r="E158" s="185">
        <v>9</v>
      </c>
      <c r="F158" s="209">
        <v>0</v>
      </c>
      <c r="G158" s="209">
        <v>198421.25</v>
      </c>
      <c r="H158" s="209">
        <f t="shared" si="27"/>
        <v>0</v>
      </c>
      <c r="I158" s="209">
        <f t="shared" si="28"/>
        <v>1785791.25</v>
      </c>
      <c r="J158" s="185">
        <v>9</v>
      </c>
    </row>
    <row r="159" spans="2:10" x14ac:dyDescent="0.25">
      <c r="B159" s="33">
        <v>3</v>
      </c>
      <c r="C159" s="33" t="s">
        <v>127</v>
      </c>
      <c r="D159" s="100" t="s">
        <v>124</v>
      </c>
      <c r="E159" s="185">
        <v>1</v>
      </c>
      <c r="F159" s="209">
        <v>0</v>
      </c>
      <c r="G159" s="209">
        <v>250000</v>
      </c>
      <c r="H159" s="209">
        <f t="shared" si="27"/>
        <v>0</v>
      </c>
      <c r="I159" s="209">
        <f t="shared" si="28"/>
        <v>250000</v>
      </c>
      <c r="J159" s="185">
        <v>1</v>
      </c>
    </row>
    <row r="160" spans="2:10" x14ac:dyDescent="0.25">
      <c r="B160" s="33">
        <v>4</v>
      </c>
      <c r="C160" s="33" t="s">
        <v>128</v>
      </c>
      <c r="D160" s="100" t="s">
        <v>124</v>
      </c>
      <c r="E160" s="185">
        <v>2</v>
      </c>
      <c r="F160" s="209">
        <v>0</v>
      </c>
      <c r="G160" s="209">
        <v>250000</v>
      </c>
      <c r="H160" s="209">
        <f t="shared" si="27"/>
        <v>0</v>
      </c>
      <c r="I160" s="209">
        <f t="shared" si="28"/>
        <v>500000</v>
      </c>
      <c r="J160" s="185">
        <v>2</v>
      </c>
    </row>
    <row r="161" spans="2:10" x14ac:dyDescent="0.25">
      <c r="B161" s="33">
        <v>5</v>
      </c>
      <c r="C161" s="33" t="s">
        <v>222</v>
      </c>
      <c r="D161" s="100" t="s">
        <v>124</v>
      </c>
      <c r="E161" s="185">
        <v>2</v>
      </c>
      <c r="F161" s="209">
        <v>0</v>
      </c>
      <c r="G161" s="209">
        <v>246921.25</v>
      </c>
      <c r="H161" s="209">
        <f t="shared" si="27"/>
        <v>0</v>
      </c>
      <c r="I161" s="209">
        <f t="shared" si="28"/>
        <v>493842.5</v>
      </c>
      <c r="J161" s="185">
        <v>2</v>
      </c>
    </row>
    <row r="162" spans="2:10" x14ac:dyDescent="0.25">
      <c r="B162" s="33">
        <v>6</v>
      </c>
      <c r="C162" s="33" t="s">
        <v>130</v>
      </c>
      <c r="D162" s="100" t="s">
        <v>124</v>
      </c>
      <c r="E162" s="185">
        <v>1</v>
      </c>
      <c r="F162" s="209">
        <v>0</v>
      </c>
      <c r="G162" s="209">
        <v>242536.069716</v>
      </c>
      <c r="H162" s="209">
        <f t="shared" si="27"/>
        <v>0</v>
      </c>
      <c r="I162" s="209">
        <f t="shared" si="28"/>
        <v>242536.069716</v>
      </c>
      <c r="J162" s="185">
        <v>1</v>
      </c>
    </row>
    <row r="163" spans="2:10" x14ac:dyDescent="0.25">
      <c r="B163" s="33">
        <v>7</v>
      </c>
      <c r="C163" s="33" t="s">
        <v>131</v>
      </c>
      <c r="D163" s="100" t="s">
        <v>124</v>
      </c>
      <c r="E163" s="185">
        <v>1</v>
      </c>
      <c r="F163" s="209">
        <v>0</v>
      </c>
      <c r="G163" s="209">
        <v>725000</v>
      </c>
      <c r="H163" s="209">
        <f t="shared" si="27"/>
        <v>0</v>
      </c>
      <c r="I163" s="209">
        <f t="shared" si="28"/>
        <v>725000</v>
      </c>
      <c r="J163" s="185">
        <v>1</v>
      </c>
    </row>
    <row r="164" spans="2:10" x14ac:dyDescent="0.25">
      <c r="B164" s="33">
        <v>8</v>
      </c>
      <c r="C164" s="33" t="s">
        <v>132</v>
      </c>
      <c r="D164" s="100" t="s">
        <v>77</v>
      </c>
      <c r="E164" s="185">
        <v>2</v>
      </c>
      <c r="F164" s="209">
        <v>0</v>
      </c>
      <c r="G164" s="209">
        <v>22654.068380000001</v>
      </c>
      <c r="H164" s="209">
        <f t="shared" si="27"/>
        <v>0</v>
      </c>
      <c r="I164" s="209">
        <f t="shared" si="28"/>
        <v>45308.136760000001</v>
      </c>
      <c r="J164" s="185">
        <v>2</v>
      </c>
    </row>
    <row r="165" spans="2:10" x14ac:dyDescent="0.25">
      <c r="B165" s="33">
        <v>9</v>
      </c>
      <c r="C165" s="33" t="s">
        <v>133</v>
      </c>
      <c r="D165" s="100" t="s">
        <v>77</v>
      </c>
      <c r="E165" s="185">
        <v>4</v>
      </c>
      <c r="F165" s="209">
        <v>0</v>
      </c>
      <c r="G165" s="209">
        <v>32528.711060000001</v>
      </c>
      <c r="H165" s="209">
        <f t="shared" si="27"/>
        <v>0</v>
      </c>
      <c r="I165" s="209">
        <f t="shared" si="28"/>
        <v>130114.84424000001</v>
      </c>
      <c r="J165" s="185">
        <v>4</v>
      </c>
    </row>
    <row r="166" spans="2:10" x14ac:dyDescent="0.25">
      <c r="B166" s="33">
        <v>10</v>
      </c>
      <c r="C166" s="33" t="s">
        <v>134</v>
      </c>
      <c r="D166" s="100" t="s">
        <v>77</v>
      </c>
      <c r="E166" s="185">
        <f>E158</f>
        <v>9</v>
      </c>
      <c r="F166" s="209">
        <v>0</v>
      </c>
      <c r="G166" s="209">
        <v>44714.289499999999</v>
      </c>
      <c r="H166" s="209">
        <f t="shared" si="27"/>
        <v>0</v>
      </c>
      <c r="I166" s="209">
        <f t="shared" si="28"/>
        <v>402428.60550000001</v>
      </c>
      <c r="J166" s="185">
        <f>J158</f>
        <v>9</v>
      </c>
    </row>
    <row r="167" spans="2:10" x14ac:dyDescent="0.25">
      <c r="B167" s="33">
        <v>11</v>
      </c>
      <c r="C167" s="33" t="s">
        <v>223</v>
      </c>
      <c r="D167" s="100" t="s">
        <v>77</v>
      </c>
      <c r="E167" s="185">
        <v>2</v>
      </c>
      <c r="F167" s="209">
        <v>0</v>
      </c>
      <c r="G167" s="209">
        <v>44714.289499999999</v>
      </c>
      <c r="H167" s="209">
        <f t="shared" si="27"/>
        <v>0</v>
      </c>
      <c r="I167" s="209">
        <f t="shared" si="28"/>
        <v>89428.578999999998</v>
      </c>
      <c r="J167" s="185">
        <v>2</v>
      </c>
    </row>
    <row r="168" spans="2:10" x14ac:dyDescent="0.25">
      <c r="B168" s="33">
        <v>12</v>
      </c>
      <c r="C168" s="33" t="s">
        <v>224</v>
      </c>
      <c r="D168" s="100" t="s">
        <v>77</v>
      </c>
      <c r="E168" s="185">
        <v>1</v>
      </c>
      <c r="F168" s="209">
        <v>0</v>
      </c>
      <c r="G168" s="209">
        <v>44714.289499999999</v>
      </c>
      <c r="H168" s="209">
        <f t="shared" si="27"/>
        <v>0</v>
      </c>
      <c r="I168" s="209">
        <f t="shared" si="28"/>
        <v>44714.289499999999</v>
      </c>
      <c r="J168" s="185">
        <v>1</v>
      </c>
    </row>
    <row r="169" spans="2:10" x14ac:dyDescent="0.25">
      <c r="B169" s="33">
        <v>13</v>
      </c>
      <c r="C169" s="33" t="s">
        <v>126</v>
      </c>
      <c r="D169" s="100" t="s">
        <v>77</v>
      </c>
      <c r="E169" s="185">
        <v>1</v>
      </c>
      <c r="F169" s="209">
        <v>0</v>
      </c>
      <c r="G169" s="209">
        <v>275000</v>
      </c>
      <c r="H169" s="209">
        <f t="shared" si="27"/>
        <v>0</v>
      </c>
      <c r="I169" s="209">
        <f t="shared" si="28"/>
        <v>275000</v>
      </c>
      <c r="J169" s="185">
        <v>1</v>
      </c>
    </row>
    <row r="170" spans="2:10" x14ac:dyDescent="0.25">
      <c r="B170" s="33">
        <v>14</v>
      </c>
      <c r="C170" s="33" t="s">
        <v>135</v>
      </c>
      <c r="D170" s="100" t="s">
        <v>136</v>
      </c>
      <c r="E170" s="185">
        <v>1</v>
      </c>
      <c r="F170" s="209">
        <v>0</v>
      </c>
      <c r="G170" s="209">
        <v>750000</v>
      </c>
      <c r="H170" s="209">
        <f t="shared" si="27"/>
        <v>0</v>
      </c>
      <c r="I170" s="209">
        <f t="shared" si="28"/>
        <v>750000</v>
      </c>
      <c r="J170" s="185">
        <v>1</v>
      </c>
    </row>
    <row r="171" spans="2:10" x14ac:dyDescent="0.25">
      <c r="B171" s="33">
        <v>15</v>
      </c>
      <c r="C171" s="33" t="s">
        <v>137</v>
      </c>
      <c r="D171" s="100" t="s">
        <v>138</v>
      </c>
      <c r="E171" s="185">
        <v>1</v>
      </c>
      <c r="F171" s="209">
        <v>0</v>
      </c>
      <c r="G171" s="209">
        <v>350000</v>
      </c>
      <c r="H171" s="209">
        <f t="shared" si="27"/>
        <v>0</v>
      </c>
      <c r="I171" s="209">
        <f t="shared" si="28"/>
        <v>350000</v>
      </c>
      <c r="J171" s="185">
        <v>1</v>
      </c>
    </row>
    <row r="172" spans="2:10" x14ac:dyDescent="0.25">
      <c r="B172" s="33">
        <v>16</v>
      </c>
      <c r="C172" s="33" t="s">
        <v>139</v>
      </c>
      <c r="D172" s="100" t="s">
        <v>140</v>
      </c>
      <c r="E172" s="185">
        <v>1</v>
      </c>
      <c r="F172" s="209">
        <v>0</v>
      </c>
      <c r="G172" s="209">
        <v>1250000</v>
      </c>
      <c r="H172" s="209">
        <f t="shared" si="27"/>
        <v>0</v>
      </c>
      <c r="I172" s="209">
        <f t="shared" si="28"/>
        <v>1250000</v>
      </c>
      <c r="J172" s="185">
        <v>1</v>
      </c>
    </row>
    <row r="173" spans="2:10" x14ac:dyDescent="0.25">
      <c r="B173" s="99"/>
      <c r="C173" s="126" t="s">
        <v>152</v>
      </c>
      <c r="D173" s="100"/>
      <c r="E173" s="186"/>
      <c r="F173" s="209">
        <v>0</v>
      </c>
      <c r="G173" s="209"/>
      <c r="H173" s="216">
        <f>SUM(H157:H172)</f>
        <v>0</v>
      </c>
      <c r="I173" s="216">
        <f t="shared" ref="I173" si="29">SUM(I157:I172)</f>
        <v>9838341.7747159991</v>
      </c>
      <c r="J173" s="186"/>
    </row>
    <row r="174" spans="2:10" x14ac:dyDescent="0.25">
      <c r="B174" s="99"/>
      <c r="C174" s="126"/>
      <c r="D174" s="100"/>
      <c r="E174" s="186"/>
      <c r="F174" s="209">
        <v>0</v>
      </c>
      <c r="G174" s="209"/>
      <c r="H174" s="217"/>
      <c r="I174" s="217"/>
      <c r="J174" s="186"/>
    </row>
    <row r="175" spans="2:10" x14ac:dyDescent="0.25">
      <c r="B175" s="110" t="s">
        <v>141</v>
      </c>
      <c r="C175" s="111" t="s">
        <v>142</v>
      </c>
      <c r="D175" s="100"/>
      <c r="E175" s="186"/>
      <c r="F175" s="209">
        <v>0</v>
      </c>
      <c r="G175" s="209"/>
      <c r="H175" s="213"/>
      <c r="I175" s="213"/>
      <c r="J175" s="186"/>
    </row>
    <row r="176" spans="2:10" x14ac:dyDescent="0.25">
      <c r="B176" s="49">
        <v>1</v>
      </c>
      <c r="C176" s="44" t="s">
        <v>225</v>
      </c>
      <c r="D176" s="49" t="s">
        <v>140</v>
      </c>
      <c r="E176" s="187">
        <v>1</v>
      </c>
      <c r="F176" s="209">
        <v>0</v>
      </c>
      <c r="G176" s="209">
        <v>2250000</v>
      </c>
      <c r="H176" s="209">
        <f>F176*E176</f>
        <v>0</v>
      </c>
      <c r="I176" s="209">
        <f>G176*E176</f>
        <v>2250000</v>
      </c>
      <c r="J176" s="187">
        <v>1</v>
      </c>
    </row>
    <row r="177" spans="2:10" x14ac:dyDescent="0.25">
      <c r="B177" s="49">
        <v>2</v>
      </c>
      <c r="C177" s="44" t="s">
        <v>226</v>
      </c>
      <c r="D177" s="49" t="s">
        <v>140</v>
      </c>
      <c r="E177" s="187">
        <v>0</v>
      </c>
      <c r="F177" s="209">
        <v>0</v>
      </c>
      <c r="G177" s="218">
        <v>0</v>
      </c>
      <c r="H177" s="209">
        <f>F177*E177</f>
        <v>0</v>
      </c>
      <c r="I177" s="209">
        <f>G177*E177</f>
        <v>0</v>
      </c>
      <c r="J177" s="187">
        <v>0</v>
      </c>
    </row>
    <row r="178" spans="2:10" x14ac:dyDescent="0.25">
      <c r="B178" s="49">
        <v>3</v>
      </c>
      <c r="C178" s="44" t="s">
        <v>357</v>
      </c>
      <c r="D178" s="100" t="s">
        <v>158</v>
      </c>
      <c r="E178" s="187"/>
      <c r="F178" s="209">
        <v>0</v>
      </c>
      <c r="G178" s="218"/>
      <c r="H178" s="209"/>
      <c r="I178" s="209"/>
      <c r="J178" s="187"/>
    </row>
    <row r="179" spans="2:10" x14ac:dyDescent="0.25">
      <c r="B179" s="49"/>
      <c r="C179" s="134" t="s">
        <v>227</v>
      </c>
      <c r="D179" s="100" t="s">
        <v>13</v>
      </c>
      <c r="E179" s="187">
        <f>4</f>
        <v>4</v>
      </c>
      <c r="F179" s="209">
        <v>0</v>
      </c>
      <c r="G179" s="218">
        <v>1400000</v>
      </c>
      <c r="H179" s="209">
        <f>F179*E179</f>
        <v>0</v>
      </c>
      <c r="I179" s="209">
        <f>G179*E179</f>
        <v>5600000</v>
      </c>
      <c r="J179" s="187">
        <f>4</f>
        <v>4</v>
      </c>
    </row>
    <row r="180" spans="2:10" x14ac:dyDescent="0.25">
      <c r="B180" s="49">
        <v>4</v>
      </c>
      <c r="C180" s="44" t="s">
        <v>228</v>
      </c>
      <c r="D180" s="100" t="s">
        <v>158</v>
      </c>
      <c r="E180" s="187"/>
      <c r="F180" s="209">
        <v>0</v>
      </c>
      <c r="G180" s="218"/>
      <c r="H180" s="209"/>
      <c r="I180" s="209"/>
      <c r="J180" s="187"/>
    </row>
    <row r="181" spans="2:10" x14ac:dyDescent="0.25">
      <c r="B181" s="49"/>
      <c r="C181" s="134" t="s">
        <v>229</v>
      </c>
      <c r="D181" s="100" t="s">
        <v>140</v>
      </c>
      <c r="E181" s="187">
        <v>1</v>
      </c>
      <c r="F181" s="209">
        <v>0</v>
      </c>
      <c r="G181" s="218">
        <v>750000</v>
      </c>
      <c r="H181" s="209">
        <f>F181*E181</f>
        <v>0</v>
      </c>
      <c r="I181" s="209">
        <f>G181*E181</f>
        <v>750000</v>
      </c>
      <c r="J181" s="187">
        <v>1</v>
      </c>
    </row>
    <row r="182" spans="2:10" x14ac:dyDescent="0.25">
      <c r="B182" s="49"/>
      <c r="C182" s="126" t="s">
        <v>152</v>
      </c>
      <c r="D182" s="49"/>
      <c r="E182" s="187"/>
      <c r="F182" s="209">
        <v>0</v>
      </c>
      <c r="G182" s="222"/>
      <c r="H182" s="216">
        <f t="shared" ref="H182:I182" si="30">SUM(H176:H181)</f>
        <v>0</v>
      </c>
      <c r="I182" s="216">
        <f t="shared" si="30"/>
        <v>8600000</v>
      </c>
      <c r="J182" s="187"/>
    </row>
    <row r="183" spans="2:10" x14ac:dyDescent="0.25">
      <c r="B183" s="138"/>
      <c r="C183" s="139"/>
      <c r="D183" s="49"/>
      <c r="E183" s="187"/>
      <c r="F183" s="209">
        <v>0</v>
      </c>
      <c r="G183" s="222"/>
      <c r="H183" s="217"/>
      <c r="I183" s="217"/>
      <c r="J183" s="187"/>
    </row>
    <row r="184" spans="2:10" x14ac:dyDescent="0.25">
      <c r="B184" s="126" t="s">
        <v>141</v>
      </c>
      <c r="C184" s="141" t="s">
        <v>144</v>
      </c>
      <c r="D184" s="49"/>
      <c r="E184" s="188"/>
      <c r="F184" s="209">
        <v>0</v>
      </c>
      <c r="G184" s="222"/>
      <c r="H184" s="213"/>
      <c r="I184" s="213"/>
      <c r="J184" s="188"/>
    </row>
    <row r="185" spans="2:10" x14ac:dyDescent="0.25">
      <c r="B185" s="49">
        <v>1</v>
      </c>
      <c r="C185" s="44" t="s">
        <v>230</v>
      </c>
      <c r="D185" s="100"/>
      <c r="E185" s="187"/>
      <c r="F185" s="209">
        <v>0</v>
      </c>
      <c r="G185" s="218"/>
      <c r="H185" s="213"/>
      <c r="I185" s="213"/>
      <c r="J185" s="187"/>
    </row>
    <row r="186" spans="2:10" x14ac:dyDescent="0.25">
      <c r="B186" s="49"/>
      <c r="C186" s="45" t="s">
        <v>358</v>
      </c>
      <c r="D186" s="100" t="s">
        <v>19</v>
      </c>
      <c r="E186" s="187">
        <f>5*2.5-(2.1*2.5)+0.2*2.5*4</f>
        <v>9.25</v>
      </c>
      <c r="F186" s="209">
        <v>0</v>
      </c>
      <c r="G186" s="218">
        <v>355000</v>
      </c>
      <c r="H186" s="209">
        <f>F186*E186</f>
        <v>0</v>
      </c>
      <c r="I186" s="209">
        <f>G186*E186</f>
        <v>3283750</v>
      </c>
      <c r="J186" s="187">
        <f>5*2.5-(2.1*2.5)+0.2*2.5*4</f>
        <v>9.25</v>
      </c>
    </row>
    <row r="187" spans="2:10" x14ac:dyDescent="0.25">
      <c r="B187" s="49">
        <v>2</v>
      </c>
      <c r="C187" s="44" t="s">
        <v>359</v>
      </c>
      <c r="D187" s="100"/>
      <c r="E187" s="187"/>
      <c r="F187" s="209">
        <v>0</v>
      </c>
      <c r="G187" s="218"/>
      <c r="H187" s="209"/>
      <c r="I187" s="209"/>
      <c r="J187" s="187"/>
    </row>
    <row r="188" spans="2:10" x14ac:dyDescent="0.25">
      <c r="B188" s="49"/>
      <c r="C188" s="45" t="s">
        <v>358</v>
      </c>
      <c r="D188" s="143"/>
      <c r="E188" s="187">
        <f>5*3.25-(0.4*5+2.25*1.6+2*2.5)</f>
        <v>5.65</v>
      </c>
      <c r="F188" s="209">
        <v>0</v>
      </c>
      <c r="G188" s="218">
        <v>165000</v>
      </c>
      <c r="H188" s="209">
        <f>F188*E188</f>
        <v>0</v>
      </c>
      <c r="I188" s="209">
        <f>G188*E188</f>
        <v>932250.00000000012</v>
      </c>
      <c r="J188" s="187">
        <f>5*3.25-(0.4*5+2.25*1.6+2*2.5)</f>
        <v>5.65</v>
      </c>
    </row>
    <row r="189" spans="2:10" x14ac:dyDescent="0.25">
      <c r="B189" s="49">
        <v>3</v>
      </c>
      <c r="C189" s="44" t="s">
        <v>231</v>
      </c>
      <c r="D189" s="100" t="s">
        <v>19</v>
      </c>
      <c r="E189" s="187">
        <f>3+1+5+1-1</f>
        <v>9</v>
      </c>
      <c r="F189" s="209">
        <v>0</v>
      </c>
      <c r="G189" s="218">
        <v>72500</v>
      </c>
      <c r="H189" s="209">
        <f>F189*E189</f>
        <v>0</v>
      </c>
      <c r="I189" s="209">
        <f>G189*E189</f>
        <v>652500</v>
      </c>
      <c r="J189" s="187">
        <f>3+1+5+1-1</f>
        <v>9</v>
      </c>
    </row>
    <row r="190" spans="2:10" x14ac:dyDescent="0.25">
      <c r="B190" s="49">
        <v>4</v>
      </c>
      <c r="C190" s="33" t="s">
        <v>232</v>
      </c>
      <c r="D190" s="100" t="s">
        <v>19</v>
      </c>
      <c r="E190" s="185">
        <f>1.4*2+2*1.6</f>
        <v>6</v>
      </c>
      <c r="F190" s="209">
        <v>0</v>
      </c>
      <c r="G190" s="209">
        <v>72500</v>
      </c>
      <c r="H190" s="209">
        <f>F190*E190</f>
        <v>0</v>
      </c>
      <c r="I190" s="209">
        <f>G190*E190</f>
        <v>435000</v>
      </c>
      <c r="J190" s="185">
        <f>1.4*2+2*1.6</f>
        <v>6</v>
      </c>
    </row>
    <row r="191" spans="2:10" x14ac:dyDescent="0.25">
      <c r="B191" s="49">
        <v>5</v>
      </c>
      <c r="C191" s="33" t="s">
        <v>316</v>
      </c>
      <c r="D191" s="100" t="s">
        <v>146</v>
      </c>
      <c r="E191" s="119">
        <v>8.4</v>
      </c>
      <c r="F191" s="209">
        <v>0</v>
      </c>
      <c r="G191" s="209"/>
      <c r="H191" s="209"/>
      <c r="I191" s="209"/>
      <c r="J191" s="119">
        <v>8.4</v>
      </c>
    </row>
    <row r="192" spans="2:10" x14ac:dyDescent="0.25">
      <c r="B192" s="49">
        <v>6</v>
      </c>
      <c r="C192" s="33" t="s">
        <v>317</v>
      </c>
      <c r="D192" s="100" t="s">
        <v>168</v>
      </c>
      <c r="E192" s="119">
        <v>81.849999999999994</v>
      </c>
      <c r="F192" s="209">
        <v>0</v>
      </c>
      <c r="G192" s="209"/>
      <c r="H192" s="209"/>
      <c r="I192" s="209"/>
      <c r="J192" s="119">
        <v>81.849999999999994</v>
      </c>
    </row>
    <row r="193" spans="2:10" x14ac:dyDescent="0.25">
      <c r="B193" s="49">
        <v>7</v>
      </c>
      <c r="C193" s="44" t="s">
        <v>149</v>
      </c>
      <c r="D193" s="49" t="s">
        <v>140</v>
      </c>
      <c r="E193" s="187">
        <v>0</v>
      </c>
      <c r="F193" s="209">
        <v>0</v>
      </c>
      <c r="G193" s="218">
        <v>0</v>
      </c>
      <c r="H193" s="209">
        <f>F193*E193</f>
        <v>0</v>
      </c>
      <c r="I193" s="209">
        <f>G193*E193</f>
        <v>0</v>
      </c>
      <c r="J193" s="187">
        <v>0</v>
      </c>
    </row>
    <row r="194" spans="2:10" x14ac:dyDescent="0.25">
      <c r="B194" s="48"/>
      <c r="C194" s="126" t="s">
        <v>152</v>
      </c>
      <c r="D194" s="49"/>
      <c r="E194" s="187"/>
      <c r="F194" s="209">
        <v>0</v>
      </c>
      <c r="G194" s="218"/>
      <c r="H194" s="216">
        <f t="shared" ref="H194:I194" si="31">SUM(H185:H193)</f>
        <v>0</v>
      </c>
      <c r="I194" s="216">
        <f t="shared" si="31"/>
        <v>5303500</v>
      </c>
      <c r="J194" s="187"/>
    </row>
    <row r="195" spans="2:10" x14ac:dyDescent="0.25">
      <c r="B195" s="138"/>
      <c r="C195" s="139"/>
      <c r="D195" s="138"/>
      <c r="E195" s="189"/>
      <c r="F195" s="209">
        <v>0</v>
      </c>
      <c r="G195" s="218"/>
      <c r="H195" s="213"/>
      <c r="I195" s="213"/>
      <c r="J195" s="189"/>
    </row>
    <row r="196" spans="2:10" x14ac:dyDescent="0.25">
      <c r="B196" s="126" t="s">
        <v>141</v>
      </c>
      <c r="C196" s="141" t="s">
        <v>153</v>
      </c>
      <c r="D196" s="49"/>
      <c r="E196" s="187"/>
      <c r="F196" s="209">
        <v>0</v>
      </c>
      <c r="G196" s="219"/>
      <c r="H196" s="213"/>
      <c r="I196" s="213"/>
      <c r="J196" s="187"/>
    </row>
    <row r="197" spans="2:10" x14ac:dyDescent="0.25">
      <c r="B197" s="49">
        <v>1</v>
      </c>
      <c r="C197" s="44" t="s">
        <v>233</v>
      </c>
      <c r="D197" s="49" t="s">
        <v>146</v>
      </c>
      <c r="E197" s="187"/>
      <c r="F197" s="209">
        <v>0</v>
      </c>
      <c r="G197" s="219">
        <v>97000.64122787732</v>
      </c>
      <c r="H197" s="209">
        <f>F197*E197</f>
        <v>0</v>
      </c>
      <c r="I197" s="209">
        <f>G197*E197</f>
        <v>0</v>
      </c>
      <c r="J197" s="187">
        <f>24*0</f>
        <v>0</v>
      </c>
    </row>
    <row r="198" spans="2:10" x14ac:dyDescent="0.25">
      <c r="B198" s="49">
        <v>2</v>
      </c>
      <c r="C198" s="44" t="s">
        <v>234</v>
      </c>
      <c r="D198" s="49" t="s">
        <v>146</v>
      </c>
      <c r="E198" s="187">
        <f>22*0</f>
        <v>0</v>
      </c>
      <c r="F198" s="209">
        <v>0</v>
      </c>
      <c r="G198" s="219">
        <v>97000.64122787732</v>
      </c>
      <c r="H198" s="209">
        <f>F198*E198</f>
        <v>0</v>
      </c>
      <c r="I198" s="209">
        <f>G198*E198</f>
        <v>0</v>
      </c>
      <c r="J198" s="187">
        <f>22*0</f>
        <v>0</v>
      </c>
    </row>
    <row r="199" spans="2:10" x14ac:dyDescent="0.25">
      <c r="B199" s="49">
        <v>3</v>
      </c>
      <c r="C199" s="44" t="s">
        <v>235</v>
      </c>
      <c r="D199" s="49" t="s">
        <v>146</v>
      </c>
      <c r="E199" s="187">
        <f>19*0</f>
        <v>0</v>
      </c>
      <c r="F199" s="209">
        <v>0</v>
      </c>
      <c r="G199" s="219">
        <v>97000.64122787732</v>
      </c>
      <c r="H199" s="209">
        <f>F199*E199</f>
        <v>0</v>
      </c>
      <c r="I199" s="209">
        <f>G199*E199</f>
        <v>0</v>
      </c>
      <c r="J199" s="187">
        <f>19*0</f>
        <v>0</v>
      </c>
    </row>
    <row r="200" spans="2:10" x14ac:dyDescent="0.25">
      <c r="B200" s="49"/>
      <c r="C200" s="126" t="s">
        <v>152</v>
      </c>
      <c r="D200" s="48"/>
      <c r="E200" s="188"/>
      <c r="F200" s="222"/>
      <c r="G200" s="222"/>
      <c r="H200" s="216">
        <f t="shared" ref="H200:I200" si="32">SUM(H197:H199)</f>
        <v>0</v>
      </c>
      <c r="I200" s="216">
        <f t="shared" si="32"/>
        <v>0</v>
      </c>
      <c r="J200" s="188"/>
    </row>
    <row r="201" spans="2:10" x14ac:dyDescent="0.25">
      <c r="B201" s="146"/>
      <c r="C201" s="147"/>
      <c r="D201" s="148"/>
      <c r="E201" s="149"/>
      <c r="F201" s="223"/>
      <c r="G201" s="223"/>
      <c r="H201" s="223"/>
      <c r="I201" s="223"/>
    </row>
    <row r="202" spans="2:10" x14ac:dyDescent="0.25">
      <c r="B202" s="84"/>
      <c r="C202" s="147"/>
      <c r="D202" s="147"/>
      <c r="E202" s="149"/>
      <c r="F202" s="223"/>
      <c r="G202" s="223"/>
      <c r="H202" s="223"/>
      <c r="I202" s="223"/>
    </row>
    <row r="203" spans="2:10" x14ac:dyDescent="0.25">
      <c r="B203" s="83" t="s">
        <v>157</v>
      </c>
      <c r="C203" s="84"/>
      <c r="D203" s="84"/>
      <c r="E203" s="190"/>
      <c r="F203" s="150"/>
      <c r="G203" s="150"/>
      <c r="H203" s="150"/>
      <c r="I203" s="150"/>
    </row>
    <row r="204" spans="2:10" x14ac:dyDescent="0.25">
      <c r="B204" s="151"/>
      <c r="C204" s="152"/>
      <c r="D204" s="152"/>
      <c r="E204" s="191"/>
      <c r="F204" s="224"/>
      <c r="G204" s="224"/>
      <c r="H204" s="155"/>
      <c r="I204" s="155"/>
    </row>
    <row r="205" spans="2:10" x14ac:dyDescent="0.25">
      <c r="B205" s="156" t="s">
        <v>10</v>
      </c>
      <c r="C205" s="96" t="s">
        <v>11</v>
      </c>
      <c r="D205" s="157"/>
      <c r="E205" s="192"/>
      <c r="F205" s="222"/>
      <c r="G205" s="222"/>
      <c r="H205" s="217">
        <f t="shared" ref="H205:I205" si="33">H15</f>
        <v>0</v>
      </c>
      <c r="I205" s="217">
        <f t="shared" si="33"/>
        <v>2690802.75</v>
      </c>
    </row>
    <row r="206" spans="2:10" x14ac:dyDescent="0.25">
      <c r="B206" s="110" t="s">
        <v>21</v>
      </c>
      <c r="C206" s="111" t="s">
        <v>22</v>
      </c>
      <c r="D206" s="157"/>
      <c r="E206" s="192"/>
      <c r="F206" s="222"/>
      <c r="G206" s="222"/>
      <c r="H206" s="225">
        <f t="shared" ref="H206:I206" si="34">H22</f>
        <v>0</v>
      </c>
      <c r="I206" s="225">
        <f t="shared" si="34"/>
        <v>2784712.8738095239</v>
      </c>
    </row>
    <row r="207" spans="2:10" x14ac:dyDescent="0.25">
      <c r="B207" s="110" t="s">
        <v>28</v>
      </c>
      <c r="C207" s="111" t="s">
        <v>29</v>
      </c>
      <c r="D207" s="157"/>
      <c r="E207" s="192"/>
      <c r="F207" s="222"/>
      <c r="G207" s="222"/>
      <c r="H207" s="217">
        <f t="shared" ref="H207:I207" si="35">H27</f>
        <v>0</v>
      </c>
      <c r="I207" s="217">
        <f t="shared" si="35"/>
        <v>5446431.7812869856</v>
      </c>
    </row>
    <row r="208" spans="2:10" x14ac:dyDescent="0.25">
      <c r="B208" s="110" t="s">
        <v>33</v>
      </c>
      <c r="C208" s="111" t="s">
        <v>34</v>
      </c>
      <c r="D208" s="157"/>
      <c r="E208" s="192"/>
      <c r="F208" s="222"/>
      <c r="G208" s="222"/>
      <c r="H208" s="216">
        <f t="shared" ref="H208:I208" si="36">H43</f>
        <v>0</v>
      </c>
      <c r="I208" s="217">
        <f t="shared" si="36"/>
        <v>54351140.828232683</v>
      </c>
    </row>
    <row r="209" spans="2:9" x14ac:dyDescent="0.25">
      <c r="B209" s="110" t="s">
        <v>44</v>
      </c>
      <c r="C209" s="111" t="s">
        <v>45</v>
      </c>
      <c r="D209" s="157"/>
      <c r="E209" s="192"/>
      <c r="F209" s="222"/>
      <c r="G209" s="222"/>
      <c r="H209" s="217">
        <f t="shared" ref="H209:I209" si="37">H56</f>
        <v>0</v>
      </c>
      <c r="I209" s="217">
        <f t="shared" si="37"/>
        <v>15659923.232323233</v>
      </c>
    </row>
    <row r="210" spans="2:9" x14ac:dyDescent="0.25">
      <c r="B210" s="110" t="s">
        <v>50</v>
      </c>
      <c r="C210" s="111" t="s">
        <v>51</v>
      </c>
      <c r="D210" s="157"/>
      <c r="E210" s="192"/>
      <c r="F210" s="222"/>
      <c r="G210" s="222"/>
      <c r="H210" s="225">
        <f t="shared" ref="H210:I210" si="38">H64</f>
        <v>0</v>
      </c>
      <c r="I210" s="225">
        <f t="shared" si="38"/>
        <v>5063026</v>
      </c>
    </row>
    <row r="211" spans="2:9" x14ac:dyDescent="0.25">
      <c r="B211" s="110" t="s">
        <v>53</v>
      </c>
      <c r="C211" s="111" t="s">
        <v>54</v>
      </c>
      <c r="D211" s="157"/>
      <c r="E211" s="192"/>
      <c r="F211" s="222"/>
      <c r="G211" s="222"/>
      <c r="H211" s="225">
        <f t="shared" ref="H211:I211" si="39">H72</f>
        <v>0</v>
      </c>
      <c r="I211" s="225">
        <f t="shared" si="39"/>
        <v>6446000</v>
      </c>
    </row>
    <row r="212" spans="2:9" x14ac:dyDescent="0.25">
      <c r="B212" s="110" t="s">
        <v>59</v>
      </c>
      <c r="C212" s="111" t="s">
        <v>60</v>
      </c>
      <c r="D212" s="157"/>
      <c r="E212" s="192"/>
      <c r="F212" s="222"/>
      <c r="G212" s="222"/>
      <c r="H212" s="225">
        <f t="shared" ref="H212:I212" si="40">H78</f>
        <v>0</v>
      </c>
      <c r="I212" s="225">
        <f t="shared" si="40"/>
        <v>47964770.143071331</v>
      </c>
    </row>
    <row r="213" spans="2:9" x14ac:dyDescent="0.25">
      <c r="B213" s="110" t="s">
        <v>64</v>
      </c>
      <c r="C213" s="111" t="s">
        <v>65</v>
      </c>
      <c r="D213" s="157"/>
      <c r="E213" s="192"/>
      <c r="F213" s="222"/>
      <c r="G213" s="222"/>
      <c r="H213" s="225">
        <f t="shared" ref="H213:I213" si="41">H88</f>
        <v>0</v>
      </c>
      <c r="I213" s="225">
        <f t="shared" si="41"/>
        <v>12857548.153906589</v>
      </c>
    </row>
    <row r="214" spans="2:9" x14ac:dyDescent="0.25">
      <c r="B214" s="110" t="s">
        <v>72</v>
      </c>
      <c r="C214" s="111" t="s">
        <v>73</v>
      </c>
      <c r="D214" s="157"/>
      <c r="E214" s="192"/>
      <c r="F214" s="222"/>
      <c r="G214" s="222"/>
      <c r="H214" s="225">
        <f t="shared" ref="H214:I214" si="42">H115</f>
        <v>0</v>
      </c>
      <c r="I214" s="225">
        <f t="shared" si="42"/>
        <v>19593160</v>
      </c>
    </row>
    <row r="215" spans="2:9" x14ac:dyDescent="0.25">
      <c r="B215" s="110" t="s">
        <v>92</v>
      </c>
      <c r="C215" s="111" t="s">
        <v>93</v>
      </c>
      <c r="D215" s="157"/>
      <c r="E215" s="192"/>
      <c r="F215" s="222"/>
      <c r="G215" s="222"/>
      <c r="H215" s="225">
        <f t="shared" ref="H215:I215" si="43">H123</f>
        <v>0</v>
      </c>
      <c r="I215" s="225">
        <f t="shared" si="43"/>
        <v>4833187.5</v>
      </c>
    </row>
    <row r="216" spans="2:9" x14ac:dyDescent="0.25">
      <c r="B216" s="110" t="s">
        <v>99</v>
      </c>
      <c r="C216" s="111" t="s">
        <v>100</v>
      </c>
      <c r="D216" s="157"/>
      <c r="E216" s="192"/>
      <c r="F216" s="222"/>
      <c r="G216" s="222"/>
      <c r="H216" s="225">
        <f t="shared" ref="H216:I216" si="44">H153</f>
        <v>0</v>
      </c>
      <c r="I216" s="225">
        <f t="shared" si="44"/>
        <v>13940879.342962712</v>
      </c>
    </row>
    <row r="217" spans="2:9" x14ac:dyDescent="0.25">
      <c r="B217" s="110" t="s">
        <v>121</v>
      </c>
      <c r="C217" s="111" t="s">
        <v>122</v>
      </c>
      <c r="D217" s="157"/>
      <c r="E217" s="192"/>
      <c r="F217" s="222"/>
      <c r="G217" s="222"/>
      <c r="H217" s="225">
        <f t="shared" ref="H217:I217" si="45">H173</f>
        <v>0</v>
      </c>
      <c r="I217" s="225">
        <f t="shared" si="45"/>
        <v>9838341.7747159991</v>
      </c>
    </row>
    <row r="218" spans="2:9" x14ac:dyDescent="0.25">
      <c r="B218" s="110" t="s">
        <v>141</v>
      </c>
      <c r="C218" s="111" t="str">
        <f>C175</f>
        <v>PEK. LAIN - LAIN</v>
      </c>
      <c r="D218" s="157"/>
      <c r="E218" s="192"/>
      <c r="F218" s="222"/>
      <c r="G218" s="222"/>
      <c r="H218" s="225">
        <f t="shared" ref="H218:I218" si="46">H182</f>
        <v>0</v>
      </c>
      <c r="I218" s="225">
        <f t="shared" si="46"/>
        <v>8600000</v>
      </c>
    </row>
    <row r="219" spans="2:9" x14ac:dyDescent="0.25">
      <c r="B219" s="110" t="s">
        <v>159</v>
      </c>
      <c r="C219" s="111" t="str">
        <f>C184</f>
        <v>PEK. PERUBAHAN BENTUK TAMPAK MUKA</v>
      </c>
      <c r="D219" s="157"/>
      <c r="E219" s="192"/>
      <c r="F219" s="222"/>
      <c r="G219" s="222"/>
      <c r="H219" s="225">
        <f t="shared" ref="H219:I219" si="47">H194</f>
        <v>0</v>
      </c>
      <c r="I219" s="225">
        <f t="shared" si="47"/>
        <v>5303500</v>
      </c>
    </row>
    <row r="220" spans="2:9" x14ac:dyDescent="0.25">
      <c r="B220" s="110" t="s">
        <v>160</v>
      </c>
      <c r="C220" s="111" t="str">
        <f>C196</f>
        <v>PEKERJAAN PLESTER DINDING SAMPING</v>
      </c>
      <c r="D220" s="157"/>
      <c r="E220" s="133"/>
      <c r="F220" s="222"/>
      <c r="G220" s="222"/>
      <c r="H220" s="225">
        <f t="shared" ref="H220:I220" si="48">H200</f>
        <v>0</v>
      </c>
      <c r="I220" s="225">
        <f t="shared" si="48"/>
        <v>0</v>
      </c>
    </row>
    <row r="221" spans="2:9" x14ac:dyDescent="0.25">
      <c r="B221" s="159"/>
      <c r="C221" s="160"/>
      <c r="D221" s="161"/>
      <c r="E221" s="56"/>
      <c r="F221" s="162"/>
      <c r="G221" s="162"/>
      <c r="H221" s="162"/>
      <c r="I221" s="162"/>
    </row>
    <row r="222" spans="2:9" x14ac:dyDescent="0.25">
      <c r="B222" s="164"/>
      <c r="C222" s="84"/>
      <c r="D222" s="84"/>
      <c r="E222" s="85"/>
      <c r="F222" s="86"/>
      <c r="G222" s="86"/>
      <c r="H222" s="86"/>
      <c r="I222" s="86"/>
    </row>
    <row r="223" spans="2:9" x14ac:dyDescent="0.25">
      <c r="B223" s="164"/>
      <c r="C223" s="80" t="s">
        <v>161</v>
      </c>
      <c r="D223" s="84"/>
      <c r="E223" s="85"/>
      <c r="F223" s="167"/>
      <c r="G223" s="167"/>
      <c r="H223" s="166">
        <f t="shared" ref="H223:I223" si="49">SUM(H204:H220)</f>
        <v>0</v>
      </c>
      <c r="I223" s="166">
        <f t="shared" si="49"/>
        <v>215373424.38030905</v>
      </c>
    </row>
    <row r="224" spans="2:9" x14ac:dyDescent="0.25">
      <c r="B224" s="164"/>
      <c r="C224" s="80" t="s">
        <v>360</v>
      </c>
      <c r="D224" s="84"/>
      <c r="E224" s="85"/>
      <c r="F224" s="170"/>
      <c r="G224" s="170"/>
      <c r="H224" s="171">
        <f>0.04*H223</f>
        <v>0</v>
      </c>
      <c r="I224" s="171">
        <f>0.04*I223</f>
        <v>8614936.9752123617</v>
      </c>
    </row>
    <row r="225" spans="2:10" x14ac:dyDescent="0.25">
      <c r="B225" s="164"/>
      <c r="C225" s="80" t="s">
        <v>171</v>
      </c>
      <c r="D225" s="84"/>
      <c r="E225" s="85"/>
      <c r="F225" s="86"/>
      <c r="G225" s="86"/>
      <c r="H225" s="166">
        <f t="shared" ref="H225:I225" si="50">H224+H223</f>
        <v>0</v>
      </c>
      <c r="I225" s="166">
        <f t="shared" si="50"/>
        <v>223988361.35552141</v>
      </c>
    </row>
    <row r="226" spans="2:10" ht="15.75" x14ac:dyDescent="0.25">
      <c r="B226" s="164"/>
      <c r="C226" s="81" t="s">
        <v>169</v>
      </c>
      <c r="D226" s="84"/>
      <c r="E226" s="85"/>
      <c r="F226" s="167"/>
      <c r="G226" s="167"/>
      <c r="H226" s="168">
        <f t="shared" ref="H226:I226" si="51">ROUNDDOWN(H225,-4)</f>
        <v>0</v>
      </c>
      <c r="I226" s="168">
        <f t="shared" si="51"/>
        <v>223980000</v>
      </c>
    </row>
    <row r="227" spans="2:10" x14ac:dyDescent="0.25">
      <c r="B227" s="164"/>
      <c r="C227" s="81" t="s">
        <v>170</v>
      </c>
      <c r="D227" s="84"/>
      <c r="E227" s="169"/>
      <c r="F227" s="170"/>
      <c r="G227" s="170"/>
      <c r="H227" s="171">
        <f t="shared" ref="H227:I227" si="52">0.1*H226</f>
        <v>0</v>
      </c>
      <c r="I227" s="171">
        <f t="shared" si="52"/>
        <v>22398000</v>
      </c>
    </row>
    <row r="228" spans="2:10" x14ac:dyDescent="0.25">
      <c r="B228" s="164"/>
      <c r="C228" s="80" t="s">
        <v>171</v>
      </c>
      <c r="D228" s="84"/>
      <c r="E228" s="169"/>
      <c r="F228" s="170"/>
      <c r="G228" s="170"/>
      <c r="H228" s="172">
        <f t="shared" ref="H228:I228" si="53">H227+H226</f>
        <v>0</v>
      </c>
      <c r="I228" s="172">
        <f t="shared" si="53"/>
        <v>246378000</v>
      </c>
    </row>
    <row r="229" spans="2:10" x14ac:dyDescent="0.25">
      <c r="B229" s="164"/>
      <c r="C229" s="84"/>
      <c r="D229" s="84"/>
      <c r="E229" s="85"/>
      <c r="F229" s="170"/>
      <c r="G229" s="170"/>
      <c r="H229" s="173"/>
      <c r="I229" s="173"/>
    </row>
    <row r="230" spans="2:10" x14ac:dyDescent="0.25">
      <c r="B230" s="164"/>
      <c r="C230" s="84"/>
      <c r="D230" s="84"/>
      <c r="E230" s="85"/>
      <c r="F230" s="165"/>
      <c r="G230" s="165"/>
      <c r="H230" s="174"/>
      <c r="I230" s="174"/>
    </row>
    <row r="231" spans="2:10" x14ac:dyDescent="0.25">
      <c r="B231" s="164"/>
      <c r="C231" s="84"/>
      <c r="D231" s="175" t="s">
        <v>162</v>
      </c>
      <c r="E231" s="175"/>
      <c r="F231" s="86"/>
      <c r="G231" s="86"/>
      <c r="H231" s="86">
        <v>46</v>
      </c>
      <c r="I231" s="86">
        <v>46</v>
      </c>
    </row>
    <row r="232" spans="2:10" x14ac:dyDescent="0.25">
      <c r="B232" s="164"/>
      <c r="C232" s="84"/>
      <c r="D232" s="175"/>
      <c r="E232" s="175"/>
      <c r="F232" s="86"/>
      <c r="G232" s="86"/>
      <c r="H232" s="170"/>
      <c r="I232" s="170"/>
    </row>
    <row r="233" spans="2:10" x14ac:dyDescent="0.25">
      <c r="B233" s="164"/>
      <c r="C233" s="84"/>
      <c r="D233" s="175" t="s">
        <v>164</v>
      </c>
      <c r="E233" s="175"/>
      <c r="F233" s="86"/>
      <c r="G233" s="271"/>
      <c r="H233" s="272">
        <f t="shared" ref="H233:I233" si="54">H226/H231</f>
        <v>0</v>
      </c>
      <c r="I233" s="272">
        <f t="shared" si="54"/>
        <v>4869130.4347826084</v>
      </c>
      <c r="J233" s="258"/>
    </row>
    <row r="234" spans="2:10" x14ac:dyDescent="0.25">
      <c r="B234" s="177"/>
      <c r="C234" s="178"/>
      <c r="D234" s="179"/>
      <c r="E234" s="179"/>
      <c r="F234" s="180"/>
      <c r="G234" s="180"/>
      <c r="H234" s="180"/>
      <c r="I234" s="180"/>
    </row>
    <row r="235" spans="2:10" x14ac:dyDescent="0.25">
      <c r="H235" s="258"/>
    </row>
    <row r="236" spans="2:10" x14ac:dyDescent="0.25">
      <c r="H236" s="258"/>
    </row>
    <row r="238" spans="2:10" x14ac:dyDescent="0.25">
      <c r="H238" s="258"/>
    </row>
  </sheetData>
  <mergeCells count="5">
    <mergeCell ref="F5:G5"/>
    <mergeCell ref="H5:I5"/>
    <mergeCell ref="B5:B6"/>
    <mergeCell ref="C5:C6"/>
    <mergeCell ref="D5:D6"/>
  </mergeCells>
  <printOptions horizontalCentered="1"/>
  <pageMargins left="0.39370078740157483" right="0.39370078740157483" top="0.78740157480314965" bottom="0.59055118110236227" header="0.51181102362204722" footer="0.51181102362204722"/>
  <pageSetup paperSize="8" scale="82" fitToHeight="0" orientation="landscape" r:id="rId1"/>
  <rowBreaks count="4" manualBreakCount="4">
    <brk id="55" min="1" max="16" man="1"/>
    <brk id="109" min="1" max="16" man="1"/>
    <brk id="163" min="1" max="16" man="1"/>
    <brk id="202" min="1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New Livistona 1</vt:lpstr>
      <vt:lpstr>New Livistona 2</vt:lpstr>
      <vt:lpstr>Rev N. Liv 2</vt:lpstr>
      <vt:lpstr>New Attaleya 1</vt:lpstr>
      <vt:lpstr>New Attaleya 2</vt:lpstr>
      <vt:lpstr>'New Attaleya 1'!Print_Area</vt:lpstr>
      <vt:lpstr>'New Attaleya 2'!Print_Area</vt:lpstr>
      <vt:lpstr>'New Livistona 1'!Print_Area</vt:lpstr>
      <vt:lpstr>'New Livistona 2'!Print_Area</vt:lpstr>
      <vt:lpstr>'New Attaleya 1'!Print_Titles</vt:lpstr>
      <vt:lpstr>'New Attaleya 2'!Print_Titles</vt:lpstr>
      <vt:lpstr>'New Livistona 1'!Print_Titles</vt:lpstr>
      <vt:lpstr>'New Livistona 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HENDHY</dc:creator>
  <cp:lastModifiedBy>HENDHY</cp:lastModifiedBy>
  <cp:lastPrinted>2019-05-28T06:47:20Z</cp:lastPrinted>
  <dcterms:created xsi:type="dcterms:W3CDTF">2019-05-17T01:26:42Z</dcterms:created>
  <dcterms:modified xsi:type="dcterms:W3CDTF">2020-01-29T02:42:08Z</dcterms:modified>
</cp:coreProperties>
</file>