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ru\Rumah\"/>
    </mc:Choice>
  </mc:AlternateContent>
  <bookViews>
    <workbookView xWindow="0" yWindow="0" windowWidth="20490" windowHeight="7755" activeTab="4"/>
  </bookViews>
  <sheets>
    <sheet name="New Livistona 1" sheetId="1" r:id="rId1"/>
    <sheet name="New Livistona 2" sheetId="2" r:id="rId2"/>
    <sheet name="New Attaleya 1" sheetId="3" r:id="rId3"/>
    <sheet name="New Attaleya 2" sheetId="4" r:id="rId4"/>
    <sheet name="Site Office" sheetId="6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6" l="1"/>
  <c r="G102" i="6"/>
  <c r="G101" i="6"/>
  <c r="G100" i="6"/>
  <c r="E100" i="6"/>
  <c r="G99" i="6"/>
  <c r="E99" i="6"/>
  <c r="G94" i="6"/>
  <c r="G93" i="6"/>
  <c r="G89" i="6"/>
  <c r="A89" i="6"/>
  <c r="G88" i="6"/>
  <c r="G87" i="6"/>
  <c r="A87" i="6"/>
  <c r="G86" i="6"/>
  <c r="G85" i="6"/>
  <c r="A85" i="6"/>
  <c r="G84" i="6"/>
  <c r="G83" i="6"/>
  <c r="A83" i="6"/>
  <c r="G81" i="6"/>
  <c r="A81" i="6"/>
  <c r="G80" i="6"/>
  <c r="G79" i="6"/>
  <c r="A79" i="6"/>
  <c r="G78" i="6"/>
  <c r="G75" i="6"/>
  <c r="G74" i="6"/>
  <c r="E74" i="6"/>
  <c r="G71" i="6"/>
  <c r="E71" i="6"/>
  <c r="A71" i="6"/>
  <c r="E70" i="6"/>
  <c r="G70" i="6" s="1"/>
  <c r="A70" i="6"/>
  <c r="E69" i="6"/>
  <c r="G69" i="6" s="1"/>
  <c r="G66" i="6"/>
  <c r="E66" i="6"/>
  <c r="G65" i="6"/>
  <c r="E65" i="6"/>
  <c r="E75" i="6" s="1"/>
  <c r="G64" i="6"/>
  <c r="G67" i="6" s="1"/>
  <c r="E64" i="6"/>
  <c r="G61" i="6"/>
  <c r="G60" i="6"/>
  <c r="G59" i="6"/>
  <c r="G58" i="6"/>
  <c r="A58" i="6"/>
  <c r="A59" i="6" s="1"/>
  <c r="A60" i="6" s="1"/>
  <c r="G57" i="6"/>
  <c r="G52" i="6"/>
  <c r="E52" i="6"/>
  <c r="E50" i="6"/>
  <c r="G50" i="6" s="1"/>
  <c r="G47" i="6"/>
  <c r="G46" i="6"/>
  <c r="G44" i="6"/>
  <c r="G45" i="6"/>
  <c r="G43" i="6"/>
  <c r="G42" i="6"/>
  <c r="G48" i="6" s="1"/>
  <c r="E39" i="6"/>
  <c r="G39" i="6" s="1"/>
  <c r="A39" i="6"/>
  <c r="G38" i="6"/>
  <c r="E38" i="6"/>
  <c r="G37" i="6"/>
  <c r="E37" i="6"/>
  <c r="A37" i="6"/>
  <c r="E36" i="6"/>
  <c r="G36" i="6" s="1"/>
  <c r="E35" i="6"/>
  <c r="G35" i="6" s="1"/>
  <c r="A35" i="6"/>
  <c r="G34" i="6"/>
  <c r="E34" i="6"/>
  <c r="E31" i="6"/>
  <c r="G31" i="6" s="1"/>
  <c r="G30" i="6"/>
  <c r="E30" i="6"/>
  <c r="A30" i="6"/>
  <c r="A31" i="6" s="1"/>
  <c r="E29" i="6"/>
  <c r="G29" i="6" s="1"/>
  <c r="G32" i="6" s="1"/>
  <c r="A29" i="6"/>
  <c r="G28" i="6"/>
  <c r="E28" i="6"/>
  <c r="E24" i="6"/>
  <c r="E25" i="6" s="1"/>
  <c r="G25" i="6" s="1"/>
  <c r="G21" i="6"/>
  <c r="G20" i="6"/>
  <c r="G19" i="6"/>
  <c r="E18" i="6"/>
  <c r="G18" i="6" s="1"/>
  <c r="E17" i="6"/>
  <c r="G17" i="6" s="1"/>
  <c r="G16" i="6"/>
  <c r="G15" i="6"/>
  <c r="E15" i="6"/>
  <c r="G14" i="6"/>
  <c r="E14" i="6"/>
  <c r="G11" i="6"/>
  <c r="E11" i="6"/>
  <c r="G10" i="6"/>
  <c r="G9" i="6"/>
  <c r="A9" i="6"/>
  <c r="G8" i="6"/>
  <c r="A8" i="6"/>
  <c r="E7" i="6"/>
  <c r="G7" i="6" s="1"/>
  <c r="C218" i="4"/>
  <c r="C217" i="4"/>
  <c r="C216" i="4"/>
  <c r="E197" i="4"/>
  <c r="G197" i="4" s="1"/>
  <c r="E196" i="4"/>
  <c r="G196" i="4" s="1"/>
  <c r="E195" i="4"/>
  <c r="G195" i="4" s="1"/>
  <c r="G191" i="4"/>
  <c r="E190" i="4"/>
  <c r="G190" i="4" s="1"/>
  <c r="E189" i="4"/>
  <c r="G189" i="4" s="1"/>
  <c r="E188" i="4"/>
  <c r="G188" i="4" s="1"/>
  <c r="E186" i="4"/>
  <c r="G186" i="4" s="1"/>
  <c r="G181" i="4"/>
  <c r="E179" i="4"/>
  <c r="G179" i="4" s="1"/>
  <c r="G177" i="4"/>
  <c r="G176" i="4"/>
  <c r="G182" i="4" s="1"/>
  <c r="G216" i="4" s="1"/>
  <c r="G172" i="4"/>
  <c r="G171" i="4"/>
  <c r="G170" i="4"/>
  <c r="G169" i="4"/>
  <c r="G168" i="4"/>
  <c r="G167" i="4"/>
  <c r="G166" i="4"/>
  <c r="E166" i="4"/>
  <c r="G165" i="4"/>
  <c r="G164" i="4"/>
  <c r="G163" i="4"/>
  <c r="G162" i="4"/>
  <c r="G161" i="4"/>
  <c r="G160" i="4"/>
  <c r="G159" i="4"/>
  <c r="G158" i="4"/>
  <c r="G157" i="4"/>
  <c r="G173" i="4" s="1"/>
  <c r="G215" i="4" s="1"/>
  <c r="G152" i="4"/>
  <c r="G151" i="4"/>
  <c r="G150" i="4"/>
  <c r="E150" i="4"/>
  <c r="G149" i="4"/>
  <c r="E149" i="4"/>
  <c r="G148" i="4"/>
  <c r="E148" i="4"/>
  <c r="G147" i="4"/>
  <c r="G146" i="4"/>
  <c r="G145" i="4"/>
  <c r="E145" i="4"/>
  <c r="G144" i="4"/>
  <c r="G143" i="4"/>
  <c r="G142" i="4"/>
  <c r="G141" i="4"/>
  <c r="G140" i="4"/>
  <c r="G139" i="4"/>
  <c r="G138" i="4"/>
  <c r="G137" i="4"/>
  <c r="G136" i="4"/>
  <c r="G135" i="4"/>
  <c r="G134" i="4"/>
  <c r="G132" i="4"/>
  <c r="G131" i="4"/>
  <c r="G130" i="4"/>
  <c r="G129" i="4"/>
  <c r="G128" i="4"/>
  <c r="G127" i="4"/>
  <c r="G153" i="4" s="1"/>
  <c r="G214" i="4" s="1"/>
  <c r="G119" i="4"/>
  <c r="E119" i="4"/>
  <c r="E114" i="4"/>
  <c r="G114" i="4" s="1"/>
  <c r="G113" i="4"/>
  <c r="G112" i="4"/>
  <c r="G96" i="4"/>
  <c r="G95" i="4"/>
  <c r="G94" i="4"/>
  <c r="G93" i="4"/>
  <c r="G92" i="4"/>
  <c r="G91" i="4"/>
  <c r="G115" i="4" s="1"/>
  <c r="G212" i="4" s="1"/>
  <c r="G87" i="4"/>
  <c r="G86" i="4"/>
  <c r="G85" i="4"/>
  <c r="E85" i="4"/>
  <c r="E122" i="4" s="1"/>
  <c r="G122" i="4" s="1"/>
  <c r="G84" i="4"/>
  <c r="E84" i="4"/>
  <c r="G83" i="4"/>
  <c r="E83" i="4"/>
  <c r="E121" i="4" s="1"/>
  <c r="G121" i="4" s="1"/>
  <c r="G81" i="4"/>
  <c r="E81" i="4"/>
  <c r="E82" i="4" s="1"/>
  <c r="G82" i="4" s="1"/>
  <c r="E77" i="4"/>
  <c r="G77" i="4" s="1"/>
  <c r="E76" i="4"/>
  <c r="G76" i="4" s="1"/>
  <c r="E75" i="4"/>
  <c r="G75" i="4" s="1"/>
  <c r="G71" i="4"/>
  <c r="E71" i="4"/>
  <c r="G70" i="4"/>
  <c r="E70" i="4"/>
  <c r="G69" i="4"/>
  <c r="E69" i="4"/>
  <c r="G68" i="4"/>
  <c r="E68" i="4"/>
  <c r="E67" i="4"/>
  <c r="G67" i="4" s="1"/>
  <c r="G72" i="4" s="1"/>
  <c r="G209" i="4" s="1"/>
  <c r="G63" i="4"/>
  <c r="E63" i="4"/>
  <c r="E62" i="4"/>
  <c r="G62" i="4" s="1"/>
  <c r="G61" i="4"/>
  <c r="E61" i="4"/>
  <c r="E60" i="4"/>
  <c r="G60" i="4" s="1"/>
  <c r="G64" i="4" s="1"/>
  <c r="G208" i="4" s="1"/>
  <c r="G59" i="4"/>
  <c r="E59" i="4"/>
  <c r="G55" i="4"/>
  <c r="E55" i="4"/>
  <c r="G54" i="4"/>
  <c r="E53" i="4"/>
  <c r="G53" i="4" s="1"/>
  <c r="G52" i="4"/>
  <c r="E51" i="4"/>
  <c r="G51" i="4" s="1"/>
  <c r="G50" i="4"/>
  <c r="E50" i="4"/>
  <c r="E49" i="4"/>
  <c r="G49" i="4" s="1"/>
  <c r="G48" i="4"/>
  <c r="G47" i="4"/>
  <c r="E47" i="4"/>
  <c r="E46" i="4"/>
  <c r="G46" i="4" s="1"/>
  <c r="G42" i="4"/>
  <c r="E41" i="4"/>
  <c r="G41" i="4" s="1"/>
  <c r="G40" i="4"/>
  <c r="E40" i="4"/>
  <c r="E39" i="4"/>
  <c r="G39" i="4" s="1"/>
  <c r="E38" i="4"/>
  <c r="G38" i="4" s="1"/>
  <c r="E37" i="4"/>
  <c r="G37" i="4" s="1"/>
  <c r="E36" i="4"/>
  <c r="G36" i="4" s="1"/>
  <c r="E35" i="4"/>
  <c r="G35" i="4" s="1"/>
  <c r="G34" i="4"/>
  <c r="E33" i="4"/>
  <c r="G33" i="4" s="1"/>
  <c r="G32" i="4"/>
  <c r="E32" i="4"/>
  <c r="E31" i="4"/>
  <c r="G31" i="4" s="1"/>
  <c r="G30" i="4"/>
  <c r="E30" i="4"/>
  <c r="G26" i="4"/>
  <c r="G25" i="4"/>
  <c r="G27" i="4" s="1"/>
  <c r="G205" i="4" s="1"/>
  <c r="E25" i="4"/>
  <c r="E21" i="4"/>
  <c r="G21" i="4" s="1"/>
  <c r="G20" i="4"/>
  <c r="E20" i="4"/>
  <c r="E19" i="4"/>
  <c r="G19" i="4" s="1"/>
  <c r="E18" i="4"/>
  <c r="G18" i="4" s="1"/>
  <c r="G22" i="4" s="1"/>
  <c r="G204" i="4" s="1"/>
  <c r="G14" i="4"/>
  <c r="E14" i="4"/>
  <c r="E13" i="4"/>
  <c r="G13" i="4" s="1"/>
  <c r="G12" i="4"/>
  <c r="G11" i="4"/>
  <c r="G10" i="4"/>
  <c r="E9" i="4"/>
  <c r="G9" i="4" s="1"/>
  <c r="G15" i="4" s="1"/>
  <c r="G203" i="4" s="1"/>
  <c r="C219" i="3"/>
  <c r="C218" i="3"/>
  <c r="C217" i="3"/>
  <c r="E198" i="3"/>
  <c r="G198" i="3" s="1"/>
  <c r="G197" i="3"/>
  <c r="E197" i="3"/>
  <c r="E196" i="3"/>
  <c r="G196" i="3" s="1"/>
  <c r="G192" i="3"/>
  <c r="E191" i="3"/>
  <c r="G191" i="3" s="1"/>
  <c r="G190" i="3"/>
  <c r="E190" i="3"/>
  <c r="E189" i="3"/>
  <c r="G189" i="3" s="1"/>
  <c r="G187" i="3"/>
  <c r="E187" i="3"/>
  <c r="G182" i="3"/>
  <c r="G180" i="3"/>
  <c r="E180" i="3"/>
  <c r="G178" i="3"/>
  <c r="G177" i="3"/>
  <c r="G183" i="3" s="1"/>
  <c r="G217" i="3" s="1"/>
  <c r="G173" i="3"/>
  <c r="G172" i="3"/>
  <c r="G171" i="3"/>
  <c r="G170" i="3"/>
  <c r="G169" i="3"/>
  <c r="G168" i="3"/>
  <c r="G167" i="3"/>
  <c r="E167" i="3"/>
  <c r="G166" i="3"/>
  <c r="G165" i="3"/>
  <c r="G164" i="3"/>
  <c r="G163" i="3"/>
  <c r="G162" i="3"/>
  <c r="G161" i="3"/>
  <c r="G160" i="3"/>
  <c r="G159" i="3"/>
  <c r="G174" i="3" s="1"/>
  <c r="G216" i="3" s="1"/>
  <c r="G158" i="3"/>
  <c r="G153" i="3"/>
  <c r="G152" i="3"/>
  <c r="G151" i="3"/>
  <c r="E151" i="3"/>
  <c r="G150" i="3"/>
  <c r="E150" i="3"/>
  <c r="G149" i="3"/>
  <c r="E149" i="3"/>
  <c r="G148" i="3"/>
  <c r="G147" i="3"/>
  <c r="E146" i="3"/>
  <c r="G146" i="3" s="1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54" i="3" s="1"/>
  <c r="G215" i="3" s="1"/>
  <c r="E121" i="3"/>
  <c r="G121" i="3" s="1"/>
  <c r="G120" i="3"/>
  <c r="E120" i="3"/>
  <c r="E119" i="3"/>
  <c r="G119" i="3" s="1"/>
  <c r="E115" i="3"/>
  <c r="G115" i="3" s="1"/>
  <c r="G114" i="3"/>
  <c r="G113" i="3"/>
  <c r="G97" i="3"/>
  <c r="G96" i="3"/>
  <c r="G95" i="3"/>
  <c r="G94" i="3"/>
  <c r="G116" i="3" s="1"/>
  <c r="G213" i="3" s="1"/>
  <c r="G93" i="3"/>
  <c r="G92" i="3"/>
  <c r="G88" i="3"/>
  <c r="G87" i="3"/>
  <c r="E86" i="3"/>
  <c r="G86" i="3" s="1"/>
  <c r="G85" i="3"/>
  <c r="E85" i="3"/>
  <c r="E84" i="3"/>
  <c r="E122" i="3" s="1"/>
  <c r="G122" i="3" s="1"/>
  <c r="E82" i="3"/>
  <c r="E83" i="3" s="1"/>
  <c r="G83" i="3" s="1"/>
  <c r="G78" i="3"/>
  <c r="E77" i="3"/>
  <c r="G77" i="3" s="1"/>
  <c r="G76" i="3"/>
  <c r="G79" i="3" s="1"/>
  <c r="G211" i="3" s="1"/>
  <c r="E76" i="3"/>
  <c r="G72" i="3"/>
  <c r="E72" i="3"/>
  <c r="G71" i="3"/>
  <c r="E71" i="3"/>
  <c r="G70" i="3"/>
  <c r="E70" i="3"/>
  <c r="G69" i="3"/>
  <c r="E69" i="3"/>
  <c r="G68" i="3"/>
  <c r="G73" i="3" s="1"/>
  <c r="G210" i="3" s="1"/>
  <c r="E68" i="3"/>
  <c r="E64" i="3"/>
  <c r="G64" i="3" s="1"/>
  <c r="G63" i="3"/>
  <c r="E63" i="3"/>
  <c r="E62" i="3"/>
  <c r="G62" i="3" s="1"/>
  <c r="G61" i="3"/>
  <c r="G60" i="3"/>
  <c r="E60" i="3"/>
  <c r="G59" i="3"/>
  <c r="E59" i="3"/>
  <c r="E55" i="3"/>
  <c r="G55" i="3" s="1"/>
  <c r="G54" i="3"/>
  <c r="G53" i="3"/>
  <c r="E53" i="3"/>
  <c r="G52" i="3"/>
  <c r="G51" i="3"/>
  <c r="E51" i="3"/>
  <c r="E50" i="3"/>
  <c r="G50" i="3" s="1"/>
  <c r="G49" i="3"/>
  <c r="E49" i="3"/>
  <c r="G48" i="3"/>
  <c r="G47" i="3"/>
  <c r="E47" i="3"/>
  <c r="G46" i="3"/>
  <c r="E46" i="3"/>
  <c r="G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4" i="3"/>
  <c r="G34" i="3" s="1"/>
  <c r="G33" i="3"/>
  <c r="E33" i="3"/>
  <c r="E32" i="3"/>
  <c r="G32" i="3" s="1"/>
  <c r="G43" i="3" s="1"/>
  <c r="G207" i="3" s="1"/>
  <c r="G31" i="3"/>
  <c r="E31" i="3"/>
  <c r="G27" i="3"/>
  <c r="E27" i="3"/>
  <c r="G26" i="3"/>
  <c r="G28" i="3" s="1"/>
  <c r="G206" i="3" s="1"/>
  <c r="E26" i="3"/>
  <c r="G22" i="3"/>
  <c r="E22" i="3"/>
  <c r="E21" i="3"/>
  <c r="G21" i="3" s="1"/>
  <c r="G20" i="3"/>
  <c r="E20" i="3"/>
  <c r="E19" i="3"/>
  <c r="G19" i="3" s="1"/>
  <c r="G23" i="3" s="1"/>
  <c r="G205" i="3" s="1"/>
  <c r="G18" i="3"/>
  <c r="E18" i="3"/>
  <c r="G14" i="3"/>
  <c r="E14" i="3"/>
  <c r="G13" i="3"/>
  <c r="E13" i="3"/>
  <c r="G12" i="3"/>
  <c r="G11" i="3"/>
  <c r="G10" i="3"/>
  <c r="E9" i="3"/>
  <c r="G9" i="3" s="1"/>
  <c r="G15" i="3" s="1"/>
  <c r="G204" i="3" s="1"/>
  <c r="G12" i="6" l="1"/>
  <c r="G62" i="6"/>
  <c r="G90" i="6"/>
  <c r="G104" i="6"/>
  <c r="G97" i="6"/>
  <c r="G22" i="6"/>
  <c r="G72" i="6"/>
  <c r="G40" i="6"/>
  <c r="G76" i="6"/>
  <c r="E51" i="6"/>
  <c r="G51" i="6" s="1"/>
  <c r="G53" i="6" s="1"/>
  <c r="G24" i="6"/>
  <c r="G26" i="6" s="1"/>
  <c r="G56" i="4"/>
  <c r="G207" i="4" s="1"/>
  <c r="G192" i="4"/>
  <c r="G217" i="4" s="1"/>
  <c r="G43" i="4"/>
  <c r="G206" i="4" s="1"/>
  <c r="G221" i="4" s="1"/>
  <c r="G222" i="4" s="1"/>
  <c r="G223" i="4" s="1"/>
  <c r="G224" i="4" s="1"/>
  <c r="G198" i="4"/>
  <c r="G218" i="4" s="1"/>
  <c r="G78" i="4"/>
  <c r="G210" i="4" s="1"/>
  <c r="G88" i="4"/>
  <c r="G211" i="4" s="1"/>
  <c r="E118" i="4"/>
  <c r="G118" i="4" s="1"/>
  <c r="G123" i="4" s="1"/>
  <c r="G213" i="4" s="1"/>
  <c r="E120" i="4"/>
  <c r="G120" i="4" s="1"/>
  <c r="G65" i="3"/>
  <c r="G209" i="3" s="1"/>
  <c r="G199" i="3"/>
  <c r="G219" i="3" s="1"/>
  <c r="G56" i="3"/>
  <c r="G208" i="3" s="1"/>
  <c r="G222" i="3" s="1"/>
  <c r="G193" i="3"/>
  <c r="G218" i="3" s="1"/>
  <c r="E123" i="3"/>
  <c r="G123" i="3" s="1"/>
  <c r="G124" i="3" s="1"/>
  <c r="G214" i="3" s="1"/>
  <c r="G82" i="3"/>
  <c r="G89" i="3" s="1"/>
  <c r="G212" i="3" s="1"/>
  <c r="G84" i="3"/>
  <c r="G107" i="6" l="1"/>
  <c r="G108" i="6" s="1"/>
  <c r="G231" i="4"/>
  <c r="G3" i="4" s="1"/>
  <c r="G225" i="4"/>
  <c r="G226" i="4" s="1"/>
  <c r="G223" i="3"/>
  <c r="G224" i="3"/>
  <c r="G225" i="3" s="1"/>
  <c r="G109" i="6" l="1"/>
  <c r="G110" i="6" s="1"/>
  <c r="G226" i="3"/>
  <c r="G227" i="3" s="1"/>
  <c r="G232" i="3"/>
  <c r="G3" i="3" s="1"/>
  <c r="C173" i="2" l="1"/>
  <c r="C172" i="2"/>
  <c r="C171" i="2"/>
  <c r="G152" i="2"/>
  <c r="E151" i="2"/>
  <c r="G151" i="2" s="1"/>
  <c r="E150" i="2"/>
  <c r="G150" i="2" s="1"/>
  <c r="E149" i="2"/>
  <c r="G149" i="2" s="1"/>
  <c r="G145" i="2"/>
  <c r="G144" i="2"/>
  <c r="E143" i="2"/>
  <c r="G143" i="2" s="1"/>
  <c r="E142" i="2"/>
  <c r="G142" i="2" s="1"/>
  <c r="E140" i="2"/>
  <c r="G140" i="2" s="1"/>
  <c r="G137" i="2"/>
  <c r="E136" i="2"/>
  <c r="G136" i="2" s="1"/>
  <c r="G138" i="2" s="1"/>
  <c r="G171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G118" i="2"/>
  <c r="G116" i="2"/>
  <c r="E115" i="2"/>
  <c r="G115" i="2" s="1"/>
  <c r="E114" i="2"/>
  <c r="G114" i="2" s="1"/>
  <c r="E113" i="2"/>
  <c r="G113" i="2" s="1"/>
  <c r="E112" i="2"/>
  <c r="G112" i="2" s="1"/>
  <c r="G111" i="2"/>
  <c r="E110" i="2"/>
  <c r="G110" i="2" s="1"/>
  <c r="E109" i="2"/>
  <c r="G109" i="2" s="1"/>
  <c r="G108" i="2"/>
  <c r="E107" i="2"/>
  <c r="G107" i="2" s="1"/>
  <c r="E106" i="2"/>
  <c r="G106" i="2" s="1"/>
  <c r="E105" i="2"/>
  <c r="G105" i="2" s="1"/>
  <c r="E104" i="2"/>
  <c r="G104" i="2" s="1"/>
  <c r="E103" i="2"/>
  <c r="G103" i="2" s="1"/>
  <c r="G102" i="2"/>
  <c r="E101" i="2"/>
  <c r="G101" i="2" s="1"/>
  <c r="E100" i="2"/>
  <c r="G100" i="2" s="1"/>
  <c r="E99" i="2"/>
  <c r="G99" i="2" s="1"/>
  <c r="G98" i="2"/>
  <c r="E98" i="2"/>
  <c r="E97" i="2"/>
  <c r="G97" i="2" s="1"/>
  <c r="E96" i="2"/>
  <c r="G96" i="2" s="1"/>
  <c r="G95" i="2"/>
  <c r="G94" i="2"/>
  <c r="E92" i="2"/>
  <c r="G92" i="2" s="1"/>
  <c r="E91" i="2"/>
  <c r="G91" i="2" s="1"/>
  <c r="E90" i="2"/>
  <c r="G90" i="2" s="1"/>
  <c r="E89" i="2"/>
  <c r="G89" i="2" s="1"/>
  <c r="E88" i="2"/>
  <c r="G88" i="2" s="1"/>
  <c r="G87" i="2"/>
  <c r="E85" i="2"/>
  <c r="G85" i="2" s="1"/>
  <c r="E84" i="2"/>
  <c r="G84" i="2" s="1"/>
  <c r="E83" i="2"/>
  <c r="G83" i="2" s="1"/>
  <c r="G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4" i="2"/>
  <c r="G74" i="2" s="1"/>
  <c r="E73" i="2"/>
  <c r="G73" i="2" s="1"/>
  <c r="G72" i="2"/>
  <c r="G71" i="2"/>
  <c r="E69" i="2"/>
  <c r="G69" i="2" s="1"/>
  <c r="E68" i="2"/>
  <c r="G68" i="2" s="1"/>
  <c r="E67" i="2"/>
  <c r="G67" i="2" s="1"/>
  <c r="E66" i="2"/>
  <c r="G66" i="2" s="1"/>
  <c r="E65" i="2"/>
  <c r="G65" i="2" s="1"/>
  <c r="E64" i="2"/>
  <c r="G64" i="2" s="1"/>
  <c r="G63" i="2"/>
  <c r="E61" i="2"/>
  <c r="G61" i="2" s="1"/>
  <c r="E60" i="2"/>
  <c r="G60" i="2" s="1"/>
  <c r="E59" i="2"/>
  <c r="G59" i="2" s="1"/>
  <c r="G58" i="2"/>
  <c r="E56" i="2"/>
  <c r="G56" i="2" s="1"/>
  <c r="E55" i="2"/>
  <c r="G55" i="2" s="1"/>
  <c r="E54" i="2"/>
  <c r="G54" i="2" s="1"/>
  <c r="E53" i="2"/>
  <c r="G53" i="2" s="1"/>
  <c r="G52" i="2"/>
  <c r="E50" i="2"/>
  <c r="G50" i="2" s="1"/>
  <c r="E49" i="2"/>
  <c r="G49" i="2" s="1"/>
  <c r="E48" i="2"/>
  <c r="G48" i="2" s="1"/>
  <c r="G47" i="2"/>
  <c r="G46" i="2"/>
  <c r="E44" i="2"/>
  <c r="G44" i="2" s="1"/>
  <c r="E43" i="2"/>
  <c r="G43" i="2" s="1"/>
  <c r="E42" i="2"/>
  <c r="G42" i="2" s="1"/>
  <c r="E41" i="2"/>
  <c r="G41" i="2" s="1"/>
  <c r="E39" i="2"/>
  <c r="G39" i="2" s="1"/>
  <c r="E38" i="2"/>
  <c r="G38" i="2" s="1"/>
  <c r="G37" i="2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4" i="2"/>
  <c r="G24" i="2" s="1"/>
  <c r="E23" i="2"/>
  <c r="G23" i="2" s="1"/>
  <c r="G22" i="2"/>
  <c r="E20" i="2"/>
  <c r="G20" i="2" s="1"/>
  <c r="E19" i="2"/>
  <c r="G19" i="2" s="1"/>
  <c r="E18" i="2"/>
  <c r="G18" i="2" s="1"/>
  <c r="E17" i="2"/>
  <c r="G17" i="2" s="1"/>
  <c r="G16" i="2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G6" i="2"/>
  <c r="C173" i="1"/>
  <c r="C172" i="1"/>
  <c r="C171" i="1"/>
  <c r="G152" i="1"/>
  <c r="G151" i="1"/>
  <c r="E151" i="1"/>
  <c r="E150" i="1"/>
  <c r="G150" i="1" s="1"/>
  <c r="G149" i="1"/>
  <c r="E149" i="1"/>
  <c r="G145" i="1"/>
  <c r="G144" i="1"/>
  <c r="E143" i="1"/>
  <c r="G143" i="1" s="1"/>
  <c r="G142" i="1"/>
  <c r="E142" i="1"/>
  <c r="E140" i="1"/>
  <c r="G140" i="1" s="1"/>
  <c r="G137" i="1"/>
  <c r="E136" i="1"/>
  <c r="G136" i="1" s="1"/>
  <c r="E133" i="1"/>
  <c r="G133" i="1" s="1"/>
  <c r="E132" i="1"/>
  <c r="G132" i="1" s="1"/>
  <c r="G131" i="1"/>
  <c r="E131" i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G121" i="1"/>
  <c r="E121" i="1"/>
  <c r="E120" i="1"/>
  <c r="G120" i="1" s="1"/>
  <c r="G118" i="1"/>
  <c r="G116" i="1"/>
  <c r="E115" i="1"/>
  <c r="G115" i="1" s="1"/>
  <c r="E114" i="1"/>
  <c r="G114" i="1" s="1"/>
  <c r="G113" i="1"/>
  <c r="E113" i="1"/>
  <c r="E112" i="1"/>
  <c r="G112" i="1" s="1"/>
  <c r="G111" i="1"/>
  <c r="G110" i="1"/>
  <c r="E109" i="1"/>
  <c r="G109" i="1" s="1"/>
  <c r="G108" i="1"/>
  <c r="E107" i="1"/>
  <c r="G107" i="1" s="1"/>
  <c r="E106" i="1"/>
  <c r="G106" i="1" s="1"/>
  <c r="E105" i="1"/>
  <c r="G105" i="1" s="1"/>
  <c r="G104" i="1"/>
  <c r="E104" i="1"/>
  <c r="E103" i="1"/>
  <c r="G103" i="1" s="1"/>
  <c r="G102" i="1"/>
  <c r="G101" i="1"/>
  <c r="E101" i="1"/>
  <c r="E100" i="1"/>
  <c r="G100" i="1" s="1"/>
  <c r="E99" i="1"/>
  <c r="G99" i="1" s="1"/>
  <c r="G98" i="1"/>
  <c r="E98" i="1"/>
  <c r="E97" i="1"/>
  <c r="G97" i="1" s="1"/>
  <c r="E96" i="1"/>
  <c r="G96" i="1" s="1"/>
  <c r="G95" i="1"/>
  <c r="G94" i="1"/>
  <c r="E92" i="1"/>
  <c r="G92" i="1" s="1"/>
  <c r="E91" i="1"/>
  <c r="G91" i="1" s="1"/>
  <c r="E90" i="1"/>
  <c r="G90" i="1" s="1"/>
  <c r="E89" i="1"/>
  <c r="G89" i="1" s="1"/>
  <c r="E88" i="1"/>
  <c r="G88" i="1" s="1"/>
  <c r="G87" i="1"/>
  <c r="E85" i="1"/>
  <c r="G85" i="1" s="1"/>
  <c r="E84" i="1"/>
  <c r="G84" i="1" s="1"/>
  <c r="G83" i="1"/>
  <c r="E83" i="1"/>
  <c r="G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G74" i="1"/>
  <c r="E74" i="1"/>
  <c r="E73" i="1"/>
  <c r="G73" i="1" s="1"/>
  <c r="G72" i="1"/>
  <c r="G71" i="1"/>
  <c r="E69" i="1"/>
  <c r="G69" i="1" s="1"/>
  <c r="E68" i="1"/>
  <c r="G68" i="1" s="1"/>
  <c r="E67" i="1"/>
  <c r="G67" i="1" s="1"/>
  <c r="E66" i="1"/>
  <c r="G66" i="1" s="1"/>
  <c r="E65" i="1"/>
  <c r="G65" i="1" s="1"/>
  <c r="G64" i="1"/>
  <c r="E64" i="1"/>
  <c r="G63" i="1"/>
  <c r="E61" i="1"/>
  <c r="G61" i="1" s="1"/>
  <c r="E60" i="1"/>
  <c r="G60" i="1" s="1"/>
  <c r="E59" i="1"/>
  <c r="G59" i="1" s="1"/>
  <c r="G58" i="1"/>
  <c r="G56" i="1"/>
  <c r="E56" i="1"/>
  <c r="E55" i="1"/>
  <c r="G55" i="1" s="1"/>
  <c r="E54" i="1"/>
  <c r="G54" i="1" s="1"/>
  <c r="E53" i="1"/>
  <c r="G53" i="1" s="1"/>
  <c r="G52" i="1"/>
  <c r="E50" i="1"/>
  <c r="G50" i="1" s="1"/>
  <c r="G49" i="1"/>
  <c r="E49" i="1"/>
  <c r="E48" i="1"/>
  <c r="G48" i="1" s="1"/>
  <c r="G47" i="1"/>
  <c r="G46" i="1"/>
  <c r="E44" i="1"/>
  <c r="G44" i="1" s="1"/>
  <c r="E43" i="1"/>
  <c r="G43" i="1" s="1"/>
  <c r="E42" i="1"/>
  <c r="G42" i="1" s="1"/>
  <c r="E41" i="1"/>
  <c r="G41" i="1" s="1"/>
  <c r="G39" i="1"/>
  <c r="E39" i="1"/>
  <c r="E38" i="1"/>
  <c r="G38" i="1" s="1"/>
  <c r="G37" i="1"/>
  <c r="E35" i="1"/>
  <c r="G35" i="1" s="1"/>
  <c r="E34" i="1"/>
  <c r="G34" i="1" s="1"/>
  <c r="E33" i="1"/>
  <c r="G33" i="1" s="1"/>
  <c r="G32" i="1"/>
  <c r="E32" i="1"/>
  <c r="E31" i="1"/>
  <c r="G31" i="1" s="1"/>
  <c r="E30" i="1"/>
  <c r="G30" i="1" s="1"/>
  <c r="E29" i="1"/>
  <c r="G29" i="1" s="1"/>
  <c r="E28" i="1"/>
  <c r="G28" i="1" s="1"/>
  <c r="E24" i="1"/>
  <c r="G24" i="1" s="1"/>
  <c r="G23" i="1"/>
  <c r="E23" i="1"/>
  <c r="G22" i="1"/>
  <c r="E20" i="1"/>
  <c r="G20" i="1" s="1"/>
  <c r="E19" i="1"/>
  <c r="G19" i="1" s="1"/>
  <c r="E18" i="1"/>
  <c r="G18" i="1" s="1"/>
  <c r="E17" i="1"/>
  <c r="G17" i="1" s="1"/>
  <c r="G16" i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G70" i="1" l="1"/>
  <c r="G166" i="1" s="1"/>
  <c r="G93" i="2"/>
  <c r="G168" i="2" s="1"/>
  <c r="G15" i="2"/>
  <c r="G158" i="2" s="1"/>
  <c r="G36" i="2"/>
  <c r="G161" i="2" s="1"/>
  <c r="G51" i="2"/>
  <c r="G163" i="2" s="1"/>
  <c r="G57" i="2"/>
  <c r="G164" i="2" s="1"/>
  <c r="G117" i="2"/>
  <c r="G169" i="2" s="1"/>
  <c r="G134" i="2"/>
  <c r="G170" i="2" s="1"/>
  <c r="G153" i="2"/>
  <c r="G173" i="2" s="1"/>
  <c r="G25" i="2"/>
  <c r="G160" i="2" s="1"/>
  <c r="G21" i="2"/>
  <c r="G159" i="2" s="1"/>
  <c r="G62" i="2"/>
  <c r="G165" i="2" s="1"/>
  <c r="G70" i="2"/>
  <c r="G166" i="2" s="1"/>
  <c r="G45" i="2"/>
  <c r="G162" i="2" s="1"/>
  <c r="G86" i="2"/>
  <c r="G167" i="2" s="1"/>
  <c r="G146" i="2"/>
  <c r="G172" i="2" s="1"/>
  <c r="G153" i="1"/>
  <c r="G173" i="1" s="1"/>
  <c r="G21" i="1"/>
  <c r="G159" i="1" s="1"/>
  <c r="G62" i="1"/>
  <c r="G165" i="1" s="1"/>
  <c r="G138" i="1"/>
  <c r="G171" i="1" s="1"/>
  <c r="G51" i="1"/>
  <c r="G163" i="1" s="1"/>
  <c r="G146" i="1"/>
  <c r="G172" i="1" s="1"/>
  <c r="G15" i="1"/>
  <c r="G158" i="1" s="1"/>
  <c r="G36" i="1"/>
  <c r="G161" i="1" s="1"/>
  <c r="G45" i="1"/>
  <c r="G162" i="1" s="1"/>
  <c r="G57" i="1"/>
  <c r="G164" i="1" s="1"/>
  <c r="G86" i="1"/>
  <c r="G167" i="1" s="1"/>
  <c r="G93" i="1"/>
  <c r="G168" i="1" s="1"/>
  <c r="G134" i="1"/>
  <c r="G170" i="1" s="1"/>
  <c r="G25" i="1"/>
  <c r="G160" i="1" s="1"/>
  <c r="G117" i="1"/>
  <c r="G169" i="1" s="1"/>
  <c r="G176" i="2" l="1"/>
  <c r="F162" i="2" s="1"/>
  <c r="G176" i="1"/>
  <c r="F170" i="1" s="1"/>
  <c r="G177" i="2" l="1"/>
  <c r="G178" i="2" s="1"/>
  <c r="F168" i="2"/>
  <c r="F160" i="2"/>
  <c r="F169" i="2"/>
  <c r="F170" i="2"/>
  <c r="F161" i="2"/>
  <c r="F164" i="2"/>
  <c r="F158" i="2"/>
  <c r="F174" i="2" s="1"/>
  <c r="F171" i="2"/>
  <c r="F173" i="2"/>
  <c r="F163" i="2"/>
  <c r="F165" i="2"/>
  <c r="F172" i="2"/>
  <c r="F159" i="2"/>
  <c r="F166" i="2"/>
  <c r="F167" i="2"/>
  <c r="G177" i="1"/>
  <c r="G178" i="1" s="1"/>
  <c r="F165" i="1"/>
  <c r="F173" i="1"/>
  <c r="F166" i="1"/>
  <c r="F159" i="1"/>
  <c r="F171" i="1"/>
  <c r="F168" i="1"/>
  <c r="F164" i="1"/>
  <c r="F167" i="1"/>
  <c r="F160" i="1"/>
  <c r="F172" i="1"/>
  <c r="F169" i="1"/>
  <c r="F163" i="1"/>
  <c r="F162" i="1"/>
  <c r="F158" i="1"/>
  <c r="F174" i="1" s="1"/>
  <c r="F161" i="1"/>
  <c r="G186" i="2" l="1"/>
  <c r="C4" i="2" s="1"/>
  <c r="G179" i="2"/>
  <c r="G180" i="2" s="1"/>
  <c r="G182" i="2" s="1"/>
  <c r="G186" i="1"/>
  <c r="C4" i="1" s="1"/>
  <c r="G179" i="1"/>
  <c r="G180" i="1" s="1"/>
  <c r="G182" i="1" s="1"/>
</calcChain>
</file>

<file path=xl/sharedStrings.xml><?xml version="1.0" encoding="utf-8"?>
<sst xmlns="http://schemas.openxmlformats.org/spreadsheetml/2006/main" count="1693" uniqueCount="417">
  <si>
    <t>RENCANA  ANGGARAN  BIAYA</t>
  </si>
  <si>
    <t>BANGUNAN RUMAH TINGGAL BLOK MONTEVERDE</t>
  </si>
  <si>
    <t>PERUMAHAN CITRA LAND CIBUBUR</t>
  </si>
  <si>
    <t>New Livistona 1 34/60</t>
  </si>
  <si>
    <t>NO</t>
  </si>
  <si>
    <t>URAIAN  PEKERJAAN</t>
  </si>
  <si>
    <t>SAT.</t>
  </si>
  <si>
    <t>Volume</t>
  </si>
  <si>
    <t xml:space="preserve">Harga </t>
  </si>
  <si>
    <t>Jumlah</t>
  </si>
  <si>
    <t>T. 34/60</t>
  </si>
  <si>
    <t>Satuan</t>
  </si>
  <si>
    <t>I</t>
  </si>
  <si>
    <t>PEKERJAAN PERSIAPAN</t>
  </si>
  <si>
    <t>Pas.Bouwplank</t>
  </si>
  <si>
    <t>M'</t>
  </si>
  <si>
    <t>Air dan Listrik kerja</t>
  </si>
  <si>
    <t>LS</t>
  </si>
  <si>
    <t>Gudang/Direksi Keet</t>
  </si>
  <si>
    <t>Keamanan + Kebersihan</t>
  </si>
  <si>
    <t>Anti Rayap Rumah - Tanah</t>
  </si>
  <si>
    <t>M2</t>
  </si>
  <si>
    <t xml:space="preserve">                               - Bangunan</t>
  </si>
  <si>
    <t>II</t>
  </si>
  <si>
    <t>PEK. GALIAN</t>
  </si>
  <si>
    <t>Galian Tanah</t>
  </si>
  <si>
    <t>M3</t>
  </si>
  <si>
    <t>Urugan Tanah Kembali + buang (perataan)</t>
  </si>
  <si>
    <t>Urugan pasir bawah lantai t. 5cm dan Pondasi</t>
  </si>
  <si>
    <t xml:space="preserve">Floor lantai dasar 4cm </t>
  </si>
  <si>
    <t>III</t>
  </si>
  <si>
    <t>PEK.PONDASI:</t>
  </si>
  <si>
    <t>Pondasi Batu Kali</t>
  </si>
  <si>
    <t>Rollag Bata</t>
  </si>
  <si>
    <t>m3</t>
  </si>
  <si>
    <t>IV</t>
  </si>
  <si>
    <t>PEK.STRUKTUR:</t>
  </si>
  <si>
    <t xml:space="preserve"> - Beton K175</t>
  </si>
  <si>
    <t>Sloof</t>
  </si>
  <si>
    <t>Balok Lantai 1</t>
  </si>
  <si>
    <t>Ring Balok dan balok latai</t>
  </si>
  <si>
    <t>Kolom Beton type   K1 dan K2</t>
  </si>
  <si>
    <t>Kolom Praktis</t>
  </si>
  <si>
    <t>Plat Canopy</t>
  </si>
  <si>
    <t xml:space="preserve">Dak beton Talang t. 12 cm </t>
  </si>
  <si>
    <t>Meja Dapur</t>
  </si>
  <si>
    <t>V</t>
  </si>
  <si>
    <t>PEK. FINISHING LANTAI</t>
  </si>
  <si>
    <t>Lantai keramik 50x50  R. Teras Depan</t>
  </si>
  <si>
    <t xml:space="preserve">Lantai keramik 50x50  R. Teras Belakang </t>
  </si>
  <si>
    <t>Lantai Granite 60x60 R. Tamu,r. tidur, r. Keluarga,r. Makan dan dapur</t>
  </si>
  <si>
    <t xml:space="preserve">eks. Sandi Mas  type Lotus White... </t>
  </si>
  <si>
    <t>Lantai keramik  KM /WC Lantai Dasar</t>
  </si>
  <si>
    <t>Plin 10x40 cm (tanpa Plint hanya Nat)</t>
  </si>
  <si>
    <t>Rabat beton + Koral sikat pd carport incld. kansteen pembatas Carport</t>
  </si>
  <si>
    <t>VI</t>
  </si>
  <si>
    <t>PEK. FINISHING DINDING:</t>
  </si>
  <si>
    <t>Keramik Dinding</t>
  </si>
  <si>
    <t>KM / WC Lt. Dasar ukr. 25x50 tinggi 200 cm.</t>
  </si>
  <si>
    <t>KM / WC R. Service ukr. 40x40cm</t>
  </si>
  <si>
    <t>Ruang Dapur dan meja dapur ukr. 20x20</t>
  </si>
  <si>
    <t>VII</t>
  </si>
  <si>
    <t>PEK. PLAFOND:</t>
  </si>
  <si>
    <t>Plafond Gypsum t. 9mm + rangka hollow</t>
  </si>
  <si>
    <t>Cornice Coakan bagian dalam</t>
  </si>
  <si>
    <t>Cornice   Luar 4x4 cm</t>
  </si>
  <si>
    <t>Plafond Calsiboard t. 4mm rk. Hollow (plafond KM/WC + plafond luar)</t>
  </si>
  <si>
    <t>VIII</t>
  </si>
  <si>
    <t>PEK. PASANGAN BATA &amp; PLASTERAN</t>
  </si>
  <si>
    <t>Pas.Bata Trasraam 1:2</t>
  </si>
  <si>
    <t>Pas.Bata 1:5</t>
  </si>
  <si>
    <t>Plester dan Acian Dinding</t>
  </si>
  <si>
    <t>IX</t>
  </si>
  <si>
    <t>PEK.ATAP:</t>
  </si>
  <si>
    <t>Konst. Atap  Bangunan Utama (baja ringan fin. Galvanised) + almn. Foil</t>
  </si>
  <si>
    <t>Pasangan Atap Genteng beton</t>
  </si>
  <si>
    <t>Pek. Lisplang  teras belakang, atas dan muka</t>
  </si>
  <si>
    <t>Flashing</t>
  </si>
  <si>
    <t>Genteng Nok</t>
  </si>
  <si>
    <t>Genting tepi</t>
  </si>
  <si>
    <t>X</t>
  </si>
  <si>
    <t>PEKERJAAN PINTU DAN JENDELA</t>
  </si>
  <si>
    <t>Daun pintu Utama, Dalam dan KM/WC incld. Finished terpasang</t>
  </si>
  <si>
    <t>-</t>
  </si>
  <si>
    <t>Daun Pintu dalam P1 (laminated)</t>
  </si>
  <si>
    <t>BH</t>
  </si>
  <si>
    <t>Daun Pintu utama doubel teak wood rangka singkil (seperti gbr + accs)</t>
  </si>
  <si>
    <t>Kusen Almn eks.</t>
  </si>
  <si>
    <t>Kusen +dn jendela  (2 daun) + kaca + accs (PJ1)</t>
  </si>
  <si>
    <t>Unit</t>
  </si>
  <si>
    <t>Kusen +2 dn jendela kaca + BV + accs (PJ2)</t>
  </si>
  <si>
    <t>Kusen + 2 dn jendela  + kaca +  accs R. tidur belakang (W5)</t>
  </si>
  <si>
    <t>Kusen +dn jendela  t. 5mm + accs R. tidur depan dan R. Tamu (W1&amp;W4)</t>
  </si>
  <si>
    <t>Kusen + kaca mati t. 6mm pada bagian atas  (type W6)</t>
  </si>
  <si>
    <t>Kusen + kaca mati t. 5mm pada bagian T. Muka  type W2, W3</t>
  </si>
  <si>
    <t>Kunci dan Engsel</t>
  </si>
  <si>
    <t>Kunci Pintu PU</t>
  </si>
  <si>
    <t>Kunci Pintu PJ1, Pintu dalam &amp; Km/wc dalam  + accs</t>
  </si>
  <si>
    <t>Engsel Daun Pintu</t>
  </si>
  <si>
    <t>bh</t>
  </si>
  <si>
    <t>XI</t>
  </si>
  <si>
    <t>PEK.PENGECATAN:</t>
  </si>
  <si>
    <t>Cat Dinding Dalam  ex. Catylac</t>
  </si>
  <si>
    <t>Cat Dinding Luar ex. ICI wheathershield</t>
  </si>
  <si>
    <t>Cat Plafond (incld. Cat cornice)</t>
  </si>
  <si>
    <t>Cat Listplank Kayu + grc</t>
  </si>
  <si>
    <t>Cat genting nok</t>
  </si>
  <si>
    <t>XII</t>
  </si>
  <si>
    <t>PEK. SANITASI DAN SALURAN</t>
  </si>
  <si>
    <t>KM/WC:</t>
  </si>
  <si>
    <t xml:space="preserve">Closet Monoblok terpasang lengkap + accs </t>
  </si>
  <si>
    <t xml:space="preserve">Wastafel terpasang lengkap + accs (kaca cermin) </t>
  </si>
  <si>
    <t xml:space="preserve">Kran Wastafel </t>
  </si>
  <si>
    <t xml:space="preserve"> Shower set</t>
  </si>
  <si>
    <t>Tempat Sabun</t>
  </si>
  <si>
    <t>Jet Spray u/ closet</t>
  </si>
  <si>
    <t>Dapur</t>
  </si>
  <si>
    <t>Kran sink + accs.</t>
  </si>
  <si>
    <t>Kicthen Sink + accs</t>
  </si>
  <si>
    <t>Kran Taman (Carport)</t>
  </si>
  <si>
    <t>Floor Drain (stainless lokal)</t>
  </si>
  <si>
    <t>Roof Drain Dak talang</t>
  </si>
  <si>
    <t>Instalasi Air Bersih:</t>
  </si>
  <si>
    <t>1/2"</t>
  </si>
  <si>
    <t>3/4"</t>
  </si>
  <si>
    <t>Instalasi Air Kotor: dan air hujan</t>
  </si>
  <si>
    <t>3"</t>
  </si>
  <si>
    <t>4"   (buangan s/d saluran kota)</t>
  </si>
  <si>
    <t>Bak Kontrol</t>
  </si>
  <si>
    <t>Bak Meter air</t>
  </si>
  <si>
    <t>XIII</t>
  </si>
  <si>
    <t>PEK.INSTALASI LISTRIK:</t>
  </si>
  <si>
    <t xml:space="preserve"> - accs. Listrik ex. Broco Gratio</t>
  </si>
  <si>
    <t>Instalasi Titik Lampu (incld. Fiting)</t>
  </si>
  <si>
    <t>TTK</t>
  </si>
  <si>
    <t>Instalasi Stop Kontak</t>
  </si>
  <si>
    <t>Lampu Taman</t>
  </si>
  <si>
    <t>Instalasi Telepon incld outlet telp.</t>
  </si>
  <si>
    <t>Instalasi TV (incl. Outlet, + accs)</t>
  </si>
  <si>
    <t>Instalasi water heater  (incl. Outlet, + accs)</t>
  </si>
  <si>
    <t>Instalasi Stop Kontak AC</t>
  </si>
  <si>
    <t>Instalasi Exhoust Fan (incld. Unit Exhoust + accs)</t>
  </si>
  <si>
    <t>Saklar Single</t>
  </si>
  <si>
    <t>Saklar Ganda</t>
  </si>
  <si>
    <t>Stop Kontak Biasa</t>
  </si>
  <si>
    <t>Sparing SR Listrik dan telp dari Jar Kota ke Box MCB</t>
  </si>
  <si>
    <t>lot</t>
  </si>
  <si>
    <t>Grounding Kabel BC 6mm</t>
  </si>
  <si>
    <t>Lot</t>
  </si>
  <si>
    <t>Box Panel (incld. kabel tufur + MCB)</t>
  </si>
  <si>
    <t>unit</t>
  </si>
  <si>
    <t>XIV</t>
  </si>
  <si>
    <t>PEK. LAIN - LAIN</t>
  </si>
  <si>
    <t>Septictank dan rembesan</t>
  </si>
  <si>
    <t>PEK. PERUBAHAN BENTUK TAMPAK MUKA</t>
  </si>
  <si>
    <t>Pasangan Type Arcilla eks. Flexitile  ukr. 30x60 cm (matrial saja</t>
  </si>
  <si>
    <t>m2</t>
  </si>
  <si>
    <t>harga Rp. ,- (excld PPn)</t>
  </si>
  <si>
    <t>Water Proofing type Coating pada dak talang</t>
  </si>
  <si>
    <t>Finishing Kolom kotak pada teras Depan</t>
  </si>
  <si>
    <t>Plor aci dag talang &amp; canopy</t>
  </si>
  <si>
    <t>Opening lubang pintu &amp; jendela</t>
  </si>
  <si>
    <t>Sub. Total</t>
  </si>
  <si>
    <t>PEKERJAAN PLESTER DINDING SAMPING</t>
  </si>
  <si>
    <t>Plester dinding samping kanan (plester aci + aquaproof)</t>
  </si>
  <si>
    <t>Plester dinding samping kiri (plester aci + aquaproof)</t>
  </si>
  <si>
    <t>Plester dinding belakang  (pagar)</t>
  </si>
  <si>
    <t>REKAPITULASI</t>
  </si>
  <si>
    <t xml:space="preserve"> </t>
  </si>
  <si>
    <t>Prosentasi</t>
  </si>
  <si>
    <t>XV</t>
  </si>
  <si>
    <t>XVI</t>
  </si>
  <si>
    <t xml:space="preserve">Total </t>
  </si>
  <si>
    <t>jasa 10 %</t>
  </si>
  <si>
    <t>Sub Total</t>
  </si>
  <si>
    <t>PPN 10 %</t>
  </si>
  <si>
    <t>GrandTotal</t>
  </si>
  <si>
    <t>pembulatan</t>
  </si>
  <si>
    <t>Luas ( m2) konst</t>
  </si>
  <si>
    <t>Harga /m2 ( Excl PPN)</t>
  </si>
  <si>
    <t>Harga per m2 excld ppn</t>
  </si>
  <si>
    <t>New Livistona 2 39/72</t>
  </si>
  <si>
    <t>T. 39/72</t>
  </si>
  <si>
    <t xml:space="preserve">Rencana Anggaran Biaya (Penawaran Final) </t>
  </si>
  <si>
    <t>PEMBANGUNAN EXPANTION SITE OFFICE CITRALAND CIBUBUR</t>
  </si>
  <si>
    <t>URAIAN PEKERJAAN</t>
  </si>
  <si>
    <t>SPESIFIKASI</t>
  </si>
  <si>
    <t>SAT</t>
  </si>
  <si>
    <t>VOL</t>
  </si>
  <si>
    <t>Harga Satuan</t>
  </si>
  <si>
    <t>Pas. bouwplank</t>
  </si>
  <si>
    <t>papan + kaso serut halus</t>
  </si>
  <si>
    <t xml:space="preserve">Gudang </t>
  </si>
  <si>
    <t>dibelakang Posko (samping)</t>
  </si>
  <si>
    <t>Air &amp; Listrik kerja +  Keamanan</t>
  </si>
  <si>
    <t>selama kerja</t>
  </si>
  <si>
    <t>Pembersihan</t>
  </si>
  <si>
    <t xml:space="preserve">Pekj. Partisi project u.kerapian </t>
  </si>
  <si>
    <t>Rangka Baja ringan + MMT</t>
  </si>
  <si>
    <t>m1</t>
  </si>
  <si>
    <t xml:space="preserve">PEKERJAAN BONGKARAN dan PERBAIKAN </t>
  </si>
  <si>
    <t xml:space="preserve">Bongkar dinding Bata dari R. Dalam dan R. Gudang </t>
  </si>
  <si>
    <t>Bongkar dinding Partisi dan kusen</t>
  </si>
  <si>
    <t>Bongkar dinding Jendela Almunium</t>
  </si>
  <si>
    <t>Bongkar dinding untuk pasang Pintu R. Meeting 1</t>
  </si>
  <si>
    <t>Pembuatan Kongliong</t>
  </si>
  <si>
    <t>Bongkar stop kontak tanam</t>
  </si>
  <si>
    <t>ttk</t>
  </si>
  <si>
    <t>Bongkar lampu</t>
  </si>
  <si>
    <t>PEKERJAAN GALIAN</t>
  </si>
  <si>
    <t>Urugan tanah kembali</t>
  </si>
  <si>
    <t>Urugan tanah dipadatkan</t>
  </si>
  <si>
    <t>PEKERJAAN PONDASI</t>
  </si>
  <si>
    <t>Urugan pasir bawah pondasi + lantai</t>
  </si>
  <si>
    <t>pasir urug</t>
  </si>
  <si>
    <t>Lantai kerja bawah pondasi tapak</t>
  </si>
  <si>
    <t>adk. 1;3;5</t>
  </si>
  <si>
    <t>Pas. pondasi lajur batu belah</t>
  </si>
  <si>
    <t>Batu belah hitam adk. 1;5</t>
  </si>
  <si>
    <t xml:space="preserve">Beton pondasi tapak 80x80 cm t 25 Cm </t>
  </si>
  <si>
    <t>K-225 tul. Bawah D13- 15 atas dia 10-20</t>
  </si>
  <si>
    <t>PEKERJAAN STRUKTUR BETON</t>
  </si>
  <si>
    <t xml:space="preserve">Pekj. Beton Sloof ukr. 20/30 </t>
  </si>
  <si>
    <t>Beton K-225 tul. 4D13 Sk. 8-20/25</t>
  </si>
  <si>
    <t xml:space="preserve">Pekj. Beton Kolom Struktur Ukr. 20x30  cm </t>
  </si>
  <si>
    <t>Beton K-225 tul. 8D13 sk. 8 - 15/20</t>
  </si>
  <si>
    <t>Pekj. Beton Kolom Praktis ukr. 13/13 cm</t>
  </si>
  <si>
    <t>Beton K-225 tul. 4 dia 10 sk. 8-25</t>
  </si>
  <si>
    <t>Pekj. Balok Dak Talang</t>
  </si>
  <si>
    <t>Beton K-225 Tul. 5 D13 sk 8 - 15/20</t>
  </si>
  <si>
    <t>Pekj. Beton canopy dan  Talang T. 12 cm</t>
  </si>
  <si>
    <t>Beton K-225 Tul. Dia 8 - 15 dua lapis</t>
  </si>
  <si>
    <t xml:space="preserve">Pekj. Beton Ring Balk Ukr. 15/20cm </t>
  </si>
  <si>
    <t>PEKERJAAN STRUKTUR BAJA &amp; ATAP</t>
  </si>
  <si>
    <t>PEKERJAAN PASANG BATA RINGAN</t>
  </si>
  <si>
    <t>Pas bata ringan</t>
  </si>
  <si>
    <t>Bata Ringan Power Blok</t>
  </si>
  <si>
    <t>Pekj. Plester Aci dinding</t>
  </si>
  <si>
    <t>semen Instan</t>
  </si>
  <si>
    <t>Pas. Dinding partisi</t>
  </si>
  <si>
    <t>Partisi double gypsum board Ex. Gyproc</t>
  </si>
  <si>
    <t>rk. Baja ringan + accs</t>
  </si>
  <si>
    <t>PEKERJAAN PINTU,  JENDELA ALUMUNIUM dan PARTISI  (eks. Alexindo powder Coating Putih)</t>
  </si>
  <si>
    <t>Pintu Genset Double Swing</t>
  </si>
  <si>
    <t>Pintu  PJ1 kamar mandi</t>
  </si>
  <si>
    <t>Pintu  P1 (Pintu dalam ) sesuai existing</t>
  </si>
  <si>
    <t>Jendela J1</t>
  </si>
  <si>
    <t>Pasang Jendela  existing  (bongkaran)</t>
  </si>
  <si>
    <t>PEKERJAAN  PLAFOND</t>
  </si>
  <si>
    <t>Plafond Gypsum Board</t>
  </si>
  <si>
    <t xml:space="preserve">Rangka Hollow, Gypsum Ex. Elephant </t>
  </si>
  <si>
    <t xml:space="preserve">List Plafond Gypsum </t>
  </si>
  <si>
    <t xml:space="preserve">Gypsum </t>
  </si>
  <si>
    <t>PEKERJAAN PENGECATAN</t>
  </si>
  <si>
    <t xml:space="preserve">Cat Dinding Dalam </t>
  </si>
  <si>
    <t>Ex. CATAYLAC warna Paperlace</t>
  </si>
  <si>
    <t>Cat Exterior Dinding Luar</t>
  </si>
  <si>
    <t xml:space="preserve">Ex. ICI </t>
  </si>
  <si>
    <t>Waterproofing</t>
  </si>
  <si>
    <t>Ex. SIKA TOP 107, Leveling dan SIKA RAIN TITE</t>
  </si>
  <si>
    <t>PEKERJAAN FINISHING LANTAI</t>
  </si>
  <si>
    <t>Keramik lantai</t>
  </si>
  <si>
    <t>HT eks. Sandi Mas  60x60cm</t>
  </si>
  <si>
    <t xml:space="preserve">Plint Lantai HT eks. Sandi Mas </t>
  </si>
  <si>
    <t xml:space="preserve">HT. 10x60 cm </t>
  </si>
  <si>
    <t>PEKERJAAN INSTALASI LISTRIK</t>
  </si>
  <si>
    <t>Instalasi Titik Lampu</t>
  </si>
  <si>
    <t xml:space="preserve"> Eterna NYM 3x2.5mm;2x2.5mm, Pipa CLIPSAL 5/8, T dus</t>
  </si>
  <si>
    <t>Eterna  NYM 3x2.5mm;2x2.5mm, Pipa CLIPSAL 5/8, T dus</t>
  </si>
  <si>
    <t>Instalasi Telpon</t>
  </si>
  <si>
    <t>Lampu RM</t>
  </si>
  <si>
    <t xml:space="preserve">Lampu RM LED 2X18 watt </t>
  </si>
  <si>
    <t>Saklar Tunggal</t>
  </si>
  <si>
    <t>Ex. Schneider ZENCELO E8431_1_SZ_G3</t>
  </si>
  <si>
    <t>Ex. Schneider ZENCELO E8432_1_SZ_G3</t>
  </si>
  <si>
    <t xml:space="preserve">Stop Kontak </t>
  </si>
  <si>
    <t>Ex.Schneider ZENCELO E84426_16S_SZ_G3</t>
  </si>
  <si>
    <t xml:space="preserve">Stop Kontak tanam </t>
  </si>
  <si>
    <t>Ex.Schneider atau setara</t>
  </si>
  <si>
    <t>Socket Telpon</t>
  </si>
  <si>
    <t>Ex. Schneider ZENCELO RJ11 E8431RJS4_SZ</t>
  </si>
  <si>
    <t>Sparing Pembuangan AC+Titik Power (api)</t>
  </si>
  <si>
    <t>Ex.Wavin PVC 1/2" + Titik Api + stop kontak</t>
  </si>
  <si>
    <t>Bh</t>
  </si>
  <si>
    <t xml:space="preserve">MCB tambahan </t>
  </si>
  <si>
    <t>Ex. Merlin Gerin  6A, 10A.  4 unit</t>
  </si>
  <si>
    <t>PEKERJAAN  SANITASI DAN SALURAN</t>
  </si>
  <si>
    <t>INSTALASI AIR HUJAN  + ACCESSORIES</t>
  </si>
  <si>
    <t>Pipa PVC dia. 3"</t>
  </si>
  <si>
    <t>Ex.Wavin PVC / AW dia 3"</t>
  </si>
  <si>
    <t>Roof drain</t>
  </si>
  <si>
    <t xml:space="preserve">model Lotus  dia 3" </t>
  </si>
  <si>
    <t>Air bersih</t>
  </si>
  <si>
    <t>Air Kotor</t>
  </si>
  <si>
    <t>PEKERJAAN  LAIN - LAIN</t>
  </si>
  <si>
    <t xml:space="preserve">Pekerjaan perapihan opening bongkaran </t>
  </si>
  <si>
    <t xml:space="preserve">Finishing canopy Cantilever </t>
  </si>
  <si>
    <t>Pekj. Inst. Lan Komputer</t>
  </si>
  <si>
    <t>titik</t>
  </si>
  <si>
    <t>Pekj. Inst Lan Telp</t>
  </si>
  <si>
    <t>Pembuatan kamar mandi baru + Shower</t>
  </si>
  <si>
    <t>Pembulatan</t>
  </si>
  <si>
    <t>PPN 10%</t>
  </si>
  <si>
    <t>Total</t>
  </si>
  <si>
    <t>NEW ATALEYA  55/60 (KAV. 6 x 10 m)</t>
  </si>
  <si>
    <t>Harga satuan</t>
  </si>
  <si>
    <t>t. 55/60</t>
  </si>
  <si>
    <t>PEK. GALIAN DAN URUGAN</t>
  </si>
  <si>
    <t>Pemadatan tanah dasar dan pondasi</t>
  </si>
  <si>
    <t>Pondasi Batu Kali ( ukr. 25 x 60 X 60 dan 25X50x50)</t>
  </si>
  <si>
    <t>Footplat K175 tul. Ø8-15</t>
  </si>
  <si>
    <t>Sloof K175</t>
  </si>
  <si>
    <t>Balok Lantai &amp; Tangga K225</t>
  </si>
  <si>
    <t>Ring Balok dan Balok Dak K175</t>
  </si>
  <si>
    <t>Balok Praktis</t>
  </si>
  <si>
    <t>Kolom Beton Lantai 1</t>
  </si>
  <si>
    <t>Kolom Beton Lantai 2</t>
  </si>
  <si>
    <t xml:space="preserve">Kolom Praktis KP </t>
  </si>
  <si>
    <t>Plat Lantai t. 12 cm K225</t>
  </si>
  <si>
    <t>Tangga Beton K225</t>
  </si>
  <si>
    <t xml:space="preserve">Plat Dak &amp; Luifel t.10 cm K175, dak atap dan Canopy . </t>
  </si>
  <si>
    <t xml:space="preserve">Tambah Kurang Pekj. Beton </t>
  </si>
  <si>
    <t>Lantai keramik 60x60 Teras ex. Valentino Grey</t>
  </si>
  <si>
    <t>Lantai keramik 60x60  Dapur ex. Valentino Grey</t>
  </si>
  <si>
    <t>eks. Sandi Mas  type Alaska</t>
  </si>
  <si>
    <t>Lantai keramik  KM /WC 1, ex. Valentino Gress - Tropez Grey</t>
  </si>
  <si>
    <t>Lantai keramik  KM /WC 2, ex. Valentino Gress - Sonora Bone</t>
  </si>
  <si>
    <t>Lantai keramik  KM /WC PRT, Volcano Sand ex. Sandimas</t>
  </si>
  <si>
    <t>Plin 10x60 cm</t>
  </si>
  <si>
    <t>Pekerjaan Lapisan Tangga Conwood Incl. Pasang + Finishing</t>
  </si>
  <si>
    <t>Dinding keramik  KM /WC 1, HT eks. Valentino Gress - Wooden Grey Stone</t>
  </si>
  <si>
    <t>Dinding keramik  KM /WC 2, ex. Sandimas - Lotus White</t>
  </si>
  <si>
    <t>KM / WC 1 Area Shower ukr. 25x50, Cubico Grey ex. Roman</t>
  </si>
  <si>
    <t>KM / WC 2 Area Shower Mossaic, ex. HK Pearl D 306</t>
  </si>
  <si>
    <t>Meja dapur ukr. 60x60</t>
  </si>
  <si>
    <t>Dinding dapur ukr. 60x60</t>
  </si>
  <si>
    <t>Plafond exposed area Tangga dak beton dan canopy</t>
  </si>
  <si>
    <t>Genteng Nok 3 Arah</t>
  </si>
  <si>
    <t>Genteng Nok Ujung</t>
  </si>
  <si>
    <t>Daun Pintu Utama</t>
  </si>
  <si>
    <t>Daun Pintu Belakang</t>
  </si>
  <si>
    <t>Daun Pintu Dalam</t>
  </si>
  <si>
    <t>Daun Pintu KM/WC</t>
  </si>
  <si>
    <t>Ls</t>
  </si>
  <si>
    <t>Kusen + daun jendela + daun jendela mati + kaca + accs (PU)</t>
  </si>
  <si>
    <t>Kusen + daun jendela (1 daun) + kaca + accs (J1)</t>
  </si>
  <si>
    <t>Kusen + daun jendela (2 daun) + kaca + accs (J2)</t>
  </si>
  <si>
    <t>Kusen + daun jendela + daun jendela mati + kaca + accs (J3)</t>
  </si>
  <si>
    <t>Kusen + daun jendela + daun jendela mati + kaca + accs (J4)</t>
  </si>
  <si>
    <t>Kusen + daun jendela mati (2 daun) + kaca + accs (J5)</t>
  </si>
  <si>
    <t>Kusen + daun jendela + daun jendela mati + kaca + accs (J6)</t>
  </si>
  <si>
    <t>Kusen + daun jendela mati + kaca + accs (K1)</t>
  </si>
  <si>
    <t>Kusen + daun jendela mati + kaca + accs (K2)</t>
  </si>
  <si>
    <t>Kusen + daun jendela mati + kaca + accs (K3)</t>
  </si>
  <si>
    <t>Kusen pintu (P1)</t>
  </si>
  <si>
    <t>Kusen pintu (P2)</t>
  </si>
  <si>
    <t>Kusen pintu (P3) + Daun Pintu + Kaca</t>
  </si>
  <si>
    <t>Kusen pintu (P4) + Daun Pintu + Kaca</t>
  </si>
  <si>
    <t>Kunci Pintu PB, Pintu dalam &amp; Km/wc dalam  + accs</t>
  </si>
  <si>
    <t>Cat Dinding Dalam  ex. Decolith</t>
  </si>
  <si>
    <t>KM/WC 1:</t>
  </si>
  <si>
    <t>Tempat Sabun (coakan)</t>
  </si>
  <si>
    <t>KM/WC 2:</t>
  </si>
  <si>
    <t xml:space="preserve">Wastafel terpasang lengkap + accs (incld. kaca cermin) </t>
  </si>
  <si>
    <t>3/4" Hot</t>
  </si>
  <si>
    <t>3/4" Cold</t>
  </si>
  <si>
    <t>1.5"</t>
  </si>
  <si>
    <t>2.5"</t>
  </si>
  <si>
    <t xml:space="preserve"> - accs. Listrik ex. Clipsal</t>
  </si>
  <si>
    <t>Instalasi Water Heater  (incl. Outlet, + accs)</t>
  </si>
  <si>
    <t>Stop Kontak AC</t>
  </si>
  <si>
    <t>Stop Kontak Water Heater</t>
  </si>
  <si>
    <t>Septictank dan rembesan (terpasang)</t>
  </si>
  <si>
    <t>Pekerjaan Resapan ukr. 100x100x250cm (sesuai gbr + accs)</t>
  </si>
  <si>
    <t>Railing Tangga (sesuai gambar) besi Stainless Steell dia 3/4"</t>
  </si>
  <si>
    <t>+ accs  (hand rail kayu Fin. Politour)</t>
  </si>
  <si>
    <t>Pekerjaan Bak Sampah dan bak Meter Air sesuai Gbr + accs</t>
  </si>
  <si>
    <t xml:space="preserve">pasangan Bata + Accs </t>
  </si>
  <si>
    <t>Dinding eksterior lt. 2, motif  Travertine 60x60cm tanpa nat ex. Valentino</t>
  </si>
  <si>
    <t>diluar pemasangan Rp. 185.000,- excld PPn/m2)</t>
  </si>
  <si>
    <t>Dinding eksterior lt. 1,  Abu-abu 60x60cm tanpa nat ex. Valentino</t>
  </si>
  <si>
    <t>Finishing profil Beton tampak Muka pada overstek dan canopy</t>
  </si>
  <si>
    <t>Water Proofing type Coating pada dak talang dan Kamar Mandi</t>
  </si>
  <si>
    <t>Plester dinding samping kanan ( aquaproof)</t>
  </si>
  <si>
    <t>Plester dinding samping kiri ( aquaproof)</t>
  </si>
  <si>
    <t xml:space="preserve">Plester dinding belakang cat dinding </t>
  </si>
  <si>
    <t>cat :</t>
  </si>
  <si>
    <t>Alm. Harga MOU Rp. 15.000.000,-</t>
  </si>
  <si>
    <t xml:space="preserve">Jumlah </t>
  </si>
  <si>
    <t xml:space="preserve">Fee 10% </t>
  </si>
  <si>
    <t xml:space="preserve">Jumlah Total </t>
  </si>
  <si>
    <t>Ppn 10%</t>
  </si>
  <si>
    <t>TOTAL</t>
  </si>
  <si>
    <t>NEW ATALEYA  46/60 (5X12)</t>
  </si>
  <si>
    <t>t. 46/60</t>
  </si>
  <si>
    <t>Sloof K175 ukr. 15 x 25</t>
  </si>
  <si>
    <t xml:space="preserve">Tambah Kurang volume Beton </t>
  </si>
  <si>
    <t xml:space="preserve">Lantai keramik 60x60 Teras, HT ex. Valentino </t>
  </si>
  <si>
    <t>Lantai keramik 60x60  Dapur eks. Sandi mas</t>
  </si>
  <si>
    <t>eks. Sandi Mas  type Alphine</t>
  </si>
  <si>
    <t>Lantai keramik  KM /WC 1, ex. Roman</t>
  </si>
  <si>
    <t>Lantai keramik  KM /WC 2, Volcano Sand ex. Sandimas</t>
  </si>
  <si>
    <t>Pekerjaan Lapisan Granit 60x60 + stepnosing + Finishing</t>
  </si>
  <si>
    <t>Dinding keramik  KM /WC 1, HT eks. Sandi Mas</t>
  </si>
  <si>
    <t>Dinding keramik  KM /WC 2, type ... ex. Sandimas</t>
  </si>
  <si>
    <t>KM / WC 1 Area Shower ukr. 60x60 Type Mozaik  eks. Valentino</t>
  </si>
  <si>
    <t>Fee 10%</t>
  </si>
  <si>
    <t xml:space="preserve">Bongkar Canopy beton lama T. 20 cm L. 75 cm </t>
  </si>
  <si>
    <t xml:space="preserve">Cuting dan bongkar Aspal </t>
  </si>
  <si>
    <t xml:space="preserve">Lebar 30cm </t>
  </si>
  <si>
    <t xml:space="preserve">Galian pondasi tapak + </t>
  </si>
  <si>
    <t xml:space="preserve">galian tanah Pondasi tapak </t>
  </si>
  <si>
    <t xml:space="preserve">Perbaikan Sambungan Plafond lama dan baru </t>
  </si>
  <si>
    <t>area lama dan baru</t>
  </si>
  <si>
    <t>Lampu Down Light</t>
  </si>
  <si>
    <t>1\2"</t>
  </si>
  <si>
    <t>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</si>
</sst>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 * #,##0_ ;_ * \-#,##0_ ;_ * &quot;-&quot;??_ ;_ @_ "/>
    <numFmt numFmtId="167" formatCode="_(* #,##0.0_);_(* \(#,##0.0\);_(* &quot;-&quot;?_);_(@_)"/>
    <numFmt numFmtId="168" formatCode="_(* #,##0.00_);_(* \(#,##0.00\);_(* &quot;-&quot;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Monotype Corsiva"/>
      <family val="4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Bookman Old Style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0"/>
      <name val="Arial"/>
      <family val="2"/>
    </font>
    <font>
      <b/>
      <i/>
      <sz val="10"/>
      <name val="Arial"/>
      <family val="2"/>
    </font>
    <font>
      <b/>
      <sz val="14"/>
      <color theme="1"/>
      <name val="Monotype Corsiva"/>
      <family val="4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2"/>
      <color theme="1"/>
      <name val="Arial"/>
      <family val="2"/>
    </font>
    <font>
      <sz val="10"/>
      <color rgb="FFFFFFFF"/>
      <name val="Arial"/>
      <family val="2"/>
    </font>
    <font>
      <i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>
      <alignment vertical="center"/>
    </xf>
    <xf numFmtId="41" fontId="1" fillId="0" borderId="0" applyFont="0" applyFill="0" applyBorder="0" applyAlignment="0" applyProtection="0"/>
  </cellStyleXfs>
  <cellXfs count="295">
    <xf numFmtId="0" fontId="0" fillId="0" borderId="0" xfId="0"/>
    <xf numFmtId="0" fontId="3" fillId="0" borderId="0" xfId="2" applyFont="1"/>
    <xf numFmtId="0" fontId="4" fillId="0" borderId="0" xfId="2" applyFont="1"/>
    <xf numFmtId="0" fontId="2" fillId="0" borderId="0" xfId="2"/>
    <xf numFmtId="43" fontId="2" fillId="0" borderId="0" xfId="3" applyFill="1"/>
    <xf numFmtId="43" fontId="2" fillId="0" borderId="0" xfId="3" applyFont="1"/>
    <xf numFmtId="164" fontId="4" fillId="0" borderId="0" xfId="2" applyNumberFormat="1" applyFont="1"/>
    <xf numFmtId="43" fontId="5" fillId="0" borderId="0" xfId="3" applyFont="1" applyFill="1"/>
    <xf numFmtId="43" fontId="5" fillId="0" borderId="0" xfId="3" applyFont="1"/>
    <xf numFmtId="43" fontId="6" fillId="0" borderId="0" xfId="3" applyFont="1" applyAlignment="1">
      <alignment horizontal="right"/>
    </xf>
    <xf numFmtId="43" fontId="4" fillId="0" borderId="2" xfId="3" applyFont="1" applyFill="1" applyBorder="1" applyAlignment="1">
      <alignment horizontal="center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3" xfId="3" applyFont="1" applyFill="1" applyBorder="1" applyAlignment="1">
      <alignment horizontal="center" vertical="center"/>
    </xf>
    <xf numFmtId="43" fontId="4" fillId="0" borderId="4" xfId="3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center" vertical="center"/>
    </xf>
    <xf numFmtId="43" fontId="2" fillId="0" borderId="5" xfId="3" applyFont="1" applyFill="1" applyBorder="1" applyAlignment="1">
      <alignment horizontal="center" vertical="center"/>
    </xf>
    <xf numFmtId="43" fontId="2" fillId="2" borderId="5" xfId="3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center" vertical="center"/>
    </xf>
    <xf numFmtId="43" fontId="2" fillId="0" borderId="3" xfId="3" applyFont="1" applyFill="1" applyBorder="1" applyAlignment="1">
      <alignment horizontal="right" vertical="center"/>
    </xf>
    <xf numFmtId="43" fontId="2" fillId="2" borderId="3" xfId="3" applyFont="1" applyFill="1" applyBorder="1" applyAlignment="1">
      <alignment horizontal="right" vertical="center"/>
    </xf>
    <xf numFmtId="0" fontId="5" fillId="0" borderId="3" xfId="2" applyFont="1" applyBorder="1" applyAlignment="1">
      <alignment horizontal="right"/>
    </xf>
    <xf numFmtId="0" fontId="5" fillId="0" borderId="3" xfId="2" applyFont="1" applyBorder="1"/>
    <xf numFmtId="0" fontId="5" fillId="0" borderId="3" xfId="2" applyFont="1" applyBorder="1" applyAlignment="1">
      <alignment horizontal="center"/>
    </xf>
    <xf numFmtId="43" fontId="5" fillId="0" borderId="3" xfId="3" applyFont="1" applyFill="1" applyBorder="1" applyAlignment="1">
      <alignment horizontal="right"/>
    </xf>
    <xf numFmtId="165" fontId="5" fillId="0" borderId="3" xfId="3" applyNumberFormat="1" applyFont="1" applyFill="1" applyBorder="1" applyAlignment="1">
      <alignment horizontal="right"/>
    </xf>
    <xf numFmtId="43" fontId="5" fillId="2" borderId="3" xfId="3" applyFont="1" applyFill="1" applyBorder="1" applyAlignment="1">
      <alignment horizontal="right"/>
    </xf>
    <xf numFmtId="43" fontId="9" fillId="0" borderId="3" xfId="3" applyFont="1" applyFill="1" applyBorder="1" applyAlignment="1">
      <alignment horizontal="right"/>
    </xf>
    <xf numFmtId="43" fontId="8" fillId="2" borderId="6" xfId="3" applyFont="1" applyFill="1" applyBorder="1" applyAlignment="1">
      <alignment horizontal="right"/>
    </xf>
    <xf numFmtId="0" fontId="8" fillId="0" borderId="3" xfId="2" applyFont="1" applyBorder="1" applyAlignment="1">
      <alignment horizontal="right"/>
    </xf>
    <xf numFmtId="0" fontId="8" fillId="0" borderId="3" xfId="2" applyFont="1" applyBorder="1"/>
    <xf numFmtId="43" fontId="9" fillId="0" borderId="5" xfId="3" applyFont="1" applyFill="1" applyBorder="1" applyAlignment="1">
      <alignment horizontal="right"/>
    </xf>
    <xf numFmtId="43" fontId="10" fillId="0" borderId="7" xfId="3" applyFont="1" applyFill="1" applyBorder="1"/>
    <xf numFmtId="0" fontId="5" fillId="0" borderId="3" xfId="2" applyFont="1" applyFill="1" applyBorder="1"/>
    <xf numFmtId="43" fontId="8" fillId="2" borderId="3" xfId="3" applyFont="1" applyFill="1" applyBorder="1" applyAlignment="1">
      <alignment horizontal="right"/>
    </xf>
    <xf numFmtId="13" fontId="9" fillId="0" borderId="3" xfId="3" applyNumberFormat="1" applyFont="1" applyFill="1" applyBorder="1" applyAlignment="1">
      <alignment horizontal="right"/>
    </xf>
    <xf numFmtId="43" fontId="5" fillId="0" borderId="3" xfId="3" applyFont="1" applyBorder="1" applyAlignment="1">
      <alignment horizontal="right"/>
    </xf>
    <xf numFmtId="0" fontId="5" fillId="0" borderId="3" xfId="4" applyFont="1" applyBorder="1" applyAlignment="1">
      <alignment horizontal="center"/>
    </xf>
    <xf numFmtId="0" fontId="5" fillId="0" borderId="3" xfId="4" applyFont="1" applyBorder="1"/>
    <xf numFmtId="43" fontId="5" fillId="0" borderId="3" xfId="3" applyFont="1" applyFill="1" applyBorder="1"/>
    <xf numFmtId="0" fontId="5" fillId="0" borderId="8" xfId="4" applyFont="1" applyBorder="1" applyAlignment="1">
      <alignment horizontal="center"/>
    </xf>
    <xf numFmtId="0" fontId="5" fillId="0" borderId="8" xfId="4" applyFont="1" applyBorder="1"/>
    <xf numFmtId="0" fontId="8" fillId="0" borderId="3" xfId="4" applyFont="1" applyBorder="1" applyAlignment="1">
      <alignment horizontal="right"/>
    </xf>
    <xf numFmtId="0" fontId="8" fillId="0" borderId="3" xfId="4" applyFont="1" applyBorder="1"/>
    <xf numFmtId="43" fontId="5" fillId="0" borderId="6" xfId="3" applyFont="1" applyFill="1" applyBorder="1"/>
    <xf numFmtId="0" fontId="5" fillId="0" borderId="3" xfId="4" applyFont="1" applyFill="1" applyBorder="1"/>
    <xf numFmtId="0" fontId="5" fillId="0" borderId="5" xfId="4" applyFont="1" applyFill="1" applyBorder="1"/>
    <xf numFmtId="0" fontId="5" fillId="0" borderId="5" xfId="4" applyFont="1" applyBorder="1" applyAlignment="1">
      <alignment horizontal="center"/>
    </xf>
    <xf numFmtId="43" fontId="5" fillId="0" borderId="5" xfId="3" applyFont="1" applyFill="1" applyBorder="1"/>
    <xf numFmtId="0" fontId="5" fillId="0" borderId="6" xfId="4" applyFont="1" applyFill="1" applyBorder="1" applyAlignment="1">
      <alignment horizontal="center"/>
    </xf>
    <xf numFmtId="0" fontId="5" fillId="0" borderId="3" xfId="4" applyFont="1" applyFill="1" applyBorder="1" applyAlignment="1">
      <alignment horizontal="center"/>
    </xf>
    <xf numFmtId="0" fontId="5" fillId="0" borderId="6" xfId="4" applyFont="1" applyBorder="1" applyAlignment="1">
      <alignment horizontal="center"/>
    </xf>
    <xf numFmtId="0" fontId="5" fillId="0" borderId="6" xfId="4" applyFont="1" applyBorder="1"/>
    <xf numFmtId="43" fontId="5" fillId="2" borderId="3" xfId="3" applyFont="1" applyFill="1" applyBorder="1"/>
    <xf numFmtId="0" fontId="5" fillId="0" borderId="0" xfId="2" applyFont="1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/>
    </xf>
    <xf numFmtId="43" fontId="5" fillId="0" borderId="9" xfId="3" applyFont="1" applyFill="1" applyBorder="1"/>
    <xf numFmtId="43" fontId="5" fillId="2" borderId="0" xfId="3" applyFont="1" applyFill="1" applyBorder="1" applyAlignment="1">
      <alignment horizontal="right"/>
    </xf>
    <xf numFmtId="43" fontId="5" fillId="0" borderId="0" xfId="3" applyFont="1" applyFill="1" applyBorder="1"/>
    <xf numFmtId="43" fontId="2" fillId="2" borderId="0" xfId="3" applyFont="1" applyFill="1"/>
    <xf numFmtId="0" fontId="5" fillId="2" borderId="3" xfId="2" applyFont="1" applyFill="1" applyBorder="1" applyAlignment="1">
      <alignment horizontal="right" vertical="center"/>
    </xf>
    <xf numFmtId="0" fontId="2" fillId="0" borderId="1" xfId="2" applyFont="1" applyBorder="1"/>
    <xf numFmtId="43" fontId="2" fillId="0" borderId="1" xfId="3" applyFont="1" applyFill="1" applyBorder="1" applyAlignment="1">
      <alignment horizontal="center"/>
    </xf>
    <xf numFmtId="43" fontId="8" fillId="2" borderId="1" xfId="3" applyFont="1" applyFill="1" applyBorder="1" applyAlignment="1">
      <alignment horizontal="center"/>
    </xf>
    <xf numFmtId="43" fontId="2" fillId="2" borderId="1" xfId="3" applyFont="1" applyFill="1" applyBorder="1" applyAlignment="1">
      <alignment horizontal="center"/>
    </xf>
    <xf numFmtId="0" fontId="8" fillId="2" borderId="3" xfId="2" applyFont="1" applyFill="1" applyBorder="1" applyAlignment="1">
      <alignment horizontal="right" vertical="center"/>
    </xf>
    <xf numFmtId="0" fontId="2" fillId="0" borderId="3" xfId="2" applyBorder="1"/>
    <xf numFmtId="43" fontId="8" fillId="2" borderId="3" xfId="3" applyFont="1" applyFill="1" applyBorder="1"/>
    <xf numFmtId="0" fontId="8" fillId="0" borderId="0" xfId="2" applyFont="1" applyBorder="1" applyAlignment="1">
      <alignment horizontal="right"/>
    </xf>
    <xf numFmtId="0" fontId="8" fillId="0" borderId="0" xfId="2" applyFont="1" applyBorder="1"/>
    <xf numFmtId="0" fontId="2" fillId="0" borderId="0" xfId="2" applyBorder="1"/>
    <xf numFmtId="43" fontId="5" fillId="2" borderId="0" xfId="3" applyFont="1" applyFill="1"/>
    <xf numFmtId="43" fontId="8" fillId="2" borderId="0" xfId="3" applyFont="1" applyFill="1" applyBorder="1"/>
    <xf numFmtId="43" fontId="4" fillId="0" borderId="0" xfId="3" applyFont="1" applyAlignment="1">
      <alignment horizontal="left"/>
    </xf>
    <xf numFmtId="41" fontId="4" fillId="2" borderId="0" xfId="3" applyNumberFormat="1" applyFont="1" applyFill="1"/>
    <xf numFmtId="43" fontId="4" fillId="0" borderId="0" xfId="3" applyFont="1"/>
    <xf numFmtId="165" fontId="2" fillId="2" borderId="0" xfId="3" applyNumberFormat="1" applyFont="1" applyFill="1"/>
    <xf numFmtId="43" fontId="2" fillId="0" borderId="0" xfId="3"/>
    <xf numFmtId="41" fontId="2" fillId="2" borderId="0" xfId="3" applyNumberFormat="1" applyFont="1" applyFill="1"/>
    <xf numFmtId="43" fontId="11" fillId="0" borderId="0" xfId="3" applyFont="1" applyFill="1"/>
    <xf numFmtId="43" fontId="2" fillId="0" borderId="0" xfId="3" applyFont="1" applyFill="1"/>
    <xf numFmtId="43" fontId="4" fillId="0" borderId="0" xfId="3" applyFont="1" applyAlignment="1">
      <alignment horizontal="right"/>
    </xf>
    <xf numFmtId="165" fontId="4" fillId="2" borderId="0" xfId="3" applyNumberFormat="1" applyFont="1" applyFill="1"/>
    <xf numFmtId="43" fontId="4" fillId="0" borderId="0" xfId="3" applyFont="1" applyFill="1"/>
    <xf numFmtId="0" fontId="12" fillId="0" borderId="0" xfId="2" applyFont="1"/>
    <xf numFmtId="164" fontId="4" fillId="0" borderId="0" xfId="3" applyNumberFormat="1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0" borderId="15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0" fontId="0" fillId="0" borderId="6" xfId="0" applyBorder="1"/>
    <xf numFmtId="0" fontId="4" fillId="0" borderId="1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166" fontId="15" fillId="0" borderId="7" xfId="0" applyNumberFormat="1" applyFont="1" applyBorder="1" applyAlignment="1">
      <alignment vertical="center"/>
    </xf>
    <xf numFmtId="0" fontId="0" fillId="0" borderId="3" xfId="0" applyBorder="1"/>
    <xf numFmtId="0" fontId="0" fillId="0" borderId="16" xfId="0" applyNumberFormat="1" applyFont="1" applyBorder="1" applyAlignment="1">
      <alignment vertical="center"/>
    </xf>
    <xf numFmtId="0" fontId="0" fillId="0" borderId="7" xfId="0" applyNumberFormat="1" applyFont="1" applyBorder="1" applyAlignment="1">
      <alignment horizontal="center" vertical="center"/>
    </xf>
    <xf numFmtId="43" fontId="0" fillId="0" borderId="7" xfId="1" applyFont="1" applyBorder="1" applyAlignment="1">
      <alignment vertical="center"/>
    </xf>
    <xf numFmtId="166" fontId="15" fillId="0" borderId="7" xfId="1" applyNumberFormat="1" applyFont="1" applyBorder="1" applyAlignment="1">
      <alignment vertical="center"/>
    </xf>
    <xf numFmtId="41" fontId="0" fillId="0" borderId="3" xfId="0" applyNumberFormat="1" applyBorder="1"/>
    <xf numFmtId="41" fontId="16" fillId="0" borderId="3" xfId="0" applyNumberFormat="1" applyFont="1" applyBorder="1"/>
    <xf numFmtId="0" fontId="2" fillId="0" borderId="3" xfId="2" applyFont="1" applyBorder="1"/>
    <xf numFmtId="0" fontId="2" fillId="0" borderId="3" xfId="2" applyFont="1" applyBorder="1" applyAlignment="1">
      <alignment horizontal="center"/>
    </xf>
    <xf numFmtId="0" fontId="0" fillId="2" borderId="16" xfId="5" applyNumberFormat="1" applyFont="1" applyFill="1" applyBorder="1" applyAlignment="1">
      <alignment horizontal="right"/>
    </xf>
    <xf numFmtId="0" fontId="0" fillId="2" borderId="7" xfId="5" applyNumberFormat="1" applyFont="1" applyFill="1" applyBorder="1" applyAlignment="1"/>
    <xf numFmtId="0" fontId="0" fillId="2" borderId="7" xfId="5" applyNumberFormat="1" applyFont="1" applyFill="1" applyBorder="1" applyAlignment="1">
      <alignment horizontal="center"/>
    </xf>
    <xf numFmtId="0" fontId="2" fillId="2" borderId="7" xfId="5" applyNumberFormat="1" applyFont="1" applyFill="1" applyBorder="1" applyAlignment="1"/>
    <xf numFmtId="0" fontId="2" fillId="2" borderId="7" xfId="5" applyNumberFormat="1" applyFont="1" applyFill="1" applyBorder="1" applyAlignment="1">
      <alignment horizontal="center"/>
    </xf>
    <xf numFmtId="0" fontId="4" fillId="2" borderId="16" xfId="5" applyNumberFormat="1" applyFont="1" applyFill="1" applyBorder="1" applyAlignment="1">
      <alignment horizontal="center"/>
    </xf>
    <xf numFmtId="0" fontId="4" fillId="2" borderId="7" xfId="5" applyNumberFormat="1" applyFont="1" applyFill="1" applyBorder="1" applyAlignment="1"/>
    <xf numFmtId="0" fontId="0" fillId="3" borderId="7" xfId="5" applyNumberFormat="1" applyFont="1" applyFill="1" applyBorder="1" applyAlignment="1"/>
    <xf numFmtId="0" fontId="0" fillId="2" borderId="16" xfId="5" applyNumberFormat="1" applyFont="1" applyFill="1" applyBorder="1" applyAlignment="1"/>
    <xf numFmtId="0" fontId="17" fillId="0" borderId="17" xfId="0" applyFont="1" applyBorder="1" applyAlignment="1"/>
    <xf numFmtId="0" fontId="4" fillId="0" borderId="7" xfId="5" applyNumberFormat="1" applyFont="1" applyFill="1" applyBorder="1" applyAlignment="1"/>
    <xf numFmtId="0" fontId="2" fillId="2" borderId="16" xfId="5" applyNumberFormat="1" applyFont="1" applyFill="1" applyBorder="1" applyAlignment="1">
      <alignment horizontal="right"/>
    </xf>
    <xf numFmtId="0" fontId="2" fillId="0" borderId="7" xfId="5" applyNumberFormat="1" applyFont="1" applyFill="1" applyBorder="1" applyAlignment="1"/>
    <xf numFmtId="0" fontId="0" fillId="4" borderId="7" xfId="0" applyNumberFormat="1" applyFont="1" applyFill="1" applyBorder="1" applyAlignment="1">
      <alignment vertical="center"/>
    </xf>
    <xf numFmtId="0" fontId="2" fillId="0" borderId="7" xfId="0" applyNumberFormat="1" applyFont="1" applyBorder="1" applyAlignment="1">
      <alignment horizontal="center" vertical="center"/>
    </xf>
    <xf numFmtId="0" fontId="0" fillId="0" borderId="7" xfId="5" applyNumberFormat="1" applyFont="1" applyFill="1" applyBorder="1" applyAlignment="1"/>
    <xf numFmtId="0" fontId="17" fillId="0" borderId="18" xfId="0" applyFont="1" applyBorder="1" applyAlignment="1"/>
    <xf numFmtId="0" fontId="0" fillId="2" borderId="7" xfId="0" applyNumberFormat="1" applyFont="1" applyFill="1" applyBorder="1" applyAlignment="1"/>
    <xf numFmtId="0" fontId="2" fillId="3" borderId="7" xfId="5" applyNumberFormat="1" applyFont="1" applyFill="1" applyBorder="1" applyAlignment="1"/>
    <xf numFmtId="0" fontId="18" fillId="2" borderId="16" xfId="5" applyNumberFormat="1" applyFont="1" applyFill="1" applyBorder="1" applyAlignment="1">
      <alignment horizontal="right"/>
    </xf>
    <xf numFmtId="0" fontId="18" fillId="2" borderId="7" xfId="5" applyNumberFormat="1" applyFont="1" applyFill="1" applyBorder="1" applyAlignment="1"/>
    <xf numFmtId="0" fontId="0" fillId="4" borderId="16" xfId="5" applyNumberFormat="1" applyFont="1" applyFill="1" applyBorder="1" applyAlignment="1">
      <alignment horizontal="right"/>
    </xf>
    <xf numFmtId="0" fontId="0" fillId="4" borderId="7" xfId="5" applyNumberFormat="1" applyFont="1" applyFill="1" applyBorder="1" applyAlignment="1"/>
    <xf numFmtId="0" fontId="0" fillId="4" borderId="7" xfId="5" applyNumberFormat="1" applyFont="1" applyFill="1" applyBorder="1" applyAlignment="1">
      <alignment horizontal="center"/>
    </xf>
    <xf numFmtId="43" fontId="0" fillId="4" borderId="7" xfId="1" applyFont="1" applyFill="1" applyBorder="1" applyAlignment="1">
      <alignment vertical="center"/>
    </xf>
    <xf numFmtId="0" fontId="0" fillId="4" borderId="19" xfId="5" applyNumberFormat="1" applyFont="1" applyFill="1" applyBorder="1" applyAlignment="1">
      <alignment horizontal="right"/>
    </xf>
    <xf numFmtId="0" fontId="0" fillId="3" borderId="20" xfId="5" applyNumberFormat="1" applyFont="1" applyFill="1" applyBorder="1" applyAlignment="1"/>
    <xf numFmtId="0" fontId="0" fillId="4" borderId="20" xfId="5" applyNumberFormat="1" applyFont="1" applyFill="1" applyBorder="1" applyAlignment="1"/>
    <xf numFmtId="0" fontId="0" fillId="4" borderId="20" xfId="5" applyNumberFormat="1" applyFont="1" applyFill="1" applyBorder="1" applyAlignment="1">
      <alignment horizontal="center"/>
    </xf>
    <xf numFmtId="43" fontId="0" fillId="4" borderId="20" xfId="1" applyFont="1" applyFill="1" applyBorder="1" applyAlignment="1">
      <alignment vertical="center"/>
    </xf>
    <xf numFmtId="0" fontId="0" fillId="2" borderId="19" xfId="5" applyNumberFormat="1" applyFont="1" applyFill="1" applyBorder="1" applyAlignment="1">
      <alignment horizontal="right"/>
    </xf>
    <xf numFmtId="0" fontId="0" fillId="2" borderId="20" xfId="5" applyNumberFormat="1" applyFont="1" applyFill="1" applyBorder="1" applyAlignment="1"/>
    <xf numFmtId="0" fontId="0" fillId="2" borderId="20" xfId="5" applyNumberFormat="1" applyFont="1" applyFill="1" applyBorder="1" applyAlignment="1">
      <alignment horizontal="center"/>
    </xf>
    <xf numFmtId="43" fontId="0" fillId="0" borderId="20" xfId="1" applyFont="1" applyBorder="1" applyAlignment="1">
      <alignment vertical="center"/>
    </xf>
    <xf numFmtId="166" fontId="15" fillId="0" borderId="20" xfId="1" applyNumberFormat="1" applyFont="1" applyBorder="1" applyAlignment="1">
      <alignment vertical="center"/>
    </xf>
    <xf numFmtId="0" fontId="0" fillId="2" borderId="21" xfId="5" applyNumberFormat="1" applyFont="1" applyFill="1" applyBorder="1" applyAlignment="1">
      <alignment horizontal="right"/>
    </xf>
    <xf numFmtId="0" fontId="0" fillId="2" borderId="22" xfId="5" applyNumberFormat="1" applyFont="1" applyFill="1" applyBorder="1" applyAlignment="1"/>
    <xf numFmtId="0" fontId="0" fillId="2" borderId="22" xfId="5" applyNumberFormat="1" applyFont="1" applyFill="1" applyBorder="1" applyAlignment="1">
      <alignment horizontal="center"/>
    </xf>
    <xf numFmtId="43" fontId="0" fillId="0" borderId="22" xfId="1" applyFont="1" applyBorder="1" applyAlignment="1">
      <alignment vertical="center"/>
    </xf>
    <xf numFmtId="166" fontId="15" fillId="0" borderId="22" xfId="1" applyNumberFormat="1" applyFont="1" applyBorder="1" applyAlignment="1">
      <alignment vertical="center"/>
    </xf>
    <xf numFmtId="0" fontId="0" fillId="0" borderId="14" xfId="0" applyBorder="1"/>
    <xf numFmtId="0" fontId="16" fillId="0" borderId="0" xfId="0" applyFont="1" applyAlignment="1">
      <alignment horizontal="right"/>
    </xf>
    <xf numFmtId="41" fontId="16" fillId="0" borderId="0" xfId="0" applyNumberFormat="1" applyFont="1"/>
    <xf numFmtId="0" fontId="0" fillId="0" borderId="0" xfId="0" applyAlignment="1">
      <alignment horizontal="right"/>
    </xf>
    <xf numFmtId="41" fontId="0" fillId="0" borderId="0" xfId="0" applyNumberFormat="1"/>
    <xf numFmtId="167" fontId="0" fillId="0" borderId="0" xfId="0" applyNumberFormat="1"/>
    <xf numFmtId="167" fontId="16" fillId="0" borderId="0" xfId="0" applyNumberFormat="1" applyFont="1"/>
    <xf numFmtId="0" fontId="4" fillId="0" borderId="1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10" xfId="0" applyNumberFormat="1" applyFont="1" applyFill="1" applyBorder="1" applyAlignment="1">
      <alignment horizontal="center" vertical="center"/>
    </xf>
    <xf numFmtId="0" fontId="13" fillId="0" borderId="13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166" fontId="13" fillId="0" borderId="11" xfId="0" applyNumberFormat="1" applyFont="1" applyFill="1" applyBorder="1" applyAlignment="1">
      <alignment horizontal="center" vertical="center" wrapText="1"/>
    </xf>
    <xf numFmtId="166" fontId="13" fillId="0" borderId="4" xfId="0" applyNumberFormat="1" applyFont="1" applyFill="1" applyBorder="1" applyAlignment="1">
      <alignment horizontal="center" vertical="center" wrapText="1"/>
    </xf>
    <xf numFmtId="0" fontId="3" fillId="0" borderId="0" xfId="2" applyFont="1" applyFill="1" applyBorder="1"/>
    <xf numFmtId="0" fontId="4" fillId="0" borderId="0" xfId="2" applyFont="1" applyFill="1" applyBorder="1"/>
    <xf numFmtId="0" fontId="2" fillId="0" borderId="0" xfId="2" applyFont="1" applyFill="1" applyBorder="1"/>
    <xf numFmtId="43" fontId="2" fillId="0" borderId="0" xfId="3" applyFont="1" applyFill="1" applyBorder="1"/>
    <xf numFmtId="43" fontId="15" fillId="0" borderId="0" xfId="3" applyFont="1" applyFill="1" applyBorder="1"/>
    <xf numFmtId="164" fontId="4" fillId="0" borderId="0" xfId="2" applyNumberFormat="1" applyFont="1" applyFill="1" applyBorder="1"/>
    <xf numFmtId="43" fontId="19" fillId="0" borderId="0" xfId="3" applyFont="1" applyFill="1" applyBorder="1" applyAlignment="1">
      <alignment horizontal="right"/>
    </xf>
    <xf numFmtId="43" fontId="4" fillId="0" borderId="23" xfId="3" applyFont="1" applyFill="1" applyBorder="1" applyAlignment="1">
      <alignment vertical="center"/>
    </xf>
    <xf numFmtId="43" fontId="20" fillId="0" borderId="3" xfId="3" applyFont="1" applyFill="1" applyBorder="1" applyAlignment="1">
      <alignment horizontal="center" vertical="center"/>
    </xf>
    <xf numFmtId="13" fontId="4" fillId="0" borderId="4" xfId="3" applyNumberFormat="1" applyFont="1" applyFill="1" applyBorder="1" applyAlignment="1">
      <alignment horizontal="center" vertical="center"/>
    </xf>
    <xf numFmtId="13" fontId="20" fillId="0" borderId="4" xfId="3" applyNumberFormat="1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left" vertical="center"/>
    </xf>
    <xf numFmtId="0" fontId="2" fillId="5" borderId="5" xfId="2" applyFont="1" applyFill="1" applyBorder="1" applyAlignment="1">
      <alignment horizontal="center" vertical="center"/>
    </xf>
    <xf numFmtId="43" fontId="15" fillId="5" borderId="5" xfId="3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center" vertical="center"/>
    </xf>
    <xf numFmtId="43" fontId="15" fillId="5" borderId="3" xfId="3" applyFont="1" applyFill="1" applyBorder="1" applyAlignment="1">
      <alignment horizontal="right" vertical="center"/>
    </xf>
    <xf numFmtId="0" fontId="5" fillId="0" borderId="3" xfId="2" applyFont="1" applyFill="1" applyBorder="1" applyAlignment="1">
      <alignment horizontal="right"/>
    </xf>
    <xf numFmtId="0" fontId="5" fillId="0" borderId="3" xfId="2" applyFont="1" applyFill="1" applyBorder="1" applyAlignment="1">
      <alignment horizontal="center"/>
    </xf>
    <xf numFmtId="43" fontId="21" fillId="0" borderId="3" xfId="3" applyFont="1" applyFill="1" applyBorder="1" applyAlignment="1">
      <alignment horizontal="right"/>
    </xf>
    <xf numFmtId="43" fontId="21" fillId="5" borderId="3" xfId="3" applyFont="1" applyFill="1" applyBorder="1" applyAlignment="1">
      <alignment horizontal="right"/>
    </xf>
    <xf numFmtId="0" fontId="5" fillId="3" borderId="3" xfId="2" applyFont="1" applyFill="1" applyBorder="1"/>
    <xf numFmtId="0" fontId="8" fillId="3" borderId="3" xfId="4" applyFont="1" applyFill="1" applyBorder="1" applyAlignment="1">
      <alignment horizontal="right"/>
    </xf>
    <xf numFmtId="0" fontId="5" fillId="3" borderId="3" xfId="2" applyFont="1" applyFill="1" applyBorder="1" applyAlignment="1">
      <alignment horizontal="center"/>
    </xf>
    <xf numFmtId="43" fontId="22" fillId="3" borderId="3" xfId="3" applyFont="1" applyFill="1" applyBorder="1" applyAlignment="1">
      <alignment horizontal="right"/>
    </xf>
    <xf numFmtId="43" fontId="21" fillId="3" borderId="3" xfId="3" applyFont="1" applyFill="1" applyBorder="1" applyAlignment="1">
      <alignment horizontal="right"/>
    </xf>
    <xf numFmtId="43" fontId="23" fillId="6" borderId="6" xfId="3" applyFont="1" applyFill="1" applyBorder="1" applyAlignment="1">
      <alignment horizontal="right"/>
    </xf>
    <xf numFmtId="43" fontId="22" fillId="0" borderId="3" xfId="3" applyFont="1" applyFill="1" applyBorder="1" applyAlignment="1">
      <alignment horizontal="right"/>
    </xf>
    <xf numFmtId="43" fontId="23" fillId="5" borderId="6" xfId="3" applyFont="1" applyFill="1" applyBorder="1" applyAlignment="1">
      <alignment horizontal="right"/>
    </xf>
    <xf numFmtId="0" fontId="8" fillId="0" borderId="3" xfId="2" applyFont="1" applyFill="1" applyBorder="1" applyAlignment="1">
      <alignment horizontal="right"/>
    </xf>
    <xf numFmtId="0" fontId="8" fillId="0" borderId="3" xfId="2" applyFont="1" applyFill="1" applyBorder="1"/>
    <xf numFmtId="43" fontId="5" fillId="3" borderId="3" xfId="3" applyFont="1" applyFill="1" applyBorder="1" applyAlignment="1">
      <alignment horizontal="right"/>
    </xf>
    <xf numFmtId="0" fontId="8" fillId="3" borderId="3" xfId="2" applyFont="1" applyFill="1" applyBorder="1" applyAlignment="1">
      <alignment horizontal="right"/>
    </xf>
    <xf numFmtId="43" fontId="21" fillId="6" borderId="3" xfId="3" applyFont="1" applyFill="1" applyBorder="1" applyAlignment="1">
      <alignment horizontal="right"/>
    </xf>
    <xf numFmtId="43" fontId="5" fillId="0" borderId="5" xfId="3" applyFont="1" applyFill="1" applyBorder="1" applyAlignment="1">
      <alignment horizontal="right"/>
    </xf>
    <xf numFmtId="0" fontId="5" fillId="5" borderId="3" xfId="5" applyFont="1" applyFill="1" applyBorder="1" applyAlignment="1"/>
    <xf numFmtId="0" fontId="24" fillId="3" borderId="3" xfId="2" applyFont="1" applyFill="1" applyBorder="1" applyAlignment="1">
      <alignment horizontal="right"/>
    </xf>
    <xf numFmtId="0" fontId="25" fillId="3" borderId="3" xfId="2" applyFont="1" applyFill="1" applyBorder="1" applyAlignment="1">
      <alignment horizontal="center"/>
    </xf>
    <xf numFmtId="43" fontId="25" fillId="3" borderId="3" xfId="3" applyFont="1" applyFill="1" applyBorder="1" applyAlignment="1">
      <alignment horizontal="right"/>
    </xf>
    <xf numFmtId="43" fontId="5" fillId="4" borderId="3" xfId="3" applyFont="1" applyFill="1" applyBorder="1" applyAlignment="1">
      <alignment horizontal="right"/>
    </xf>
    <xf numFmtId="0" fontId="5" fillId="3" borderId="3" xfId="2" applyFont="1" applyFill="1" applyBorder="1" applyAlignment="1">
      <alignment horizontal="right"/>
    </xf>
    <xf numFmtId="43" fontId="21" fillId="3" borderId="2" xfId="3" applyFont="1" applyFill="1" applyBorder="1" applyAlignment="1">
      <alignment horizontal="right"/>
    </xf>
    <xf numFmtId="43" fontId="22" fillId="4" borderId="3" xfId="3" applyFont="1" applyFill="1" applyBorder="1" applyAlignment="1">
      <alignment horizontal="right"/>
    </xf>
    <xf numFmtId="43" fontId="21" fillId="0" borderId="2" xfId="3" applyFont="1" applyFill="1" applyBorder="1" applyAlignment="1">
      <alignment horizontal="right"/>
    </xf>
    <xf numFmtId="4" fontId="5" fillId="4" borderId="3" xfId="3" applyNumberFormat="1" applyFont="1" applyFill="1" applyBorder="1" applyAlignment="1">
      <alignment horizontal="right"/>
    </xf>
    <xf numFmtId="43" fontId="23" fillId="6" borderId="3" xfId="3" applyFont="1" applyFill="1" applyBorder="1" applyAlignment="1">
      <alignment horizontal="right"/>
    </xf>
    <xf numFmtId="43" fontId="23" fillId="5" borderId="3" xfId="3" applyFont="1" applyFill="1" applyBorder="1" applyAlignment="1">
      <alignment horizontal="right"/>
    </xf>
    <xf numFmtId="43" fontId="21" fillId="0" borderId="3" xfId="3" applyFont="1" applyFill="1" applyBorder="1"/>
    <xf numFmtId="43" fontId="21" fillId="0" borderId="6" xfId="3" applyFont="1" applyFill="1" applyBorder="1"/>
    <xf numFmtId="43" fontId="21" fillId="0" borderId="8" xfId="3" applyFont="1" applyFill="1" applyBorder="1"/>
    <xf numFmtId="168" fontId="21" fillId="0" borderId="3" xfId="3" applyNumberFormat="1" applyFont="1" applyFill="1" applyBorder="1" applyAlignment="1">
      <alignment horizontal="right"/>
    </xf>
    <xf numFmtId="41" fontId="5" fillId="4" borderId="3" xfId="6" applyFont="1" applyFill="1" applyBorder="1" applyAlignment="1">
      <alignment horizontal="right"/>
    </xf>
    <xf numFmtId="0" fontId="8" fillId="0" borderId="3" xfId="4" applyFont="1" applyFill="1" applyBorder="1" applyAlignment="1">
      <alignment horizontal="right"/>
    </xf>
    <xf numFmtId="13" fontId="22" fillId="4" borderId="3" xfId="3" applyNumberFormat="1" applyFont="1" applyFill="1" applyBorder="1" applyAlignment="1">
      <alignment horizontal="right"/>
    </xf>
    <xf numFmtId="0" fontId="5" fillId="7" borderId="3" xfId="2" applyFont="1" applyFill="1" applyBorder="1" applyAlignment="1">
      <alignment horizontal="right"/>
    </xf>
    <xf numFmtId="0" fontId="5" fillId="7" borderId="3" xfId="2" applyFont="1" applyFill="1" applyBorder="1"/>
    <xf numFmtId="0" fontId="5" fillId="7" borderId="3" xfId="2" applyFont="1" applyFill="1" applyBorder="1" applyAlignment="1">
      <alignment horizontal="center"/>
    </xf>
    <xf numFmtId="43" fontId="5" fillId="7" borderId="3" xfId="3" applyFont="1" applyFill="1" applyBorder="1" applyAlignment="1">
      <alignment horizontal="right"/>
    </xf>
    <xf numFmtId="43" fontId="21" fillId="7" borderId="3" xfId="3" applyFont="1" applyFill="1" applyBorder="1" applyAlignment="1">
      <alignment horizontal="right"/>
    </xf>
    <xf numFmtId="43" fontId="21" fillId="8" borderId="3" xfId="3" applyFont="1" applyFill="1" applyBorder="1" applyAlignment="1">
      <alignment horizontal="right"/>
    </xf>
    <xf numFmtId="43" fontId="5" fillId="4" borderId="3" xfId="3" applyFont="1" applyFill="1" applyBorder="1"/>
    <xf numFmtId="0" fontId="5" fillId="0" borderId="3" xfId="4" quotePrefix="1" applyFont="1" applyFill="1" applyBorder="1"/>
    <xf numFmtId="0" fontId="5" fillId="3" borderId="3" xfId="4" applyFont="1" applyFill="1" applyBorder="1" applyAlignment="1">
      <alignment horizontal="center"/>
    </xf>
    <xf numFmtId="43" fontId="5" fillId="3" borderId="3" xfId="3" applyFont="1" applyFill="1" applyBorder="1"/>
    <xf numFmtId="43" fontId="21" fillId="6" borderId="3" xfId="3" applyFont="1" applyFill="1" applyBorder="1"/>
    <xf numFmtId="0" fontId="5" fillId="0" borderId="8" xfId="4" applyFont="1" applyFill="1" applyBorder="1" applyAlignment="1">
      <alignment horizontal="center"/>
    </xf>
    <xf numFmtId="0" fontId="5" fillId="0" borderId="8" xfId="4" applyFont="1" applyFill="1" applyBorder="1"/>
    <xf numFmtId="43" fontId="21" fillId="5" borderId="3" xfId="3" applyFont="1" applyFill="1" applyBorder="1"/>
    <xf numFmtId="0" fontId="8" fillId="0" borderId="3" xfId="4" applyFont="1" applyFill="1" applyBorder="1"/>
    <xf numFmtId="43" fontId="5" fillId="4" borderId="6" xfId="3" applyFont="1" applyFill="1" applyBorder="1"/>
    <xf numFmtId="0" fontId="5" fillId="0" borderId="5" xfId="4" applyFont="1" applyFill="1" applyBorder="1" applyAlignment="1">
      <alignment horizontal="center"/>
    </xf>
    <xf numFmtId="0" fontId="5" fillId="3" borderId="6" xfId="4" applyFont="1" applyFill="1" applyBorder="1" applyAlignment="1">
      <alignment horizontal="center"/>
    </xf>
    <xf numFmtId="43" fontId="21" fillId="3" borderId="3" xfId="3" applyFont="1" applyFill="1" applyBorder="1"/>
    <xf numFmtId="43" fontId="5" fillId="4" borderId="5" xfId="3" applyFont="1" applyFill="1" applyBorder="1"/>
    <xf numFmtId="43" fontId="5" fillId="3" borderId="6" xfId="3" applyFont="1" applyFill="1" applyBorder="1"/>
    <xf numFmtId="0" fontId="5" fillId="0" borderId="0" xfId="2" applyFont="1" applyFill="1" applyBorder="1" applyAlignment="1">
      <alignment horizontal="right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center"/>
    </xf>
    <xf numFmtId="43" fontId="5" fillId="4" borderId="0" xfId="3" applyFont="1" applyFill="1" applyBorder="1"/>
    <xf numFmtId="43" fontId="21" fillId="5" borderId="0" xfId="3" applyFont="1" applyFill="1" applyBorder="1" applyAlignment="1">
      <alignment horizontal="right"/>
    </xf>
    <xf numFmtId="43" fontId="15" fillId="5" borderId="0" xfId="3" applyFont="1" applyFill="1" applyBorder="1"/>
    <xf numFmtId="0" fontId="5" fillId="5" borderId="3" xfId="2" applyFont="1" applyFill="1" applyBorder="1" applyAlignment="1">
      <alignment horizontal="right" vertical="center"/>
    </xf>
    <xf numFmtId="0" fontId="2" fillId="0" borderId="1" xfId="2" applyFont="1" applyFill="1" applyBorder="1"/>
    <xf numFmtId="43" fontId="8" fillId="0" borderId="1" xfId="3" applyFont="1" applyFill="1" applyBorder="1" applyAlignment="1">
      <alignment horizontal="center"/>
    </xf>
    <xf numFmtId="43" fontId="23" fillId="5" borderId="1" xfId="3" applyFont="1" applyFill="1" applyBorder="1" applyAlignment="1">
      <alignment horizontal="center"/>
    </xf>
    <xf numFmtId="43" fontId="15" fillId="5" borderId="1" xfId="3" applyFont="1" applyFill="1" applyBorder="1" applyAlignment="1">
      <alignment horizontal="center"/>
    </xf>
    <xf numFmtId="0" fontId="8" fillId="5" borderId="3" xfId="2" applyFont="1" applyFill="1" applyBorder="1" applyAlignment="1">
      <alignment horizontal="right" vertical="center"/>
    </xf>
    <xf numFmtId="0" fontId="2" fillId="0" borderId="3" xfId="2" applyFont="1" applyFill="1" applyBorder="1"/>
    <xf numFmtId="43" fontId="23" fillId="5" borderId="3" xfId="3" applyFont="1" applyFill="1" applyBorder="1"/>
    <xf numFmtId="0" fontId="8" fillId="0" borderId="24" xfId="2" applyFont="1" applyFill="1" applyBorder="1" applyAlignment="1">
      <alignment horizontal="right"/>
    </xf>
    <xf numFmtId="0" fontId="8" fillId="0" borderId="9" xfId="2" applyFont="1" applyFill="1" applyBorder="1"/>
    <xf numFmtId="0" fontId="2" fillId="0" borderId="9" xfId="2" applyFont="1" applyFill="1" applyBorder="1"/>
    <xf numFmtId="43" fontId="21" fillId="0" borderId="9" xfId="3" applyFont="1" applyFill="1" applyBorder="1"/>
    <xf numFmtId="43" fontId="23" fillId="0" borderId="9" xfId="3" applyFont="1" applyFill="1" applyBorder="1"/>
    <xf numFmtId="0" fontId="2" fillId="0" borderId="25" xfId="2" applyFont="1" applyFill="1" applyBorder="1"/>
    <xf numFmtId="43" fontId="21" fillId="0" borderId="0" xfId="3" applyFont="1" applyFill="1" applyBorder="1"/>
    <xf numFmtId="43" fontId="20" fillId="0" borderId="0" xfId="3" applyFont="1" applyFill="1" applyBorder="1" applyAlignment="1">
      <alignment horizontal="right"/>
    </xf>
    <xf numFmtId="41" fontId="15" fillId="0" borderId="0" xfId="3" applyNumberFormat="1" applyFont="1" applyFill="1" applyBorder="1"/>
    <xf numFmtId="43" fontId="20" fillId="0" borderId="0" xfId="3" applyFont="1" applyFill="1" applyBorder="1" applyAlignment="1">
      <alignment horizontal="left"/>
    </xf>
    <xf numFmtId="165" fontId="26" fillId="0" borderId="0" xfId="3" applyNumberFormat="1" applyFont="1" applyFill="1" applyBorder="1"/>
    <xf numFmtId="43" fontId="27" fillId="0" borderId="0" xfId="3" applyFont="1" applyFill="1" applyBorder="1"/>
    <xf numFmtId="43" fontId="20" fillId="0" borderId="0" xfId="3" applyFont="1" applyFill="1" applyBorder="1"/>
    <xf numFmtId="165" fontId="15" fillId="0" borderId="0" xfId="3" applyNumberFormat="1" applyFont="1" applyFill="1" applyBorder="1"/>
    <xf numFmtId="41" fontId="28" fillId="0" borderId="0" xfId="3" applyNumberFormat="1" applyFont="1" applyFill="1" applyBorder="1"/>
    <xf numFmtId="41" fontId="20" fillId="0" borderId="0" xfId="3" applyNumberFormat="1" applyFont="1" applyFill="1" applyBorder="1"/>
    <xf numFmtId="165" fontId="20" fillId="0" borderId="0" xfId="3" applyNumberFormat="1" applyFont="1" applyFill="1" applyBorder="1"/>
    <xf numFmtId="43" fontId="4" fillId="0" borderId="0" xfId="3" applyFont="1" applyFill="1" applyBorder="1"/>
    <xf numFmtId="164" fontId="20" fillId="0" borderId="0" xfId="3" applyNumberFormat="1" applyFont="1" applyFill="1" applyBorder="1"/>
    <xf numFmtId="0" fontId="2" fillId="0" borderId="26" xfId="2" applyFont="1" applyFill="1" applyBorder="1"/>
    <xf numFmtId="0" fontId="2" fillId="0" borderId="27" xfId="2" applyFont="1" applyFill="1" applyBorder="1"/>
    <xf numFmtId="43" fontId="2" fillId="0" borderId="27" xfId="3" applyFont="1" applyFill="1" applyBorder="1"/>
    <xf numFmtId="43" fontId="15" fillId="0" borderId="27" xfId="3" applyFont="1" applyFill="1" applyBorder="1"/>
    <xf numFmtId="165" fontId="15" fillId="0" borderId="27" xfId="3" applyNumberFormat="1" applyFont="1" applyFill="1" applyBorder="1"/>
    <xf numFmtId="0" fontId="24" fillId="0" borderId="3" xfId="2" applyFont="1" applyFill="1" applyBorder="1" applyAlignment="1">
      <alignment horizontal="right"/>
    </xf>
    <xf numFmtId="0" fontId="25" fillId="0" borderId="3" xfId="2" applyFont="1" applyFill="1" applyBorder="1" applyAlignment="1">
      <alignment horizontal="center"/>
    </xf>
    <xf numFmtId="43" fontId="25" fillId="0" borderId="3" xfId="3" applyFont="1" applyFill="1" applyBorder="1" applyAlignment="1">
      <alignment horizontal="right"/>
    </xf>
    <xf numFmtId="4" fontId="5" fillId="9" borderId="3" xfId="3" applyNumberFormat="1" applyFont="1" applyFill="1" applyBorder="1" applyAlignment="1">
      <alignment horizontal="right"/>
    </xf>
    <xf numFmtId="43" fontId="5" fillId="9" borderId="3" xfId="3" applyFont="1" applyFill="1" applyBorder="1" applyAlignment="1">
      <alignment horizontal="right"/>
    </xf>
    <xf numFmtId="43" fontId="22" fillId="9" borderId="3" xfId="3" applyFont="1" applyFill="1" applyBorder="1" applyAlignment="1">
      <alignment horizontal="right"/>
    </xf>
    <xf numFmtId="43" fontId="5" fillId="9" borderId="3" xfId="3" applyFont="1" applyFill="1" applyBorder="1"/>
    <xf numFmtId="43" fontId="5" fillId="9" borderId="6" xfId="3" applyFont="1" applyFill="1" applyBorder="1"/>
    <xf numFmtId="43" fontId="5" fillId="9" borderId="5" xfId="3" applyFont="1" applyFill="1" applyBorder="1"/>
    <xf numFmtId="43" fontId="2" fillId="4" borderId="0" xfId="3" applyFont="1" applyFill="1" applyBorder="1"/>
    <xf numFmtId="43" fontId="8" fillId="10" borderId="1" xfId="3" applyFont="1" applyFill="1" applyBorder="1" applyAlignment="1">
      <alignment horizontal="center"/>
    </xf>
    <xf numFmtId="43" fontId="5" fillId="10" borderId="3" xfId="3" applyFont="1" applyFill="1" applyBorder="1"/>
    <xf numFmtId="0" fontId="0" fillId="2" borderId="0" xfId="5" applyNumberFormat="1" applyFont="1" applyFill="1" applyBorder="1" applyAlignment="1"/>
  </cellXfs>
  <cellStyles count="7">
    <cellStyle name="Comma" xfId="1" builtinId="3"/>
    <cellStyle name="Comma [0]" xfId="6" builtinId="6"/>
    <cellStyle name="Comma 3" xfId="3"/>
    <cellStyle name="Normal" xfId="0" builtinId="0"/>
    <cellStyle name="Normal 2" xfId="5"/>
    <cellStyle name="Normal 3" xfId="2"/>
    <cellStyle name="Normal_Vignola_100_120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Livistona%201%20RAB%20Q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Livistona%202%20RAB%20Q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gan Volume"/>
      <sheetName val="NEW LIVISTONA 1 34-60"/>
      <sheetName val="Sheet1"/>
    </sheetNames>
    <sheetDataSet>
      <sheetData sheetId="0">
        <row r="8">
          <cell r="AH8">
            <v>2</v>
          </cell>
          <cell r="AO8">
            <v>15.8</v>
          </cell>
          <cell r="BR8">
            <v>4</v>
          </cell>
          <cell r="CJ8">
            <v>1</v>
          </cell>
          <cell r="CX8">
            <v>7.25</v>
          </cell>
          <cell r="DF8">
            <v>7.5</v>
          </cell>
        </row>
        <row r="9">
          <cell r="BC9">
            <v>25.742499999999996</v>
          </cell>
        </row>
        <row r="10">
          <cell r="D10">
            <v>34</v>
          </cell>
          <cell r="CJ10">
            <v>1</v>
          </cell>
          <cell r="CQ10">
            <v>7</v>
          </cell>
        </row>
        <row r="11">
          <cell r="T11">
            <v>6.6480000000000006</v>
          </cell>
          <cell r="AA11">
            <v>1.5464999999999998</v>
          </cell>
          <cell r="CJ11">
            <v>1</v>
          </cell>
        </row>
        <row r="12">
          <cell r="K12">
            <v>16.834500000000002</v>
          </cell>
          <cell r="BJ12">
            <v>40.5</v>
          </cell>
          <cell r="BR12">
            <v>1</v>
          </cell>
          <cell r="BZ12">
            <v>114.125</v>
          </cell>
          <cell r="CJ12">
            <v>1</v>
          </cell>
        </row>
        <row r="13">
          <cell r="AV13">
            <v>28.08</v>
          </cell>
          <cell r="CJ13">
            <v>1</v>
          </cell>
        </row>
        <row r="14">
          <cell r="CJ14">
            <v>1</v>
          </cell>
        </row>
        <row r="15">
          <cell r="AH15">
            <v>3.2</v>
          </cell>
          <cell r="CX15">
            <v>8.25</v>
          </cell>
          <cell r="DF15">
            <v>6.85</v>
          </cell>
        </row>
        <row r="16">
          <cell r="D16">
            <v>1</v>
          </cell>
          <cell r="CQ16">
            <v>5</v>
          </cell>
        </row>
        <row r="17">
          <cell r="T17">
            <v>10.535</v>
          </cell>
        </row>
        <row r="18">
          <cell r="K18">
            <v>5.6115000000000004</v>
          </cell>
        </row>
        <row r="19">
          <cell r="AA19">
            <v>0.63300000000000001</v>
          </cell>
          <cell r="BS19">
            <v>1</v>
          </cell>
        </row>
        <row r="20">
          <cell r="CI20">
            <v>1</v>
          </cell>
        </row>
        <row r="21">
          <cell r="AO21">
            <v>1.4</v>
          </cell>
          <cell r="BJ21">
            <v>40.5</v>
          </cell>
          <cell r="BS21">
            <v>1</v>
          </cell>
          <cell r="CI21">
            <v>1</v>
          </cell>
          <cell r="DF21">
            <v>5</v>
          </cell>
        </row>
        <row r="22">
          <cell r="D22">
            <v>1</v>
          </cell>
          <cell r="CQ22">
            <v>1</v>
          </cell>
        </row>
        <row r="23">
          <cell r="BS23">
            <v>1</v>
          </cell>
        </row>
        <row r="24">
          <cell r="AV24">
            <v>36.975000000000001</v>
          </cell>
          <cell r="BC24">
            <v>138.39875000000001</v>
          </cell>
          <cell r="BZ24">
            <v>42.65</v>
          </cell>
        </row>
        <row r="25">
          <cell r="BS25">
            <v>1</v>
          </cell>
        </row>
        <row r="27">
          <cell r="K27">
            <v>1.7560000000000002</v>
          </cell>
          <cell r="AA27">
            <v>1.6364999999999998</v>
          </cell>
          <cell r="BS27">
            <v>1</v>
          </cell>
          <cell r="CH27">
            <v>1</v>
          </cell>
        </row>
        <row r="28">
          <cell r="D28">
            <v>1</v>
          </cell>
          <cell r="AH28">
            <v>28.08</v>
          </cell>
          <cell r="AO28">
            <v>2.25</v>
          </cell>
          <cell r="BJ28">
            <v>16.75</v>
          </cell>
        </row>
        <row r="29">
          <cell r="BS29">
            <v>2</v>
          </cell>
          <cell r="CQ29">
            <v>1</v>
          </cell>
        </row>
        <row r="33">
          <cell r="K33">
            <v>1.4048000000000003</v>
          </cell>
          <cell r="AV33">
            <v>13.2</v>
          </cell>
          <cell r="BC33">
            <v>317.78250000000003</v>
          </cell>
          <cell r="CH33">
            <v>1</v>
          </cell>
        </row>
        <row r="34">
          <cell r="BJ34">
            <v>18</v>
          </cell>
        </row>
        <row r="35">
          <cell r="BR35">
            <v>1</v>
          </cell>
        </row>
        <row r="36">
          <cell r="BZ36">
            <v>37.799999999999997</v>
          </cell>
          <cell r="CQ36">
            <v>1</v>
          </cell>
          <cell r="CX36">
            <v>1</v>
          </cell>
        </row>
        <row r="37">
          <cell r="AH37">
            <v>2.92</v>
          </cell>
          <cell r="BR37">
            <v>4</v>
          </cell>
        </row>
        <row r="38">
          <cell r="D38">
            <v>22.352499999999992</v>
          </cell>
          <cell r="BR38">
            <v>15</v>
          </cell>
        </row>
        <row r="39">
          <cell r="AB39">
            <v>2.1017249999999996</v>
          </cell>
          <cell r="CH39">
            <v>2</v>
          </cell>
        </row>
        <row r="40">
          <cell r="BJ40">
            <v>5</v>
          </cell>
        </row>
        <row r="43">
          <cell r="AH43">
            <v>6.05</v>
          </cell>
          <cell r="CQ43">
            <v>1</v>
          </cell>
        </row>
        <row r="44">
          <cell r="AV44">
            <v>8.120000000000001</v>
          </cell>
        </row>
        <row r="45">
          <cell r="CH45">
            <v>10.9</v>
          </cell>
        </row>
        <row r="47">
          <cell r="BZ47">
            <v>15.307500000000001</v>
          </cell>
        </row>
        <row r="48">
          <cell r="D48">
            <v>35.120000000000005</v>
          </cell>
          <cell r="AB48">
            <v>0.26195000000000002</v>
          </cell>
        </row>
        <row r="49">
          <cell r="BJ49">
            <v>7</v>
          </cell>
          <cell r="CQ49">
            <v>1</v>
          </cell>
        </row>
        <row r="50">
          <cell r="AH50">
            <v>13.5</v>
          </cell>
        </row>
        <row r="52">
          <cell r="CH52">
            <v>8</v>
          </cell>
        </row>
        <row r="53">
          <cell r="BZ53">
            <v>5</v>
          </cell>
          <cell r="CH53">
            <v>30</v>
          </cell>
        </row>
        <row r="54">
          <cell r="CH54">
            <v>4</v>
          </cell>
        </row>
        <row r="55">
          <cell r="CH55">
            <v>1</v>
          </cell>
        </row>
        <row r="56">
          <cell r="CQ56">
            <v>1</v>
          </cell>
        </row>
        <row r="57">
          <cell r="AA57">
            <v>0.29759999999999998</v>
          </cell>
        </row>
        <row r="61">
          <cell r="CH61">
            <v>1</v>
          </cell>
        </row>
        <row r="62">
          <cell r="CQ62">
            <v>3</v>
          </cell>
        </row>
        <row r="66">
          <cell r="AA66">
            <v>0.29699999999999993</v>
          </cell>
        </row>
        <row r="68">
          <cell r="CQ68">
            <v>2</v>
          </cell>
        </row>
        <row r="74">
          <cell r="CQ74">
            <v>5</v>
          </cell>
        </row>
        <row r="75">
          <cell r="AA75">
            <v>0.13500000000000001</v>
          </cell>
        </row>
        <row r="81">
          <cell r="CQ81">
            <v>1</v>
          </cell>
        </row>
        <row r="88">
          <cell r="CQ88">
            <v>1</v>
          </cell>
        </row>
        <row r="95">
          <cell r="CQ95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gan Volume"/>
      <sheetName val="NEW LIVISTONA 2 39-72"/>
      <sheetName val="Sheet1"/>
    </sheetNames>
    <sheetDataSet>
      <sheetData sheetId="0">
        <row r="8">
          <cell r="AH8">
            <v>2.2000000000000002</v>
          </cell>
          <cell r="AO8">
            <v>15.8</v>
          </cell>
          <cell r="BR8">
            <v>4</v>
          </cell>
          <cell r="CJ8">
            <v>1</v>
          </cell>
          <cell r="CX8">
            <v>7.25</v>
          </cell>
          <cell r="DF8">
            <v>7.5</v>
          </cell>
        </row>
        <row r="9">
          <cell r="BC9">
            <v>25.742499999999996</v>
          </cell>
        </row>
        <row r="10">
          <cell r="D10">
            <v>36</v>
          </cell>
          <cell r="CJ10">
            <v>1</v>
          </cell>
          <cell r="CQ10">
            <v>7</v>
          </cell>
        </row>
        <row r="11">
          <cell r="T11">
            <v>6.6280000000000001</v>
          </cell>
          <cell r="AA11">
            <v>1.5314999999999999</v>
          </cell>
          <cell r="CJ11">
            <v>1</v>
          </cell>
        </row>
        <row r="12">
          <cell r="K12">
            <v>17.424250000000001</v>
          </cell>
          <cell r="BJ12">
            <v>43.162500000000001</v>
          </cell>
          <cell r="BR12">
            <v>1</v>
          </cell>
          <cell r="BZ12">
            <v>127.48625</v>
          </cell>
          <cell r="CJ12">
            <v>1</v>
          </cell>
        </row>
        <row r="13">
          <cell r="AV13">
            <v>32.33</v>
          </cell>
          <cell r="CJ13">
            <v>1</v>
          </cell>
        </row>
        <row r="14">
          <cell r="CJ14">
            <v>1</v>
          </cell>
        </row>
        <row r="15">
          <cell r="AH15">
            <v>4.5</v>
          </cell>
          <cell r="CX15">
            <v>8.25</v>
          </cell>
          <cell r="DF15">
            <v>8.5</v>
          </cell>
        </row>
        <row r="16">
          <cell r="D16">
            <v>1</v>
          </cell>
          <cell r="CQ16">
            <v>5</v>
          </cell>
        </row>
        <row r="17">
          <cell r="T17">
            <v>14.489999999999998</v>
          </cell>
        </row>
        <row r="18">
          <cell r="K18">
            <v>5.8080833333333333</v>
          </cell>
        </row>
        <row r="19">
          <cell r="AA19">
            <v>0.69300000000000006</v>
          </cell>
          <cell r="BS19">
            <v>1</v>
          </cell>
        </row>
        <row r="20">
          <cell r="CI20">
            <v>1</v>
          </cell>
        </row>
        <row r="21">
          <cell r="AO21">
            <v>1.4</v>
          </cell>
          <cell r="BJ21">
            <v>43.162500000000001</v>
          </cell>
          <cell r="BS21">
            <v>1</v>
          </cell>
          <cell r="CI21">
            <v>1</v>
          </cell>
          <cell r="DF21">
            <v>6</v>
          </cell>
        </row>
        <row r="22">
          <cell r="D22">
            <v>1</v>
          </cell>
          <cell r="CQ22">
            <v>1</v>
          </cell>
        </row>
        <row r="23">
          <cell r="BS23">
            <v>1</v>
          </cell>
        </row>
        <row r="24">
          <cell r="AV24">
            <v>39.475000000000001</v>
          </cell>
          <cell r="BC24">
            <v>154.11000000000001</v>
          </cell>
          <cell r="BZ24">
            <v>53.550000000000004</v>
          </cell>
        </row>
        <row r="25">
          <cell r="BS25">
            <v>1</v>
          </cell>
        </row>
        <row r="27">
          <cell r="K27">
            <v>2.0035000000000003</v>
          </cell>
          <cell r="AA27">
            <v>1.6214999999999999</v>
          </cell>
          <cell r="BS27">
            <v>1</v>
          </cell>
          <cell r="CH27">
            <v>1</v>
          </cell>
        </row>
        <row r="28">
          <cell r="D28">
            <v>1</v>
          </cell>
          <cell r="AH28">
            <v>32.33</v>
          </cell>
          <cell r="AO28">
            <v>2.25</v>
          </cell>
          <cell r="BJ28">
            <v>18.850000000000001</v>
          </cell>
        </row>
        <row r="29">
          <cell r="BS29">
            <v>2</v>
          </cell>
          <cell r="CQ29">
            <v>1</v>
          </cell>
        </row>
        <row r="33">
          <cell r="K33">
            <v>1.6028</v>
          </cell>
          <cell r="AV33">
            <v>15.4</v>
          </cell>
          <cell r="BC33">
            <v>344.20500000000004</v>
          </cell>
          <cell r="CH33">
            <v>1</v>
          </cell>
        </row>
        <row r="34">
          <cell r="BJ34">
            <v>19.229999999999997</v>
          </cell>
        </row>
        <row r="35">
          <cell r="BR35">
            <v>1</v>
          </cell>
        </row>
        <row r="36">
          <cell r="BZ36">
            <v>39.475000000000001</v>
          </cell>
          <cell r="CQ36">
            <v>1</v>
          </cell>
          <cell r="CX36">
            <v>1</v>
          </cell>
        </row>
        <row r="37">
          <cell r="AH37">
            <v>2.92</v>
          </cell>
          <cell r="BR37">
            <v>4</v>
          </cell>
        </row>
        <row r="38">
          <cell r="D38">
            <v>29.252499999999991</v>
          </cell>
          <cell r="BR38">
            <v>15</v>
          </cell>
        </row>
        <row r="39">
          <cell r="AB39">
            <v>2.1017249999999996</v>
          </cell>
          <cell r="CH39">
            <v>2</v>
          </cell>
        </row>
        <row r="40">
          <cell r="BJ40">
            <v>6</v>
          </cell>
        </row>
        <row r="43">
          <cell r="AH43">
            <v>6.05</v>
          </cell>
          <cell r="CQ43">
            <v>1</v>
          </cell>
        </row>
        <row r="44">
          <cell r="AV44">
            <v>9.620000000000001</v>
          </cell>
        </row>
        <row r="45">
          <cell r="CH45">
            <v>10.9</v>
          </cell>
        </row>
        <row r="46">
          <cell r="CH46">
            <v>24</v>
          </cell>
        </row>
        <row r="47">
          <cell r="BZ47">
            <v>15.952500000000001</v>
          </cell>
        </row>
        <row r="48">
          <cell r="D48">
            <v>40.07</v>
          </cell>
          <cell r="AB48">
            <v>0.26195000000000002</v>
          </cell>
        </row>
        <row r="49">
          <cell r="BJ49">
            <v>7</v>
          </cell>
          <cell r="CQ49">
            <v>1</v>
          </cell>
        </row>
        <row r="50">
          <cell r="AH50">
            <v>13.5</v>
          </cell>
        </row>
        <row r="52">
          <cell r="CH52">
            <v>8</v>
          </cell>
        </row>
        <row r="53">
          <cell r="BZ53">
            <v>6</v>
          </cell>
          <cell r="CH53">
            <v>30</v>
          </cell>
        </row>
        <row r="54">
          <cell r="CH54">
            <v>4</v>
          </cell>
        </row>
        <row r="55">
          <cell r="CH55">
            <v>1</v>
          </cell>
        </row>
        <row r="56">
          <cell r="CQ56">
            <v>1</v>
          </cell>
        </row>
        <row r="57">
          <cell r="AA57">
            <v>0.54</v>
          </cell>
        </row>
        <row r="61">
          <cell r="CH61">
            <v>1</v>
          </cell>
        </row>
        <row r="62">
          <cell r="CQ62">
            <v>3</v>
          </cell>
        </row>
        <row r="66">
          <cell r="AA66">
            <v>0.54</v>
          </cell>
        </row>
        <row r="68">
          <cell r="CQ68">
            <v>2</v>
          </cell>
        </row>
        <row r="74">
          <cell r="CQ74">
            <v>5</v>
          </cell>
        </row>
        <row r="75">
          <cell r="AA75">
            <v>0.13500000000000001</v>
          </cell>
        </row>
        <row r="81">
          <cell r="CQ81">
            <v>1</v>
          </cell>
        </row>
        <row r="88">
          <cell r="CQ88">
            <v>1</v>
          </cell>
        </row>
        <row r="95">
          <cell r="CQ95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6"/>
  <sheetViews>
    <sheetView workbookViewId="0">
      <selection activeCell="E111" sqref="E111"/>
    </sheetView>
  </sheetViews>
  <sheetFormatPr defaultRowHeight="15" x14ac:dyDescent="0.25"/>
  <cols>
    <col min="1" max="1" width="2" customWidth="1"/>
    <col min="2" max="2" width="3.5703125" customWidth="1"/>
    <col min="3" max="3" width="52.140625" customWidth="1"/>
    <col min="4" max="4" width="5.140625" customWidth="1"/>
    <col min="5" max="5" width="10.42578125" customWidth="1"/>
    <col min="6" max="6" width="13" customWidth="1"/>
    <col min="7" max="7" width="12.85546875" customWidth="1"/>
  </cols>
  <sheetData>
    <row r="1" spans="2:7" ht="18" x14ac:dyDescent="0.25">
      <c r="B1" s="1" t="s">
        <v>0</v>
      </c>
      <c r="C1" s="2"/>
      <c r="D1" s="3"/>
      <c r="E1" s="4"/>
      <c r="F1" s="5"/>
      <c r="G1" s="5"/>
    </row>
    <row r="2" spans="2:7" ht="18" x14ac:dyDescent="0.25">
      <c r="B2" s="1" t="s">
        <v>1</v>
      </c>
      <c r="C2" s="2"/>
      <c r="D2" s="3"/>
      <c r="E2" s="4"/>
      <c r="F2" s="5"/>
      <c r="G2" s="5"/>
    </row>
    <row r="3" spans="2:7" ht="18" x14ac:dyDescent="0.25">
      <c r="B3" s="1" t="s">
        <v>2</v>
      </c>
      <c r="C3" s="2"/>
      <c r="D3" s="3"/>
      <c r="E3" s="4"/>
      <c r="F3" s="5"/>
      <c r="G3" s="5"/>
    </row>
    <row r="4" spans="2:7" ht="18.75" x14ac:dyDescent="0.3">
      <c r="B4" s="3"/>
      <c r="C4" s="6">
        <f>G186</f>
        <v>0</v>
      </c>
      <c r="D4" s="3"/>
      <c r="E4" s="7"/>
      <c r="F4" s="8"/>
      <c r="G4" s="9" t="s">
        <v>3</v>
      </c>
    </row>
    <row r="5" spans="2:7" x14ac:dyDescent="0.25">
      <c r="B5" s="157" t="s">
        <v>4</v>
      </c>
      <c r="C5" s="157" t="s">
        <v>5</v>
      </c>
      <c r="D5" s="157" t="s">
        <v>6</v>
      </c>
      <c r="E5" s="10" t="s">
        <v>7</v>
      </c>
      <c r="F5" s="11" t="s">
        <v>8</v>
      </c>
      <c r="G5" s="12" t="s">
        <v>9</v>
      </c>
    </row>
    <row r="6" spans="2:7" ht="15.75" thickBot="1" x14ac:dyDescent="0.3">
      <c r="B6" s="158"/>
      <c r="C6" s="158"/>
      <c r="D6" s="158"/>
      <c r="E6" s="13" t="s">
        <v>10</v>
      </c>
      <c r="F6" s="13" t="s">
        <v>11</v>
      </c>
      <c r="G6" s="13" t="s">
        <v>10</v>
      </c>
    </row>
    <row r="7" spans="2:7" ht="16.5" thickTop="1" x14ac:dyDescent="0.25">
      <c r="B7" s="14"/>
      <c r="C7" s="15"/>
      <c r="D7" s="16"/>
      <c r="E7" s="17"/>
      <c r="F7" s="18"/>
      <c r="G7" s="18"/>
    </row>
    <row r="8" spans="2:7" x14ac:dyDescent="0.25">
      <c r="B8" s="19" t="s">
        <v>12</v>
      </c>
      <c r="C8" s="20" t="s">
        <v>13</v>
      </c>
      <c r="D8" s="21"/>
      <c r="E8" s="22"/>
      <c r="F8" s="23"/>
      <c r="G8" s="23"/>
    </row>
    <row r="9" spans="2:7" x14ac:dyDescent="0.25">
      <c r="B9" s="24">
        <v>1</v>
      </c>
      <c r="C9" s="25" t="s">
        <v>14</v>
      </c>
      <c r="D9" s="26" t="s">
        <v>15</v>
      </c>
      <c r="E9" s="27">
        <f>'[1]Htgan Volume'!D10</f>
        <v>34</v>
      </c>
      <c r="F9" s="28">
        <v>0</v>
      </c>
      <c r="G9" s="29">
        <f t="shared" ref="G9:G14" si="0">F9*E9</f>
        <v>0</v>
      </c>
    </row>
    <row r="10" spans="2:7" x14ac:dyDescent="0.25">
      <c r="B10" s="25">
        <v>2</v>
      </c>
      <c r="C10" s="25" t="s">
        <v>16</v>
      </c>
      <c r="D10" s="26" t="s">
        <v>17</v>
      </c>
      <c r="E10" s="27">
        <f>'[1]Htgan Volume'!D16</f>
        <v>1</v>
      </c>
      <c r="F10" s="28">
        <v>0</v>
      </c>
      <c r="G10" s="29">
        <f t="shared" si="0"/>
        <v>0</v>
      </c>
    </row>
    <row r="11" spans="2:7" x14ac:dyDescent="0.25">
      <c r="B11" s="25">
        <v>3</v>
      </c>
      <c r="C11" s="25" t="s">
        <v>18</v>
      </c>
      <c r="D11" s="26" t="s">
        <v>17</v>
      </c>
      <c r="E11" s="27">
        <f>'[1]Htgan Volume'!D22</f>
        <v>1</v>
      </c>
      <c r="F11" s="28">
        <v>0</v>
      </c>
      <c r="G11" s="29">
        <f t="shared" si="0"/>
        <v>0</v>
      </c>
    </row>
    <row r="12" spans="2:7" x14ac:dyDescent="0.25">
      <c r="B12" s="25">
        <v>4</v>
      </c>
      <c r="C12" s="25" t="s">
        <v>19</v>
      </c>
      <c r="D12" s="26" t="s">
        <v>17</v>
      </c>
      <c r="E12" s="27">
        <f>'[1]Htgan Volume'!D28</f>
        <v>1</v>
      </c>
      <c r="F12" s="28">
        <v>0</v>
      </c>
      <c r="G12" s="29">
        <f t="shared" si="0"/>
        <v>0</v>
      </c>
    </row>
    <row r="13" spans="2:7" x14ac:dyDescent="0.25">
      <c r="B13" s="24">
        <v>5</v>
      </c>
      <c r="C13" s="25" t="s">
        <v>20</v>
      </c>
      <c r="D13" s="26" t="s">
        <v>21</v>
      </c>
      <c r="E13" s="27">
        <f>'[1]Htgan Volume'!D38</f>
        <v>22.352499999999992</v>
      </c>
      <c r="F13" s="28">
        <v>0</v>
      </c>
      <c r="G13" s="29">
        <f t="shared" si="0"/>
        <v>0</v>
      </c>
    </row>
    <row r="14" spans="2:7" x14ac:dyDescent="0.25">
      <c r="B14" s="24"/>
      <c r="C14" s="25" t="s">
        <v>22</v>
      </c>
      <c r="D14" s="26" t="s">
        <v>21</v>
      </c>
      <c r="E14" s="27">
        <f>'[1]Htgan Volume'!D48</f>
        <v>35.120000000000005</v>
      </c>
      <c r="F14" s="28">
        <v>0</v>
      </c>
      <c r="G14" s="29">
        <f t="shared" si="0"/>
        <v>0</v>
      </c>
    </row>
    <row r="15" spans="2:7" x14ac:dyDescent="0.25">
      <c r="B15" s="25"/>
      <c r="C15" s="25"/>
      <c r="D15" s="26"/>
      <c r="E15" s="30"/>
      <c r="F15" s="28">
        <v>0</v>
      </c>
      <c r="G15" s="31">
        <f>SUM(G9:G14)</f>
        <v>0</v>
      </c>
    </row>
    <row r="16" spans="2:7" x14ac:dyDescent="0.25">
      <c r="B16" s="32" t="s">
        <v>23</v>
      </c>
      <c r="C16" s="33" t="s">
        <v>24</v>
      </c>
      <c r="D16" s="26"/>
      <c r="E16" s="30"/>
      <c r="F16" s="28">
        <v>0</v>
      </c>
      <c r="G16" s="29">
        <f>F16*E16</f>
        <v>0</v>
      </c>
    </row>
    <row r="17" spans="2:7" x14ac:dyDescent="0.25">
      <c r="B17" s="24">
        <v>1</v>
      </c>
      <c r="C17" s="25" t="s">
        <v>25</v>
      </c>
      <c r="D17" s="26" t="s">
        <v>26</v>
      </c>
      <c r="E17" s="27">
        <f>'[1]Htgan Volume'!K12</f>
        <v>16.834500000000002</v>
      </c>
      <c r="F17" s="28">
        <v>0</v>
      </c>
      <c r="G17" s="29">
        <f>F17*E17</f>
        <v>0</v>
      </c>
    </row>
    <row r="18" spans="2:7" x14ac:dyDescent="0.25">
      <c r="B18" s="24">
        <v>2</v>
      </c>
      <c r="C18" s="25" t="s">
        <v>27</v>
      </c>
      <c r="D18" s="26" t="s">
        <v>26</v>
      </c>
      <c r="E18" s="27">
        <f>'[1]Htgan Volume'!K18</f>
        <v>5.6115000000000004</v>
      </c>
      <c r="F18" s="28">
        <v>0</v>
      </c>
      <c r="G18" s="29">
        <f>F18*E18</f>
        <v>0</v>
      </c>
    </row>
    <row r="19" spans="2:7" x14ac:dyDescent="0.25">
      <c r="B19" s="24">
        <v>3</v>
      </c>
      <c r="C19" s="25" t="s">
        <v>28</v>
      </c>
      <c r="D19" s="26" t="s">
        <v>26</v>
      </c>
      <c r="E19" s="27">
        <f>'[1]Htgan Volume'!K27</f>
        <v>1.7560000000000002</v>
      </c>
      <c r="F19" s="28">
        <v>0</v>
      </c>
      <c r="G19" s="29">
        <f>F19*E19</f>
        <v>0</v>
      </c>
    </row>
    <row r="20" spans="2:7" x14ac:dyDescent="0.25">
      <c r="B20" s="24">
        <v>4</v>
      </c>
      <c r="C20" s="25" t="s">
        <v>29</v>
      </c>
      <c r="D20" s="26" t="s">
        <v>26</v>
      </c>
      <c r="E20" s="27">
        <f>'[1]Htgan Volume'!K33</f>
        <v>1.4048000000000003</v>
      </c>
      <c r="F20" s="28">
        <v>0</v>
      </c>
      <c r="G20" s="29">
        <f>F20*E20</f>
        <v>0</v>
      </c>
    </row>
    <row r="21" spans="2:7" x14ac:dyDescent="0.25">
      <c r="B21" s="25"/>
      <c r="C21" s="25"/>
      <c r="D21" s="26"/>
      <c r="E21" s="27"/>
      <c r="F21" s="28">
        <v>0</v>
      </c>
      <c r="G21" s="31">
        <f>SUM(G17:G20)</f>
        <v>0</v>
      </c>
    </row>
    <row r="22" spans="2:7" x14ac:dyDescent="0.25">
      <c r="B22" s="32" t="s">
        <v>30</v>
      </c>
      <c r="C22" s="33" t="s">
        <v>31</v>
      </c>
      <c r="D22" s="25"/>
      <c r="E22" s="27"/>
      <c r="F22" s="28">
        <v>0</v>
      </c>
      <c r="G22" s="29">
        <f>F22*E22</f>
        <v>0</v>
      </c>
    </row>
    <row r="23" spans="2:7" x14ac:dyDescent="0.25">
      <c r="B23" s="24">
        <v>1</v>
      </c>
      <c r="C23" s="25" t="s">
        <v>32</v>
      </c>
      <c r="D23" s="26" t="s">
        <v>26</v>
      </c>
      <c r="E23" s="27">
        <f>'[1]Htgan Volume'!T11</f>
        <v>6.6480000000000006</v>
      </c>
      <c r="F23" s="28">
        <v>0</v>
      </c>
      <c r="G23" s="29">
        <f>F23*E23</f>
        <v>0</v>
      </c>
    </row>
    <row r="24" spans="2:7" x14ac:dyDescent="0.25">
      <c r="B24" s="24">
        <v>2</v>
      </c>
      <c r="C24" s="25" t="s">
        <v>33</v>
      </c>
      <c r="D24" s="26" t="s">
        <v>34</v>
      </c>
      <c r="E24" s="27">
        <f>'[1]Htgan Volume'!T17</f>
        <v>10.535</v>
      </c>
      <c r="F24" s="28">
        <v>0</v>
      </c>
      <c r="G24" s="29">
        <f>F24*E24</f>
        <v>0</v>
      </c>
    </row>
    <row r="25" spans="2:7" x14ac:dyDescent="0.25">
      <c r="B25" s="32"/>
      <c r="C25" s="25"/>
      <c r="D25" s="26"/>
      <c r="E25" s="30"/>
      <c r="F25" s="28">
        <v>0</v>
      </c>
      <c r="G25" s="31">
        <f>SUM(G23:G24)</f>
        <v>0</v>
      </c>
    </row>
    <row r="26" spans="2:7" x14ac:dyDescent="0.25">
      <c r="B26" s="32" t="s">
        <v>35</v>
      </c>
      <c r="C26" s="33" t="s">
        <v>36</v>
      </c>
      <c r="D26" s="25"/>
      <c r="E26" s="30"/>
      <c r="F26" s="28">
        <v>0</v>
      </c>
      <c r="G26" s="29"/>
    </row>
    <row r="27" spans="2:7" x14ac:dyDescent="0.25">
      <c r="B27" s="32"/>
      <c r="C27" s="33" t="s">
        <v>37</v>
      </c>
      <c r="D27" s="25"/>
      <c r="E27" s="34"/>
      <c r="F27" s="28">
        <v>0</v>
      </c>
      <c r="G27" s="29"/>
    </row>
    <row r="28" spans="2:7" x14ac:dyDescent="0.25">
      <c r="B28" s="24">
        <v>1</v>
      </c>
      <c r="C28" s="25" t="s">
        <v>38</v>
      </c>
      <c r="D28" s="26" t="s">
        <v>26</v>
      </c>
      <c r="E28" s="35">
        <f>'[1]Htgan Volume'!AA11</f>
        <v>1.5464999999999998</v>
      </c>
      <c r="F28" s="28">
        <v>0</v>
      </c>
      <c r="G28" s="29">
        <f t="shared" ref="G28:G35" si="1">F28*E28</f>
        <v>0</v>
      </c>
    </row>
    <row r="29" spans="2:7" x14ac:dyDescent="0.25">
      <c r="B29" s="24">
        <v>2</v>
      </c>
      <c r="C29" s="25" t="s">
        <v>39</v>
      </c>
      <c r="D29" s="26" t="s">
        <v>26</v>
      </c>
      <c r="E29" s="27">
        <f>'[1]Htgan Volume'!AA19</f>
        <v>0.63300000000000001</v>
      </c>
      <c r="F29" s="28">
        <v>0</v>
      </c>
      <c r="G29" s="29">
        <f t="shared" si="1"/>
        <v>0</v>
      </c>
    </row>
    <row r="30" spans="2:7" x14ac:dyDescent="0.25">
      <c r="B30" s="24">
        <v>3</v>
      </c>
      <c r="C30" s="25" t="s">
        <v>40</v>
      </c>
      <c r="D30" s="26" t="s">
        <v>26</v>
      </c>
      <c r="E30" s="27">
        <f>'[1]Htgan Volume'!AA27</f>
        <v>1.6364999999999998</v>
      </c>
      <c r="F30" s="28">
        <v>0</v>
      </c>
      <c r="G30" s="29">
        <f t="shared" si="1"/>
        <v>0</v>
      </c>
    </row>
    <row r="31" spans="2:7" x14ac:dyDescent="0.25">
      <c r="B31" s="24">
        <v>4</v>
      </c>
      <c r="C31" s="25" t="s">
        <v>41</v>
      </c>
      <c r="D31" s="26" t="s">
        <v>26</v>
      </c>
      <c r="E31" s="27">
        <f>'[1]Htgan Volume'!AB39</f>
        <v>2.1017249999999996</v>
      </c>
      <c r="F31" s="28">
        <v>0</v>
      </c>
      <c r="G31" s="29">
        <f t="shared" si="1"/>
        <v>0</v>
      </c>
    </row>
    <row r="32" spans="2:7" x14ac:dyDescent="0.25">
      <c r="B32" s="24">
        <v>5</v>
      </c>
      <c r="C32" s="25" t="s">
        <v>42</v>
      </c>
      <c r="D32" s="26" t="s">
        <v>26</v>
      </c>
      <c r="E32" s="35">
        <f>'[1]Htgan Volume'!AB48</f>
        <v>0.26195000000000002</v>
      </c>
      <c r="F32" s="28">
        <v>0</v>
      </c>
      <c r="G32" s="29">
        <f t="shared" si="1"/>
        <v>0</v>
      </c>
    </row>
    <row r="33" spans="2:7" x14ac:dyDescent="0.25">
      <c r="B33" s="24">
        <v>6</v>
      </c>
      <c r="C33" s="25" t="s">
        <v>43</v>
      </c>
      <c r="D33" s="26" t="s">
        <v>26</v>
      </c>
      <c r="E33" s="27">
        <f>'[1]Htgan Volume'!AA57</f>
        <v>0.29759999999999998</v>
      </c>
      <c r="F33" s="28">
        <v>0</v>
      </c>
      <c r="G33" s="29">
        <f t="shared" si="1"/>
        <v>0</v>
      </c>
    </row>
    <row r="34" spans="2:7" x14ac:dyDescent="0.25">
      <c r="B34" s="24">
        <v>7</v>
      </c>
      <c r="C34" s="25" t="s">
        <v>44</v>
      </c>
      <c r="D34" s="26" t="s">
        <v>26</v>
      </c>
      <c r="E34" s="27">
        <f>'[1]Htgan Volume'!AA66</f>
        <v>0.29699999999999993</v>
      </c>
      <c r="F34" s="28">
        <v>0</v>
      </c>
      <c r="G34" s="29">
        <f>F34*E34</f>
        <v>0</v>
      </c>
    </row>
    <row r="35" spans="2:7" x14ac:dyDescent="0.25">
      <c r="B35" s="24">
        <v>8</v>
      </c>
      <c r="C35" s="25" t="s">
        <v>45</v>
      </c>
      <c r="D35" s="26" t="s">
        <v>26</v>
      </c>
      <c r="E35" s="27">
        <f>'[1]Htgan Volume'!AA75</f>
        <v>0.13500000000000001</v>
      </c>
      <c r="F35" s="28">
        <v>0</v>
      </c>
      <c r="G35" s="29">
        <f t="shared" si="1"/>
        <v>0</v>
      </c>
    </row>
    <row r="36" spans="2:7" x14ac:dyDescent="0.25">
      <c r="B36" s="32"/>
      <c r="C36" s="25"/>
      <c r="D36" s="26"/>
      <c r="E36" s="30"/>
      <c r="F36" s="28">
        <v>0</v>
      </c>
      <c r="G36" s="31">
        <f>SUM(G26:G35)</f>
        <v>0</v>
      </c>
    </row>
    <row r="37" spans="2:7" x14ac:dyDescent="0.25">
      <c r="B37" s="32" t="s">
        <v>46</v>
      </c>
      <c r="C37" s="33" t="s">
        <v>47</v>
      </c>
      <c r="D37" s="26"/>
      <c r="E37" s="30"/>
      <c r="F37" s="28">
        <v>0</v>
      </c>
      <c r="G37" s="29">
        <f>F37*E37</f>
        <v>0</v>
      </c>
    </row>
    <row r="38" spans="2:7" x14ac:dyDescent="0.25">
      <c r="B38" s="24">
        <v>1</v>
      </c>
      <c r="C38" s="36" t="s">
        <v>48</v>
      </c>
      <c r="D38" s="26" t="s">
        <v>21</v>
      </c>
      <c r="E38" s="27">
        <f>'[1]Htgan Volume'!AH8</f>
        <v>2</v>
      </c>
      <c r="F38" s="28">
        <v>0</v>
      </c>
      <c r="G38" s="29">
        <f>F38*E38</f>
        <v>0</v>
      </c>
    </row>
    <row r="39" spans="2:7" x14ac:dyDescent="0.25">
      <c r="B39" s="24">
        <v>2</v>
      </c>
      <c r="C39" s="36" t="s">
        <v>49</v>
      </c>
      <c r="D39" s="26" t="s">
        <v>21</v>
      </c>
      <c r="E39" s="27">
        <f>'[1]Htgan Volume'!AH15</f>
        <v>3.2</v>
      </c>
      <c r="F39" s="28">
        <v>0</v>
      </c>
      <c r="G39" s="29">
        <f>F39*E39</f>
        <v>0</v>
      </c>
    </row>
    <row r="40" spans="2:7" x14ac:dyDescent="0.25">
      <c r="B40" s="24">
        <v>3</v>
      </c>
      <c r="C40" s="36" t="s">
        <v>50</v>
      </c>
      <c r="D40" s="26"/>
      <c r="E40" s="27"/>
      <c r="F40" s="28">
        <v>0</v>
      </c>
      <c r="G40" s="29"/>
    </row>
    <row r="41" spans="2:7" x14ac:dyDescent="0.25">
      <c r="B41" s="24"/>
      <c r="C41" s="36" t="s">
        <v>51</v>
      </c>
      <c r="D41" s="26" t="s">
        <v>21</v>
      </c>
      <c r="E41" s="27">
        <f>'[1]Htgan Volume'!AH28</f>
        <v>28.08</v>
      </c>
      <c r="F41" s="28">
        <v>0</v>
      </c>
      <c r="G41" s="29">
        <f>F41*E41</f>
        <v>0</v>
      </c>
    </row>
    <row r="42" spans="2:7" x14ac:dyDescent="0.25">
      <c r="B42" s="24">
        <v>4</v>
      </c>
      <c r="C42" s="36" t="s">
        <v>52</v>
      </c>
      <c r="D42" s="26" t="s">
        <v>21</v>
      </c>
      <c r="E42" s="27">
        <f>'[1]Htgan Volume'!AH37</f>
        <v>2.92</v>
      </c>
      <c r="F42" s="28">
        <v>0</v>
      </c>
      <c r="G42" s="29">
        <f>F42*E42</f>
        <v>0</v>
      </c>
    </row>
    <row r="43" spans="2:7" x14ac:dyDescent="0.25">
      <c r="B43" s="24">
        <v>5</v>
      </c>
      <c r="C43" s="36" t="s">
        <v>53</v>
      </c>
      <c r="D43" s="26" t="s">
        <v>15</v>
      </c>
      <c r="E43" s="27">
        <f>'[1]Htgan Volume'!AH43</f>
        <v>6.05</v>
      </c>
      <c r="F43" s="28">
        <v>0</v>
      </c>
      <c r="G43" s="29">
        <f>F43*E43</f>
        <v>0</v>
      </c>
    </row>
    <row r="44" spans="2:7" x14ac:dyDescent="0.25">
      <c r="B44" s="24">
        <v>6</v>
      </c>
      <c r="C44" s="36" t="s">
        <v>54</v>
      </c>
      <c r="D44" s="26" t="s">
        <v>21</v>
      </c>
      <c r="E44" s="27">
        <f>'[1]Htgan Volume'!AH50</f>
        <v>13.5</v>
      </c>
      <c r="F44" s="28">
        <v>0</v>
      </c>
      <c r="G44" s="29">
        <f>F44*E44</f>
        <v>0</v>
      </c>
    </row>
    <row r="45" spans="2:7" x14ac:dyDescent="0.25">
      <c r="B45" s="32"/>
      <c r="C45" s="25"/>
      <c r="D45" s="26"/>
      <c r="E45" s="30"/>
      <c r="F45" s="28">
        <v>0</v>
      </c>
      <c r="G45" s="31">
        <f>SUM(G38:G44)</f>
        <v>0</v>
      </c>
    </row>
    <row r="46" spans="2:7" x14ac:dyDescent="0.25">
      <c r="B46" s="32" t="s">
        <v>55</v>
      </c>
      <c r="C46" s="33" t="s">
        <v>56</v>
      </c>
      <c r="D46" s="26"/>
      <c r="E46" s="30"/>
      <c r="F46" s="28">
        <v>0</v>
      </c>
      <c r="G46" s="29">
        <f>F46*E46</f>
        <v>0</v>
      </c>
    </row>
    <row r="47" spans="2:7" x14ac:dyDescent="0.25">
      <c r="B47" s="32"/>
      <c r="C47" s="25" t="s">
        <v>57</v>
      </c>
      <c r="D47" s="26"/>
      <c r="E47" s="30"/>
      <c r="F47" s="28">
        <v>0</v>
      </c>
      <c r="G47" s="29">
        <f>F47*E47</f>
        <v>0</v>
      </c>
    </row>
    <row r="48" spans="2:7" x14ac:dyDescent="0.25">
      <c r="B48" s="24">
        <v>1</v>
      </c>
      <c r="C48" s="36" t="s">
        <v>58</v>
      </c>
      <c r="D48" s="26" t="s">
        <v>21</v>
      </c>
      <c r="E48" s="27">
        <f>'[1]Htgan Volume'!AO8</f>
        <v>15.8</v>
      </c>
      <c r="F48" s="28">
        <v>0</v>
      </c>
      <c r="G48" s="29">
        <f>F48*E48</f>
        <v>0</v>
      </c>
    </row>
    <row r="49" spans="2:7" x14ac:dyDescent="0.25">
      <c r="B49" s="24">
        <v>2</v>
      </c>
      <c r="C49" s="36" t="s">
        <v>59</v>
      </c>
      <c r="D49" s="26" t="s">
        <v>21</v>
      </c>
      <c r="E49" s="27">
        <f>'[1]Htgan Volume'!AO21</f>
        <v>1.4</v>
      </c>
      <c r="F49" s="28">
        <v>0</v>
      </c>
      <c r="G49" s="29">
        <f>F49*E49</f>
        <v>0</v>
      </c>
    </row>
    <row r="50" spans="2:7" x14ac:dyDescent="0.25">
      <c r="B50" s="24">
        <v>3</v>
      </c>
      <c r="C50" s="36" t="s">
        <v>60</v>
      </c>
      <c r="D50" s="26" t="s">
        <v>21</v>
      </c>
      <c r="E50" s="27">
        <f>'[1]Htgan Volume'!AO28</f>
        <v>2.25</v>
      </c>
      <c r="F50" s="28">
        <v>0</v>
      </c>
      <c r="G50" s="29">
        <f>F50*E50</f>
        <v>0</v>
      </c>
    </row>
    <row r="51" spans="2:7" x14ac:dyDescent="0.25">
      <c r="B51" s="24"/>
      <c r="C51" s="25"/>
      <c r="D51" s="26"/>
      <c r="E51" s="30"/>
      <c r="F51" s="28">
        <v>0</v>
      </c>
      <c r="G51" s="31">
        <f>SUM(G48:G50)</f>
        <v>0</v>
      </c>
    </row>
    <row r="52" spans="2:7" x14ac:dyDescent="0.25">
      <c r="B52" s="32" t="s">
        <v>61</v>
      </c>
      <c r="C52" s="33" t="s">
        <v>62</v>
      </c>
      <c r="D52" s="25"/>
      <c r="E52" s="30"/>
      <c r="F52" s="28">
        <v>0</v>
      </c>
      <c r="G52" s="29">
        <f>F52*E52</f>
        <v>0</v>
      </c>
    </row>
    <row r="53" spans="2:7" x14ac:dyDescent="0.25">
      <c r="B53" s="25">
        <v>1</v>
      </c>
      <c r="C53" s="36" t="s">
        <v>63</v>
      </c>
      <c r="D53" s="26" t="s">
        <v>21</v>
      </c>
      <c r="E53" s="27">
        <f>'[1]Htgan Volume'!AV13</f>
        <v>28.08</v>
      </c>
      <c r="F53" s="28">
        <v>0</v>
      </c>
      <c r="G53" s="29">
        <f>F53*E53</f>
        <v>0</v>
      </c>
    </row>
    <row r="54" spans="2:7" x14ac:dyDescent="0.25">
      <c r="B54" s="25">
        <v>2</v>
      </c>
      <c r="C54" s="36" t="s">
        <v>64</v>
      </c>
      <c r="D54" s="26" t="s">
        <v>15</v>
      </c>
      <c r="E54" s="27">
        <f>'[1]Htgan Volume'!AV24</f>
        <v>36.975000000000001</v>
      </c>
      <c r="F54" s="28">
        <v>0</v>
      </c>
      <c r="G54" s="29">
        <f>F54*E54</f>
        <v>0</v>
      </c>
    </row>
    <row r="55" spans="2:7" x14ac:dyDescent="0.25">
      <c r="B55" s="24">
        <v>3</v>
      </c>
      <c r="C55" s="36" t="s">
        <v>65</v>
      </c>
      <c r="D55" s="26" t="s">
        <v>15</v>
      </c>
      <c r="E55" s="27">
        <f>'[1]Htgan Volume'!AV33</f>
        <v>13.2</v>
      </c>
      <c r="F55" s="28">
        <v>0</v>
      </c>
      <c r="G55" s="29">
        <f>F55*E55</f>
        <v>0</v>
      </c>
    </row>
    <row r="56" spans="2:7" x14ac:dyDescent="0.25">
      <c r="B56" s="24">
        <v>4</v>
      </c>
      <c r="C56" s="36" t="s">
        <v>66</v>
      </c>
      <c r="D56" s="26" t="s">
        <v>21</v>
      </c>
      <c r="E56" s="27">
        <f>'[1]Htgan Volume'!AV44</f>
        <v>8.120000000000001</v>
      </c>
      <c r="F56" s="28">
        <v>0</v>
      </c>
      <c r="G56" s="29">
        <f>F56*E56</f>
        <v>0</v>
      </c>
    </row>
    <row r="57" spans="2:7" x14ac:dyDescent="0.25">
      <c r="B57" s="32"/>
      <c r="C57" s="25"/>
      <c r="D57" s="25"/>
      <c r="E57" s="30"/>
      <c r="F57" s="28">
        <v>0</v>
      </c>
      <c r="G57" s="37">
        <f>SUM(G53:G56)</f>
        <v>0</v>
      </c>
    </row>
    <row r="58" spans="2:7" x14ac:dyDescent="0.25">
      <c r="B58" s="32" t="s">
        <v>67</v>
      </c>
      <c r="C58" s="33" t="s">
        <v>68</v>
      </c>
      <c r="D58" s="26"/>
      <c r="E58" s="30"/>
      <c r="F58" s="28">
        <v>0</v>
      </c>
      <c r="G58" s="29">
        <f>F58*E58</f>
        <v>0</v>
      </c>
    </row>
    <row r="59" spans="2:7" x14ac:dyDescent="0.25">
      <c r="B59" s="24">
        <v>1</v>
      </c>
      <c r="C59" s="25" t="s">
        <v>69</v>
      </c>
      <c r="D59" s="26" t="s">
        <v>21</v>
      </c>
      <c r="E59" s="27">
        <f>'[1]Htgan Volume'!BC9</f>
        <v>25.742499999999996</v>
      </c>
      <c r="F59" s="28">
        <v>0</v>
      </c>
      <c r="G59" s="29">
        <f>F59*E59</f>
        <v>0</v>
      </c>
    </row>
    <row r="60" spans="2:7" x14ac:dyDescent="0.25">
      <c r="B60" s="24">
        <v>2</v>
      </c>
      <c r="C60" s="25" t="s">
        <v>70</v>
      </c>
      <c r="D60" s="26" t="s">
        <v>21</v>
      </c>
      <c r="E60" s="27">
        <f>'[1]Htgan Volume'!BC24</f>
        <v>138.39875000000001</v>
      </c>
      <c r="F60" s="28">
        <v>0</v>
      </c>
      <c r="G60" s="29">
        <f>F60*E60</f>
        <v>0</v>
      </c>
    </row>
    <row r="61" spans="2:7" x14ac:dyDescent="0.25">
      <c r="B61" s="24">
        <v>3</v>
      </c>
      <c r="C61" s="25" t="s">
        <v>71</v>
      </c>
      <c r="D61" s="26" t="s">
        <v>21</v>
      </c>
      <c r="E61" s="27">
        <f>'[1]Htgan Volume'!BC33</f>
        <v>317.78250000000003</v>
      </c>
      <c r="F61" s="28">
        <v>0</v>
      </c>
      <c r="G61" s="29">
        <f>F61*E61</f>
        <v>0</v>
      </c>
    </row>
    <row r="62" spans="2:7" x14ac:dyDescent="0.25">
      <c r="B62" s="24"/>
      <c r="C62" s="25"/>
      <c r="D62" s="26"/>
      <c r="E62" s="30"/>
      <c r="F62" s="28">
        <v>0</v>
      </c>
      <c r="G62" s="31">
        <f>SUM(G59:G61)</f>
        <v>0</v>
      </c>
    </row>
    <row r="63" spans="2:7" x14ac:dyDescent="0.25">
      <c r="B63" s="32" t="s">
        <v>72</v>
      </c>
      <c r="C63" s="33" t="s">
        <v>73</v>
      </c>
      <c r="D63" s="25"/>
      <c r="E63" s="30"/>
      <c r="F63" s="28">
        <v>0</v>
      </c>
      <c r="G63" s="29">
        <f t="shared" ref="G63:G69" si="2">F63*E63</f>
        <v>0</v>
      </c>
    </row>
    <row r="64" spans="2:7" x14ac:dyDescent="0.25">
      <c r="B64" s="24">
        <v>1</v>
      </c>
      <c r="C64" s="25" t="s">
        <v>74</v>
      </c>
      <c r="D64" s="26" t="s">
        <v>21</v>
      </c>
      <c r="E64" s="27">
        <f>'[1]Htgan Volume'!BJ12</f>
        <v>40.5</v>
      </c>
      <c r="F64" s="28">
        <v>0</v>
      </c>
      <c r="G64" s="29">
        <f t="shared" si="2"/>
        <v>0</v>
      </c>
    </row>
    <row r="65" spans="2:7" x14ac:dyDescent="0.25">
      <c r="B65" s="24">
        <v>2</v>
      </c>
      <c r="C65" s="25" t="s">
        <v>75</v>
      </c>
      <c r="D65" s="26" t="s">
        <v>21</v>
      </c>
      <c r="E65" s="27">
        <f>'[1]Htgan Volume'!BJ21</f>
        <v>40.5</v>
      </c>
      <c r="F65" s="28">
        <v>0</v>
      </c>
      <c r="G65" s="29">
        <f t="shared" si="2"/>
        <v>0</v>
      </c>
    </row>
    <row r="66" spans="2:7" x14ac:dyDescent="0.25">
      <c r="B66" s="24">
        <v>3</v>
      </c>
      <c r="C66" s="25" t="s">
        <v>76</v>
      </c>
      <c r="D66" s="26" t="s">
        <v>15</v>
      </c>
      <c r="E66" s="27">
        <f>'[1]Htgan Volume'!BJ28</f>
        <v>16.75</v>
      </c>
      <c r="F66" s="28">
        <v>0</v>
      </c>
      <c r="G66" s="29">
        <f t="shared" si="2"/>
        <v>0</v>
      </c>
    </row>
    <row r="67" spans="2:7" x14ac:dyDescent="0.25">
      <c r="B67" s="25">
        <v>4</v>
      </c>
      <c r="C67" s="25" t="s">
        <v>77</v>
      </c>
      <c r="D67" s="26" t="s">
        <v>15</v>
      </c>
      <c r="E67" s="27">
        <f>'[1]Htgan Volume'!BJ34</f>
        <v>18</v>
      </c>
      <c r="F67" s="28">
        <v>0</v>
      </c>
      <c r="G67" s="29">
        <f t="shared" si="2"/>
        <v>0</v>
      </c>
    </row>
    <row r="68" spans="2:7" x14ac:dyDescent="0.25">
      <c r="B68" s="25">
        <v>5</v>
      </c>
      <c r="C68" s="25" t="s">
        <v>78</v>
      </c>
      <c r="D68" s="26" t="s">
        <v>15</v>
      </c>
      <c r="E68" s="27">
        <f>'[1]Htgan Volume'!BJ40</f>
        <v>5</v>
      </c>
      <c r="F68" s="28">
        <v>0</v>
      </c>
      <c r="G68" s="29">
        <f t="shared" si="2"/>
        <v>0</v>
      </c>
    </row>
    <row r="69" spans="2:7" x14ac:dyDescent="0.25">
      <c r="B69" s="25">
        <v>6</v>
      </c>
      <c r="C69" s="25" t="s">
        <v>79</v>
      </c>
      <c r="D69" s="26" t="s">
        <v>15</v>
      </c>
      <c r="E69" s="27">
        <f>'[1]Htgan Volume'!BJ49</f>
        <v>7</v>
      </c>
      <c r="F69" s="28">
        <v>0</v>
      </c>
      <c r="G69" s="29">
        <f t="shared" si="2"/>
        <v>0</v>
      </c>
    </row>
    <row r="70" spans="2:7" x14ac:dyDescent="0.25">
      <c r="B70" s="32"/>
      <c r="C70" s="25"/>
      <c r="D70" s="25"/>
      <c r="E70" s="30"/>
      <c r="F70" s="28">
        <v>0</v>
      </c>
      <c r="G70" s="31">
        <f>SUM(G64:G69)</f>
        <v>0</v>
      </c>
    </row>
    <row r="71" spans="2:7" x14ac:dyDescent="0.25">
      <c r="B71" s="32" t="s">
        <v>80</v>
      </c>
      <c r="C71" s="33" t="s">
        <v>81</v>
      </c>
      <c r="D71" s="25"/>
      <c r="E71" s="38"/>
      <c r="F71" s="28">
        <v>0</v>
      </c>
      <c r="G71" s="29">
        <f t="shared" ref="G71:G85" si="3">F71*E71</f>
        <v>0</v>
      </c>
    </row>
    <row r="72" spans="2:7" x14ac:dyDescent="0.25">
      <c r="B72" s="24">
        <v>1</v>
      </c>
      <c r="C72" s="36" t="s">
        <v>82</v>
      </c>
      <c r="D72" s="25"/>
      <c r="E72" s="30"/>
      <c r="F72" s="28">
        <v>0</v>
      </c>
      <c r="G72" s="29">
        <f t="shared" si="3"/>
        <v>0</v>
      </c>
    </row>
    <row r="73" spans="2:7" x14ac:dyDescent="0.25">
      <c r="B73" s="24" t="s">
        <v>83</v>
      </c>
      <c r="C73" s="25" t="s">
        <v>84</v>
      </c>
      <c r="D73" s="26" t="s">
        <v>85</v>
      </c>
      <c r="E73" s="27">
        <f>'[1]Htgan Volume'!BR8</f>
        <v>4</v>
      </c>
      <c r="F73" s="28">
        <v>0</v>
      </c>
      <c r="G73" s="29">
        <f t="shared" si="3"/>
        <v>0</v>
      </c>
    </row>
    <row r="74" spans="2:7" x14ac:dyDescent="0.25">
      <c r="B74" s="24" t="s">
        <v>83</v>
      </c>
      <c r="C74" s="25" t="s">
        <v>86</v>
      </c>
      <c r="D74" s="26" t="s">
        <v>85</v>
      </c>
      <c r="E74" s="27">
        <f>'[1]Htgan Volume'!BR12</f>
        <v>1</v>
      </c>
      <c r="F74" s="28">
        <v>0</v>
      </c>
      <c r="G74" s="29">
        <f t="shared" si="3"/>
        <v>0</v>
      </c>
    </row>
    <row r="75" spans="2:7" x14ac:dyDescent="0.25">
      <c r="B75" s="24">
        <v>2</v>
      </c>
      <c r="C75" s="36" t="s">
        <v>87</v>
      </c>
      <c r="D75" s="26"/>
      <c r="E75" s="30">
        <v>1</v>
      </c>
      <c r="F75" s="28">
        <v>0</v>
      </c>
      <c r="G75" s="28">
        <f>F75*E75</f>
        <v>0</v>
      </c>
    </row>
    <row r="76" spans="2:7" x14ac:dyDescent="0.25">
      <c r="B76" s="24" t="s">
        <v>83</v>
      </c>
      <c r="C76" s="25" t="s">
        <v>88</v>
      </c>
      <c r="D76" s="26" t="s">
        <v>89</v>
      </c>
      <c r="E76" s="27">
        <f>'[1]Htgan Volume'!BS19</f>
        <v>1</v>
      </c>
      <c r="F76" s="28">
        <v>0</v>
      </c>
      <c r="G76" s="28">
        <f t="shared" ref="G76:G81" si="4">F76</f>
        <v>0</v>
      </c>
    </row>
    <row r="77" spans="2:7" x14ac:dyDescent="0.25">
      <c r="B77" s="24" t="s">
        <v>83</v>
      </c>
      <c r="C77" s="25" t="s">
        <v>90</v>
      </c>
      <c r="D77" s="26" t="s">
        <v>89</v>
      </c>
      <c r="E77" s="27">
        <f>'[1]Htgan Volume'!BS21</f>
        <v>1</v>
      </c>
      <c r="F77" s="28">
        <v>0</v>
      </c>
      <c r="G77" s="28">
        <f t="shared" si="4"/>
        <v>0</v>
      </c>
    </row>
    <row r="78" spans="2:7" x14ac:dyDescent="0.25">
      <c r="B78" s="24" t="s">
        <v>83</v>
      </c>
      <c r="C78" s="25" t="s">
        <v>91</v>
      </c>
      <c r="D78" s="26" t="s">
        <v>89</v>
      </c>
      <c r="E78" s="27">
        <f>'[1]Htgan Volume'!BS23</f>
        <v>1</v>
      </c>
      <c r="F78" s="28">
        <v>0</v>
      </c>
      <c r="G78" s="28">
        <f t="shared" si="4"/>
        <v>0</v>
      </c>
    </row>
    <row r="79" spans="2:7" x14ac:dyDescent="0.25">
      <c r="B79" s="24" t="s">
        <v>83</v>
      </c>
      <c r="C79" s="25" t="s">
        <v>92</v>
      </c>
      <c r="D79" s="26" t="s">
        <v>89</v>
      </c>
      <c r="E79" s="27">
        <f>'[1]Htgan Volume'!BS25</f>
        <v>1</v>
      </c>
      <c r="F79" s="28">
        <v>0</v>
      </c>
      <c r="G79" s="28">
        <f t="shared" si="4"/>
        <v>0</v>
      </c>
    </row>
    <row r="80" spans="2:7" x14ac:dyDescent="0.25">
      <c r="B80" s="24" t="s">
        <v>83</v>
      </c>
      <c r="C80" s="25" t="s">
        <v>93</v>
      </c>
      <c r="D80" s="26" t="s">
        <v>89</v>
      </c>
      <c r="E80" s="27">
        <f>'[1]Htgan Volume'!BS27</f>
        <v>1</v>
      </c>
      <c r="F80" s="28">
        <v>0</v>
      </c>
      <c r="G80" s="28">
        <f t="shared" si="4"/>
        <v>0</v>
      </c>
    </row>
    <row r="81" spans="2:7" x14ac:dyDescent="0.25">
      <c r="B81" s="24" t="s">
        <v>83</v>
      </c>
      <c r="C81" s="25" t="s">
        <v>94</v>
      </c>
      <c r="D81" s="26" t="s">
        <v>89</v>
      </c>
      <c r="E81" s="27">
        <f>'[1]Htgan Volume'!BS29</f>
        <v>2</v>
      </c>
      <c r="F81" s="28">
        <v>0</v>
      </c>
      <c r="G81" s="28">
        <f t="shared" si="4"/>
        <v>0</v>
      </c>
    </row>
    <row r="82" spans="2:7" x14ac:dyDescent="0.25">
      <c r="B82" s="24">
        <v>3</v>
      </c>
      <c r="C82" s="25" t="s">
        <v>95</v>
      </c>
      <c r="D82" s="26"/>
      <c r="E82" s="30"/>
      <c r="F82" s="28">
        <v>0</v>
      </c>
      <c r="G82" s="29">
        <f t="shared" si="3"/>
        <v>0</v>
      </c>
    </row>
    <row r="83" spans="2:7" x14ac:dyDescent="0.25">
      <c r="B83" s="24" t="s">
        <v>83</v>
      </c>
      <c r="C83" s="25" t="s">
        <v>96</v>
      </c>
      <c r="D83" s="26" t="s">
        <v>85</v>
      </c>
      <c r="E83" s="27">
        <f>'[1]Htgan Volume'!BR35</f>
        <v>1</v>
      </c>
      <c r="F83" s="28">
        <v>0</v>
      </c>
      <c r="G83" s="29">
        <f t="shared" si="3"/>
        <v>0</v>
      </c>
    </row>
    <row r="84" spans="2:7" x14ac:dyDescent="0.25">
      <c r="B84" s="24" t="s">
        <v>83</v>
      </c>
      <c r="C84" s="25" t="s">
        <v>97</v>
      </c>
      <c r="D84" s="26" t="s">
        <v>85</v>
      </c>
      <c r="E84" s="27">
        <f>'[1]Htgan Volume'!BR37</f>
        <v>4</v>
      </c>
      <c r="F84" s="28">
        <v>0</v>
      </c>
      <c r="G84" s="29">
        <f>F84*E84</f>
        <v>0</v>
      </c>
    </row>
    <row r="85" spans="2:7" x14ac:dyDescent="0.25">
      <c r="B85" s="24" t="s">
        <v>83</v>
      </c>
      <c r="C85" s="25" t="s">
        <v>98</v>
      </c>
      <c r="D85" s="26" t="s">
        <v>99</v>
      </c>
      <c r="E85" s="27">
        <f>'[1]Htgan Volume'!BR38</f>
        <v>15</v>
      </c>
      <c r="F85" s="28">
        <v>0</v>
      </c>
      <c r="G85" s="29">
        <f t="shared" si="3"/>
        <v>0</v>
      </c>
    </row>
    <row r="86" spans="2:7" x14ac:dyDescent="0.25">
      <c r="B86" s="24"/>
      <c r="C86" s="25"/>
      <c r="D86" s="26"/>
      <c r="E86" s="30"/>
      <c r="F86" s="28">
        <v>0</v>
      </c>
      <c r="G86" s="31">
        <f>SUM(G73:G85)</f>
        <v>0</v>
      </c>
    </row>
    <row r="87" spans="2:7" x14ac:dyDescent="0.25">
      <c r="B87" s="32" t="s">
        <v>100</v>
      </c>
      <c r="C87" s="33" t="s">
        <v>101</v>
      </c>
      <c r="D87" s="26"/>
      <c r="E87" s="30"/>
      <c r="F87" s="28">
        <v>0</v>
      </c>
      <c r="G87" s="29">
        <f t="shared" ref="G87:G92" si="5">F87*E87</f>
        <v>0</v>
      </c>
    </row>
    <row r="88" spans="2:7" x14ac:dyDescent="0.25">
      <c r="B88" s="25">
        <v>1</v>
      </c>
      <c r="C88" s="25" t="s">
        <v>102</v>
      </c>
      <c r="D88" s="26" t="s">
        <v>21</v>
      </c>
      <c r="E88" s="27">
        <f>'[1]Htgan Volume'!BZ12</f>
        <v>114.125</v>
      </c>
      <c r="F88" s="28">
        <v>0</v>
      </c>
      <c r="G88" s="29">
        <f t="shared" si="5"/>
        <v>0</v>
      </c>
    </row>
    <row r="89" spans="2:7" x14ac:dyDescent="0.25">
      <c r="B89" s="25">
        <v>2</v>
      </c>
      <c r="C89" s="25" t="s">
        <v>103</v>
      </c>
      <c r="D89" s="26" t="s">
        <v>21</v>
      </c>
      <c r="E89" s="27">
        <f>'[1]Htgan Volume'!BZ24</f>
        <v>42.65</v>
      </c>
      <c r="F89" s="28">
        <v>0</v>
      </c>
      <c r="G89" s="29">
        <f t="shared" si="5"/>
        <v>0</v>
      </c>
    </row>
    <row r="90" spans="2:7" x14ac:dyDescent="0.25">
      <c r="B90" s="25">
        <v>3</v>
      </c>
      <c r="C90" s="25" t="s">
        <v>104</v>
      </c>
      <c r="D90" s="26" t="s">
        <v>21</v>
      </c>
      <c r="E90" s="27">
        <f>'[1]Htgan Volume'!BZ36</f>
        <v>37.799999999999997</v>
      </c>
      <c r="F90" s="28">
        <v>0</v>
      </c>
      <c r="G90" s="29">
        <f t="shared" si="5"/>
        <v>0</v>
      </c>
    </row>
    <row r="91" spans="2:7" x14ac:dyDescent="0.25">
      <c r="B91" s="25">
        <v>4</v>
      </c>
      <c r="C91" s="25" t="s">
        <v>105</v>
      </c>
      <c r="D91" s="26" t="s">
        <v>21</v>
      </c>
      <c r="E91" s="27">
        <f>'[1]Htgan Volume'!BZ47</f>
        <v>15.307500000000001</v>
      </c>
      <c r="F91" s="28">
        <v>0</v>
      </c>
      <c r="G91" s="29">
        <f t="shared" si="5"/>
        <v>0</v>
      </c>
    </row>
    <row r="92" spans="2:7" x14ac:dyDescent="0.25">
      <c r="B92" s="25">
        <v>5</v>
      </c>
      <c r="C92" s="25" t="s">
        <v>106</v>
      </c>
      <c r="D92" s="26" t="s">
        <v>15</v>
      </c>
      <c r="E92" s="27">
        <f>'[1]Htgan Volume'!BZ53</f>
        <v>5</v>
      </c>
      <c r="F92" s="28">
        <v>0</v>
      </c>
      <c r="G92" s="29">
        <f t="shared" si="5"/>
        <v>0</v>
      </c>
    </row>
    <row r="93" spans="2:7" x14ac:dyDescent="0.25">
      <c r="B93" s="24"/>
      <c r="C93" s="25"/>
      <c r="D93" s="26"/>
      <c r="E93" s="30"/>
      <c r="F93" s="28">
        <v>0</v>
      </c>
      <c r="G93" s="31">
        <f>SUM(G88:G92)</f>
        <v>0</v>
      </c>
    </row>
    <row r="94" spans="2:7" x14ac:dyDescent="0.25">
      <c r="B94" s="32" t="s">
        <v>107</v>
      </c>
      <c r="C94" s="33" t="s">
        <v>108</v>
      </c>
      <c r="D94" s="26"/>
      <c r="E94" s="30"/>
      <c r="F94" s="28">
        <v>0</v>
      </c>
      <c r="G94" s="29">
        <f t="shared" ref="G94:G116" si="6">F94*E94</f>
        <v>0</v>
      </c>
    </row>
    <row r="95" spans="2:7" x14ac:dyDescent="0.25">
      <c r="B95" s="24">
        <v>1</v>
      </c>
      <c r="C95" s="25" t="s">
        <v>109</v>
      </c>
      <c r="D95" s="25"/>
      <c r="E95" s="30"/>
      <c r="F95" s="28">
        <v>0</v>
      </c>
      <c r="G95" s="29">
        <f t="shared" si="6"/>
        <v>0</v>
      </c>
    </row>
    <row r="96" spans="2:7" x14ac:dyDescent="0.25">
      <c r="B96" s="24" t="s">
        <v>83</v>
      </c>
      <c r="C96" s="25" t="s">
        <v>110</v>
      </c>
      <c r="D96" s="26" t="s">
        <v>85</v>
      </c>
      <c r="E96" s="27">
        <f>'[1]Htgan Volume'!CJ8</f>
        <v>1</v>
      </c>
      <c r="F96" s="28">
        <v>0</v>
      </c>
      <c r="G96" s="29">
        <f t="shared" si="6"/>
        <v>0</v>
      </c>
    </row>
    <row r="97" spans="2:7" x14ac:dyDescent="0.25">
      <c r="B97" s="24" t="s">
        <v>83</v>
      </c>
      <c r="C97" s="25" t="s">
        <v>111</v>
      </c>
      <c r="D97" s="26" t="s">
        <v>85</v>
      </c>
      <c r="E97" s="27">
        <f>'[1]Htgan Volume'!CJ10</f>
        <v>1</v>
      </c>
      <c r="F97" s="28">
        <v>0</v>
      </c>
      <c r="G97" s="29">
        <f t="shared" si="6"/>
        <v>0</v>
      </c>
    </row>
    <row r="98" spans="2:7" x14ac:dyDescent="0.25">
      <c r="B98" s="24" t="s">
        <v>83</v>
      </c>
      <c r="C98" s="25" t="s">
        <v>112</v>
      </c>
      <c r="D98" s="26" t="s">
        <v>85</v>
      </c>
      <c r="E98" s="27">
        <f>'[1]Htgan Volume'!CJ11</f>
        <v>1</v>
      </c>
      <c r="F98" s="28">
        <v>0</v>
      </c>
      <c r="G98" s="28">
        <f>F98</f>
        <v>0</v>
      </c>
    </row>
    <row r="99" spans="2:7" x14ac:dyDescent="0.25">
      <c r="B99" s="24" t="s">
        <v>83</v>
      </c>
      <c r="C99" s="25" t="s">
        <v>113</v>
      </c>
      <c r="D99" s="26" t="s">
        <v>85</v>
      </c>
      <c r="E99" s="27">
        <f>'[1]Htgan Volume'!CJ12</f>
        <v>1</v>
      </c>
      <c r="F99" s="28">
        <v>0</v>
      </c>
      <c r="G99" s="29">
        <f t="shared" si="6"/>
        <v>0</v>
      </c>
    </row>
    <row r="100" spans="2:7" x14ac:dyDescent="0.25">
      <c r="B100" s="24" t="s">
        <v>83</v>
      </c>
      <c r="C100" s="25" t="s">
        <v>114</v>
      </c>
      <c r="D100" s="26" t="s">
        <v>85</v>
      </c>
      <c r="E100" s="27">
        <f>'[1]Htgan Volume'!CJ13</f>
        <v>1</v>
      </c>
      <c r="F100" s="28">
        <v>0</v>
      </c>
      <c r="G100" s="29">
        <f t="shared" si="6"/>
        <v>0</v>
      </c>
    </row>
    <row r="101" spans="2:7" x14ac:dyDescent="0.25">
      <c r="B101" s="24" t="s">
        <v>83</v>
      </c>
      <c r="C101" s="25" t="s">
        <v>115</v>
      </c>
      <c r="D101" s="26" t="s">
        <v>85</v>
      </c>
      <c r="E101" s="27">
        <f>'[1]Htgan Volume'!CJ14</f>
        <v>1</v>
      </c>
      <c r="F101" s="28">
        <v>0</v>
      </c>
      <c r="G101" s="29">
        <f t="shared" si="6"/>
        <v>0</v>
      </c>
    </row>
    <row r="102" spans="2:7" x14ac:dyDescent="0.25">
      <c r="B102" s="25">
        <v>2</v>
      </c>
      <c r="C102" s="25" t="s">
        <v>116</v>
      </c>
      <c r="D102" s="25"/>
      <c r="E102" s="27"/>
      <c r="F102" s="28">
        <v>0</v>
      </c>
      <c r="G102" s="29">
        <f t="shared" si="6"/>
        <v>0</v>
      </c>
    </row>
    <row r="103" spans="2:7" x14ac:dyDescent="0.25">
      <c r="B103" s="24" t="s">
        <v>83</v>
      </c>
      <c r="C103" s="25" t="s">
        <v>117</v>
      </c>
      <c r="D103" s="26" t="s">
        <v>85</v>
      </c>
      <c r="E103" s="27">
        <f>'[1]Htgan Volume'!CI20</f>
        <v>1</v>
      </c>
      <c r="F103" s="28">
        <v>0</v>
      </c>
      <c r="G103" s="29">
        <f t="shared" si="6"/>
        <v>0</v>
      </c>
    </row>
    <row r="104" spans="2:7" x14ac:dyDescent="0.25">
      <c r="B104" s="24" t="s">
        <v>83</v>
      </c>
      <c r="C104" s="25" t="s">
        <v>118</v>
      </c>
      <c r="D104" s="26" t="s">
        <v>85</v>
      </c>
      <c r="E104" s="27">
        <f>'[1]Htgan Volume'!CI21</f>
        <v>1</v>
      </c>
      <c r="F104" s="28">
        <v>0</v>
      </c>
      <c r="G104" s="29">
        <f t="shared" si="6"/>
        <v>0</v>
      </c>
    </row>
    <row r="105" spans="2:7" x14ac:dyDescent="0.25">
      <c r="B105" s="24">
        <v>3</v>
      </c>
      <c r="C105" s="25" t="s">
        <v>119</v>
      </c>
      <c r="D105" s="26" t="s">
        <v>85</v>
      </c>
      <c r="E105" s="27">
        <f>'[1]Htgan Volume'!CH27</f>
        <v>1</v>
      </c>
      <c r="F105" s="28">
        <v>0</v>
      </c>
      <c r="G105" s="29">
        <f t="shared" si="6"/>
        <v>0</v>
      </c>
    </row>
    <row r="106" spans="2:7" x14ac:dyDescent="0.25">
      <c r="B106" s="24">
        <v>4</v>
      </c>
      <c r="C106" s="25" t="s">
        <v>120</v>
      </c>
      <c r="D106" s="26" t="s">
        <v>85</v>
      </c>
      <c r="E106" s="27">
        <f>'[1]Htgan Volume'!CH33</f>
        <v>1</v>
      </c>
      <c r="F106" s="28">
        <v>0</v>
      </c>
      <c r="G106" s="29">
        <f t="shared" si="6"/>
        <v>0</v>
      </c>
    </row>
    <row r="107" spans="2:7" x14ac:dyDescent="0.25">
      <c r="B107" s="24">
        <v>5</v>
      </c>
      <c r="C107" s="25" t="s">
        <v>121</v>
      </c>
      <c r="D107" s="26" t="s">
        <v>85</v>
      </c>
      <c r="E107" s="27">
        <f>'[1]Htgan Volume'!CH39</f>
        <v>2</v>
      </c>
      <c r="F107" s="28">
        <v>0</v>
      </c>
      <c r="G107" s="29">
        <f t="shared" si="6"/>
        <v>0</v>
      </c>
    </row>
    <row r="108" spans="2:7" x14ac:dyDescent="0.25">
      <c r="B108" s="24">
        <v>6</v>
      </c>
      <c r="C108" s="25" t="s">
        <v>122</v>
      </c>
      <c r="D108" s="25"/>
      <c r="E108" s="30"/>
      <c r="F108" s="28">
        <v>0</v>
      </c>
      <c r="G108" s="29">
        <f t="shared" si="6"/>
        <v>0</v>
      </c>
    </row>
    <row r="109" spans="2:7" x14ac:dyDescent="0.25">
      <c r="B109" s="24" t="s">
        <v>83</v>
      </c>
      <c r="C109" s="25" t="s">
        <v>123</v>
      </c>
      <c r="D109" s="26" t="s">
        <v>15</v>
      </c>
      <c r="E109" s="27">
        <f>'[1]Htgan Volume'!CH45</f>
        <v>10.9</v>
      </c>
      <c r="F109" s="28">
        <v>0</v>
      </c>
      <c r="G109" s="29">
        <f t="shared" si="6"/>
        <v>0</v>
      </c>
    </row>
    <row r="110" spans="2:7" x14ac:dyDescent="0.25">
      <c r="B110" s="24" t="s">
        <v>83</v>
      </c>
      <c r="C110" s="25" t="s">
        <v>124</v>
      </c>
      <c r="D110" s="26" t="s">
        <v>15</v>
      </c>
      <c r="E110" s="27">
        <v>24</v>
      </c>
      <c r="F110" s="28">
        <v>0</v>
      </c>
      <c r="G110" s="29">
        <f t="shared" si="6"/>
        <v>0</v>
      </c>
    </row>
    <row r="111" spans="2:7" x14ac:dyDescent="0.25">
      <c r="B111" s="24">
        <v>7</v>
      </c>
      <c r="C111" s="25" t="s">
        <v>125</v>
      </c>
      <c r="D111" s="26"/>
      <c r="E111" s="30"/>
      <c r="F111" s="28">
        <v>0</v>
      </c>
      <c r="G111" s="29">
        <f t="shared" si="6"/>
        <v>0</v>
      </c>
    </row>
    <row r="112" spans="2:7" x14ac:dyDescent="0.25">
      <c r="B112" s="24" t="s">
        <v>83</v>
      </c>
      <c r="C112" s="25" t="s">
        <v>126</v>
      </c>
      <c r="D112" s="26" t="s">
        <v>15</v>
      </c>
      <c r="E112" s="27">
        <f>'[1]Htgan Volume'!CH52</f>
        <v>8</v>
      </c>
      <c r="F112" s="28">
        <v>0</v>
      </c>
      <c r="G112" s="29">
        <f t="shared" si="6"/>
        <v>0</v>
      </c>
    </row>
    <row r="113" spans="2:7" x14ac:dyDescent="0.25">
      <c r="B113" s="24" t="s">
        <v>83</v>
      </c>
      <c r="C113" s="25" t="s">
        <v>127</v>
      </c>
      <c r="D113" s="26" t="s">
        <v>15</v>
      </c>
      <c r="E113" s="27">
        <f>'[1]Htgan Volume'!CH53</f>
        <v>30</v>
      </c>
      <c r="F113" s="28">
        <v>0</v>
      </c>
      <c r="G113" s="29">
        <f t="shared" si="6"/>
        <v>0</v>
      </c>
    </row>
    <row r="114" spans="2:7" x14ac:dyDescent="0.25">
      <c r="B114" s="24" t="s">
        <v>83</v>
      </c>
      <c r="C114" s="25" t="s">
        <v>128</v>
      </c>
      <c r="D114" s="26" t="s">
        <v>85</v>
      </c>
      <c r="E114" s="27">
        <f>'[1]Htgan Volume'!CH54</f>
        <v>4</v>
      </c>
      <c r="F114" s="28">
        <v>0</v>
      </c>
      <c r="G114" s="29">
        <f t="shared" si="6"/>
        <v>0</v>
      </c>
    </row>
    <row r="115" spans="2:7" x14ac:dyDescent="0.25">
      <c r="B115" s="24" t="s">
        <v>83</v>
      </c>
      <c r="C115" s="25" t="s">
        <v>129</v>
      </c>
      <c r="D115" s="26" t="s">
        <v>85</v>
      </c>
      <c r="E115" s="27">
        <f>'[1]Htgan Volume'!CH55</f>
        <v>1</v>
      </c>
      <c r="F115" s="28">
        <v>0</v>
      </c>
      <c r="G115" s="29">
        <f t="shared" si="6"/>
        <v>0</v>
      </c>
    </row>
    <row r="116" spans="2:7" x14ac:dyDescent="0.25">
      <c r="B116" s="24"/>
      <c r="C116" s="25"/>
      <c r="D116" s="26"/>
      <c r="E116" s="30"/>
      <c r="F116" s="28">
        <v>0</v>
      </c>
      <c r="G116" s="29">
        <f t="shared" si="6"/>
        <v>0</v>
      </c>
    </row>
    <row r="117" spans="2:7" x14ac:dyDescent="0.25">
      <c r="B117" s="24"/>
      <c r="C117" s="25"/>
      <c r="D117" s="26"/>
      <c r="E117" s="30"/>
      <c r="F117" s="28">
        <v>0</v>
      </c>
      <c r="G117" s="31">
        <f>SUM(G96:G115)</f>
        <v>0</v>
      </c>
    </row>
    <row r="118" spans="2:7" x14ac:dyDescent="0.25">
      <c r="B118" s="32" t="s">
        <v>130</v>
      </c>
      <c r="C118" s="33" t="s">
        <v>131</v>
      </c>
      <c r="D118" s="26"/>
      <c r="E118" s="30"/>
      <c r="F118" s="28">
        <v>0</v>
      </c>
      <c r="G118" s="29">
        <f>F118*E118</f>
        <v>0</v>
      </c>
    </row>
    <row r="119" spans="2:7" x14ac:dyDescent="0.25">
      <c r="B119" s="32"/>
      <c r="C119" s="33" t="s">
        <v>132</v>
      </c>
      <c r="D119" s="26"/>
      <c r="E119" s="30"/>
      <c r="F119" s="28">
        <v>0</v>
      </c>
      <c r="G119" s="29"/>
    </row>
    <row r="120" spans="2:7" x14ac:dyDescent="0.25">
      <c r="B120" s="25">
        <v>1</v>
      </c>
      <c r="C120" s="25" t="s">
        <v>133</v>
      </c>
      <c r="D120" s="26" t="s">
        <v>134</v>
      </c>
      <c r="E120" s="27">
        <f>'[1]Htgan Volume'!CQ10</f>
        <v>7</v>
      </c>
      <c r="F120" s="28">
        <v>0</v>
      </c>
      <c r="G120" s="29">
        <f t="shared" ref="G120:G133" si="7">F120*E120</f>
        <v>0</v>
      </c>
    </row>
    <row r="121" spans="2:7" x14ac:dyDescent="0.25">
      <c r="B121" s="25">
        <v>2</v>
      </c>
      <c r="C121" s="25" t="s">
        <v>135</v>
      </c>
      <c r="D121" s="26" t="s">
        <v>134</v>
      </c>
      <c r="E121" s="27">
        <f>'[1]Htgan Volume'!CQ16</f>
        <v>5</v>
      </c>
      <c r="F121" s="28">
        <v>0</v>
      </c>
      <c r="G121" s="29">
        <f t="shared" si="7"/>
        <v>0</v>
      </c>
    </row>
    <row r="122" spans="2:7" x14ac:dyDescent="0.25">
      <c r="B122" s="25">
        <v>3</v>
      </c>
      <c r="C122" s="25" t="s">
        <v>136</v>
      </c>
      <c r="D122" s="26" t="s">
        <v>85</v>
      </c>
      <c r="E122" s="27">
        <f>'[1]Htgan Volume'!CQ22</f>
        <v>1</v>
      </c>
      <c r="F122" s="28">
        <v>0</v>
      </c>
      <c r="G122" s="29">
        <f t="shared" si="7"/>
        <v>0</v>
      </c>
    </row>
    <row r="123" spans="2:7" x14ac:dyDescent="0.25">
      <c r="B123" s="25">
        <v>4</v>
      </c>
      <c r="C123" s="25" t="s">
        <v>137</v>
      </c>
      <c r="D123" s="26" t="s">
        <v>134</v>
      </c>
      <c r="E123" s="27">
        <f>'[1]Htgan Volume'!CQ29</f>
        <v>1</v>
      </c>
      <c r="F123" s="28">
        <v>0</v>
      </c>
      <c r="G123" s="29">
        <f t="shared" si="7"/>
        <v>0</v>
      </c>
    </row>
    <row r="124" spans="2:7" x14ac:dyDescent="0.25">
      <c r="B124" s="25">
        <v>5</v>
      </c>
      <c r="C124" s="25" t="s">
        <v>138</v>
      </c>
      <c r="D124" s="26" t="s">
        <v>134</v>
      </c>
      <c r="E124" s="27">
        <f>'[1]Htgan Volume'!CQ36</f>
        <v>1</v>
      </c>
      <c r="F124" s="28">
        <v>0</v>
      </c>
      <c r="G124" s="29">
        <f t="shared" si="7"/>
        <v>0</v>
      </c>
    </row>
    <row r="125" spans="2:7" x14ac:dyDescent="0.25">
      <c r="B125" s="25">
        <v>6</v>
      </c>
      <c r="C125" s="25" t="s">
        <v>139</v>
      </c>
      <c r="D125" s="26" t="s">
        <v>134</v>
      </c>
      <c r="E125" s="27">
        <f>'[1]Htgan Volume'!CQ43</f>
        <v>1</v>
      </c>
      <c r="F125" s="28">
        <v>0</v>
      </c>
      <c r="G125" s="29">
        <f t="shared" si="7"/>
        <v>0</v>
      </c>
    </row>
    <row r="126" spans="2:7" x14ac:dyDescent="0.25">
      <c r="B126" s="25">
        <v>7</v>
      </c>
      <c r="C126" s="25" t="s">
        <v>140</v>
      </c>
      <c r="D126" s="26" t="s">
        <v>134</v>
      </c>
      <c r="E126" s="27">
        <f>'[1]Htgan Volume'!CQ49</f>
        <v>1</v>
      </c>
      <c r="F126" s="28">
        <v>0</v>
      </c>
      <c r="G126" s="39">
        <f>E126*F126</f>
        <v>0</v>
      </c>
    </row>
    <row r="127" spans="2:7" x14ac:dyDescent="0.25">
      <c r="B127" s="25">
        <v>8</v>
      </c>
      <c r="C127" s="25" t="s">
        <v>141</v>
      </c>
      <c r="D127" s="26" t="s">
        <v>134</v>
      </c>
      <c r="E127" s="27">
        <f>'[1]Htgan Volume'!CQ56</f>
        <v>1</v>
      </c>
      <c r="F127" s="28">
        <v>0</v>
      </c>
      <c r="G127" s="29">
        <f t="shared" si="7"/>
        <v>0</v>
      </c>
    </row>
    <row r="128" spans="2:7" x14ac:dyDescent="0.25">
      <c r="B128" s="25">
        <v>9</v>
      </c>
      <c r="C128" s="25" t="s">
        <v>142</v>
      </c>
      <c r="D128" s="26" t="s">
        <v>85</v>
      </c>
      <c r="E128" s="27">
        <f>'[1]Htgan Volume'!CQ62</f>
        <v>3</v>
      </c>
      <c r="F128" s="28">
        <v>0</v>
      </c>
      <c r="G128" s="29">
        <f t="shared" si="7"/>
        <v>0</v>
      </c>
    </row>
    <row r="129" spans="2:7" x14ac:dyDescent="0.25">
      <c r="B129" s="25">
        <v>10</v>
      </c>
      <c r="C129" s="25" t="s">
        <v>143</v>
      </c>
      <c r="D129" s="26" t="s">
        <v>85</v>
      </c>
      <c r="E129" s="27">
        <f>'[1]Htgan Volume'!CQ68</f>
        <v>2</v>
      </c>
      <c r="F129" s="28">
        <v>0</v>
      </c>
      <c r="G129" s="29">
        <f t="shared" si="7"/>
        <v>0</v>
      </c>
    </row>
    <row r="130" spans="2:7" x14ac:dyDescent="0.25">
      <c r="B130" s="25">
        <v>11</v>
      </c>
      <c r="C130" s="25" t="s">
        <v>144</v>
      </c>
      <c r="D130" s="26" t="s">
        <v>85</v>
      </c>
      <c r="E130" s="27">
        <f>'[1]Htgan Volume'!CQ74</f>
        <v>5</v>
      </c>
      <c r="F130" s="28">
        <v>0</v>
      </c>
      <c r="G130" s="29">
        <f t="shared" si="7"/>
        <v>0</v>
      </c>
    </row>
    <row r="131" spans="2:7" x14ac:dyDescent="0.25">
      <c r="B131" s="25">
        <v>12</v>
      </c>
      <c r="C131" s="25" t="s">
        <v>145</v>
      </c>
      <c r="D131" s="26" t="s">
        <v>146</v>
      </c>
      <c r="E131" s="27">
        <f>'[1]Htgan Volume'!CQ81</f>
        <v>1</v>
      </c>
      <c r="F131" s="28">
        <v>0</v>
      </c>
      <c r="G131" s="29">
        <f t="shared" si="7"/>
        <v>0</v>
      </c>
    </row>
    <row r="132" spans="2:7" x14ac:dyDescent="0.25">
      <c r="B132" s="25">
        <v>13</v>
      </c>
      <c r="C132" s="25" t="s">
        <v>147</v>
      </c>
      <c r="D132" s="26" t="s">
        <v>148</v>
      </c>
      <c r="E132" s="27">
        <f>'[1]Htgan Volume'!CQ88</f>
        <v>1</v>
      </c>
      <c r="F132" s="28">
        <v>0</v>
      </c>
      <c r="G132" s="29">
        <f t="shared" si="7"/>
        <v>0</v>
      </c>
    </row>
    <row r="133" spans="2:7" x14ac:dyDescent="0.25">
      <c r="B133" s="25">
        <v>14</v>
      </c>
      <c r="C133" s="25" t="s">
        <v>149</v>
      </c>
      <c r="D133" s="26" t="s">
        <v>150</v>
      </c>
      <c r="E133" s="27">
        <f>'[1]Htgan Volume'!CQ95</f>
        <v>1</v>
      </c>
      <c r="F133" s="28">
        <v>0</v>
      </c>
      <c r="G133" s="29">
        <f t="shared" si="7"/>
        <v>0</v>
      </c>
    </row>
    <row r="134" spans="2:7" x14ac:dyDescent="0.25">
      <c r="B134" s="24"/>
      <c r="C134" s="25"/>
      <c r="D134" s="26"/>
      <c r="E134" s="30"/>
      <c r="F134" s="28">
        <v>0</v>
      </c>
      <c r="G134" s="37">
        <f>SUM(G120:G133)</f>
        <v>0</v>
      </c>
    </row>
    <row r="135" spans="2:7" x14ac:dyDescent="0.25">
      <c r="B135" s="32" t="s">
        <v>151</v>
      </c>
      <c r="C135" s="33" t="s">
        <v>152</v>
      </c>
      <c r="D135" s="26"/>
      <c r="E135" s="30"/>
      <c r="F135" s="28">
        <v>0</v>
      </c>
      <c r="G135" s="29"/>
    </row>
    <row r="136" spans="2:7" x14ac:dyDescent="0.25">
      <c r="B136" s="40">
        <v>1</v>
      </c>
      <c r="C136" s="41" t="s">
        <v>153</v>
      </c>
      <c r="D136" s="40" t="s">
        <v>150</v>
      </c>
      <c r="E136" s="42">
        <f>'[1]Htgan Volume'!CH61</f>
        <v>1</v>
      </c>
      <c r="F136" s="28">
        <v>0</v>
      </c>
      <c r="G136" s="29">
        <f>F136*E136</f>
        <v>0</v>
      </c>
    </row>
    <row r="137" spans="2:7" x14ac:dyDescent="0.25">
      <c r="B137" s="40"/>
      <c r="C137" s="41"/>
      <c r="D137" s="40"/>
      <c r="E137" s="42"/>
      <c r="F137" s="28">
        <v>0</v>
      </c>
      <c r="G137" s="29">
        <f>F137*E137</f>
        <v>0</v>
      </c>
    </row>
    <row r="138" spans="2:7" x14ac:dyDescent="0.25">
      <c r="B138" s="43"/>
      <c r="C138" s="44"/>
      <c r="D138" s="40"/>
      <c r="E138" s="42"/>
      <c r="F138" s="28">
        <v>0</v>
      </c>
      <c r="G138" s="37">
        <f>SUM(G136:G137)</f>
        <v>0</v>
      </c>
    </row>
    <row r="139" spans="2:7" x14ac:dyDescent="0.25">
      <c r="B139" s="45" t="s">
        <v>151</v>
      </c>
      <c r="C139" s="46" t="s">
        <v>154</v>
      </c>
      <c r="D139" s="40"/>
      <c r="E139" s="47"/>
      <c r="F139" s="28">
        <v>0</v>
      </c>
      <c r="G139" s="37"/>
    </row>
    <row r="140" spans="2:7" x14ac:dyDescent="0.25">
      <c r="B140" s="40">
        <v>1</v>
      </c>
      <c r="C140" s="48" t="s">
        <v>155</v>
      </c>
      <c r="D140" s="40" t="s">
        <v>156</v>
      </c>
      <c r="E140" s="42">
        <f>'[1]Htgan Volume'!CX8</f>
        <v>7.25</v>
      </c>
      <c r="F140" s="28">
        <v>0</v>
      </c>
      <c r="G140" s="29">
        <f t="shared" ref="G140:G145" si="8">F140*E140</f>
        <v>0</v>
      </c>
    </row>
    <row r="141" spans="2:7" x14ac:dyDescent="0.25">
      <c r="B141" s="40"/>
      <c r="C141" s="49" t="s">
        <v>157</v>
      </c>
      <c r="D141" s="50"/>
      <c r="E141" s="51"/>
      <c r="F141" s="28">
        <v>0</v>
      </c>
      <c r="G141" s="29"/>
    </row>
    <row r="142" spans="2:7" x14ac:dyDescent="0.25">
      <c r="B142" s="40">
        <v>2</v>
      </c>
      <c r="C142" s="25" t="s">
        <v>158</v>
      </c>
      <c r="D142" s="26" t="s">
        <v>21</v>
      </c>
      <c r="E142" s="27">
        <f>'[1]Htgan Volume'!CX15</f>
        <v>8.25</v>
      </c>
      <c r="F142" s="28">
        <v>0</v>
      </c>
      <c r="G142" s="29">
        <f t="shared" si="8"/>
        <v>0</v>
      </c>
    </row>
    <row r="143" spans="2:7" x14ac:dyDescent="0.25">
      <c r="B143" s="40">
        <v>5</v>
      </c>
      <c r="C143" s="41" t="s">
        <v>159</v>
      </c>
      <c r="D143" s="40" t="s">
        <v>150</v>
      </c>
      <c r="E143" s="42">
        <f>'[1]Htgan Volume'!CX36</f>
        <v>1</v>
      </c>
      <c r="F143" s="28">
        <v>0</v>
      </c>
      <c r="G143" s="29">
        <f t="shared" si="8"/>
        <v>0</v>
      </c>
    </row>
    <row r="144" spans="2:7" x14ac:dyDescent="0.25">
      <c r="B144" s="52">
        <v>6</v>
      </c>
      <c r="C144" s="48" t="s">
        <v>160</v>
      </c>
      <c r="D144" s="53" t="s">
        <v>156</v>
      </c>
      <c r="E144" s="42">
        <v>8.25</v>
      </c>
      <c r="F144" s="28">
        <v>0</v>
      </c>
      <c r="G144" s="29">
        <f t="shared" si="8"/>
        <v>0</v>
      </c>
    </row>
    <row r="145" spans="2:7" x14ac:dyDescent="0.25">
      <c r="B145" s="52">
        <v>7</v>
      </c>
      <c r="C145" s="48" t="s">
        <v>161</v>
      </c>
      <c r="D145" s="53" t="s">
        <v>150</v>
      </c>
      <c r="E145" s="42">
        <v>8</v>
      </c>
      <c r="F145" s="28">
        <v>0</v>
      </c>
      <c r="G145" s="29">
        <f t="shared" si="8"/>
        <v>0</v>
      </c>
    </row>
    <row r="146" spans="2:7" x14ac:dyDescent="0.25">
      <c r="B146" s="54"/>
      <c r="C146" s="45" t="s">
        <v>162</v>
      </c>
      <c r="D146" s="40"/>
      <c r="E146" s="42"/>
      <c r="F146" s="28">
        <v>0</v>
      </c>
      <c r="G146" s="37">
        <f>SUM(G140:G145)/2</f>
        <v>0</v>
      </c>
    </row>
    <row r="147" spans="2:7" x14ac:dyDescent="0.25">
      <c r="B147" s="43"/>
      <c r="C147" s="44"/>
      <c r="D147" s="43"/>
      <c r="E147" s="51"/>
      <c r="F147" s="28">
        <v>0</v>
      </c>
      <c r="G147" s="29"/>
    </row>
    <row r="148" spans="2:7" x14ac:dyDescent="0.25">
      <c r="B148" s="45" t="s">
        <v>151</v>
      </c>
      <c r="C148" s="46" t="s">
        <v>163</v>
      </c>
      <c r="D148" s="40"/>
      <c r="E148" s="42"/>
      <c r="F148" s="28">
        <v>0</v>
      </c>
      <c r="G148" s="29"/>
    </row>
    <row r="149" spans="2:7" x14ac:dyDescent="0.25">
      <c r="B149" s="40">
        <v>1</v>
      </c>
      <c r="C149" s="41" t="s">
        <v>164</v>
      </c>
      <c r="D149" s="40" t="s">
        <v>156</v>
      </c>
      <c r="E149" s="42">
        <f>'[1]Htgan Volume'!DF8</f>
        <v>7.5</v>
      </c>
      <c r="F149" s="28">
        <v>0</v>
      </c>
      <c r="G149" s="29">
        <f>F149*E149</f>
        <v>0</v>
      </c>
    </row>
    <row r="150" spans="2:7" x14ac:dyDescent="0.25">
      <c r="B150" s="40">
        <v>2</v>
      </c>
      <c r="C150" s="41" t="s">
        <v>165</v>
      </c>
      <c r="D150" s="40" t="s">
        <v>156</v>
      </c>
      <c r="E150" s="42">
        <f>'[1]Htgan Volume'!DF15</f>
        <v>6.85</v>
      </c>
      <c r="F150" s="28">
        <v>0</v>
      </c>
      <c r="G150" s="29">
        <f>F150*E150</f>
        <v>0</v>
      </c>
    </row>
    <row r="151" spans="2:7" x14ac:dyDescent="0.25">
      <c r="B151" s="40">
        <v>3</v>
      </c>
      <c r="C151" s="55" t="s">
        <v>166</v>
      </c>
      <c r="D151" s="40" t="s">
        <v>156</v>
      </c>
      <c r="E151" s="47">
        <f>'[1]Htgan Volume'!DF21</f>
        <v>5</v>
      </c>
      <c r="F151" s="28">
        <v>0</v>
      </c>
      <c r="G151" s="29">
        <f>F151*E151</f>
        <v>0</v>
      </c>
    </row>
    <row r="152" spans="2:7" x14ac:dyDescent="0.25">
      <c r="B152" s="40"/>
      <c r="C152" s="55"/>
      <c r="D152" s="40"/>
      <c r="E152" s="47"/>
      <c r="F152" s="56"/>
      <c r="G152" s="29">
        <f>F152*E152</f>
        <v>0</v>
      </c>
    </row>
    <row r="153" spans="2:7" x14ac:dyDescent="0.25">
      <c r="B153" s="40"/>
      <c r="C153" s="55"/>
      <c r="D153" s="54"/>
      <c r="E153" s="47"/>
      <c r="F153" s="56"/>
      <c r="G153" s="37">
        <f>SUM(G149:G152)</f>
        <v>0</v>
      </c>
    </row>
    <row r="154" spans="2:7" x14ac:dyDescent="0.25">
      <c r="B154" s="57"/>
      <c r="C154" s="58"/>
      <c r="D154" s="59"/>
      <c r="E154" s="60"/>
      <c r="F154" s="61"/>
      <c r="G154" s="61"/>
    </row>
    <row r="155" spans="2:7" x14ac:dyDescent="0.25">
      <c r="B155" s="3"/>
      <c r="C155" s="58"/>
      <c r="D155" s="58"/>
      <c r="E155" s="62"/>
      <c r="F155" s="61"/>
      <c r="G155" s="61"/>
    </row>
    <row r="156" spans="2:7" x14ac:dyDescent="0.25">
      <c r="B156" s="2" t="s">
        <v>167</v>
      </c>
      <c r="C156" s="3"/>
      <c r="D156" s="3"/>
      <c r="E156" s="4"/>
      <c r="F156" s="63" t="s">
        <v>168</v>
      </c>
      <c r="G156" s="63"/>
    </row>
    <row r="157" spans="2:7" x14ac:dyDescent="0.25">
      <c r="B157" s="64"/>
      <c r="C157" s="65"/>
      <c r="D157" s="65"/>
      <c r="E157" s="66"/>
      <c r="F157" s="67" t="s">
        <v>169</v>
      </c>
      <c r="G157" s="68"/>
    </row>
    <row r="158" spans="2:7" x14ac:dyDescent="0.25">
      <c r="B158" s="69" t="s">
        <v>12</v>
      </c>
      <c r="C158" s="20" t="s">
        <v>13</v>
      </c>
      <c r="D158" s="70"/>
      <c r="E158" s="42"/>
      <c r="F158" s="56" t="e">
        <f>G158/G176*100</f>
        <v>#DIV/0!</v>
      </c>
      <c r="G158" s="37">
        <f>G15</f>
        <v>0</v>
      </c>
    </row>
    <row r="159" spans="2:7" x14ac:dyDescent="0.25">
      <c r="B159" s="32" t="s">
        <v>23</v>
      </c>
      <c r="C159" s="33" t="s">
        <v>24</v>
      </c>
      <c r="D159" s="70"/>
      <c r="E159" s="42"/>
      <c r="F159" s="56" t="e">
        <f>G159/G176*100</f>
        <v>#DIV/0!</v>
      </c>
      <c r="G159" s="71">
        <f>G21</f>
        <v>0</v>
      </c>
    </row>
    <row r="160" spans="2:7" x14ac:dyDescent="0.25">
      <c r="B160" s="32" t="s">
        <v>30</v>
      </c>
      <c r="C160" s="33" t="s">
        <v>31</v>
      </c>
      <c r="D160" s="70"/>
      <c r="E160" s="42"/>
      <c r="F160" s="56" t="e">
        <f>G160/G176*100</f>
        <v>#DIV/0!</v>
      </c>
      <c r="G160" s="37">
        <f>G25</f>
        <v>0</v>
      </c>
    </row>
    <row r="161" spans="2:7" x14ac:dyDescent="0.25">
      <c r="B161" s="32" t="s">
        <v>35</v>
      </c>
      <c r="C161" s="33" t="s">
        <v>36</v>
      </c>
      <c r="D161" s="70"/>
      <c r="E161" s="42"/>
      <c r="F161" s="56" t="e">
        <f>G161/G176*100</f>
        <v>#DIV/0!</v>
      </c>
      <c r="G161" s="37">
        <f>G36</f>
        <v>0</v>
      </c>
    </row>
    <row r="162" spans="2:7" x14ac:dyDescent="0.25">
      <c r="B162" s="32" t="s">
        <v>46</v>
      </c>
      <c r="C162" s="33" t="s">
        <v>47</v>
      </c>
      <c r="D162" s="70"/>
      <c r="E162" s="42"/>
      <c r="F162" s="56" t="e">
        <f>G162/G176*100</f>
        <v>#DIV/0!</v>
      </c>
      <c r="G162" s="37">
        <f>G45</f>
        <v>0</v>
      </c>
    </row>
    <row r="163" spans="2:7" x14ac:dyDescent="0.25">
      <c r="B163" s="32" t="s">
        <v>55</v>
      </c>
      <c r="C163" s="33" t="s">
        <v>56</v>
      </c>
      <c r="D163" s="70"/>
      <c r="E163" s="42"/>
      <c r="F163" s="56" t="e">
        <f>G163/G176*100</f>
        <v>#DIV/0!</v>
      </c>
      <c r="G163" s="71">
        <f>G51</f>
        <v>0</v>
      </c>
    </row>
    <row r="164" spans="2:7" x14ac:dyDescent="0.25">
      <c r="B164" s="32" t="s">
        <v>61</v>
      </c>
      <c r="C164" s="33" t="s">
        <v>62</v>
      </c>
      <c r="D164" s="70"/>
      <c r="E164" s="42"/>
      <c r="F164" s="56" t="e">
        <f>G164/G176*100</f>
        <v>#DIV/0!</v>
      </c>
      <c r="G164" s="71">
        <f>G57</f>
        <v>0</v>
      </c>
    </row>
    <row r="165" spans="2:7" x14ac:dyDescent="0.25">
      <c r="B165" s="32" t="s">
        <v>67</v>
      </c>
      <c r="C165" s="33" t="s">
        <v>68</v>
      </c>
      <c r="D165" s="70"/>
      <c r="E165" s="42"/>
      <c r="F165" s="56" t="e">
        <f>G165/G176*100</f>
        <v>#DIV/0!</v>
      </c>
      <c r="G165" s="71">
        <f>G62</f>
        <v>0</v>
      </c>
    </row>
    <row r="166" spans="2:7" x14ac:dyDescent="0.25">
      <c r="B166" s="32" t="s">
        <v>72</v>
      </c>
      <c r="C166" s="33" t="s">
        <v>73</v>
      </c>
      <c r="D166" s="70"/>
      <c r="E166" s="42"/>
      <c r="F166" s="56" t="e">
        <f>G166/G176*100</f>
        <v>#DIV/0!</v>
      </c>
      <c r="G166" s="71">
        <f>G70</f>
        <v>0</v>
      </c>
    </row>
    <row r="167" spans="2:7" x14ac:dyDescent="0.25">
      <c r="B167" s="32" t="s">
        <v>80</v>
      </c>
      <c r="C167" s="33" t="s">
        <v>81</v>
      </c>
      <c r="D167" s="70"/>
      <c r="E167" s="42"/>
      <c r="F167" s="56" t="e">
        <f>G167/G176*100</f>
        <v>#DIV/0!</v>
      </c>
      <c r="G167" s="71">
        <f>G86</f>
        <v>0</v>
      </c>
    </row>
    <row r="168" spans="2:7" x14ac:dyDescent="0.25">
      <c r="B168" s="32" t="s">
        <v>100</v>
      </c>
      <c r="C168" s="33" t="s">
        <v>101</v>
      </c>
      <c r="D168" s="70"/>
      <c r="E168" s="42"/>
      <c r="F168" s="56" t="e">
        <f>G168/G176*100</f>
        <v>#DIV/0!</v>
      </c>
      <c r="G168" s="71">
        <f>G93</f>
        <v>0</v>
      </c>
    </row>
    <row r="169" spans="2:7" x14ac:dyDescent="0.25">
      <c r="B169" s="32" t="s">
        <v>107</v>
      </c>
      <c r="C169" s="33" t="s">
        <v>108</v>
      </c>
      <c r="D169" s="70"/>
      <c r="E169" s="42"/>
      <c r="F169" s="56" t="e">
        <f>G169/G176*100</f>
        <v>#DIV/0!</v>
      </c>
      <c r="G169" s="71">
        <f>G117</f>
        <v>0</v>
      </c>
    </row>
    <row r="170" spans="2:7" x14ac:dyDescent="0.25">
      <c r="B170" s="32" t="s">
        <v>130</v>
      </c>
      <c r="C170" s="33" t="s">
        <v>131</v>
      </c>
      <c r="D170" s="70"/>
      <c r="E170" s="42"/>
      <c r="F170" s="56" t="e">
        <f>G170/G176*100</f>
        <v>#DIV/0!</v>
      </c>
      <c r="G170" s="71">
        <f>G134</f>
        <v>0</v>
      </c>
    </row>
    <row r="171" spans="2:7" x14ac:dyDescent="0.25">
      <c r="B171" s="32" t="s">
        <v>151</v>
      </c>
      <c r="C171" s="33" t="str">
        <f>C135</f>
        <v>PEK. LAIN - LAIN</v>
      </c>
      <c r="D171" s="70"/>
      <c r="E171" s="42"/>
      <c r="F171" s="56" t="e">
        <f>G171/G176*100</f>
        <v>#DIV/0!</v>
      </c>
      <c r="G171" s="71">
        <f>G138</f>
        <v>0</v>
      </c>
    </row>
    <row r="172" spans="2:7" x14ac:dyDescent="0.25">
      <c r="B172" s="32" t="s">
        <v>170</v>
      </c>
      <c r="C172" s="33" t="str">
        <f>C139</f>
        <v>PEK. PERUBAHAN BENTUK TAMPAK MUKA</v>
      </c>
      <c r="D172" s="70"/>
      <c r="E172" s="42"/>
      <c r="F172" s="56" t="e">
        <f>G172/G176*100</f>
        <v>#DIV/0!</v>
      </c>
      <c r="G172" s="71">
        <f>G146</f>
        <v>0</v>
      </c>
    </row>
    <row r="173" spans="2:7" x14ac:dyDescent="0.25">
      <c r="B173" s="32" t="s">
        <v>171</v>
      </c>
      <c r="C173" s="33" t="str">
        <f>C148</f>
        <v>PEKERJAAN PLESTER DINDING SAMPING</v>
      </c>
      <c r="D173" s="70"/>
      <c r="E173" s="42"/>
      <c r="F173" s="56" t="e">
        <f>G173/G176*100</f>
        <v>#DIV/0!</v>
      </c>
      <c r="G173" s="71">
        <f>G153</f>
        <v>0</v>
      </c>
    </row>
    <row r="174" spans="2:7" x14ac:dyDescent="0.25">
      <c r="B174" s="72"/>
      <c r="C174" s="73"/>
      <c r="D174" s="74"/>
      <c r="E174" s="62"/>
      <c r="F174" s="75" t="e">
        <f>SUM(F158:F173)</f>
        <v>#DIV/0!</v>
      </c>
      <c r="G174" s="76"/>
    </row>
    <row r="175" spans="2:7" x14ac:dyDescent="0.25">
      <c r="B175" s="3"/>
      <c r="C175" s="3"/>
      <c r="D175" s="3"/>
      <c r="E175" s="4"/>
      <c r="F175" s="63"/>
      <c r="G175" s="75"/>
    </row>
    <row r="176" spans="2:7" x14ac:dyDescent="0.25">
      <c r="B176" s="3"/>
      <c r="C176" s="3"/>
      <c r="D176" s="3"/>
      <c r="E176" s="4"/>
      <c r="F176" s="77" t="s">
        <v>172</v>
      </c>
      <c r="G176" s="78">
        <f>SUM(G158:G175)</f>
        <v>0</v>
      </c>
    </row>
    <row r="177" spans="2:7" x14ac:dyDescent="0.25">
      <c r="B177" s="3"/>
      <c r="C177" s="3"/>
      <c r="D177" s="3"/>
      <c r="E177" s="4"/>
      <c r="F177" s="79" t="s">
        <v>173</v>
      </c>
      <c r="G177" s="80">
        <f>0.1*G176</f>
        <v>0</v>
      </c>
    </row>
    <row r="178" spans="2:7" x14ac:dyDescent="0.25">
      <c r="B178" s="3"/>
      <c r="C178" s="3"/>
      <c r="D178" s="3"/>
      <c r="E178" s="4"/>
      <c r="F178" s="81" t="s">
        <v>174</v>
      </c>
      <c r="G178" s="82">
        <f>G177+G176</f>
        <v>0</v>
      </c>
    </row>
    <row r="179" spans="2:7" x14ac:dyDescent="0.25">
      <c r="B179" s="3"/>
      <c r="C179" s="3"/>
      <c r="D179" s="3"/>
      <c r="E179" s="83"/>
      <c r="F179" s="81" t="s">
        <v>175</v>
      </c>
      <c r="G179" s="80">
        <f>0.1*G178</f>
        <v>0</v>
      </c>
    </row>
    <row r="180" spans="2:7" x14ac:dyDescent="0.25">
      <c r="B180" s="3"/>
      <c r="C180" s="3"/>
      <c r="D180" s="3"/>
      <c r="E180" s="83"/>
      <c r="F180" s="79" t="s">
        <v>176</v>
      </c>
      <c r="G180" s="78">
        <f>G179+G178</f>
        <v>0</v>
      </c>
    </row>
    <row r="181" spans="2:7" x14ac:dyDescent="0.25">
      <c r="B181" s="3"/>
      <c r="C181" s="3"/>
      <c r="D181" s="3"/>
      <c r="E181" s="84"/>
      <c r="F181" s="79"/>
      <c r="G181" s="78"/>
    </row>
    <row r="182" spans="2:7" x14ac:dyDescent="0.25">
      <c r="B182" s="3"/>
      <c r="C182" s="3"/>
      <c r="D182" s="3"/>
      <c r="E182" s="84"/>
      <c r="F182" s="85" t="s">
        <v>177</v>
      </c>
      <c r="G182" s="86">
        <f>ROUNDDOWN(G180,-4)</f>
        <v>0</v>
      </c>
    </row>
    <row r="183" spans="2:7" x14ac:dyDescent="0.25">
      <c r="B183" s="3"/>
      <c r="C183" s="3"/>
      <c r="D183" s="3"/>
      <c r="E183" s="84"/>
      <c r="F183" s="85"/>
      <c r="G183" s="86"/>
    </row>
    <row r="184" spans="2:7" x14ac:dyDescent="0.25">
      <c r="B184" s="3"/>
      <c r="C184" s="3"/>
      <c r="D184" s="3"/>
      <c r="E184" s="87" t="s">
        <v>178</v>
      </c>
      <c r="F184" s="5"/>
      <c r="G184" s="5">
        <v>34</v>
      </c>
    </row>
    <row r="185" spans="2:7" x14ac:dyDescent="0.25">
      <c r="B185" s="3"/>
      <c r="C185" s="3"/>
      <c r="D185" s="3"/>
      <c r="E185" s="87"/>
      <c r="F185" s="5"/>
      <c r="G185" s="79"/>
    </row>
    <row r="186" spans="2:7" x14ac:dyDescent="0.25">
      <c r="B186" s="3"/>
      <c r="C186" s="3"/>
      <c r="D186" s="88" t="s">
        <v>179</v>
      </c>
      <c r="E186" s="87" t="s">
        <v>180</v>
      </c>
      <c r="F186" s="5"/>
      <c r="G186" s="89">
        <f>G178/G184</f>
        <v>0</v>
      </c>
    </row>
  </sheetData>
  <mergeCells count="3">
    <mergeCell ref="B5:B6"/>
    <mergeCell ref="C5:C6"/>
    <mergeCell ref="D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6"/>
  <sheetViews>
    <sheetView workbookViewId="0">
      <selection activeCell="F159" sqref="F159"/>
    </sheetView>
  </sheetViews>
  <sheetFormatPr defaultRowHeight="15" x14ac:dyDescent="0.25"/>
  <cols>
    <col min="1" max="1" width="1.85546875" customWidth="1"/>
    <col min="2" max="2" width="3.5703125" customWidth="1"/>
    <col min="3" max="3" width="52.140625" customWidth="1"/>
    <col min="4" max="4" width="5.140625" customWidth="1"/>
    <col min="5" max="5" width="10.42578125" customWidth="1"/>
    <col min="6" max="6" width="13" customWidth="1"/>
    <col min="7" max="7" width="12.85546875" customWidth="1"/>
  </cols>
  <sheetData>
    <row r="1" spans="2:7" ht="18" x14ac:dyDescent="0.25">
      <c r="B1" s="1" t="s">
        <v>0</v>
      </c>
      <c r="C1" s="2"/>
      <c r="D1" s="3"/>
      <c r="E1" s="4"/>
      <c r="F1" s="5"/>
      <c r="G1" s="5"/>
    </row>
    <row r="2" spans="2:7" ht="18" x14ac:dyDescent="0.25">
      <c r="B2" s="1" t="s">
        <v>1</v>
      </c>
      <c r="C2" s="2"/>
      <c r="D2" s="3"/>
      <c r="E2" s="4"/>
      <c r="F2" s="5"/>
      <c r="G2" s="5"/>
    </row>
    <row r="3" spans="2:7" ht="18" x14ac:dyDescent="0.25">
      <c r="B3" s="1" t="s">
        <v>2</v>
      </c>
      <c r="C3" s="2"/>
      <c r="D3" s="3"/>
      <c r="E3" s="4"/>
      <c r="F3" s="5"/>
      <c r="G3" s="5"/>
    </row>
    <row r="4" spans="2:7" ht="18.75" x14ac:dyDescent="0.3">
      <c r="B4" s="3"/>
      <c r="C4" s="6">
        <f>G186</f>
        <v>0</v>
      </c>
      <c r="D4" s="3"/>
      <c r="E4" s="7"/>
      <c r="F4" s="8"/>
      <c r="G4" s="9" t="s">
        <v>181</v>
      </c>
    </row>
    <row r="5" spans="2:7" x14ac:dyDescent="0.25">
      <c r="B5" s="157" t="s">
        <v>4</v>
      </c>
      <c r="C5" s="157" t="s">
        <v>5</v>
      </c>
      <c r="D5" s="157" t="s">
        <v>6</v>
      </c>
      <c r="E5" s="10" t="s">
        <v>7</v>
      </c>
      <c r="F5" s="11" t="s">
        <v>8</v>
      </c>
      <c r="G5" s="12" t="s">
        <v>9</v>
      </c>
    </row>
    <row r="6" spans="2:7" ht="15.75" thickBot="1" x14ac:dyDescent="0.3">
      <c r="B6" s="158"/>
      <c r="C6" s="158"/>
      <c r="D6" s="158"/>
      <c r="E6" s="13" t="s">
        <v>182</v>
      </c>
      <c r="F6" s="13" t="s">
        <v>11</v>
      </c>
      <c r="G6" s="13" t="str">
        <f>E6</f>
        <v>T. 39/72</v>
      </c>
    </row>
    <row r="7" spans="2:7" ht="16.5" thickTop="1" x14ac:dyDescent="0.25">
      <c r="B7" s="14"/>
      <c r="C7" s="15"/>
      <c r="D7" s="16"/>
      <c r="E7" s="17"/>
      <c r="F7" s="18"/>
      <c r="G7" s="18"/>
    </row>
    <row r="8" spans="2:7" x14ac:dyDescent="0.25">
      <c r="B8" s="19" t="s">
        <v>12</v>
      </c>
      <c r="C8" s="20" t="s">
        <v>13</v>
      </c>
      <c r="D8" s="21"/>
      <c r="E8" s="22"/>
      <c r="F8" s="23"/>
      <c r="G8" s="23"/>
    </row>
    <row r="9" spans="2:7" x14ac:dyDescent="0.25">
      <c r="B9" s="24">
        <v>1</v>
      </c>
      <c r="C9" s="25" t="s">
        <v>14</v>
      </c>
      <c r="D9" s="26" t="s">
        <v>15</v>
      </c>
      <c r="E9" s="27">
        <f>'[2]Htgan Volume'!D10</f>
        <v>36</v>
      </c>
      <c r="F9" s="28">
        <v>0</v>
      </c>
      <c r="G9" s="29">
        <f t="shared" ref="G9:G14" si="0">F9*E9</f>
        <v>0</v>
      </c>
    </row>
    <row r="10" spans="2:7" x14ac:dyDescent="0.25">
      <c r="B10" s="25">
        <v>2</v>
      </c>
      <c r="C10" s="25" t="s">
        <v>16</v>
      </c>
      <c r="D10" s="26" t="s">
        <v>17</v>
      </c>
      <c r="E10" s="27">
        <f>'[2]Htgan Volume'!D16</f>
        <v>1</v>
      </c>
      <c r="F10" s="28">
        <v>0</v>
      </c>
      <c r="G10" s="29">
        <f t="shared" si="0"/>
        <v>0</v>
      </c>
    </row>
    <row r="11" spans="2:7" x14ac:dyDescent="0.25">
      <c r="B11" s="25">
        <v>3</v>
      </c>
      <c r="C11" s="25" t="s">
        <v>18</v>
      </c>
      <c r="D11" s="26" t="s">
        <v>17</v>
      </c>
      <c r="E11" s="27">
        <f>'[2]Htgan Volume'!D22</f>
        <v>1</v>
      </c>
      <c r="F11" s="28">
        <v>0</v>
      </c>
      <c r="G11" s="29">
        <f t="shared" si="0"/>
        <v>0</v>
      </c>
    </row>
    <row r="12" spans="2:7" x14ac:dyDescent="0.25">
      <c r="B12" s="25">
        <v>4</v>
      </c>
      <c r="C12" s="25" t="s">
        <v>19</v>
      </c>
      <c r="D12" s="26" t="s">
        <v>17</v>
      </c>
      <c r="E12" s="27">
        <f>'[2]Htgan Volume'!D28</f>
        <v>1</v>
      </c>
      <c r="F12" s="28">
        <v>0</v>
      </c>
      <c r="G12" s="29">
        <f t="shared" si="0"/>
        <v>0</v>
      </c>
    </row>
    <row r="13" spans="2:7" x14ac:dyDescent="0.25">
      <c r="B13" s="24">
        <v>5</v>
      </c>
      <c r="C13" s="25" t="s">
        <v>20</v>
      </c>
      <c r="D13" s="26" t="s">
        <v>21</v>
      </c>
      <c r="E13" s="27">
        <f>'[2]Htgan Volume'!D38</f>
        <v>29.252499999999991</v>
      </c>
      <c r="F13" s="28">
        <v>0</v>
      </c>
      <c r="G13" s="29">
        <f t="shared" si="0"/>
        <v>0</v>
      </c>
    </row>
    <row r="14" spans="2:7" x14ac:dyDescent="0.25">
      <c r="B14" s="24"/>
      <c r="C14" s="25" t="s">
        <v>22</v>
      </c>
      <c r="D14" s="26" t="s">
        <v>21</v>
      </c>
      <c r="E14" s="27">
        <f>'[2]Htgan Volume'!D48</f>
        <v>40.07</v>
      </c>
      <c r="F14" s="28">
        <v>0</v>
      </c>
      <c r="G14" s="29">
        <f t="shared" si="0"/>
        <v>0</v>
      </c>
    </row>
    <row r="15" spans="2:7" x14ac:dyDescent="0.25">
      <c r="B15" s="25"/>
      <c r="C15" s="25"/>
      <c r="D15" s="26"/>
      <c r="E15" s="30"/>
      <c r="F15" s="28">
        <v>0</v>
      </c>
      <c r="G15" s="31">
        <f>SUM(G9:G14)</f>
        <v>0</v>
      </c>
    </row>
    <row r="16" spans="2:7" x14ac:dyDescent="0.25">
      <c r="B16" s="32" t="s">
        <v>23</v>
      </c>
      <c r="C16" s="33" t="s">
        <v>24</v>
      </c>
      <c r="D16" s="26"/>
      <c r="E16" s="30"/>
      <c r="F16" s="28">
        <v>0</v>
      </c>
      <c r="G16" s="29">
        <f>F16*E16</f>
        <v>0</v>
      </c>
    </row>
    <row r="17" spans="2:7" x14ac:dyDescent="0.25">
      <c r="B17" s="24">
        <v>1</v>
      </c>
      <c r="C17" s="25" t="s">
        <v>25</v>
      </c>
      <c r="D17" s="26" t="s">
        <v>26</v>
      </c>
      <c r="E17" s="27">
        <f>'[2]Htgan Volume'!K12</f>
        <v>17.424250000000001</v>
      </c>
      <c r="F17" s="28">
        <v>0</v>
      </c>
      <c r="G17" s="29">
        <f>F17*E17</f>
        <v>0</v>
      </c>
    </row>
    <row r="18" spans="2:7" x14ac:dyDescent="0.25">
      <c r="B18" s="24">
        <v>2</v>
      </c>
      <c r="C18" s="25" t="s">
        <v>27</v>
      </c>
      <c r="D18" s="26" t="s">
        <v>26</v>
      </c>
      <c r="E18" s="27">
        <f>'[2]Htgan Volume'!K18</f>
        <v>5.8080833333333333</v>
      </c>
      <c r="F18" s="28">
        <v>0</v>
      </c>
      <c r="G18" s="29">
        <f>F18*E18</f>
        <v>0</v>
      </c>
    </row>
    <row r="19" spans="2:7" x14ac:dyDescent="0.25">
      <c r="B19" s="24">
        <v>3</v>
      </c>
      <c r="C19" s="25" t="s">
        <v>28</v>
      </c>
      <c r="D19" s="26" t="s">
        <v>26</v>
      </c>
      <c r="E19" s="27">
        <f>'[2]Htgan Volume'!K27</f>
        <v>2.0035000000000003</v>
      </c>
      <c r="F19" s="28">
        <v>0</v>
      </c>
      <c r="G19" s="29">
        <f>F19*E19</f>
        <v>0</v>
      </c>
    </row>
    <row r="20" spans="2:7" x14ac:dyDescent="0.25">
      <c r="B20" s="24">
        <v>4</v>
      </c>
      <c r="C20" s="25" t="s">
        <v>29</v>
      </c>
      <c r="D20" s="26" t="s">
        <v>26</v>
      </c>
      <c r="E20" s="27">
        <f>'[2]Htgan Volume'!K33</f>
        <v>1.6028</v>
      </c>
      <c r="F20" s="28">
        <v>0</v>
      </c>
      <c r="G20" s="29">
        <f>F20*E20</f>
        <v>0</v>
      </c>
    </row>
    <row r="21" spans="2:7" x14ac:dyDescent="0.25">
      <c r="B21" s="25"/>
      <c r="C21" s="25"/>
      <c r="D21" s="26"/>
      <c r="E21" s="27"/>
      <c r="F21" s="28">
        <v>0</v>
      </c>
      <c r="G21" s="31">
        <f>SUM(G17:G20)</f>
        <v>0</v>
      </c>
    </row>
    <row r="22" spans="2:7" x14ac:dyDescent="0.25">
      <c r="B22" s="32" t="s">
        <v>30</v>
      </c>
      <c r="C22" s="33" t="s">
        <v>31</v>
      </c>
      <c r="D22" s="25"/>
      <c r="E22" s="27"/>
      <c r="F22" s="28">
        <v>0</v>
      </c>
      <c r="G22" s="29">
        <f>F22*E22</f>
        <v>0</v>
      </c>
    </row>
    <row r="23" spans="2:7" x14ac:dyDescent="0.25">
      <c r="B23" s="24">
        <v>1</v>
      </c>
      <c r="C23" s="25" t="s">
        <v>32</v>
      </c>
      <c r="D23" s="26" t="s">
        <v>26</v>
      </c>
      <c r="E23" s="27">
        <f>'[2]Htgan Volume'!T11</f>
        <v>6.6280000000000001</v>
      </c>
      <c r="F23" s="28">
        <v>0</v>
      </c>
      <c r="G23" s="29">
        <f>F23*E23</f>
        <v>0</v>
      </c>
    </row>
    <row r="24" spans="2:7" x14ac:dyDescent="0.25">
      <c r="B24" s="24">
        <v>2</v>
      </c>
      <c r="C24" s="25" t="s">
        <v>33</v>
      </c>
      <c r="D24" s="26" t="s">
        <v>34</v>
      </c>
      <c r="E24" s="27">
        <f>'[2]Htgan Volume'!T17</f>
        <v>14.489999999999998</v>
      </c>
      <c r="F24" s="28">
        <v>0</v>
      </c>
      <c r="G24" s="29">
        <f>F24*E24</f>
        <v>0</v>
      </c>
    </row>
    <row r="25" spans="2:7" x14ac:dyDescent="0.25">
      <c r="B25" s="32"/>
      <c r="C25" s="25"/>
      <c r="D25" s="26"/>
      <c r="E25" s="30"/>
      <c r="F25" s="28">
        <v>0</v>
      </c>
      <c r="G25" s="31">
        <f>SUM(G23:G24)</f>
        <v>0</v>
      </c>
    </row>
    <row r="26" spans="2:7" x14ac:dyDescent="0.25">
      <c r="B26" s="32" t="s">
        <v>35</v>
      </c>
      <c r="C26" s="33" t="s">
        <v>36</v>
      </c>
      <c r="D26" s="25"/>
      <c r="E26" s="30"/>
      <c r="F26" s="28">
        <v>0</v>
      </c>
      <c r="G26" s="29"/>
    </row>
    <row r="27" spans="2:7" x14ac:dyDescent="0.25">
      <c r="B27" s="32"/>
      <c r="C27" s="33" t="s">
        <v>37</v>
      </c>
      <c r="D27" s="25"/>
      <c r="E27" s="34"/>
      <c r="F27" s="28">
        <v>0</v>
      </c>
      <c r="G27" s="29"/>
    </row>
    <row r="28" spans="2:7" x14ac:dyDescent="0.25">
      <c r="B28" s="24">
        <v>1</v>
      </c>
      <c r="C28" s="25" t="s">
        <v>38</v>
      </c>
      <c r="D28" s="26" t="s">
        <v>26</v>
      </c>
      <c r="E28" s="35">
        <f>'[2]Htgan Volume'!AA11</f>
        <v>1.5314999999999999</v>
      </c>
      <c r="F28" s="28">
        <v>0</v>
      </c>
      <c r="G28" s="29">
        <f t="shared" ref="G28:G35" si="1">F28*E28</f>
        <v>0</v>
      </c>
    </row>
    <row r="29" spans="2:7" x14ac:dyDescent="0.25">
      <c r="B29" s="24">
        <v>2</v>
      </c>
      <c r="C29" s="25" t="s">
        <v>39</v>
      </c>
      <c r="D29" s="26" t="s">
        <v>26</v>
      </c>
      <c r="E29" s="27">
        <f>'[2]Htgan Volume'!AA19</f>
        <v>0.69300000000000006</v>
      </c>
      <c r="F29" s="28">
        <v>0</v>
      </c>
      <c r="G29" s="29">
        <f t="shared" si="1"/>
        <v>0</v>
      </c>
    </row>
    <row r="30" spans="2:7" x14ac:dyDescent="0.25">
      <c r="B30" s="24">
        <v>3</v>
      </c>
      <c r="C30" s="25" t="s">
        <v>40</v>
      </c>
      <c r="D30" s="26" t="s">
        <v>26</v>
      </c>
      <c r="E30" s="27">
        <f>'[2]Htgan Volume'!AA27</f>
        <v>1.6214999999999999</v>
      </c>
      <c r="F30" s="28">
        <v>0</v>
      </c>
      <c r="G30" s="29">
        <f t="shared" si="1"/>
        <v>0</v>
      </c>
    </row>
    <row r="31" spans="2:7" x14ac:dyDescent="0.25">
      <c r="B31" s="24">
        <v>4</v>
      </c>
      <c r="C31" s="25" t="s">
        <v>41</v>
      </c>
      <c r="D31" s="26" t="s">
        <v>26</v>
      </c>
      <c r="E31" s="27">
        <f>'[2]Htgan Volume'!AB39</f>
        <v>2.1017249999999996</v>
      </c>
      <c r="F31" s="28">
        <v>0</v>
      </c>
      <c r="G31" s="29">
        <f t="shared" si="1"/>
        <v>0</v>
      </c>
    </row>
    <row r="32" spans="2:7" x14ac:dyDescent="0.25">
      <c r="B32" s="24">
        <v>5</v>
      </c>
      <c r="C32" s="25" t="s">
        <v>42</v>
      </c>
      <c r="D32" s="26" t="s">
        <v>26</v>
      </c>
      <c r="E32" s="35">
        <f>'[2]Htgan Volume'!AB48</f>
        <v>0.26195000000000002</v>
      </c>
      <c r="F32" s="28">
        <v>0</v>
      </c>
      <c r="G32" s="29">
        <f t="shared" si="1"/>
        <v>0</v>
      </c>
    </row>
    <row r="33" spans="2:7" x14ac:dyDescent="0.25">
      <c r="B33" s="24">
        <v>6</v>
      </c>
      <c r="C33" s="25" t="s">
        <v>43</v>
      </c>
      <c r="D33" s="26" t="s">
        <v>26</v>
      </c>
      <c r="E33" s="27">
        <f>'[2]Htgan Volume'!AA57</f>
        <v>0.54</v>
      </c>
      <c r="F33" s="28">
        <v>0</v>
      </c>
      <c r="G33" s="29">
        <f t="shared" si="1"/>
        <v>0</v>
      </c>
    </row>
    <row r="34" spans="2:7" x14ac:dyDescent="0.25">
      <c r="B34" s="24">
        <v>7</v>
      </c>
      <c r="C34" s="25" t="s">
        <v>44</v>
      </c>
      <c r="D34" s="26" t="s">
        <v>26</v>
      </c>
      <c r="E34" s="27">
        <f>'[2]Htgan Volume'!AA66</f>
        <v>0.54</v>
      </c>
      <c r="F34" s="28">
        <v>0</v>
      </c>
      <c r="G34" s="29">
        <f>F34*E34</f>
        <v>0</v>
      </c>
    </row>
    <row r="35" spans="2:7" x14ac:dyDescent="0.25">
      <c r="B35" s="24">
        <v>8</v>
      </c>
      <c r="C35" s="25" t="s">
        <v>45</v>
      </c>
      <c r="D35" s="26" t="s">
        <v>26</v>
      </c>
      <c r="E35" s="27">
        <f>'[2]Htgan Volume'!AA75</f>
        <v>0.13500000000000001</v>
      </c>
      <c r="F35" s="28">
        <v>0</v>
      </c>
      <c r="G35" s="29">
        <f t="shared" si="1"/>
        <v>0</v>
      </c>
    </row>
    <row r="36" spans="2:7" x14ac:dyDescent="0.25">
      <c r="B36" s="32"/>
      <c r="C36" s="25"/>
      <c r="D36" s="26"/>
      <c r="E36" s="30"/>
      <c r="F36" s="28">
        <v>0</v>
      </c>
      <c r="G36" s="31">
        <f>SUM(G26:G35)</f>
        <v>0</v>
      </c>
    </row>
    <row r="37" spans="2:7" x14ac:dyDescent="0.25">
      <c r="B37" s="32" t="s">
        <v>46</v>
      </c>
      <c r="C37" s="33" t="s">
        <v>47</v>
      </c>
      <c r="D37" s="26"/>
      <c r="E37" s="30"/>
      <c r="F37" s="28">
        <v>0</v>
      </c>
      <c r="G37" s="29">
        <f>F37*E37</f>
        <v>0</v>
      </c>
    </row>
    <row r="38" spans="2:7" x14ac:dyDescent="0.25">
      <c r="B38" s="24">
        <v>1</v>
      </c>
      <c r="C38" s="36" t="s">
        <v>48</v>
      </c>
      <c r="D38" s="26" t="s">
        <v>21</v>
      </c>
      <c r="E38" s="27">
        <f>'[2]Htgan Volume'!AH8</f>
        <v>2.2000000000000002</v>
      </c>
      <c r="F38" s="28">
        <v>0</v>
      </c>
      <c r="G38" s="29">
        <f>F38*E38</f>
        <v>0</v>
      </c>
    </row>
    <row r="39" spans="2:7" x14ac:dyDescent="0.25">
      <c r="B39" s="24">
        <v>2</v>
      </c>
      <c r="C39" s="36" t="s">
        <v>49</v>
      </c>
      <c r="D39" s="26" t="s">
        <v>21</v>
      </c>
      <c r="E39" s="27">
        <f>'[2]Htgan Volume'!AH15</f>
        <v>4.5</v>
      </c>
      <c r="F39" s="28">
        <v>0</v>
      </c>
      <c r="G39" s="29">
        <f>F39*E39</f>
        <v>0</v>
      </c>
    </row>
    <row r="40" spans="2:7" x14ac:dyDescent="0.25">
      <c r="B40" s="24">
        <v>3</v>
      </c>
      <c r="C40" s="36" t="s">
        <v>50</v>
      </c>
      <c r="D40" s="26"/>
      <c r="E40" s="27"/>
      <c r="F40" s="28">
        <v>0</v>
      </c>
      <c r="G40" s="29"/>
    </row>
    <row r="41" spans="2:7" x14ac:dyDescent="0.25">
      <c r="B41" s="24"/>
      <c r="C41" s="36" t="s">
        <v>51</v>
      </c>
      <c r="D41" s="26" t="s">
        <v>21</v>
      </c>
      <c r="E41" s="27">
        <f>'[2]Htgan Volume'!AH28</f>
        <v>32.33</v>
      </c>
      <c r="F41" s="28">
        <v>0</v>
      </c>
      <c r="G41" s="29">
        <f>F41*E41</f>
        <v>0</v>
      </c>
    </row>
    <row r="42" spans="2:7" x14ac:dyDescent="0.25">
      <c r="B42" s="24">
        <v>4</v>
      </c>
      <c r="C42" s="36" t="s">
        <v>52</v>
      </c>
      <c r="D42" s="26" t="s">
        <v>21</v>
      </c>
      <c r="E42" s="27">
        <f>'[2]Htgan Volume'!AH37</f>
        <v>2.92</v>
      </c>
      <c r="F42" s="28">
        <v>0</v>
      </c>
      <c r="G42" s="29">
        <f>F42*E42</f>
        <v>0</v>
      </c>
    </row>
    <row r="43" spans="2:7" x14ac:dyDescent="0.25">
      <c r="B43" s="24">
        <v>5</v>
      </c>
      <c r="C43" s="36" t="s">
        <v>53</v>
      </c>
      <c r="D43" s="26" t="s">
        <v>15</v>
      </c>
      <c r="E43" s="27">
        <f>'[2]Htgan Volume'!AH43</f>
        <v>6.05</v>
      </c>
      <c r="F43" s="28">
        <v>0</v>
      </c>
      <c r="G43" s="29">
        <f>F43*E43</f>
        <v>0</v>
      </c>
    </row>
    <row r="44" spans="2:7" x14ac:dyDescent="0.25">
      <c r="B44" s="24">
        <v>6</v>
      </c>
      <c r="C44" s="36" t="s">
        <v>54</v>
      </c>
      <c r="D44" s="26" t="s">
        <v>21</v>
      </c>
      <c r="E44" s="27">
        <f>'[2]Htgan Volume'!AH50</f>
        <v>13.5</v>
      </c>
      <c r="F44" s="28">
        <v>0</v>
      </c>
      <c r="G44" s="29">
        <f>F44*E44</f>
        <v>0</v>
      </c>
    </row>
    <row r="45" spans="2:7" x14ac:dyDescent="0.25">
      <c r="B45" s="32"/>
      <c r="C45" s="25"/>
      <c r="D45" s="26"/>
      <c r="E45" s="30"/>
      <c r="F45" s="28">
        <v>0</v>
      </c>
      <c r="G45" s="31">
        <f>SUM(G38:G44)</f>
        <v>0</v>
      </c>
    </row>
    <row r="46" spans="2:7" x14ac:dyDescent="0.25">
      <c r="B46" s="32" t="s">
        <v>55</v>
      </c>
      <c r="C46" s="33" t="s">
        <v>56</v>
      </c>
      <c r="D46" s="26"/>
      <c r="E46" s="30"/>
      <c r="F46" s="28">
        <v>0</v>
      </c>
      <c r="G46" s="29">
        <f>F46*E46</f>
        <v>0</v>
      </c>
    </row>
    <row r="47" spans="2:7" x14ac:dyDescent="0.25">
      <c r="B47" s="32"/>
      <c r="C47" s="25" t="s">
        <v>57</v>
      </c>
      <c r="D47" s="26"/>
      <c r="E47" s="30"/>
      <c r="F47" s="28">
        <v>0</v>
      </c>
      <c r="G47" s="29">
        <f>F47*E47</f>
        <v>0</v>
      </c>
    </row>
    <row r="48" spans="2:7" x14ac:dyDescent="0.25">
      <c r="B48" s="24">
        <v>1</v>
      </c>
      <c r="C48" s="36" t="s">
        <v>58</v>
      </c>
      <c r="D48" s="26" t="s">
        <v>21</v>
      </c>
      <c r="E48" s="27">
        <f>'[2]Htgan Volume'!AO8</f>
        <v>15.8</v>
      </c>
      <c r="F48" s="28">
        <v>0</v>
      </c>
      <c r="G48" s="29">
        <f>F48*E48</f>
        <v>0</v>
      </c>
    </row>
    <row r="49" spans="2:7" x14ac:dyDescent="0.25">
      <c r="B49" s="24">
        <v>2</v>
      </c>
      <c r="C49" s="36" t="s">
        <v>59</v>
      </c>
      <c r="D49" s="26" t="s">
        <v>21</v>
      </c>
      <c r="E49" s="27">
        <f>'[2]Htgan Volume'!AO21</f>
        <v>1.4</v>
      </c>
      <c r="F49" s="28">
        <v>0</v>
      </c>
      <c r="G49" s="29">
        <f>F49*E49</f>
        <v>0</v>
      </c>
    </row>
    <row r="50" spans="2:7" x14ac:dyDescent="0.25">
      <c r="B50" s="24">
        <v>3</v>
      </c>
      <c r="C50" s="36" t="s">
        <v>60</v>
      </c>
      <c r="D50" s="26" t="s">
        <v>21</v>
      </c>
      <c r="E50" s="27">
        <f>'[2]Htgan Volume'!AO28</f>
        <v>2.25</v>
      </c>
      <c r="F50" s="28">
        <v>0</v>
      </c>
      <c r="G50" s="29">
        <f>F50*E50</f>
        <v>0</v>
      </c>
    </row>
    <row r="51" spans="2:7" x14ac:dyDescent="0.25">
      <c r="B51" s="24"/>
      <c r="C51" s="25"/>
      <c r="D51" s="26"/>
      <c r="E51" s="30"/>
      <c r="F51" s="28">
        <v>0</v>
      </c>
      <c r="G51" s="31">
        <f>SUM(G48:G50)</f>
        <v>0</v>
      </c>
    </row>
    <row r="52" spans="2:7" x14ac:dyDescent="0.25">
      <c r="B52" s="32" t="s">
        <v>61</v>
      </c>
      <c r="C52" s="33" t="s">
        <v>62</v>
      </c>
      <c r="D52" s="25"/>
      <c r="E52" s="30"/>
      <c r="F52" s="28">
        <v>0</v>
      </c>
      <c r="G52" s="29">
        <f>F52*E52</f>
        <v>0</v>
      </c>
    </row>
    <row r="53" spans="2:7" x14ac:dyDescent="0.25">
      <c r="B53" s="25">
        <v>1</v>
      </c>
      <c r="C53" s="36" t="s">
        <v>63</v>
      </c>
      <c r="D53" s="26" t="s">
        <v>21</v>
      </c>
      <c r="E53" s="27">
        <f>'[2]Htgan Volume'!AV13</f>
        <v>32.33</v>
      </c>
      <c r="F53" s="28">
        <v>0</v>
      </c>
      <c r="G53" s="29">
        <f>F53*E53</f>
        <v>0</v>
      </c>
    </row>
    <row r="54" spans="2:7" x14ac:dyDescent="0.25">
      <c r="B54" s="25">
        <v>2</v>
      </c>
      <c r="C54" s="36" t="s">
        <v>64</v>
      </c>
      <c r="D54" s="26" t="s">
        <v>15</v>
      </c>
      <c r="E54" s="27">
        <f>'[2]Htgan Volume'!AV24</f>
        <v>39.475000000000001</v>
      </c>
      <c r="F54" s="28">
        <v>0</v>
      </c>
      <c r="G54" s="29">
        <f>F54*E54</f>
        <v>0</v>
      </c>
    </row>
    <row r="55" spans="2:7" x14ac:dyDescent="0.25">
      <c r="B55" s="24">
        <v>3</v>
      </c>
      <c r="C55" s="36" t="s">
        <v>65</v>
      </c>
      <c r="D55" s="26" t="s">
        <v>15</v>
      </c>
      <c r="E55" s="27">
        <f>'[2]Htgan Volume'!AV33</f>
        <v>15.4</v>
      </c>
      <c r="F55" s="28">
        <v>0</v>
      </c>
      <c r="G55" s="29">
        <f>F55*E55</f>
        <v>0</v>
      </c>
    </row>
    <row r="56" spans="2:7" x14ac:dyDescent="0.25">
      <c r="B56" s="24">
        <v>4</v>
      </c>
      <c r="C56" s="36" t="s">
        <v>66</v>
      </c>
      <c r="D56" s="26" t="s">
        <v>21</v>
      </c>
      <c r="E56" s="27">
        <f>'[2]Htgan Volume'!AV44</f>
        <v>9.620000000000001</v>
      </c>
      <c r="F56" s="28">
        <v>0</v>
      </c>
      <c r="G56" s="29">
        <f>F56*E56</f>
        <v>0</v>
      </c>
    </row>
    <row r="57" spans="2:7" x14ac:dyDescent="0.25">
      <c r="B57" s="32"/>
      <c r="C57" s="25"/>
      <c r="D57" s="25"/>
      <c r="E57" s="30"/>
      <c r="F57" s="28">
        <v>0</v>
      </c>
      <c r="G57" s="37">
        <f>SUM(G53:G56)</f>
        <v>0</v>
      </c>
    </row>
    <row r="58" spans="2:7" x14ac:dyDescent="0.25">
      <c r="B58" s="32" t="s">
        <v>67</v>
      </c>
      <c r="C58" s="33" t="s">
        <v>68</v>
      </c>
      <c r="D58" s="26"/>
      <c r="E58" s="30"/>
      <c r="F58" s="28">
        <v>0</v>
      </c>
      <c r="G58" s="29">
        <f>F58*E58</f>
        <v>0</v>
      </c>
    </row>
    <row r="59" spans="2:7" x14ac:dyDescent="0.25">
      <c r="B59" s="24">
        <v>1</v>
      </c>
      <c r="C59" s="25" t="s">
        <v>69</v>
      </c>
      <c r="D59" s="26" t="s">
        <v>21</v>
      </c>
      <c r="E59" s="27">
        <f>'[2]Htgan Volume'!BC9</f>
        <v>25.742499999999996</v>
      </c>
      <c r="F59" s="28">
        <v>0</v>
      </c>
      <c r="G59" s="29">
        <f>F59*E59</f>
        <v>0</v>
      </c>
    </row>
    <row r="60" spans="2:7" x14ac:dyDescent="0.25">
      <c r="B60" s="24">
        <v>2</v>
      </c>
      <c r="C60" s="25" t="s">
        <v>70</v>
      </c>
      <c r="D60" s="26" t="s">
        <v>21</v>
      </c>
      <c r="E60" s="27">
        <f>'[2]Htgan Volume'!BC24</f>
        <v>154.11000000000001</v>
      </c>
      <c r="F60" s="28">
        <v>0</v>
      </c>
      <c r="G60" s="29">
        <f>F60*E60</f>
        <v>0</v>
      </c>
    </row>
    <row r="61" spans="2:7" x14ac:dyDescent="0.25">
      <c r="B61" s="24">
        <v>3</v>
      </c>
      <c r="C61" s="25" t="s">
        <v>71</v>
      </c>
      <c r="D61" s="26" t="s">
        <v>21</v>
      </c>
      <c r="E61" s="27">
        <f>'[2]Htgan Volume'!BC33</f>
        <v>344.20500000000004</v>
      </c>
      <c r="F61" s="28">
        <v>0</v>
      </c>
      <c r="G61" s="29">
        <f>F61*E61</f>
        <v>0</v>
      </c>
    </row>
    <row r="62" spans="2:7" x14ac:dyDescent="0.25">
      <c r="B62" s="24"/>
      <c r="C62" s="25"/>
      <c r="D62" s="26"/>
      <c r="E62" s="30"/>
      <c r="F62" s="28">
        <v>0</v>
      </c>
      <c r="G62" s="31">
        <f>SUM(G59:G61)</f>
        <v>0</v>
      </c>
    </row>
    <row r="63" spans="2:7" x14ac:dyDescent="0.25">
      <c r="B63" s="32" t="s">
        <v>72</v>
      </c>
      <c r="C63" s="33" t="s">
        <v>73</v>
      </c>
      <c r="D63" s="25"/>
      <c r="E63" s="30"/>
      <c r="F63" s="28">
        <v>0</v>
      </c>
      <c r="G63" s="29">
        <f t="shared" ref="G63:G69" si="2">F63*E63</f>
        <v>0</v>
      </c>
    </row>
    <row r="64" spans="2:7" x14ac:dyDescent="0.25">
      <c r="B64" s="24">
        <v>1</v>
      </c>
      <c r="C64" s="25" t="s">
        <v>74</v>
      </c>
      <c r="D64" s="26" t="s">
        <v>21</v>
      </c>
      <c r="E64" s="27">
        <f>'[2]Htgan Volume'!BJ12</f>
        <v>43.162500000000001</v>
      </c>
      <c r="F64" s="28">
        <v>0</v>
      </c>
      <c r="G64" s="29">
        <f t="shared" si="2"/>
        <v>0</v>
      </c>
    </row>
    <row r="65" spans="2:7" x14ac:dyDescent="0.25">
      <c r="B65" s="24">
        <v>2</v>
      </c>
      <c r="C65" s="25" t="s">
        <v>75</v>
      </c>
      <c r="D65" s="26" t="s">
        <v>21</v>
      </c>
      <c r="E65" s="27">
        <f>'[2]Htgan Volume'!BJ21</f>
        <v>43.162500000000001</v>
      </c>
      <c r="F65" s="28">
        <v>0</v>
      </c>
      <c r="G65" s="29">
        <f t="shared" si="2"/>
        <v>0</v>
      </c>
    </row>
    <row r="66" spans="2:7" x14ac:dyDescent="0.25">
      <c r="B66" s="24">
        <v>3</v>
      </c>
      <c r="C66" s="25" t="s">
        <v>76</v>
      </c>
      <c r="D66" s="26" t="s">
        <v>15</v>
      </c>
      <c r="E66" s="27">
        <f>'[2]Htgan Volume'!BJ28</f>
        <v>18.850000000000001</v>
      </c>
      <c r="F66" s="28">
        <v>0</v>
      </c>
      <c r="G66" s="29">
        <f t="shared" si="2"/>
        <v>0</v>
      </c>
    </row>
    <row r="67" spans="2:7" x14ac:dyDescent="0.25">
      <c r="B67" s="25">
        <v>4</v>
      </c>
      <c r="C67" s="25" t="s">
        <v>77</v>
      </c>
      <c r="D67" s="26" t="s">
        <v>15</v>
      </c>
      <c r="E67" s="27">
        <f>'[2]Htgan Volume'!BJ34</f>
        <v>19.229999999999997</v>
      </c>
      <c r="F67" s="28">
        <v>0</v>
      </c>
      <c r="G67" s="29">
        <f t="shared" si="2"/>
        <v>0</v>
      </c>
    </row>
    <row r="68" spans="2:7" x14ac:dyDescent="0.25">
      <c r="B68" s="25">
        <v>5</v>
      </c>
      <c r="C68" s="25" t="s">
        <v>78</v>
      </c>
      <c r="D68" s="26" t="s">
        <v>15</v>
      </c>
      <c r="E68" s="27">
        <f>'[2]Htgan Volume'!BJ40</f>
        <v>6</v>
      </c>
      <c r="F68" s="28">
        <v>0</v>
      </c>
      <c r="G68" s="29">
        <f t="shared" si="2"/>
        <v>0</v>
      </c>
    </row>
    <row r="69" spans="2:7" x14ac:dyDescent="0.25">
      <c r="B69" s="25">
        <v>6</v>
      </c>
      <c r="C69" s="25" t="s">
        <v>79</v>
      </c>
      <c r="D69" s="26" t="s">
        <v>15</v>
      </c>
      <c r="E69" s="27">
        <f>'[2]Htgan Volume'!BJ49</f>
        <v>7</v>
      </c>
      <c r="F69" s="28">
        <v>0</v>
      </c>
      <c r="G69" s="29">
        <f t="shared" si="2"/>
        <v>0</v>
      </c>
    </row>
    <row r="70" spans="2:7" x14ac:dyDescent="0.25">
      <c r="B70" s="32"/>
      <c r="C70" s="25"/>
      <c r="D70" s="25"/>
      <c r="E70" s="30"/>
      <c r="F70" s="28">
        <v>0</v>
      </c>
      <c r="G70" s="31">
        <f>SUM(G64:G69)</f>
        <v>0</v>
      </c>
    </row>
    <row r="71" spans="2:7" x14ac:dyDescent="0.25">
      <c r="B71" s="32" t="s">
        <v>80</v>
      </c>
      <c r="C71" s="33" t="s">
        <v>81</v>
      </c>
      <c r="D71" s="25"/>
      <c r="E71" s="38"/>
      <c r="F71" s="28">
        <v>0</v>
      </c>
      <c r="G71" s="29">
        <f t="shared" ref="G71:G85" si="3">F71*E71</f>
        <v>0</v>
      </c>
    </row>
    <row r="72" spans="2:7" x14ac:dyDescent="0.25">
      <c r="B72" s="24">
        <v>1</v>
      </c>
      <c r="C72" s="36" t="s">
        <v>82</v>
      </c>
      <c r="D72" s="25"/>
      <c r="E72" s="30"/>
      <c r="F72" s="28">
        <v>0</v>
      </c>
      <c r="G72" s="29">
        <f t="shared" si="3"/>
        <v>0</v>
      </c>
    </row>
    <row r="73" spans="2:7" x14ac:dyDescent="0.25">
      <c r="B73" s="24" t="s">
        <v>83</v>
      </c>
      <c r="C73" s="25" t="s">
        <v>84</v>
      </c>
      <c r="D73" s="26" t="s">
        <v>85</v>
      </c>
      <c r="E73" s="27">
        <f>'[2]Htgan Volume'!BR8</f>
        <v>4</v>
      </c>
      <c r="F73" s="28">
        <v>0</v>
      </c>
      <c r="G73" s="29">
        <f t="shared" si="3"/>
        <v>0</v>
      </c>
    </row>
    <row r="74" spans="2:7" x14ac:dyDescent="0.25">
      <c r="B74" s="24" t="s">
        <v>83</v>
      </c>
      <c r="C74" s="25" t="s">
        <v>86</v>
      </c>
      <c r="D74" s="26" t="s">
        <v>85</v>
      </c>
      <c r="E74" s="27">
        <f>'[2]Htgan Volume'!BR12</f>
        <v>1</v>
      </c>
      <c r="F74" s="28">
        <v>0</v>
      </c>
      <c r="G74" s="29">
        <f t="shared" si="3"/>
        <v>0</v>
      </c>
    </row>
    <row r="75" spans="2:7" x14ac:dyDescent="0.25">
      <c r="B75" s="24">
        <v>2</v>
      </c>
      <c r="C75" s="36" t="s">
        <v>87</v>
      </c>
      <c r="D75" s="26"/>
      <c r="E75" s="30">
        <v>1</v>
      </c>
      <c r="F75" s="28">
        <v>0</v>
      </c>
      <c r="G75" s="28">
        <f>F75*E75</f>
        <v>0</v>
      </c>
    </row>
    <row r="76" spans="2:7" x14ac:dyDescent="0.25">
      <c r="B76" s="24" t="s">
        <v>83</v>
      </c>
      <c r="C76" s="25" t="s">
        <v>88</v>
      </c>
      <c r="D76" s="26" t="s">
        <v>89</v>
      </c>
      <c r="E76" s="27">
        <f>'[2]Htgan Volume'!BS19</f>
        <v>1</v>
      </c>
      <c r="F76" s="28">
        <v>0</v>
      </c>
      <c r="G76" s="28">
        <f t="shared" ref="G76:G81" si="4">F76</f>
        <v>0</v>
      </c>
    </row>
    <row r="77" spans="2:7" x14ac:dyDescent="0.25">
      <c r="B77" s="24" t="s">
        <v>83</v>
      </c>
      <c r="C77" s="25" t="s">
        <v>90</v>
      </c>
      <c r="D77" s="26" t="s">
        <v>89</v>
      </c>
      <c r="E77" s="27">
        <f>'[2]Htgan Volume'!BS21</f>
        <v>1</v>
      </c>
      <c r="F77" s="28">
        <v>0</v>
      </c>
      <c r="G77" s="28">
        <f t="shared" si="4"/>
        <v>0</v>
      </c>
    </row>
    <row r="78" spans="2:7" x14ac:dyDescent="0.25">
      <c r="B78" s="24" t="s">
        <v>83</v>
      </c>
      <c r="C78" s="25" t="s">
        <v>91</v>
      </c>
      <c r="D78" s="26" t="s">
        <v>89</v>
      </c>
      <c r="E78" s="27">
        <f>'[2]Htgan Volume'!BS23</f>
        <v>1</v>
      </c>
      <c r="F78" s="28">
        <v>0</v>
      </c>
      <c r="G78" s="28">
        <f t="shared" si="4"/>
        <v>0</v>
      </c>
    </row>
    <row r="79" spans="2:7" x14ac:dyDescent="0.25">
      <c r="B79" s="24" t="s">
        <v>83</v>
      </c>
      <c r="C79" s="25" t="s">
        <v>92</v>
      </c>
      <c r="D79" s="26" t="s">
        <v>89</v>
      </c>
      <c r="E79" s="27">
        <f>'[2]Htgan Volume'!BS25</f>
        <v>1</v>
      </c>
      <c r="F79" s="28">
        <v>0</v>
      </c>
      <c r="G79" s="28">
        <f t="shared" si="4"/>
        <v>0</v>
      </c>
    </row>
    <row r="80" spans="2:7" x14ac:dyDescent="0.25">
      <c r="B80" s="24" t="s">
        <v>83</v>
      </c>
      <c r="C80" s="25" t="s">
        <v>93</v>
      </c>
      <c r="D80" s="26" t="s">
        <v>89</v>
      </c>
      <c r="E80" s="27">
        <f>'[2]Htgan Volume'!BS27</f>
        <v>1</v>
      </c>
      <c r="F80" s="28">
        <v>0</v>
      </c>
      <c r="G80" s="28">
        <f t="shared" si="4"/>
        <v>0</v>
      </c>
    </row>
    <row r="81" spans="2:7" x14ac:dyDescent="0.25">
      <c r="B81" s="24" t="s">
        <v>83</v>
      </c>
      <c r="C81" s="25" t="s">
        <v>94</v>
      </c>
      <c r="D81" s="26" t="s">
        <v>89</v>
      </c>
      <c r="E81" s="27">
        <f>'[2]Htgan Volume'!BS29</f>
        <v>2</v>
      </c>
      <c r="F81" s="28">
        <v>0</v>
      </c>
      <c r="G81" s="28">
        <f t="shared" si="4"/>
        <v>0</v>
      </c>
    </row>
    <row r="82" spans="2:7" x14ac:dyDescent="0.25">
      <c r="B82" s="24">
        <v>3</v>
      </c>
      <c r="C82" s="25" t="s">
        <v>95</v>
      </c>
      <c r="D82" s="26"/>
      <c r="E82" s="30"/>
      <c r="F82" s="28">
        <v>0</v>
      </c>
      <c r="G82" s="29">
        <f t="shared" si="3"/>
        <v>0</v>
      </c>
    </row>
    <row r="83" spans="2:7" x14ac:dyDescent="0.25">
      <c r="B83" s="24" t="s">
        <v>83</v>
      </c>
      <c r="C83" s="25" t="s">
        <v>96</v>
      </c>
      <c r="D83" s="26" t="s">
        <v>85</v>
      </c>
      <c r="E83" s="27">
        <f>'[2]Htgan Volume'!BR35</f>
        <v>1</v>
      </c>
      <c r="F83" s="28">
        <v>0</v>
      </c>
      <c r="G83" s="29">
        <f t="shared" si="3"/>
        <v>0</v>
      </c>
    </row>
    <row r="84" spans="2:7" x14ac:dyDescent="0.25">
      <c r="B84" s="24" t="s">
        <v>83</v>
      </c>
      <c r="C84" s="25" t="s">
        <v>97</v>
      </c>
      <c r="D84" s="26" t="s">
        <v>85</v>
      </c>
      <c r="E84" s="27">
        <f>'[2]Htgan Volume'!BR37</f>
        <v>4</v>
      </c>
      <c r="F84" s="28">
        <v>0</v>
      </c>
      <c r="G84" s="29">
        <f>F84*E84</f>
        <v>0</v>
      </c>
    </row>
    <row r="85" spans="2:7" x14ac:dyDescent="0.25">
      <c r="B85" s="24" t="s">
        <v>83</v>
      </c>
      <c r="C85" s="25" t="s">
        <v>98</v>
      </c>
      <c r="D85" s="26" t="s">
        <v>99</v>
      </c>
      <c r="E85" s="27">
        <f>'[2]Htgan Volume'!BR38</f>
        <v>15</v>
      </c>
      <c r="F85" s="28">
        <v>0</v>
      </c>
      <c r="G85" s="29">
        <f t="shared" si="3"/>
        <v>0</v>
      </c>
    </row>
    <row r="86" spans="2:7" x14ac:dyDescent="0.25">
      <c r="B86" s="24"/>
      <c r="C86" s="25"/>
      <c r="D86" s="26"/>
      <c r="E86" s="30"/>
      <c r="F86" s="28">
        <v>0</v>
      </c>
      <c r="G86" s="31">
        <f>SUM(G73:G85)</f>
        <v>0</v>
      </c>
    </row>
    <row r="87" spans="2:7" x14ac:dyDescent="0.25">
      <c r="B87" s="32" t="s">
        <v>100</v>
      </c>
      <c r="C87" s="33" t="s">
        <v>101</v>
      </c>
      <c r="D87" s="26"/>
      <c r="E87" s="30"/>
      <c r="F87" s="28">
        <v>0</v>
      </c>
      <c r="G87" s="29">
        <f t="shared" ref="G87:G92" si="5">F87*E87</f>
        <v>0</v>
      </c>
    </row>
    <row r="88" spans="2:7" x14ac:dyDescent="0.25">
      <c r="B88" s="25">
        <v>1</v>
      </c>
      <c r="C88" s="25" t="s">
        <v>102</v>
      </c>
      <c r="D88" s="26" t="s">
        <v>21</v>
      </c>
      <c r="E88" s="27">
        <f>'[2]Htgan Volume'!BZ12</f>
        <v>127.48625</v>
      </c>
      <c r="F88" s="28">
        <v>0</v>
      </c>
      <c r="G88" s="29">
        <f t="shared" si="5"/>
        <v>0</v>
      </c>
    </row>
    <row r="89" spans="2:7" x14ac:dyDescent="0.25">
      <c r="B89" s="25">
        <v>2</v>
      </c>
      <c r="C89" s="25" t="s">
        <v>103</v>
      </c>
      <c r="D89" s="26" t="s">
        <v>21</v>
      </c>
      <c r="E89" s="27">
        <f>'[2]Htgan Volume'!BZ24</f>
        <v>53.550000000000004</v>
      </c>
      <c r="F89" s="28">
        <v>0</v>
      </c>
      <c r="G89" s="29">
        <f t="shared" si="5"/>
        <v>0</v>
      </c>
    </row>
    <row r="90" spans="2:7" x14ac:dyDescent="0.25">
      <c r="B90" s="25">
        <v>3</v>
      </c>
      <c r="C90" s="25" t="s">
        <v>104</v>
      </c>
      <c r="D90" s="26" t="s">
        <v>21</v>
      </c>
      <c r="E90" s="27">
        <f>'[2]Htgan Volume'!BZ36</f>
        <v>39.475000000000001</v>
      </c>
      <c r="F90" s="28">
        <v>0</v>
      </c>
      <c r="G90" s="29">
        <f t="shared" si="5"/>
        <v>0</v>
      </c>
    </row>
    <row r="91" spans="2:7" x14ac:dyDescent="0.25">
      <c r="B91" s="25">
        <v>4</v>
      </c>
      <c r="C91" s="25" t="s">
        <v>105</v>
      </c>
      <c r="D91" s="26" t="s">
        <v>21</v>
      </c>
      <c r="E91" s="27">
        <f>'[2]Htgan Volume'!BZ47</f>
        <v>15.952500000000001</v>
      </c>
      <c r="F91" s="28">
        <v>0</v>
      </c>
      <c r="G91" s="29">
        <f t="shared" si="5"/>
        <v>0</v>
      </c>
    </row>
    <row r="92" spans="2:7" x14ac:dyDescent="0.25">
      <c r="B92" s="25">
        <v>5</v>
      </c>
      <c r="C92" s="25" t="s">
        <v>106</v>
      </c>
      <c r="D92" s="26" t="s">
        <v>15</v>
      </c>
      <c r="E92" s="27">
        <f>'[2]Htgan Volume'!BZ53</f>
        <v>6</v>
      </c>
      <c r="F92" s="28">
        <v>0</v>
      </c>
      <c r="G92" s="29">
        <f t="shared" si="5"/>
        <v>0</v>
      </c>
    </row>
    <row r="93" spans="2:7" x14ac:dyDescent="0.25">
      <c r="B93" s="24"/>
      <c r="C93" s="25"/>
      <c r="D93" s="26"/>
      <c r="E93" s="30"/>
      <c r="F93" s="28">
        <v>0</v>
      </c>
      <c r="G93" s="31">
        <f>SUM(G88:G92)</f>
        <v>0</v>
      </c>
    </row>
    <row r="94" spans="2:7" x14ac:dyDescent="0.25">
      <c r="B94" s="32" t="s">
        <v>107</v>
      </c>
      <c r="C94" s="33" t="s">
        <v>108</v>
      </c>
      <c r="D94" s="26"/>
      <c r="E94" s="30"/>
      <c r="F94" s="28">
        <v>0</v>
      </c>
      <c r="G94" s="29">
        <f t="shared" ref="G94:G116" si="6">F94*E94</f>
        <v>0</v>
      </c>
    </row>
    <row r="95" spans="2:7" x14ac:dyDescent="0.25">
      <c r="B95" s="24">
        <v>1</v>
      </c>
      <c r="C95" s="25" t="s">
        <v>109</v>
      </c>
      <c r="D95" s="25"/>
      <c r="E95" s="30"/>
      <c r="F95" s="28">
        <v>0</v>
      </c>
      <c r="G95" s="29">
        <f t="shared" si="6"/>
        <v>0</v>
      </c>
    </row>
    <row r="96" spans="2:7" x14ac:dyDescent="0.25">
      <c r="B96" s="24" t="s">
        <v>83</v>
      </c>
      <c r="C96" s="25" t="s">
        <v>110</v>
      </c>
      <c r="D96" s="26" t="s">
        <v>85</v>
      </c>
      <c r="E96" s="27">
        <f>'[2]Htgan Volume'!CJ8</f>
        <v>1</v>
      </c>
      <c r="F96" s="28">
        <v>0</v>
      </c>
      <c r="G96" s="29">
        <f t="shared" si="6"/>
        <v>0</v>
      </c>
    </row>
    <row r="97" spans="2:7" x14ac:dyDescent="0.25">
      <c r="B97" s="24" t="s">
        <v>83</v>
      </c>
      <c r="C97" s="25" t="s">
        <v>111</v>
      </c>
      <c r="D97" s="26" t="s">
        <v>85</v>
      </c>
      <c r="E97" s="27">
        <f>'[2]Htgan Volume'!CJ10</f>
        <v>1</v>
      </c>
      <c r="F97" s="28">
        <v>0</v>
      </c>
      <c r="G97" s="29">
        <f t="shared" si="6"/>
        <v>0</v>
      </c>
    </row>
    <row r="98" spans="2:7" x14ac:dyDescent="0.25">
      <c r="B98" s="24" t="s">
        <v>83</v>
      </c>
      <c r="C98" s="25" t="s">
        <v>112</v>
      </c>
      <c r="D98" s="26" t="s">
        <v>85</v>
      </c>
      <c r="E98" s="27">
        <f>'[2]Htgan Volume'!CJ11</f>
        <v>1</v>
      </c>
      <c r="F98" s="28">
        <v>0</v>
      </c>
      <c r="G98" s="28">
        <f>F98</f>
        <v>0</v>
      </c>
    </row>
    <row r="99" spans="2:7" x14ac:dyDescent="0.25">
      <c r="B99" s="24" t="s">
        <v>83</v>
      </c>
      <c r="C99" s="25" t="s">
        <v>113</v>
      </c>
      <c r="D99" s="26" t="s">
        <v>85</v>
      </c>
      <c r="E99" s="27">
        <f>'[2]Htgan Volume'!CJ12</f>
        <v>1</v>
      </c>
      <c r="F99" s="28">
        <v>0</v>
      </c>
      <c r="G99" s="29">
        <f t="shared" si="6"/>
        <v>0</v>
      </c>
    </row>
    <row r="100" spans="2:7" x14ac:dyDescent="0.25">
      <c r="B100" s="24" t="s">
        <v>83</v>
      </c>
      <c r="C100" s="25" t="s">
        <v>114</v>
      </c>
      <c r="D100" s="26" t="s">
        <v>85</v>
      </c>
      <c r="E100" s="27">
        <f>'[2]Htgan Volume'!CJ13</f>
        <v>1</v>
      </c>
      <c r="F100" s="28">
        <v>0</v>
      </c>
      <c r="G100" s="29">
        <f t="shared" si="6"/>
        <v>0</v>
      </c>
    </row>
    <row r="101" spans="2:7" x14ac:dyDescent="0.25">
      <c r="B101" s="24" t="s">
        <v>83</v>
      </c>
      <c r="C101" s="25" t="s">
        <v>115</v>
      </c>
      <c r="D101" s="26" t="s">
        <v>85</v>
      </c>
      <c r="E101" s="27">
        <f>'[2]Htgan Volume'!CJ14</f>
        <v>1</v>
      </c>
      <c r="F101" s="28">
        <v>0</v>
      </c>
      <c r="G101" s="29">
        <f t="shared" si="6"/>
        <v>0</v>
      </c>
    </row>
    <row r="102" spans="2:7" x14ac:dyDescent="0.25">
      <c r="B102" s="25">
        <v>2</v>
      </c>
      <c r="C102" s="25" t="s">
        <v>116</v>
      </c>
      <c r="D102" s="25"/>
      <c r="E102" s="27"/>
      <c r="F102" s="28">
        <v>0</v>
      </c>
      <c r="G102" s="29">
        <f t="shared" si="6"/>
        <v>0</v>
      </c>
    </row>
    <row r="103" spans="2:7" x14ac:dyDescent="0.25">
      <c r="B103" s="24" t="s">
        <v>83</v>
      </c>
      <c r="C103" s="25" t="s">
        <v>117</v>
      </c>
      <c r="D103" s="26" t="s">
        <v>85</v>
      </c>
      <c r="E103" s="27">
        <f>'[2]Htgan Volume'!CI20</f>
        <v>1</v>
      </c>
      <c r="F103" s="28">
        <v>0</v>
      </c>
      <c r="G103" s="29">
        <f t="shared" si="6"/>
        <v>0</v>
      </c>
    </row>
    <row r="104" spans="2:7" x14ac:dyDescent="0.25">
      <c r="B104" s="24" t="s">
        <v>83</v>
      </c>
      <c r="C104" s="25" t="s">
        <v>118</v>
      </c>
      <c r="D104" s="26" t="s">
        <v>85</v>
      </c>
      <c r="E104" s="27">
        <f>'[2]Htgan Volume'!CI21</f>
        <v>1</v>
      </c>
      <c r="F104" s="28">
        <v>0</v>
      </c>
      <c r="G104" s="29">
        <f t="shared" si="6"/>
        <v>0</v>
      </c>
    </row>
    <row r="105" spans="2:7" x14ac:dyDescent="0.25">
      <c r="B105" s="24">
        <v>3</v>
      </c>
      <c r="C105" s="25" t="s">
        <v>119</v>
      </c>
      <c r="D105" s="26" t="s">
        <v>85</v>
      </c>
      <c r="E105" s="27">
        <f>'[2]Htgan Volume'!CH27</f>
        <v>1</v>
      </c>
      <c r="F105" s="28">
        <v>0</v>
      </c>
      <c r="G105" s="29">
        <f t="shared" si="6"/>
        <v>0</v>
      </c>
    </row>
    <row r="106" spans="2:7" x14ac:dyDescent="0.25">
      <c r="B106" s="24">
        <v>4</v>
      </c>
      <c r="C106" s="25" t="s">
        <v>120</v>
      </c>
      <c r="D106" s="26" t="s">
        <v>85</v>
      </c>
      <c r="E106" s="27">
        <f>'[2]Htgan Volume'!CH33</f>
        <v>1</v>
      </c>
      <c r="F106" s="28">
        <v>0</v>
      </c>
      <c r="G106" s="29">
        <f t="shared" si="6"/>
        <v>0</v>
      </c>
    </row>
    <row r="107" spans="2:7" x14ac:dyDescent="0.25">
      <c r="B107" s="24">
        <v>5</v>
      </c>
      <c r="C107" s="25" t="s">
        <v>121</v>
      </c>
      <c r="D107" s="26" t="s">
        <v>85</v>
      </c>
      <c r="E107" s="27">
        <f>'[2]Htgan Volume'!CH39</f>
        <v>2</v>
      </c>
      <c r="F107" s="28">
        <v>0</v>
      </c>
      <c r="G107" s="29">
        <f t="shared" si="6"/>
        <v>0</v>
      </c>
    </row>
    <row r="108" spans="2:7" x14ac:dyDescent="0.25">
      <c r="B108" s="24">
        <v>6</v>
      </c>
      <c r="C108" s="25" t="s">
        <v>122</v>
      </c>
      <c r="D108" s="25"/>
      <c r="E108" s="30"/>
      <c r="F108" s="28">
        <v>0</v>
      </c>
      <c r="G108" s="29">
        <f t="shared" si="6"/>
        <v>0</v>
      </c>
    </row>
    <row r="109" spans="2:7" x14ac:dyDescent="0.25">
      <c r="B109" s="24" t="s">
        <v>83</v>
      </c>
      <c r="C109" s="25" t="s">
        <v>123</v>
      </c>
      <c r="D109" s="26" t="s">
        <v>15</v>
      </c>
      <c r="E109" s="27">
        <f>'[2]Htgan Volume'!CH45</f>
        <v>10.9</v>
      </c>
      <c r="F109" s="28">
        <v>0</v>
      </c>
      <c r="G109" s="29">
        <f t="shared" si="6"/>
        <v>0</v>
      </c>
    </row>
    <row r="110" spans="2:7" x14ac:dyDescent="0.25">
      <c r="B110" s="24" t="s">
        <v>83</v>
      </c>
      <c r="C110" s="25" t="s">
        <v>124</v>
      </c>
      <c r="D110" s="26" t="s">
        <v>15</v>
      </c>
      <c r="E110" s="27">
        <f>'[2]Htgan Volume'!CH46</f>
        <v>24</v>
      </c>
      <c r="F110" s="28">
        <v>0</v>
      </c>
      <c r="G110" s="29">
        <f t="shared" si="6"/>
        <v>0</v>
      </c>
    </row>
    <row r="111" spans="2:7" x14ac:dyDescent="0.25">
      <c r="B111" s="24">
        <v>7</v>
      </c>
      <c r="C111" s="25" t="s">
        <v>125</v>
      </c>
      <c r="D111" s="26"/>
      <c r="E111" s="30"/>
      <c r="F111" s="28">
        <v>0</v>
      </c>
      <c r="G111" s="29">
        <f t="shared" si="6"/>
        <v>0</v>
      </c>
    </row>
    <row r="112" spans="2:7" x14ac:dyDescent="0.25">
      <c r="B112" s="24" t="s">
        <v>83</v>
      </c>
      <c r="C112" s="25" t="s">
        <v>126</v>
      </c>
      <c r="D112" s="26" t="s">
        <v>15</v>
      </c>
      <c r="E112" s="27">
        <f>'[2]Htgan Volume'!CH52</f>
        <v>8</v>
      </c>
      <c r="F112" s="28">
        <v>0</v>
      </c>
      <c r="G112" s="29">
        <f t="shared" si="6"/>
        <v>0</v>
      </c>
    </row>
    <row r="113" spans="2:7" x14ac:dyDescent="0.25">
      <c r="B113" s="24" t="s">
        <v>83</v>
      </c>
      <c r="C113" s="25" t="s">
        <v>127</v>
      </c>
      <c r="D113" s="26" t="s">
        <v>15</v>
      </c>
      <c r="E113" s="27">
        <f>'[2]Htgan Volume'!CH53</f>
        <v>30</v>
      </c>
      <c r="F113" s="28">
        <v>0</v>
      </c>
      <c r="G113" s="29">
        <f t="shared" si="6"/>
        <v>0</v>
      </c>
    </row>
    <row r="114" spans="2:7" x14ac:dyDescent="0.25">
      <c r="B114" s="24" t="s">
        <v>83</v>
      </c>
      <c r="C114" s="25" t="s">
        <v>128</v>
      </c>
      <c r="D114" s="26" t="s">
        <v>85</v>
      </c>
      <c r="E114" s="27">
        <f>'[2]Htgan Volume'!CH54</f>
        <v>4</v>
      </c>
      <c r="F114" s="28">
        <v>0</v>
      </c>
      <c r="G114" s="29">
        <f t="shared" si="6"/>
        <v>0</v>
      </c>
    </row>
    <row r="115" spans="2:7" x14ac:dyDescent="0.25">
      <c r="B115" s="24" t="s">
        <v>83</v>
      </c>
      <c r="C115" s="25" t="s">
        <v>129</v>
      </c>
      <c r="D115" s="26" t="s">
        <v>85</v>
      </c>
      <c r="E115" s="27">
        <f>'[2]Htgan Volume'!CH55</f>
        <v>1</v>
      </c>
      <c r="F115" s="28">
        <v>0</v>
      </c>
      <c r="G115" s="29">
        <f t="shared" si="6"/>
        <v>0</v>
      </c>
    </row>
    <row r="116" spans="2:7" x14ac:dyDescent="0.25">
      <c r="B116" s="24"/>
      <c r="C116" s="25"/>
      <c r="D116" s="26"/>
      <c r="E116" s="30"/>
      <c r="F116" s="28">
        <v>0</v>
      </c>
      <c r="G116" s="29">
        <f t="shared" si="6"/>
        <v>0</v>
      </c>
    </row>
    <row r="117" spans="2:7" x14ac:dyDescent="0.25">
      <c r="B117" s="24"/>
      <c r="C117" s="25"/>
      <c r="D117" s="26"/>
      <c r="E117" s="30"/>
      <c r="F117" s="28">
        <v>0</v>
      </c>
      <c r="G117" s="31">
        <f>SUM(G96:G115)</f>
        <v>0</v>
      </c>
    </row>
    <row r="118" spans="2:7" x14ac:dyDescent="0.25">
      <c r="B118" s="32" t="s">
        <v>130</v>
      </c>
      <c r="C118" s="33" t="s">
        <v>131</v>
      </c>
      <c r="D118" s="26"/>
      <c r="E118" s="30"/>
      <c r="F118" s="28">
        <v>0</v>
      </c>
      <c r="G118" s="29">
        <f>F118*E118</f>
        <v>0</v>
      </c>
    </row>
    <row r="119" spans="2:7" x14ac:dyDescent="0.25">
      <c r="B119" s="32"/>
      <c r="C119" s="33" t="s">
        <v>132</v>
      </c>
      <c r="D119" s="26"/>
      <c r="E119" s="30"/>
      <c r="F119" s="28">
        <v>0</v>
      </c>
      <c r="G119" s="29"/>
    </row>
    <row r="120" spans="2:7" x14ac:dyDescent="0.25">
      <c r="B120" s="25">
        <v>1</v>
      </c>
      <c r="C120" s="25" t="s">
        <v>133</v>
      </c>
      <c r="D120" s="26" t="s">
        <v>134</v>
      </c>
      <c r="E120" s="27">
        <f>'[2]Htgan Volume'!CQ10</f>
        <v>7</v>
      </c>
      <c r="F120" s="28">
        <v>0</v>
      </c>
      <c r="G120" s="29">
        <f t="shared" ref="G120:G133" si="7">F120*E120</f>
        <v>0</v>
      </c>
    </row>
    <row r="121" spans="2:7" x14ac:dyDescent="0.25">
      <c r="B121" s="25">
        <v>2</v>
      </c>
      <c r="C121" s="25" t="s">
        <v>135</v>
      </c>
      <c r="D121" s="26" t="s">
        <v>134</v>
      </c>
      <c r="E121" s="27">
        <f>'[2]Htgan Volume'!CQ16</f>
        <v>5</v>
      </c>
      <c r="F121" s="28">
        <v>0</v>
      </c>
      <c r="G121" s="29">
        <f t="shared" si="7"/>
        <v>0</v>
      </c>
    </row>
    <row r="122" spans="2:7" x14ac:dyDescent="0.25">
      <c r="B122" s="25">
        <v>3</v>
      </c>
      <c r="C122" s="25" t="s">
        <v>136</v>
      </c>
      <c r="D122" s="26" t="s">
        <v>85</v>
      </c>
      <c r="E122" s="27">
        <f>'[2]Htgan Volume'!CQ22</f>
        <v>1</v>
      </c>
      <c r="F122" s="28">
        <v>0</v>
      </c>
      <c r="G122" s="29">
        <f t="shared" si="7"/>
        <v>0</v>
      </c>
    </row>
    <row r="123" spans="2:7" x14ac:dyDescent="0.25">
      <c r="B123" s="25">
        <v>4</v>
      </c>
      <c r="C123" s="25" t="s">
        <v>137</v>
      </c>
      <c r="D123" s="26" t="s">
        <v>134</v>
      </c>
      <c r="E123" s="27">
        <f>'[2]Htgan Volume'!CQ29</f>
        <v>1</v>
      </c>
      <c r="F123" s="28">
        <v>0</v>
      </c>
      <c r="G123" s="29">
        <f t="shared" si="7"/>
        <v>0</v>
      </c>
    </row>
    <row r="124" spans="2:7" x14ac:dyDescent="0.25">
      <c r="B124" s="25">
        <v>5</v>
      </c>
      <c r="C124" s="25" t="s">
        <v>138</v>
      </c>
      <c r="D124" s="26" t="s">
        <v>134</v>
      </c>
      <c r="E124" s="27">
        <f>'[2]Htgan Volume'!CQ36</f>
        <v>1</v>
      </c>
      <c r="F124" s="28">
        <v>0</v>
      </c>
      <c r="G124" s="29">
        <f t="shared" si="7"/>
        <v>0</v>
      </c>
    </row>
    <row r="125" spans="2:7" x14ac:dyDescent="0.25">
      <c r="B125" s="25">
        <v>6</v>
      </c>
      <c r="C125" s="25" t="s">
        <v>139</v>
      </c>
      <c r="D125" s="26" t="s">
        <v>134</v>
      </c>
      <c r="E125" s="27">
        <f>'[2]Htgan Volume'!CQ43</f>
        <v>1</v>
      </c>
      <c r="F125" s="28">
        <v>0</v>
      </c>
      <c r="G125" s="29">
        <f t="shared" si="7"/>
        <v>0</v>
      </c>
    </row>
    <row r="126" spans="2:7" x14ac:dyDescent="0.25">
      <c r="B126" s="25">
        <v>7</v>
      </c>
      <c r="C126" s="25" t="s">
        <v>140</v>
      </c>
      <c r="D126" s="26" t="s">
        <v>134</v>
      </c>
      <c r="E126" s="27">
        <f>'[2]Htgan Volume'!CQ49</f>
        <v>1</v>
      </c>
      <c r="F126" s="28">
        <v>0</v>
      </c>
      <c r="G126" s="39">
        <f>E126*F126</f>
        <v>0</v>
      </c>
    </row>
    <row r="127" spans="2:7" x14ac:dyDescent="0.25">
      <c r="B127" s="25">
        <v>8</v>
      </c>
      <c r="C127" s="25" t="s">
        <v>141</v>
      </c>
      <c r="D127" s="26" t="s">
        <v>134</v>
      </c>
      <c r="E127" s="27">
        <f>'[2]Htgan Volume'!CQ56</f>
        <v>1</v>
      </c>
      <c r="F127" s="28">
        <v>0</v>
      </c>
      <c r="G127" s="29">
        <f t="shared" si="7"/>
        <v>0</v>
      </c>
    </row>
    <row r="128" spans="2:7" x14ac:dyDescent="0.25">
      <c r="B128" s="25">
        <v>9</v>
      </c>
      <c r="C128" s="25" t="s">
        <v>142</v>
      </c>
      <c r="D128" s="26" t="s">
        <v>85</v>
      </c>
      <c r="E128" s="27">
        <f>'[2]Htgan Volume'!CQ62</f>
        <v>3</v>
      </c>
      <c r="F128" s="28">
        <v>0</v>
      </c>
      <c r="G128" s="29">
        <f t="shared" si="7"/>
        <v>0</v>
      </c>
    </row>
    <row r="129" spans="2:7" x14ac:dyDescent="0.25">
      <c r="B129" s="25">
        <v>10</v>
      </c>
      <c r="C129" s="25" t="s">
        <v>143</v>
      </c>
      <c r="D129" s="26" t="s">
        <v>85</v>
      </c>
      <c r="E129" s="27">
        <f>'[2]Htgan Volume'!CQ68</f>
        <v>2</v>
      </c>
      <c r="F129" s="28">
        <v>0</v>
      </c>
      <c r="G129" s="29">
        <f t="shared" si="7"/>
        <v>0</v>
      </c>
    </row>
    <row r="130" spans="2:7" x14ac:dyDescent="0.25">
      <c r="B130" s="25">
        <v>11</v>
      </c>
      <c r="C130" s="25" t="s">
        <v>144</v>
      </c>
      <c r="D130" s="26" t="s">
        <v>85</v>
      </c>
      <c r="E130" s="27">
        <f>'[2]Htgan Volume'!CQ74</f>
        <v>5</v>
      </c>
      <c r="F130" s="28">
        <v>0</v>
      </c>
      <c r="G130" s="29">
        <f t="shared" si="7"/>
        <v>0</v>
      </c>
    </row>
    <row r="131" spans="2:7" x14ac:dyDescent="0.25">
      <c r="B131" s="25">
        <v>12</v>
      </c>
      <c r="C131" s="25" t="s">
        <v>145</v>
      </c>
      <c r="D131" s="26" t="s">
        <v>146</v>
      </c>
      <c r="E131" s="27">
        <f>'[2]Htgan Volume'!CQ81</f>
        <v>1</v>
      </c>
      <c r="F131" s="28">
        <v>0</v>
      </c>
      <c r="G131" s="29">
        <f t="shared" si="7"/>
        <v>0</v>
      </c>
    </row>
    <row r="132" spans="2:7" x14ac:dyDescent="0.25">
      <c r="B132" s="25">
        <v>13</v>
      </c>
      <c r="C132" s="25" t="s">
        <v>147</v>
      </c>
      <c r="D132" s="26" t="s">
        <v>148</v>
      </c>
      <c r="E132" s="27">
        <f>'[2]Htgan Volume'!CQ88</f>
        <v>1</v>
      </c>
      <c r="F132" s="28">
        <v>0</v>
      </c>
      <c r="G132" s="29">
        <f t="shared" si="7"/>
        <v>0</v>
      </c>
    </row>
    <row r="133" spans="2:7" x14ac:dyDescent="0.25">
      <c r="B133" s="25">
        <v>14</v>
      </c>
      <c r="C133" s="25" t="s">
        <v>149</v>
      </c>
      <c r="D133" s="26" t="s">
        <v>150</v>
      </c>
      <c r="E133" s="27">
        <f>'[2]Htgan Volume'!CQ95</f>
        <v>1</v>
      </c>
      <c r="F133" s="28">
        <v>0</v>
      </c>
      <c r="G133" s="29">
        <f t="shared" si="7"/>
        <v>0</v>
      </c>
    </row>
    <row r="134" spans="2:7" x14ac:dyDescent="0.25">
      <c r="B134" s="24"/>
      <c r="C134" s="25"/>
      <c r="D134" s="26"/>
      <c r="E134" s="30"/>
      <c r="F134" s="28">
        <v>0</v>
      </c>
      <c r="G134" s="37">
        <f>SUM(G120:G133)</f>
        <v>0</v>
      </c>
    </row>
    <row r="135" spans="2:7" x14ac:dyDescent="0.25">
      <c r="B135" s="32" t="s">
        <v>151</v>
      </c>
      <c r="C135" s="33" t="s">
        <v>152</v>
      </c>
      <c r="D135" s="26"/>
      <c r="E135" s="30"/>
      <c r="F135" s="28">
        <v>0</v>
      </c>
      <c r="G135" s="29"/>
    </row>
    <row r="136" spans="2:7" x14ac:dyDescent="0.25">
      <c r="B136" s="40">
        <v>1</v>
      </c>
      <c r="C136" s="41" t="s">
        <v>153</v>
      </c>
      <c r="D136" s="40" t="s">
        <v>150</v>
      </c>
      <c r="E136" s="42">
        <f>'[2]Htgan Volume'!CH61</f>
        <v>1</v>
      </c>
      <c r="F136" s="28">
        <v>0</v>
      </c>
      <c r="G136" s="29">
        <f>F136*E136</f>
        <v>0</v>
      </c>
    </row>
    <row r="137" spans="2:7" x14ac:dyDescent="0.25">
      <c r="B137" s="40"/>
      <c r="C137" s="41"/>
      <c r="D137" s="40"/>
      <c r="E137" s="42"/>
      <c r="F137" s="28">
        <v>0</v>
      </c>
      <c r="G137" s="29">
        <f>F137*E137</f>
        <v>0</v>
      </c>
    </row>
    <row r="138" spans="2:7" x14ac:dyDescent="0.25">
      <c r="B138" s="43"/>
      <c r="C138" s="44"/>
      <c r="D138" s="40"/>
      <c r="E138" s="42"/>
      <c r="F138" s="28">
        <v>0</v>
      </c>
      <c r="G138" s="37">
        <f>SUM(G136:G137)</f>
        <v>0</v>
      </c>
    </row>
    <row r="139" spans="2:7" x14ac:dyDescent="0.25">
      <c r="B139" s="45" t="s">
        <v>151</v>
      </c>
      <c r="C139" s="46" t="s">
        <v>154</v>
      </c>
      <c r="D139" s="40"/>
      <c r="E139" s="47"/>
      <c r="F139" s="28">
        <v>0</v>
      </c>
      <c r="G139" s="37"/>
    </row>
    <row r="140" spans="2:7" x14ac:dyDescent="0.25">
      <c r="B140" s="40">
        <v>1</v>
      </c>
      <c r="C140" s="48" t="s">
        <v>155</v>
      </c>
      <c r="D140" s="40" t="s">
        <v>156</v>
      </c>
      <c r="E140" s="42">
        <f>'[2]Htgan Volume'!CX8</f>
        <v>7.25</v>
      </c>
      <c r="F140" s="28">
        <v>0</v>
      </c>
      <c r="G140" s="29">
        <f t="shared" ref="G140:G145" si="8">F140*E140</f>
        <v>0</v>
      </c>
    </row>
    <row r="141" spans="2:7" x14ac:dyDescent="0.25">
      <c r="B141" s="40"/>
      <c r="C141" s="49" t="s">
        <v>157</v>
      </c>
      <c r="D141" s="50"/>
      <c r="E141" s="51"/>
      <c r="F141" s="28">
        <v>0</v>
      </c>
      <c r="G141" s="29"/>
    </row>
    <row r="142" spans="2:7" x14ac:dyDescent="0.25">
      <c r="B142" s="40">
        <v>2</v>
      </c>
      <c r="C142" s="25" t="s">
        <v>158</v>
      </c>
      <c r="D142" s="26" t="s">
        <v>21</v>
      </c>
      <c r="E142" s="27">
        <f>'[2]Htgan Volume'!CX15</f>
        <v>8.25</v>
      </c>
      <c r="F142" s="28">
        <v>0</v>
      </c>
      <c r="G142" s="29">
        <f t="shared" si="8"/>
        <v>0</v>
      </c>
    </row>
    <row r="143" spans="2:7" x14ac:dyDescent="0.25">
      <c r="B143" s="40">
        <v>3</v>
      </c>
      <c r="C143" s="41" t="s">
        <v>159</v>
      </c>
      <c r="D143" s="40" t="s">
        <v>150</v>
      </c>
      <c r="E143" s="42">
        <f>'[2]Htgan Volume'!CX36</f>
        <v>1</v>
      </c>
      <c r="F143" s="28">
        <v>0</v>
      </c>
      <c r="G143" s="29">
        <f t="shared" si="8"/>
        <v>0</v>
      </c>
    </row>
    <row r="144" spans="2:7" x14ac:dyDescent="0.25">
      <c r="B144" s="40">
        <v>4</v>
      </c>
      <c r="C144" s="48" t="s">
        <v>160</v>
      </c>
      <c r="D144" s="53" t="s">
        <v>156</v>
      </c>
      <c r="E144" s="42">
        <v>8.25</v>
      </c>
      <c r="F144" s="28">
        <v>0</v>
      </c>
      <c r="G144" s="29">
        <f t="shared" si="8"/>
        <v>0</v>
      </c>
    </row>
    <row r="145" spans="2:7" x14ac:dyDescent="0.25">
      <c r="B145" s="40">
        <v>5</v>
      </c>
      <c r="C145" s="48" t="s">
        <v>161</v>
      </c>
      <c r="D145" s="53" t="s">
        <v>150</v>
      </c>
      <c r="E145" s="42">
        <v>8</v>
      </c>
      <c r="F145" s="28">
        <v>0</v>
      </c>
      <c r="G145" s="29">
        <f t="shared" si="8"/>
        <v>0</v>
      </c>
    </row>
    <row r="146" spans="2:7" x14ac:dyDescent="0.25">
      <c r="B146" s="54"/>
      <c r="C146" s="45" t="s">
        <v>162</v>
      </c>
      <c r="D146" s="40"/>
      <c r="E146" s="42"/>
      <c r="F146" s="28">
        <v>0</v>
      </c>
      <c r="G146" s="37">
        <f>SUM(G140:G145)/2</f>
        <v>0</v>
      </c>
    </row>
    <row r="147" spans="2:7" x14ac:dyDescent="0.25">
      <c r="B147" s="43"/>
      <c r="C147" s="44"/>
      <c r="D147" s="43"/>
      <c r="E147" s="51"/>
      <c r="F147" s="28">
        <v>0</v>
      </c>
      <c r="G147" s="29"/>
    </row>
    <row r="148" spans="2:7" x14ac:dyDescent="0.25">
      <c r="B148" s="45" t="s">
        <v>151</v>
      </c>
      <c r="C148" s="46" t="s">
        <v>163</v>
      </c>
      <c r="D148" s="40"/>
      <c r="E148" s="42"/>
      <c r="F148" s="28">
        <v>0</v>
      </c>
      <c r="G148" s="29"/>
    </row>
    <row r="149" spans="2:7" x14ac:dyDescent="0.25">
      <c r="B149" s="40">
        <v>1</v>
      </c>
      <c r="C149" s="41" t="s">
        <v>164</v>
      </c>
      <c r="D149" s="40" t="s">
        <v>156</v>
      </c>
      <c r="E149" s="42">
        <f>'[2]Htgan Volume'!DF8</f>
        <v>7.5</v>
      </c>
      <c r="F149" s="28">
        <v>0</v>
      </c>
      <c r="G149" s="29">
        <f>F149*E149</f>
        <v>0</v>
      </c>
    </row>
    <row r="150" spans="2:7" x14ac:dyDescent="0.25">
      <c r="B150" s="40">
        <v>2</v>
      </c>
      <c r="C150" s="41" t="s">
        <v>165</v>
      </c>
      <c r="D150" s="40" t="s">
        <v>156</v>
      </c>
      <c r="E150" s="42">
        <f>'[2]Htgan Volume'!DF15</f>
        <v>8.5</v>
      </c>
      <c r="F150" s="28">
        <v>0</v>
      </c>
      <c r="G150" s="29">
        <f>F150*E150</f>
        <v>0</v>
      </c>
    </row>
    <row r="151" spans="2:7" x14ac:dyDescent="0.25">
      <c r="B151" s="40">
        <v>3</v>
      </c>
      <c r="C151" s="55" t="s">
        <v>166</v>
      </c>
      <c r="D151" s="40" t="s">
        <v>156</v>
      </c>
      <c r="E151" s="47">
        <f>'[2]Htgan Volume'!DF21</f>
        <v>6</v>
      </c>
      <c r="F151" s="28">
        <v>0</v>
      </c>
      <c r="G151" s="29">
        <f>F151*E151</f>
        <v>0</v>
      </c>
    </row>
    <row r="152" spans="2:7" x14ac:dyDescent="0.25">
      <c r="B152" s="40"/>
      <c r="C152" s="55"/>
      <c r="D152" s="40"/>
      <c r="E152" s="47"/>
      <c r="F152" s="56"/>
      <c r="G152" s="29">
        <f>F152*E152</f>
        <v>0</v>
      </c>
    </row>
    <row r="153" spans="2:7" x14ac:dyDescent="0.25">
      <c r="B153" s="40"/>
      <c r="C153" s="55"/>
      <c r="D153" s="54"/>
      <c r="E153" s="47"/>
      <c r="F153" s="56"/>
      <c r="G153" s="37">
        <f>SUM(G149:G152)</f>
        <v>0</v>
      </c>
    </row>
    <row r="154" spans="2:7" x14ac:dyDescent="0.25">
      <c r="B154" s="57"/>
      <c r="C154" s="58"/>
      <c r="D154" s="59"/>
      <c r="E154" s="60"/>
      <c r="F154" s="61"/>
      <c r="G154" s="61"/>
    </row>
    <row r="155" spans="2:7" x14ac:dyDescent="0.25">
      <c r="B155" s="3"/>
      <c r="C155" s="58"/>
      <c r="D155" s="58"/>
      <c r="E155" s="62"/>
      <c r="F155" s="61"/>
      <c r="G155" s="61"/>
    </row>
    <row r="156" spans="2:7" x14ac:dyDescent="0.25">
      <c r="B156" s="2" t="s">
        <v>167</v>
      </c>
      <c r="C156" s="3"/>
      <c r="D156" s="3"/>
      <c r="E156" s="4"/>
      <c r="F156" s="63" t="s">
        <v>168</v>
      </c>
      <c r="G156" s="63"/>
    </row>
    <row r="157" spans="2:7" x14ac:dyDescent="0.25">
      <c r="B157" s="64"/>
      <c r="C157" s="65"/>
      <c r="D157" s="65"/>
      <c r="E157" s="66"/>
      <c r="F157" s="67" t="s">
        <v>169</v>
      </c>
      <c r="G157" s="68"/>
    </row>
    <row r="158" spans="2:7" x14ac:dyDescent="0.25">
      <c r="B158" s="69" t="s">
        <v>12</v>
      </c>
      <c r="C158" s="20" t="s">
        <v>13</v>
      </c>
      <c r="D158" s="70"/>
      <c r="E158" s="42"/>
      <c r="F158" s="56" t="e">
        <f>G158/G176*100</f>
        <v>#DIV/0!</v>
      </c>
      <c r="G158" s="37">
        <f>G15</f>
        <v>0</v>
      </c>
    </row>
    <row r="159" spans="2:7" x14ac:dyDescent="0.25">
      <c r="B159" s="32" t="s">
        <v>23</v>
      </c>
      <c r="C159" s="33" t="s">
        <v>24</v>
      </c>
      <c r="D159" s="70"/>
      <c r="E159" s="42"/>
      <c r="F159" s="56" t="e">
        <f>G159/G176*100</f>
        <v>#DIV/0!</v>
      </c>
      <c r="G159" s="71">
        <f>G21</f>
        <v>0</v>
      </c>
    </row>
    <row r="160" spans="2:7" x14ac:dyDescent="0.25">
      <c r="B160" s="32" t="s">
        <v>30</v>
      </c>
      <c r="C160" s="33" t="s">
        <v>31</v>
      </c>
      <c r="D160" s="70"/>
      <c r="E160" s="42"/>
      <c r="F160" s="56" t="e">
        <f>G160/G176*100</f>
        <v>#DIV/0!</v>
      </c>
      <c r="G160" s="37">
        <f>G25</f>
        <v>0</v>
      </c>
    </row>
    <row r="161" spans="2:7" x14ac:dyDescent="0.25">
      <c r="B161" s="32" t="s">
        <v>35</v>
      </c>
      <c r="C161" s="33" t="s">
        <v>36</v>
      </c>
      <c r="D161" s="70"/>
      <c r="E161" s="42"/>
      <c r="F161" s="56" t="e">
        <f>G161/G176*100</f>
        <v>#DIV/0!</v>
      </c>
      <c r="G161" s="37">
        <f>G36</f>
        <v>0</v>
      </c>
    </row>
    <row r="162" spans="2:7" x14ac:dyDescent="0.25">
      <c r="B162" s="32" t="s">
        <v>46</v>
      </c>
      <c r="C162" s="33" t="s">
        <v>47</v>
      </c>
      <c r="D162" s="70"/>
      <c r="E162" s="42"/>
      <c r="F162" s="56" t="e">
        <f>G162/G176*100</f>
        <v>#DIV/0!</v>
      </c>
      <c r="G162" s="37">
        <f>G45</f>
        <v>0</v>
      </c>
    </row>
    <row r="163" spans="2:7" x14ac:dyDescent="0.25">
      <c r="B163" s="32" t="s">
        <v>55</v>
      </c>
      <c r="C163" s="33" t="s">
        <v>56</v>
      </c>
      <c r="D163" s="70"/>
      <c r="E163" s="42"/>
      <c r="F163" s="56" t="e">
        <f>G163/G176*100</f>
        <v>#DIV/0!</v>
      </c>
      <c r="G163" s="71">
        <f>G51</f>
        <v>0</v>
      </c>
    </row>
    <row r="164" spans="2:7" x14ac:dyDescent="0.25">
      <c r="B164" s="32" t="s">
        <v>61</v>
      </c>
      <c r="C164" s="33" t="s">
        <v>62</v>
      </c>
      <c r="D164" s="70"/>
      <c r="E164" s="42"/>
      <c r="F164" s="56" t="e">
        <f>G164/G176*100</f>
        <v>#DIV/0!</v>
      </c>
      <c r="G164" s="71">
        <f>G57</f>
        <v>0</v>
      </c>
    </row>
    <row r="165" spans="2:7" x14ac:dyDescent="0.25">
      <c r="B165" s="32" t="s">
        <v>67</v>
      </c>
      <c r="C165" s="33" t="s">
        <v>68</v>
      </c>
      <c r="D165" s="70"/>
      <c r="E165" s="42"/>
      <c r="F165" s="56" t="e">
        <f>G165/G176*100</f>
        <v>#DIV/0!</v>
      </c>
      <c r="G165" s="71">
        <f>G62</f>
        <v>0</v>
      </c>
    </row>
    <row r="166" spans="2:7" x14ac:dyDescent="0.25">
      <c r="B166" s="32" t="s">
        <v>72</v>
      </c>
      <c r="C166" s="33" t="s">
        <v>73</v>
      </c>
      <c r="D166" s="70"/>
      <c r="E166" s="42"/>
      <c r="F166" s="56" t="e">
        <f>G166/G176*100</f>
        <v>#DIV/0!</v>
      </c>
      <c r="G166" s="71">
        <f>G70</f>
        <v>0</v>
      </c>
    </row>
    <row r="167" spans="2:7" x14ac:dyDescent="0.25">
      <c r="B167" s="32" t="s">
        <v>80</v>
      </c>
      <c r="C167" s="33" t="s">
        <v>81</v>
      </c>
      <c r="D167" s="70"/>
      <c r="E167" s="42"/>
      <c r="F167" s="56" t="e">
        <f>G167/G176*100</f>
        <v>#DIV/0!</v>
      </c>
      <c r="G167" s="71">
        <f>G86</f>
        <v>0</v>
      </c>
    </row>
    <row r="168" spans="2:7" x14ac:dyDescent="0.25">
      <c r="B168" s="32" t="s">
        <v>100</v>
      </c>
      <c r="C168" s="33" t="s">
        <v>101</v>
      </c>
      <c r="D168" s="70"/>
      <c r="E168" s="42"/>
      <c r="F168" s="56" t="e">
        <f>G168/G176*100</f>
        <v>#DIV/0!</v>
      </c>
      <c r="G168" s="71">
        <f>G93</f>
        <v>0</v>
      </c>
    </row>
    <row r="169" spans="2:7" x14ac:dyDescent="0.25">
      <c r="B169" s="32" t="s">
        <v>107</v>
      </c>
      <c r="C169" s="33" t="s">
        <v>108</v>
      </c>
      <c r="D169" s="70"/>
      <c r="E169" s="42"/>
      <c r="F169" s="56" t="e">
        <f>G169/G176*100</f>
        <v>#DIV/0!</v>
      </c>
      <c r="G169" s="71">
        <f>G117</f>
        <v>0</v>
      </c>
    </row>
    <row r="170" spans="2:7" x14ac:dyDescent="0.25">
      <c r="B170" s="32" t="s">
        <v>130</v>
      </c>
      <c r="C170" s="33" t="s">
        <v>131</v>
      </c>
      <c r="D170" s="70"/>
      <c r="E170" s="42"/>
      <c r="F170" s="56" t="e">
        <f>G170/G176*100</f>
        <v>#DIV/0!</v>
      </c>
      <c r="G170" s="71">
        <f>G134</f>
        <v>0</v>
      </c>
    </row>
    <row r="171" spans="2:7" x14ac:dyDescent="0.25">
      <c r="B171" s="32" t="s">
        <v>151</v>
      </c>
      <c r="C171" s="33" t="str">
        <f>C135</f>
        <v>PEK. LAIN - LAIN</v>
      </c>
      <c r="D171" s="70"/>
      <c r="E171" s="42"/>
      <c r="F171" s="56" t="e">
        <f>G171/G176*100</f>
        <v>#DIV/0!</v>
      </c>
      <c r="G171" s="71">
        <f>G138</f>
        <v>0</v>
      </c>
    </row>
    <row r="172" spans="2:7" x14ac:dyDescent="0.25">
      <c r="B172" s="32" t="s">
        <v>170</v>
      </c>
      <c r="C172" s="33" t="str">
        <f>C139</f>
        <v>PEK. PERUBAHAN BENTUK TAMPAK MUKA</v>
      </c>
      <c r="D172" s="70"/>
      <c r="E172" s="42"/>
      <c r="F172" s="56" t="e">
        <f>G172/G176*100</f>
        <v>#DIV/0!</v>
      </c>
      <c r="G172" s="71">
        <f>G146</f>
        <v>0</v>
      </c>
    </row>
    <row r="173" spans="2:7" x14ac:dyDescent="0.25">
      <c r="B173" s="32" t="s">
        <v>171</v>
      </c>
      <c r="C173" s="33" t="str">
        <f>C148</f>
        <v>PEKERJAAN PLESTER DINDING SAMPING</v>
      </c>
      <c r="D173" s="70"/>
      <c r="E173" s="42"/>
      <c r="F173" s="56" t="e">
        <f>G173/G176*100</f>
        <v>#DIV/0!</v>
      </c>
      <c r="G173" s="71">
        <f>G153</f>
        <v>0</v>
      </c>
    </row>
    <row r="174" spans="2:7" x14ac:dyDescent="0.25">
      <c r="B174" s="72"/>
      <c r="C174" s="73"/>
      <c r="D174" s="74"/>
      <c r="E174" s="62"/>
      <c r="F174" s="75" t="e">
        <f>SUM(F158:F173)</f>
        <v>#DIV/0!</v>
      </c>
      <c r="G174" s="76"/>
    </row>
    <row r="175" spans="2:7" x14ac:dyDescent="0.25">
      <c r="B175" s="3"/>
      <c r="C175" s="3"/>
      <c r="D175" s="3"/>
      <c r="E175" s="4"/>
      <c r="F175" s="63"/>
      <c r="G175" s="75"/>
    </row>
    <row r="176" spans="2:7" x14ac:dyDescent="0.25">
      <c r="B176" s="3"/>
      <c r="C176" s="3"/>
      <c r="D176" s="3"/>
      <c r="E176" s="4"/>
      <c r="F176" s="77" t="s">
        <v>172</v>
      </c>
      <c r="G176" s="78">
        <f>SUM(G158:G175)</f>
        <v>0</v>
      </c>
    </row>
    <row r="177" spans="2:7" x14ac:dyDescent="0.25">
      <c r="B177" s="3"/>
      <c r="C177" s="3"/>
      <c r="D177" s="3"/>
      <c r="E177" s="4"/>
      <c r="F177" s="79" t="s">
        <v>173</v>
      </c>
      <c r="G177" s="80">
        <f>0.1*G176</f>
        <v>0</v>
      </c>
    </row>
    <row r="178" spans="2:7" x14ac:dyDescent="0.25">
      <c r="B178" s="3"/>
      <c r="C178" s="3"/>
      <c r="D178" s="3"/>
      <c r="E178" s="4"/>
      <c r="F178" s="81" t="s">
        <v>174</v>
      </c>
      <c r="G178" s="82">
        <f>G177+G176</f>
        <v>0</v>
      </c>
    </row>
    <row r="179" spans="2:7" x14ac:dyDescent="0.25">
      <c r="B179" s="3"/>
      <c r="C179" s="3"/>
      <c r="D179" s="3"/>
      <c r="E179" s="83"/>
      <c r="F179" s="81" t="s">
        <v>175</v>
      </c>
      <c r="G179" s="80">
        <f>0.1*G178</f>
        <v>0</v>
      </c>
    </row>
    <row r="180" spans="2:7" x14ac:dyDescent="0.25">
      <c r="B180" s="3"/>
      <c r="C180" s="3"/>
      <c r="D180" s="3"/>
      <c r="E180" s="83"/>
      <c r="F180" s="79" t="s">
        <v>176</v>
      </c>
      <c r="G180" s="78">
        <f>G179+G178</f>
        <v>0</v>
      </c>
    </row>
    <row r="181" spans="2:7" x14ac:dyDescent="0.25">
      <c r="B181" s="3"/>
      <c r="C181" s="3"/>
      <c r="D181" s="3"/>
      <c r="E181" s="84"/>
      <c r="F181" s="79"/>
      <c r="G181" s="78"/>
    </row>
    <row r="182" spans="2:7" x14ac:dyDescent="0.25">
      <c r="B182" s="3"/>
      <c r="C182" s="3"/>
      <c r="D182" s="3"/>
      <c r="E182" s="84"/>
      <c r="F182" s="85" t="s">
        <v>177</v>
      </c>
      <c r="G182" s="86">
        <f>ROUNDDOWN(G180,-4)</f>
        <v>0</v>
      </c>
    </row>
    <row r="183" spans="2:7" x14ac:dyDescent="0.25">
      <c r="B183" s="3"/>
      <c r="C183" s="3"/>
      <c r="D183" s="3"/>
      <c r="E183" s="84"/>
      <c r="F183" s="85"/>
      <c r="G183" s="86"/>
    </row>
    <row r="184" spans="2:7" x14ac:dyDescent="0.25">
      <c r="B184" s="3"/>
      <c r="C184" s="3"/>
      <c r="D184" s="3"/>
      <c r="E184" s="87" t="s">
        <v>178</v>
      </c>
      <c r="F184" s="5"/>
      <c r="G184" s="5">
        <v>39</v>
      </c>
    </row>
    <row r="185" spans="2:7" x14ac:dyDescent="0.25">
      <c r="B185" s="3"/>
      <c r="C185" s="3"/>
      <c r="D185" s="3"/>
      <c r="E185" s="87"/>
      <c r="F185" s="5"/>
      <c r="G185" s="79"/>
    </row>
    <row r="186" spans="2:7" x14ac:dyDescent="0.25">
      <c r="B186" s="3"/>
      <c r="C186" s="3"/>
      <c r="D186" s="88" t="s">
        <v>179</v>
      </c>
      <c r="E186" s="87" t="s">
        <v>180</v>
      </c>
      <c r="F186" s="5"/>
      <c r="G186" s="89">
        <f>G178/G184</f>
        <v>0</v>
      </c>
    </row>
  </sheetData>
  <mergeCells count="3">
    <mergeCell ref="B5:B6"/>
    <mergeCell ref="C5:C6"/>
    <mergeCell ref="D5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3"/>
  <sheetViews>
    <sheetView workbookViewId="0">
      <selection activeCell="C8" sqref="C8"/>
    </sheetView>
  </sheetViews>
  <sheetFormatPr defaultRowHeight="15" x14ac:dyDescent="0.25"/>
  <cols>
    <col min="1" max="1" width="2.85546875" customWidth="1"/>
    <col min="2" max="2" width="3.5703125" customWidth="1"/>
    <col min="3" max="3" width="48.5703125" customWidth="1"/>
    <col min="4" max="4" width="5.140625" customWidth="1"/>
    <col min="5" max="5" width="9.7109375" bestFit="1" customWidth="1"/>
    <col min="6" max="6" width="14.5703125" bestFit="1" customWidth="1"/>
    <col min="7" max="7" width="15.42578125" customWidth="1"/>
  </cols>
  <sheetData>
    <row r="1" spans="2:7" ht="18" x14ac:dyDescent="0.25">
      <c r="B1" s="167" t="s">
        <v>0</v>
      </c>
      <c r="C1" s="168"/>
      <c r="D1" s="169"/>
      <c r="E1" s="170"/>
      <c r="F1" s="171"/>
      <c r="G1" s="171"/>
    </row>
    <row r="2" spans="2:7" ht="18" x14ac:dyDescent="0.25">
      <c r="B2" s="167" t="s">
        <v>1</v>
      </c>
      <c r="C2" s="168"/>
      <c r="D2" s="169"/>
      <c r="E2" s="170"/>
      <c r="F2" s="171"/>
      <c r="G2" s="171"/>
    </row>
    <row r="3" spans="2:7" ht="18" x14ac:dyDescent="0.25">
      <c r="B3" s="167" t="s">
        <v>2</v>
      </c>
      <c r="C3" s="168"/>
      <c r="D3" s="169"/>
      <c r="E3" s="170"/>
      <c r="F3" s="171"/>
      <c r="G3" s="171">
        <f>G232</f>
        <v>0</v>
      </c>
    </row>
    <row r="4" spans="2:7" ht="18.75" x14ac:dyDescent="0.3">
      <c r="B4" s="169"/>
      <c r="C4" s="172"/>
      <c r="D4" s="169"/>
      <c r="E4" s="62"/>
      <c r="F4" s="173"/>
      <c r="G4" s="173" t="s">
        <v>304</v>
      </c>
    </row>
    <row r="5" spans="2:7" x14ac:dyDescent="0.25">
      <c r="B5" s="157" t="s">
        <v>4</v>
      </c>
      <c r="C5" s="157" t="s">
        <v>5</v>
      </c>
      <c r="D5" s="157" t="s">
        <v>6</v>
      </c>
      <c r="E5" s="174" t="s">
        <v>7</v>
      </c>
      <c r="F5" s="175" t="s">
        <v>305</v>
      </c>
      <c r="G5" s="175" t="s">
        <v>9</v>
      </c>
    </row>
    <row r="6" spans="2:7" ht="15.75" thickBot="1" x14ac:dyDescent="0.3">
      <c r="B6" s="158"/>
      <c r="C6" s="158"/>
      <c r="D6" s="158"/>
      <c r="E6" s="176" t="s">
        <v>306</v>
      </c>
      <c r="F6" s="177" t="s">
        <v>306</v>
      </c>
      <c r="G6" s="177" t="s">
        <v>306</v>
      </c>
    </row>
    <row r="7" spans="2:7" ht="16.5" thickTop="1" x14ac:dyDescent="0.25">
      <c r="B7" s="178"/>
      <c r="C7" s="179"/>
      <c r="D7" s="180"/>
      <c r="E7" s="17"/>
      <c r="F7" s="181"/>
      <c r="G7" s="181"/>
    </row>
    <row r="8" spans="2:7" x14ac:dyDescent="0.25">
      <c r="B8" s="182" t="s">
        <v>12</v>
      </c>
      <c r="C8" s="183" t="s">
        <v>13</v>
      </c>
      <c r="D8" s="184"/>
      <c r="E8" s="22"/>
      <c r="F8" s="185"/>
      <c r="G8" s="185"/>
    </row>
    <row r="9" spans="2:7" x14ac:dyDescent="0.25">
      <c r="B9" s="186">
        <v>1</v>
      </c>
      <c r="C9" s="36" t="s">
        <v>14</v>
      </c>
      <c r="D9" s="187" t="s">
        <v>15</v>
      </c>
      <c r="E9" s="27">
        <f>8*2+8*2</f>
        <v>32</v>
      </c>
      <c r="F9" s="188"/>
      <c r="G9" s="189">
        <f t="shared" ref="G9:G14" si="0">F9*E9</f>
        <v>0</v>
      </c>
    </row>
    <row r="10" spans="2:7" x14ac:dyDescent="0.25">
      <c r="B10" s="36">
        <v>2</v>
      </c>
      <c r="C10" s="36" t="s">
        <v>16</v>
      </c>
      <c r="D10" s="187" t="s">
        <v>17</v>
      </c>
      <c r="E10" s="27">
        <v>1</v>
      </c>
      <c r="F10" s="188"/>
      <c r="G10" s="189">
        <f t="shared" si="0"/>
        <v>0</v>
      </c>
    </row>
    <row r="11" spans="2:7" x14ac:dyDescent="0.25">
      <c r="B11" s="36">
        <v>3</v>
      </c>
      <c r="C11" s="36" t="s">
        <v>18</v>
      </c>
      <c r="D11" s="187" t="s">
        <v>17</v>
      </c>
      <c r="E11" s="27">
        <v>1</v>
      </c>
      <c r="F11" s="188"/>
      <c r="G11" s="189">
        <f t="shared" si="0"/>
        <v>0</v>
      </c>
    </row>
    <row r="12" spans="2:7" x14ac:dyDescent="0.25">
      <c r="B12" s="36">
        <v>4</v>
      </c>
      <c r="C12" s="36" t="s">
        <v>19</v>
      </c>
      <c r="D12" s="187" t="s">
        <v>17</v>
      </c>
      <c r="E12" s="27">
        <v>1</v>
      </c>
      <c r="F12" s="188"/>
      <c r="G12" s="189">
        <f t="shared" si="0"/>
        <v>0</v>
      </c>
    </row>
    <row r="13" spans="2:7" x14ac:dyDescent="0.25">
      <c r="B13" s="186">
        <v>5</v>
      </c>
      <c r="C13" s="36" t="s">
        <v>20</v>
      </c>
      <c r="D13" s="187" t="s">
        <v>21</v>
      </c>
      <c r="E13" s="27">
        <f>1*(3*4)+2*(3*5)-0.5*2*4+0.5*1</f>
        <v>38.5</v>
      </c>
      <c r="F13" s="27"/>
      <c r="G13" s="189">
        <f t="shared" si="0"/>
        <v>0</v>
      </c>
    </row>
    <row r="14" spans="2:7" x14ac:dyDescent="0.25">
      <c r="B14" s="186"/>
      <c r="C14" s="36" t="s">
        <v>22</v>
      </c>
      <c r="D14" s="187" t="s">
        <v>21</v>
      </c>
      <c r="E14" s="27">
        <f>3*6+3*3+4*5</f>
        <v>47</v>
      </c>
      <c r="F14" s="27"/>
      <c r="G14" s="189">
        <f t="shared" si="0"/>
        <v>0</v>
      </c>
    </row>
    <row r="15" spans="2:7" x14ac:dyDescent="0.25">
      <c r="B15" s="190"/>
      <c r="C15" s="191" t="s">
        <v>162</v>
      </c>
      <c r="D15" s="192"/>
      <c r="E15" s="193"/>
      <c r="F15" s="194"/>
      <c r="G15" s="195">
        <f>SUM(G9:G14)</f>
        <v>0</v>
      </c>
    </row>
    <row r="16" spans="2:7" x14ac:dyDescent="0.25">
      <c r="B16" s="36"/>
      <c r="C16" s="36"/>
      <c r="D16" s="187"/>
      <c r="E16" s="196"/>
      <c r="F16" s="188"/>
      <c r="G16" s="197"/>
    </row>
    <row r="17" spans="2:7" x14ac:dyDescent="0.25">
      <c r="B17" s="198" t="s">
        <v>23</v>
      </c>
      <c r="C17" s="199" t="s">
        <v>307</v>
      </c>
      <c r="D17" s="187"/>
      <c r="E17" s="196"/>
      <c r="F17" s="188"/>
      <c r="G17" s="189"/>
    </row>
    <row r="18" spans="2:7" x14ac:dyDescent="0.25">
      <c r="B18" s="186">
        <v>1</v>
      </c>
      <c r="C18" s="36" t="s">
        <v>25</v>
      </c>
      <c r="D18" s="187" t="s">
        <v>26</v>
      </c>
      <c r="E18" s="27">
        <f>0.7*0.8*(3*9)+0.6*0.6*(3*2+2.25)</f>
        <v>18.09</v>
      </c>
      <c r="F18" s="188"/>
      <c r="G18" s="189">
        <f>F18*E18</f>
        <v>0</v>
      </c>
    </row>
    <row r="19" spans="2:7" x14ac:dyDescent="0.25">
      <c r="B19" s="186">
        <v>2</v>
      </c>
      <c r="C19" s="36" t="s">
        <v>27</v>
      </c>
      <c r="D19" s="187" t="s">
        <v>26</v>
      </c>
      <c r="E19" s="27">
        <f>E18-E26-E31-E32</f>
        <v>7.5712499999999991</v>
      </c>
      <c r="F19" s="188"/>
      <c r="G19" s="189">
        <f>F19*E19</f>
        <v>0</v>
      </c>
    </row>
    <row r="20" spans="2:7" x14ac:dyDescent="0.25">
      <c r="B20" s="186">
        <v>3</v>
      </c>
      <c r="C20" s="36" t="s">
        <v>28</v>
      </c>
      <c r="D20" s="187" t="s">
        <v>26</v>
      </c>
      <c r="E20" s="27">
        <f>0.05*(3*3+3*6+1.4*3+3)+0.05*0.6*(3*11.5)</f>
        <v>2.7450000000000001</v>
      </c>
      <c r="F20" s="188"/>
      <c r="G20" s="189">
        <f>F20*E20</f>
        <v>0</v>
      </c>
    </row>
    <row r="21" spans="2:7" x14ac:dyDescent="0.25">
      <c r="B21" s="186">
        <v>4</v>
      </c>
      <c r="C21" s="36" t="s">
        <v>308</v>
      </c>
      <c r="D21" s="187" t="s">
        <v>26</v>
      </c>
      <c r="E21" s="27">
        <f>(3*3+3*6+1.4*3+3)</f>
        <v>34.200000000000003</v>
      </c>
      <c r="F21" s="188"/>
      <c r="G21" s="189">
        <f>F21*E21</f>
        <v>0</v>
      </c>
    </row>
    <row r="22" spans="2:7" x14ac:dyDescent="0.25">
      <c r="B22" s="186">
        <v>5</v>
      </c>
      <c r="C22" s="36" t="s">
        <v>29</v>
      </c>
      <c r="D22" s="187" t="s">
        <v>26</v>
      </c>
      <c r="E22" s="27">
        <f>0.04*(3*3+3*6+1.4*3+3)</f>
        <v>1.3680000000000001</v>
      </c>
      <c r="F22" s="188"/>
      <c r="G22" s="189">
        <f>F22*E22</f>
        <v>0</v>
      </c>
    </row>
    <row r="23" spans="2:7" x14ac:dyDescent="0.25">
      <c r="B23" s="190"/>
      <c r="C23" s="191" t="s">
        <v>162</v>
      </c>
      <c r="D23" s="192"/>
      <c r="E23" s="200"/>
      <c r="F23" s="194"/>
      <c r="G23" s="195">
        <f>SUM(G18:G22)</f>
        <v>0</v>
      </c>
    </row>
    <row r="24" spans="2:7" x14ac:dyDescent="0.25">
      <c r="B24" s="36"/>
      <c r="C24" s="36"/>
      <c r="D24" s="187"/>
      <c r="E24" s="27"/>
      <c r="F24" s="188"/>
      <c r="G24" s="197"/>
    </row>
    <row r="25" spans="2:7" x14ac:dyDescent="0.25">
      <c r="B25" s="198" t="s">
        <v>30</v>
      </c>
      <c r="C25" s="199" t="s">
        <v>31</v>
      </c>
      <c r="D25" s="36"/>
      <c r="E25" s="27"/>
      <c r="F25" s="188"/>
      <c r="G25" s="189"/>
    </row>
    <row r="26" spans="2:7" x14ac:dyDescent="0.25">
      <c r="B26" s="186">
        <v>1</v>
      </c>
      <c r="C26" s="36" t="s">
        <v>309</v>
      </c>
      <c r="D26" s="187" t="s">
        <v>26</v>
      </c>
      <c r="E26" s="27">
        <f>0.425*0.6*(3*9.5)+0.375*0.5*(4.5)</f>
        <v>8.1112500000000001</v>
      </c>
      <c r="F26" s="188"/>
      <c r="G26" s="189">
        <f>F26*E26</f>
        <v>0</v>
      </c>
    </row>
    <row r="27" spans="2:7" x14ac:dyDescent="0.25">
      <c r="B27" s="186">
        <v>2</v>
      </c>
      <c r="C27" s="36" t="s">
        <v>33</v>
      </c>
      <c r="D27" s="187" t="s">
        <v>199</v>
      </c>
      <c r="E27" s="27">
        <f>7</f>
        <v>7</v>
      </c>
      <c r="F27" s="188"/>
      <c r="G27" s="189">
        <f>F27*E27</f>
        <v>0</v>
      </c>
    </row>
    <row r="28" spans="2:7" x14ac:dyDescent="0.25">
      <c r="B28" s="201"/>
      <c r="C28" s="191" t="s">
        <v>162</v>
      </c>
      <c r="D28" s="192"/>
      <c r="E28" s="193"/>
      <c r="F28" s="202"/>
      <c r="G28" s="195">
        <f>SUM(G26:G27)</f>
        <v>0</v>
      </c>
    </row>
    <row r="29" spans="2:7" x14ac:dyDescent="0.25">
      <c r="B29" s="198"/>
      <c r="C29" s="36"/>
      <c r="D29" s="187"/>
      <c r="E29" s="196"/>
      <c r="F29" s="189"/>
      <c r="G29" s="197"/>
    </row>
    <row r="30" spans="2:7" x14ac:dyDescent="0.25">
      <c r="B30" s="198" t="s">
        <v>35</v>
      </c>
      <c r="C30" s="199" t="s">
        <v>36</v>
      </c>
      <c r="D30" s="36"/>
      <c r="E30" s="27"/>
      <c r="F30" s="189"/>
      <c r="G30" s="189"/>
    </row>
    <row r="31" spans="2:7" x14ac:dyDescent="0.25">
      <c r="B31" s="186">
        <v>1</v>
      </c>
      <c r="C31" s="36" t="s">
        <v>310</v>
      </c>
      <c r="D31" s="187" t="s">
        <v>26</v>
      </c>
      <c r="E31" s="203">
        <f>0.25*(0.8*0.8*6)</f>
        <v>0.96000000000000019</v>
      </c>
      <c r="F31" s="188"/>
      <c r="G31" s="189">
        <f t="shared" ref="G31:G42" si="1">F31*E31</f>
        <v>0</v>
      </c>
    </row>
    <row r="32" spans="2:7" x14ac:dyDescent="0.25">
      <c r="B32" s="186">
        <v>2</v>
      </c>
      <c r="C32" s="36" t="s">
        <v>311</v>
      </c>
      <c r="D32" s="187" t="s">
        <v>26</v>
      </c>
      <c r="E32" s="42">
        <f>0.15*0.25*(3*9)+0.15*0.2*8.5+0.15*0.2*6</f>
        <v>1.4475</v>
      </c>
      <c r="F32" s="188"/>
      <c r="G32" s="189">
        <f t="shared" si="1"/>
        <v>0</v>
      </c>
    </row>
    <row r="33" spans="2:7" x14ac:dyDescent="0.25">
      <c r="B33" s="186">
        <v>3</v>
      </c>
      <c r="C33" s="204" t="s">
        <v>312</v>
      </c>
      <c r="D33" s="187" t="s">
        <v>26</v>
      </c>
      <c r="E33" s="51">
        <f>0.2*0.35*(6+4)+0.2*0.3*(3*6)+0.15*0.25*(7)+0.15*0.3*6</f>
        <v>2.3125</v>
      </c>
      <c r="F33" s="188"/>
      <c r="G33" s="189">
        <f t="shared" si="1"/>
        <v>0</v>
      </c>
    </row>
    <row r="34" spans="2:7" x14ac:dyDescent="0.25">
      <c r="B34" s="186">
        <v>4</v>
      </c>
      <c r="C34" s="36" t="s">
        <v>313</v>
      </c>
      <c r="D34" s="187" t="s">
        <v>26</v>
      </c>
      <c r="E34" s="27">
        <f>0.15*0.25*(3*9+1*4+6)+0.15*0.25*4*6</f>
        <v>2.2874999999999996</v>
      </c>
      <c r="F34" s="188"/>
      <c r="G34" s="189">
        <f t="shared" si="1"/>
        <v>0</v>
      </c>
    </row>
    <row r="35" spans="2:7" x14ac:dyDescent="0.25">
      <c r="B35" s="186">
        <v>5</v>
      </c>
      <c r="C35" s="36" t="s">
        <v>314</v>
      </c>
      <c r="D35" s="187" t="s">
        <v>26</v>
      </c>
      <c r="E35" s="27"/>
      <c r="F35" s="188"/>
      <c r="G35" s="189">
        <f t="shared" si="1"/>
        <v>0</v>
      </c>
    </row>
    <row r="36" spans="2:7" x14ac:dyDescent="0.25">
      <c r="B36" s="186">
        <v>6</v>
      </c>
      <c r="C36" s="36" t="s">
        <v>315</v>
      </c>
      <c r="D36" s="187" t="s">
        <v>26</v>
      </c>
      <c r="E36" s="27">
        <f>0.15*0.35*7*4.5</f>
        <v>1.6537500000000001</v>
      </c>
      <c r="F36" s="188"/>
      <c r="G36" s="189">
        <f t="shared" si="1"/>
        <v>0</v>
      </c>
    </row>
    <row r="37" spans="2:7" x14ac:dyDescent="0.25">
      <c r="B37" s="186">
        <v>7</v>
      </c>
      <c r="C37" s="36" t="s">
        <v>316</v>
      </c>
      <c r="D37" s="187" t="s">
        <v>26</v>
      </c>
      <c r="E37" s="27">
        <f>0.15*0.25*3.5*7+0.15*0.2*3.5*3</f>
        <v>1.2337500000000001</v>
      </c>
      <c r="F37" s="188"/>
      <c r="G37" s="189">
        <f t="shared" si="1"/>
        <v>0</v>
      </c>
    </row>
    <row r="38" spans="2:7" x14ac:dyDescent="0.25">
      <c r="B38" s="186">
        <v>8</v>
      </c>
      <c r="C38" s="204" t="s">
        <v>317</v>
      </c>
      <c r="D38" s="187" t="s">
        <v>26</v>
      </c>
      <c r="E38" s="27">
        <f>0.13*0.2*(3.5*2)+0.13*0.13*(2.5*4)+0.13*0.13*(3.5*4)</f>
        <v>0.58760000000000012</v>
      </c>
      <c r="F38" s="188"/>
      <c r="G38" s="189">
        <f t="shared" si="1"/>
        <v>0</v>
      </c>
    </row>
    <row r="39" spans="2:7" x14ac:dyDescent="0.25">
      <c r="B39" s="186">
        <v>9</v>
      </c>
      <c r="C39" s="204" t="s">
        <v>318</v>
      </c>
      <c r="D39" s="187" t="s">
        <v>26</v>
      </c>
      <c r="E39" s="27">
        <f>0.12*(3*6+1*5-1.15*3-1.1*1)</f>
        <v>2.214</v>
      </c>
      <c r="F39" s="188"/>
      <c r="G39" s="189">
        <f t="shared" si="1"/>
        <v>0</v>
      </c>
    </row>
    <row r="40" spans="2:7" x14ac:dyDescent="0.25">
      <c r="B40" s="186">
        <v>10</v>
      </c>
      <c r="C40" s="204" t="s">
        <v>319</v>
      </c>
      <c r="D40" s="187" t="s">
        <v>26</v>
      </c>
      <c r="E40" s="27">
        <f>0.15*(1.25*1.75*3)+0.5*0.2*1.25*23*0.3</f>
        <v>1.8468749999999998</v>
      </c>
      <c r="F40" s="188"/>
      <c r="G40" s="189">
        <f t="shared" si="1"/>
        <v>0</v>
      </c>
    </row>
    <row r="41" spans="2:7" x14ac:dyDescent="0.25">
      <c r="B41" s="186">
        <v>11</v>
      </c>
      <c r="C41" s="204" t="s">
        <v>320</v>
      </c>
      <c r="D41" s="187" t="s">
        <v>26</v>
      </c>
      <c r="E41" s="27">
        <f>0.15*(0.3*7+1.25*3+0.3*6)+0.12*1.5*3</f>
        <v>1.6875</v>
      </c>
      <c r="F41" s="188"/>
      <c r="G41" s="189">
        <f t="shared" si="1"/>
        <v>0</v>
      </c>
    </row>
    <row r="42" spans="2:7" x14ac:dyDescent="0.25">
      <c r="B42" s="186"/>
      <c r="C42" s="36" t="s">
        <v>321</v>
      </c>
      <c r="D42" s="187" t="s">
        <v>26</v>
      </c>
      <c r="E42" s="27"/>
      <c r="F42" s="188"/>
      <c r="G42" s="189">
        <f t="shared" si="1"/>
        <v>0</v>
      </c>
    </row>
    <row r="43" spans="2:7" x14ac:dyDescent="0.25">
      <c r="B43" s="205"/>
      <c r="C43" s="191" t="s">
        <v>162</v>
      </c>
      <c r="D43" s="206"/>
      <c r="E43" s="207"/>
      <c r="F43" s="194"/>
      <c r="G43" s="195">
        <f>SUM(G31:G42)</f>
        <v>0</v>
      </c>
    </row>
    <row r="44" spans="2:7" x14ac:dyDescent="0.25">
      <c r="B44" s="198"/>
      <c r="C44" s="36"/>
      <c r="D44" s="187"/>
      <c r="E44" s="196"/>
      <c r="F44" s="188"/>
      <c r="G44" s="197"/>
    </row>
    <row r="45" spans="2:7" x14ac:dyDescent="0.25">
      <c r="B45" s="198" t="s">
        <v>46</v>
      </c>
      <c r="C45" s="199" t="s">
        <v>47</v>
      </c>
      <c r="D45" s="187"/>
      <c r="E45" s="196"/>
      <c r="F45" s="188"/>
      <c r="G45" s="189"/>
    </row>
    <row r="46" spans="2:7" x14ac:dyDescent="0.25">
      <c r="B46" s="186">
        <v>1</v>
      </c>
      <c r="C46" s="36" t="s">
        <v>322</v>
      </c>
      <c r="D46" s="187" t="s">
        <v>21</v>
      </c>
      <c r="E46" s="27">
        <f>3</f>
        <v>3</v>
      </c>
      <c r="F46" s="188"/>
      <c r="G46" s="189">
        <f t="shared" ref="G46:G55" si="2">F46*E46</f>
        <v>0</v>
      </c>
    </row>
    <row r="47" spans="2:7" x14ac:dyDescent="0.25">
      <c r="B47" s="186">
        <v>2</v>
      </c>
      <c r="C47" s="36" t="s">
        <v>323</v>
      </c>
      <c r="D47" s="187" t="s">
        <v>21</v>
      </c>
      <c r="E47" s="27">
        <f>1.4*3</f>
        <v>4.1999999999999993</v>
      </c>
      <c r="F47" s="188"/>
      <c r="G47" s="189">
        <f t="shared" si="2"/>
        <v>0</v>
      </c>
    </row>
    <row r="48" spans="2:7" x14ac:dyDescent="0.25">
      <c r="B48" s="186">
        <v>3</v>
      </c>
      <c r="C48" s="36" t="s">
        <v>50</v>
      </c>
      <c r="D48" s="187"/>
      <c r="E48" s="27"/>
      <c r="F48" s="188"/>
      <c r="G48" s="189">
        <f t="shared" si="2"/>
        <v>0</v>
      </c>
    </row>
    <row r="49" spans="2:7" x14ac:dyDescent="0.25">
      <c r="B49" s="186"/>
      <c r="C49" s="36" t="s">
        <v>324</v>
      </c>
      <c r="D49" s="187" t="s">
        <v>21</v>
      </c>
      <c r="E49" s="27">
        <f>3*5+3*3+2.65*5+1.1*1.25</f>
        <v>38.625</v>
      </c>
      <c r="F49" s="188"/>
      <c r="G49" s="189">
        <f t="shared" si="2"/>
        <v>0</v>
      </c>
    </row>
    <row r="50" spans="2:7" x14ac:dyDescent="0.25">
      <c r="B50" s="186">
        <v>4</v>
      </c>
      <c r="C50" s="36" t="s">
        <v>325</v>
      </c>
      <c r="D50" s="187" t="s">
        <v>21</v>
      </c>
      <c r="E50" s="27">
        <f>1.25*1.1</f>
        <v>1.375</v>
      </c>
      <c r="F50" s="188"/>
      <c r="G50" s="189">
        <f t="shared" si="2"/>
        <v>0</v>
      </c>
    </row>
    <row r="51" spans="2:7" x14ac:dyDescent="0.25">
      <c r="B51" s="186">
        <v>5</v>
      </c>
      <c r="C51" s="36" t="s">
        <v>326</v>
      </c>
      <c r="D51" s="187" t="s">
        <v>21</v>
      </c>
      <c r="E51" s="27">
        <f>1.35*3</f>
        <v>4.0500000000000007</v>
      </c>
      <c r="F51" s="188"/>
      <c r="G51" s="189">
        <f t="shared" si="2"/>
        <v>0</v>
      </c>
    </row>
    <row r="52" spans="2:7" x14ac:dyDescent="0.25">
      <c r="B52" s="186">
        <v>5</v>
      </c>
      <c r="C52" s="36" t="s">
        <v>327</v>
      </c>
      <c r="D52" s="187" t="s">
        <v>21</v>
      </c>
      <c r="E52" s="27">
        <v>0</v>
      </c>
      <c r="F52" s="188"/>
      <c r="G52" s="189">
        <f t="shared" si="2"/>
        <v>0</v>
      </c>
    </row>
    <row r="53" spans="2:7" x14ac:dyDescent="0.25">
      <c r="B53" s="186">
        <v>6</v>
      </c>
      <c r="C53" s="36" t="s">
        <v>328</v>
      </c>
      <c r="D53" s="187" t="s">
        <v>15</v>
      </c>
      <c r="E53" s="27">
        <f>3*4+8+6+2.65*2+5*2+1+1.5-(0.8*8)</f>
        <v>37.4</v>
      </c>
      <c r="F53" s="188"/>
      <c r="G53" s="189">
        <f t="shared" si="2"/>
        <v>0</v>
      </c>
    </row>
    <row r="54" spans="2:7" x14ac:dyDescent="0.25">
      <c r="B54" s="186">
        <v>7</v>
      </c>
      <c r="C54" s="36" t="s">
        <v>329</v>
      </c>
      <c r="D54" s="187" t="s">
        <v>89</v>
      </c>
      <c r="E54" s="27">
        <v>1</v>
      </c>
      <c r="F54" s="188"/>
      <c r="G54" s="189">
        <f t="shared" si="2"/>
        <v>0</v>
      </c>
    </row>
    <row r="55" spans="2:7" x14ac:dyDescent="0.25">
      <c r="B55" s="186">
        <v>8</v>
      </c>
      <c r="C55" s="36" t="s">
        <v>54</v>
      </c>
      <c r="D55" s="187" t="s">
        <v>21</v>
      </c>
      <c r="E55" s="27">
        <f>5.5*3</f>
        <v>16.5</v>
      </c>
      <c r="F55" s="188"/>
      <c r="G55" s="189">
        <f t="shared" si="2"/>
        <v>0</v>
      </c>
    </row>
    <row r="56" spans="2:7" x14ac:dyDescent="0.25">
      <c r="B56" s="201"/>
      <c r="C56" s="191" t="s">
        <v>162</v>
      </c>
      <c r="D56" s="192"/>
      <c r="E56" s="193"/>
      <c r="F56" s="194"/>
      <c r="G56" s="195">
        <f>SUM(G46:G55)</f>
        <v>0</v>
      </c>
    </row>
    <row r="57" spans="2:7" x14ac:dyDescent="0.25">
      <c r="B57" s="198"/>
      <c r="C57" s="36"/>
      <c r="D57" s="187"/>
      <c r="E57" s="196"/>
      <c r="F57" s="188"/>
      <c r="G57" s="197"/>
    </row>
    <row r="58" spans="2:7" x14ac:dyDescent="0.25">
      <c r="B58" s="198" t="s">
        <v>55</v>
      </c>
      <c r="C58" s="199" t="s">
        <v>56</v>
      </c>
      <c r="D58" s="187"/>
      <c r="E58" s="27"/>
      <c r="F58" s="188"/>
      <c r="G58" s="189"/>
    </row>
    <row r="59" spans="2:7" x14ac:dyDescent="0.25">
      <c r="B59" s="186">
        <v>1</v>
      </c>
      <c r="C59" s="36" t="s">
        <v>330</v>
      </c>
      <c r="D59" s="187" t="s">
        <v>21</v>
      </c>
      <c r="E59" s="208">
        <f>2.5*(1.85+0.85)</f>
        <v>6.75</v>
      </c>
      <c r="F59" s="188"/>
      <c r="G59" s="189">
        <f t="shared" ref="G59:G64" si="3">F59*E59</f>
        <v>0</v>
      </c>
    </row>
    <row r="60" spans="2:7" x14ac:dyDescent="0.25">
      <c r="B60" s="186">
        <v>2</v>
      </c>
      <c r="C60" s="36" t="s">
        <v>331</v>
      </c>
      <c r="D60" s="187" t="s">
        <v>21</v>
      </c>
      <c r="E60" s="208">
        <f>3*(1.2*2+6)-(0.8*2.5+1.25*3)</f>
        <v>19.450000000000003</v>
      </c>
      <c r="F60" s="188"/>
      <c r="G60" s="189">
        <f t="shared" si="3"/>
        <v>0</v>
      </c>
    </row>
    <row r="61" spans="2:7" x14ac:dyDescent="0.25">
      <c r="B61" s="186">
        <v>3</v>
      </c>
      <c r="C61" s="36" t="s">
        <v>332</v>
      </c>
      <c r="D61" s="187" t="s">
        <v>21</v>
      </c>
      <c r="E61" s="208">
        <v>0</v>
      </c>
      <c r="F61" s="188"/>
      <c r="G61" s="189">
        <f t="shared" si="3"/>
        <v>0</v>
      </c>
    </row>
    <row r="62" spans="2:7" x14ac:dyDescent="0.25">
      <c r="B62" s="186">
        <v>4</v>
      </c>
      <c r="C62" s="36" t="s">
        <v>333</v>
      </c>
      <c r="D62" s="187" t="s">
        <v>21</v>
      </c>
      <c r="E62" s="208">
        <f>1.2*3</f>
        <v>3.5999999999999996</v>
      </c>
      <c r="F62" s="188"/>
      <c r="G62" s="189">
        <f t="shared" si="3"/>
        <v>0</v>
      </c>
    </row>
    <row r="63" spans="2:7" x14ac:dyDescent="0.25">
      <c r="B63" s="186">
        <v>5</v>
      </c>
      <c r="C63" s="36" t="s">
        <v>334</v>
      </c>
      <c r="D63" s="187" t="s">
        <v>21</v>
      </c>
      <c r="E63" s="208">
        <f>0.8*1.4</f>
        <v>1.1199999999999999</v>
      </c>
      <c r="F63" s="188"/>
      <c r="G63" s="189">
        <f t="shared" si="3"/>
        <v>0</v>
      </c>
    </row>
    <row r="64" spans="2:7" x14ac:dyDescent="0.25">
      <c r="B64" s="186">
        <v>6</v>
      </c>
      <c r="C64" s="36" t="s">
        <v>335</v>
      </c>
      <c r="D64" s="187" t="s">
        <v>21</v>
      </c>
      <c r="E64" s="208">
        <f>0.6*2</f>
        <v>1.2</v>
      </c>
      <c r="F64" s="188"/>
      <c r="G64" s="189">
        <f t="shared" si="3"/>
        <v>0</v>
      </c>
    </row>
    <row r="65" spans="2:7" x14ac:dyDescent="0.25">
      <c r="B65" s="209"/>
      <c r="C65" s="191" t="s">
        <v>162</v>
      </c>
      <c r="D65" s="192"/>
      <c r="E65" s="200"/>
      <c r="F65" s="210"/>
      <c r="G65" s="195">
        <f>SUM(G59:G64)</f>
        <v>0</v>
      </c>
    </row>
    <row r="66" spans="2:7" x14ac:dyDescent="0.25">
      <c r="B66" s="186"/>
      <c r="C66" s="36"/>
      <c r="D66" s="187"/>
      <c r="E66" s="211"/>
      <c r="F66" s="212"/>
      <c r="G66" s="197"/>
    </row>
    <row r="67" spans="2:7" x14ac:dyDescent="0.25">
      <c r="B67" s="198" t="s">
        <v>61</v>
      </c>
      <c r="C67" s="199" t="s">
        <v>62</v>
      </c>
      <c r="D67" s="36"/>
      <c r="E67" s="211"/>
      <c r="F67" s="188"/>
      <c r="G67" s="189"/>
    </row>
    <row r="68" spans="2:7" x14ac:dyDescent="0.25">
      <c r="B68" s="36">
        <v>1</v>
      </c>
      <c r="C68" s="36" t="s">
        <v>63</v>
      </c>
      <c r="D68" s="187" t="s">
        <v>21</v>
      </c>
      <c r="E68" s="213">
        <f>3*3+3*4.5+(3*6+1*5)+3</f>
        <v>48.5</v>
      </c>
      <c r="F68" s="27"/>
      <c r="G68" s="189">
        <f>F68*E68</f>
        <v>0</v>
      </c>
    </row>
    <row r="69" spans="2:7" x14ac:dyDescent="0.25">
      <c r="B69" s="186">
        <v>2</v>
      </c>
      <c r="C69" s="36" t="s">
        <v>66</v>
      </c>
      <c r="D69" s="187" t="s">
        <v>21</v>
      </c>
      <c r="E69" s="213">
        <f>1*3+1*6*2+1*1.5</f>
        <v>16.5</v>
      </c>
      <c r="F69" s="27"/>
      <c r="G69" s="189">
        <f>F69*E69</f>
        <v>0</v>
      </c>
    </row>
    <row r="70" spans="2:7" x14ac:dyDescent="0.25">
      <c r="B70" s="36">
        <v>3</v>
      </c>
      <c r="C70" s="36" t="s">
        <v>64</v>
      </c>
      <c r="D70" s="187" t="s">
        <v>15</v>
      </c>
      <c r="E70" s="213">
        <f>(3*4+3*2+5*2)+(6*2+5*2+3*4+2)</f>
        <v>64</v>
      </c>
      <c r="F70" s="27"/>
      <c r="G70" s="189">
        <f>F70*E70</f>
        <v>0</v>
      </c>
    </row>
    <row r="71" spans="2:7" x14ac:dyDescent="0.25">
      <c r="B71" s="186">
        <v>4</v>
      </c>
      <c r="C71" s="36" t="s">
        <v>65</v>
      </c>
      <c r="D71" s="187" t="s">
        <v>15</v>
      </c>
      <c r="E71" s="213">
        <f>3*2+2+6*2+2+6*2+2+3+2</f>
        <v>41</v>
      </c>
      <c r="F71" s="27"/>
      <c r="G71" s="189">
        <f>F71*E71</f>
        <v>0</v>
      </c>
    </row>
    <row r="72" spans="2:7" x14ac:dyDescent="0.25">
      <c r="B72" s="186">
        <v>5</v>
      </c>
      <c r="C72" s="36" t="s">
        <v>336</v>
      </c>
      <c r="D72" s="187" t="s">
        <v>15</v>
      </c>
      <c r="E72" s="213">
        <f>1.5*3+1.2*3+1.5+0.5*6</f>
        <v>12.6</v>
      </c>
      <c r="F72" s="27"/>
      <c r="G72" s="189">
        <f>F72*E72</f>
        <v>0</v>
      </c>
    </row>
    <row r="73" spans="2:7" x14ac:dyDescent="0.25">
      <c r="B73" s="201"/>
      <c r="C73" s="191" t="s">
        <v>162</v>
      </c>
      <c r="D73" s="190"/>
      <c r="E73" s="193"/>
      <c r="F73" s="194"/>
      <c r="G73" s="214">
        <f>SUM(G68:G72)</f>
        <v>0</v>
      </c>
    </row>
    <row r="74" spans="2:7" x14ac:dyDescent="0.25">
      <c r="B74" s="198"/>
      <c r="C74" s="36"/>
      <c r="D74" s="36"/>
      <c r="E74" s="211"/>
      <c r="F74" s="212"/>
      <c r="G74" s="215"/>
    </row>
    <row r="75" spans="2:7" x14ac:dyDescent="0.25">
      <c r="B75" s="198" t="s">
        <v>67</v>
      </c>
      <c r="C75" s="199" t="s">
        <v>68</v>
      </c>
      <c r="D75" s="187"/>
      <c r="E75" s="211"/>
      <c r="F75" s="212"/>
      <c r="G75" s="189"/>
    </row>
    <row r="76" spans="2:7" x14ac:dyDescent="0.25">
      <c r="B76" s="186">
        <v>1</v>
      </c>
      <c r="C76" s="36" t="s">
        <v>69</v>
      </c>
      <c r="D76" s="187" t="s">
        <v>21</v>
      </c>
      <c r="E76" s="213">
        <f>0.5*(3*10)</f>
        <v>15</v>
      </c>
      <c r="F76" s="216"/>
      <c r="G76" s="189">
        <f>F76*E76</f>
        <v>0</v>
      </c>
    </row>
    <row r="77" spans="2:7" x14ac:dyDescent="0.25">
      <c r="B77" s="186">
        <v>2</v>
      </c>
      <c r="C77" s="36" t="s">
        <v>70</v>
      </c>
      <c r="D77" s="187" t="s">
        <v>21</v>
      </c>
      <c r="E77" s="213">
        <f>3.25*(27+0.5)+3*2.8+1.8*3+2.5*6+0.5*1.75*3+1.75*3+3.25*(3*9+0.8*3+0.5)+0.5*1.75*3*3-30.75</f>
        <v>200.35000000000002</v>
      </c>
      <c r="F77" s="217"/>
      <c r="G77" s="189">
        <f>F77*E77</f>
        <v>0</v>
      </c>
    </row>
    <row r="78" spans="2:7" x14ac:dyDescent="0.25">
      <c r="B78" s="186">
        <v>3</v>
      </c>
      <c r="C78" s="36" t="s">
        <v>71</v>
      </c>
      <c r="D78" s="187" t="s">
        <v>21</v>
      </c>
      <c r="E78" s="213">
        <v>441.50000000000023</v>
      </c>
      <c r="F78" s="218"/>
      <c r="G78" s="189">
        <f>F78*E78</f>
        <v>0</v>
      </c>
    </row>
    <row r="79" spans="2:7" x14ac:dyDescent="0.25">
      <c r="B79" s="209"/>
      <c r="C79" s="191" t="s">
        <v>162</v>
      </c>
      <c r="D79" s="192"/>
      <c r="E79" s="193"/>
      <c r="F79" s="210"/>
      <c r="G79" s="195">
        <f>SUM(G76:G78)</f>
        <v>0</v>
      </c>
    </row>
    <row r="80" spans="2:7" x14ac:dyDescent="0.25">
      <c r="B80" s="186"/>
      <c r="C80" s="36"/>
      <c r="D80" s="187"/>
      <c r="E80" s="211"/>
      <c r="F80" s="212"/>
      <c r="G80" s="197"/>
    </row>
    <row r="81" spans="2:7" x14ac:dyDescent="0.25">
      <c r="B81" s="198" t="s">
        <v>72</v>
      </c>
      <c r="C81" s="199" t="s">
        <v>73</v>
      </c>
      <c r="D81" s="36"/>
      <c r="E81" s="211"/>
      <c r="F81" s="188"/>
      <c r="G81" s="189"/>
    </row>
    <row r="82" spans="2:7" x14ac:dyDescent="0.25">
      <c r="B82" s="186">
        <v>1</v>
      </c>
      <c r="C82" s="36" t="s">
        <v>74</v>
      </c>
      <c r="D82" s="187" t="s">
        <v>21</v>
      </c>
      <c r="E82" s="213">
        <f>4.25*3+52</f>
        <v>64.75</v>
      </c>
      <c r="F82" s="188"/>
      <c r="G82" s="189">
        <f t="shared" ref="G82:G88" si="4">F82*E82</f>
        <v>0</v>
      </c>
    </row>
    <row r="83" spans="2:7" x14ac:dyDescent="0.25">
      <c r="B83" s="186">
        <v>2</v>
      </c>
      <c r="C83" s="36" t="s">
        <v>75</v>
      </c>
      <c r="D83" s="187" t="s">
        <v>21</v>
      </c>
      <c r="E83" s="213">
        <f>E82</f>
        <v>64.75</v>
      </c>
      <c r="F83" s="219"/>
      <c r="G83" s="189">
        <f t="shared" si="4"/>
        <v>0</v>
      </c>
    </row>
    <row r="84" spans="2:7" x14ac:dyDescent="0.25">
      <c r="B84" s="186">
        <v>3</v>
      </c>
      <c r="C84" s="36" t="s">
        <v>76</v>
      </c>
      <c r="D84" s="187" t="s">
        <v>15</v>
      </c>
      <c r="E84" s="213">
        <f>4.5+6+3+5.5+1</f>
        <v>20</v>
      </c>
      <c r="F84" s="219"/>
      <c r="G84" s="189">
        <f t="shared" si="4"/>
        <v>0</v>
      </c>
    </row>
    <row r="85" spans="2:7" x14ac:dyDescent="0.25">
      <c r="B85" s="36">
        <v>4</v>
      </c>
      <c r="C85" s="36" t="s">
        <v>77</v>
      </c>
      <c r="D85" s="187" t="s">
        <v>15</v>
      </c>
      <c r="E85" s="213">
        <f>4.25*2+4*2+3+3.5+3</f>
        <v>26</v>
      </c>
      <c r="F85" s="219"/>
      <c r="G85" s="189">
        <f t="shared" si="4"/>
        <v>0</v>
      </c>
    </row>
    <row r="86" spans="2:7" x14ac:dyDescent="0.25">
      <c r="B86" s="36">
        <v>5</v>
      </c>
      <c r="C86" s="36" t="s">
        <v>78</v>
      </c>
      <c r="D86" s="187" t="s">
        <v>15</v>
      </c>
      <c r="E86" s="213">
        <f>6</f>
        <v>6</v>
      </c>
      <c r="F86" s="219"/>
      <c r="G86" s="189">
        <f t="shared" si="4"/>
        <v>0</v>
      </c>
    </row>
    <row r="87" spans="2:7" x14ac:dyDescent="0.25">
      <c r="B87" s="36">
        <v>6</v>
      </c>
      <c r="C87" s="36" t="s">
        <v>337</v>
      </c>
      <c r="D87" s="187" t="s">
        <v>99</v>
      </c>
      <c r="E87" s="220">
        <v>0</v>
      </c>
      <c r="F87" s="219"/>
      <c r="G87" s="189">
        <f t="shared" si="4"/>
        <v>0</v>
      </c>
    </row>
    <row r="88" spans="2:7" x14ac:dyDescent="0.25">
      <c r="B88" s="36">
        <v>7</v>
      </c>
      <c r="C88" s="36" t="s">
        <v>338</v>
      </c>
      <c r="D88" s="187" t="s">
        <v>99</v>
      </c>
      <c r="E88" s="213">
        <v>1</v>
      </c>
      <c r="F88" s="219"/>
      <c r="G88" s="189">
        <f t="shared" si="4"/>
        <v>0</v>
      </c>
    </row>
    <row r="89" spans="2:7" x14ac:dyDescent="0.25">
      <c r="B89" s="201"/>
      <c r="C89" s="191" t="s">
        <v>162</v>
      </c>
      <c r="D89" s="190"/>
      <c r="E89" s="193"/>
      <c r="F89" s="194"/>
      <c r="G89" s="195">
        <f>SUM(G82:G88)</f>
        <v>0</v>
      </c>
    </row>
    <row r="90" spans="2:7" x14ac:dyDescent="0.25">
      <c r="B90" s="198"/>
      <c r="C90" s="221"/>
      <c r="D90" s="36"/>
      <c r="E90" s="211"/>
      <c r="F90" s="188"/>
      <c r="G90" s="197"/>
    </row>
    <row r="91" spans="2:7" x14ac:dyDescent="0.25">
      <c r="B91" s="198" t="s">
        <v>80</v>
      </c>
      <c r="C91" s="199" t="s">
        <v>81</v>
      </c>
      <c r="D91" s="36"/>
      <c r="E91" s="222"/>
      <c r="F91" s="188"/>
      <c r="G91" s="189"/>
    </row>
    <row r="92" spans="2:7" x14ac:dyDescent="0.25">
      <c r="B92" s="186">
        <v>1</v>
      </c>
      <c r="C92" s="36" t="s">
        <v>82</v>
      </c>
      <c r="D92" s="187"/>
      <c r="E92" s="208"/>
      <c r="F92" s="188"/>
      <c r="G92" s="189">
        <f t="shared" ref="G92:G97" si="5">F92*E92</f>
        <v>0</v>
      </c>
    </row>
    <row r="93" spans="2:7" x14ac:dyDescent="0.25">
      <c r="B93" s="186"/>
      <c r="C93" s="36" t="s">
        <v>339</v>
      </c>
      <c r="D93" s="187" t="s">
        <v>89</v>
      </c>
      <c r="E93" s="208">
        <v>1</v>
      </c>
      <c r="F93" s="188"/>
      <c r="G93" s="189">
        <f t="shared" si="5"/>
        <v>0</v>
      </c>
    </row>
    <row r="94" spans="2:7" x14ac:dyDescent="0.25">
      <c r="B94" s="186"/>
      <c r="C94" s="36" t="s">
        <v>340</v>
      </c>
      <c r="D94" s="187" t="s">
        <v>89</v>
      </c>
      <c r="E94" s="208">
        <v>1</v>
      </c>
      <c r="F94" s="188"/>
      <c r="G94" s="189">
        <f t="shared" si="5"/>
        <v>0</v>
      </c>
    </row>
    <row r="95" spans="2:7" x14ac:dyDescent="0.25">
      <c r="B95" s="186"/>
      <c r="C95" s="36" t="s">
        <v>341</v>
      </c>
      <c r="D95" s="187" t="s">
        <v>89</v>
      </c>
      <c r="E95" s="208">
        <v>2</v>
      </c>
      <c r="F95" s="188"/>
      <c r="G95" s="189">
        <f t="shared" si="5"/>
        <v>0</v>
      </c>
    </row>
    <row r="96" spans="2:7" x14ac:dyDescent="0.25">
      <c r="B96" s="186"/>
      <c r="C96" s="36" t="s">
        <v>342</v>
      </c>
      <c r="D96" s="187" t="s">
        <v>89</v>
      </c>
      <c r="E96" s="208">
        <v>2</v>
      </c>
      <c r="F96" s="188"/>
      <c r="G96" s="189">
        <f t="shared" si="5"/>
        <v>0</v>
      </c>
    </row>
    <row r="97" spans="2:7" x14ac:dyDescent="0.25">
      <c r="B97" s="223">
        <v>2</v>
      </c>
      <c r="C97" s="224" t="s">
        <v>87</v>
      </c>
      <c r="D97" s="225" t="s">
        <v>343</v>
      </c>
      <c r="E97" s="226">
        <v>1</v>
      </c>
      <c r="F97" s="227"/>
      <c r="G97" s="227">
        <f t="shared" si="5"/>
        <v>0</v>
      </c>
    </row>
    <row r="98" spans="2:7" x14ac:dyDescent="0.25">
      <c r="B98" s="223" t="s">
        <v>83</v>
      </c>
      <c r="C98" s="224" t="s">
        <v>344</v>
      </c>
      <c r="D98" s="225" t="s">
        <v>89</v>
      </c>
      <c r="E98" s="226">
        <v>1</v>
      </c>
      <c r="F98" s="227"/>
      <c r="G98" s="228"/>
    </row>
    <row r="99" spans="2:7" x14ac:dyDescent="0.25">
      <c r="B99" s="223" t="s">
        <v>83</v>
      </c>
      <c r="C99" s="224" t="s">
        <v>345</v>
      </c>
      <c r="D99" s="225" t="s">
        <v>89</v>
      </c>
      <c r="E99" s="226">
        <v>1</v>
      </c>
      <c r="F99" s="227"/>
      <c r="G99" s="228"/>
    </row>
    <row r="100" spans="2:7" x14ac:dyDescent="0.25">
      <c r="B100" s="223" t="s">
        <v>83</v>
      </c>
      <c r="C100" s="224" t="s">
        <v>346</v>
      </c>
      <c r="D100" s="225" t="s">
        <v>89</v>
      </c>
      <c r="E100" s="226">
        <v>1</v>
      </c>
      <c r="F100" s="227"/>
      <c r="G100" s="228"/>
    </row>
    <row r="101" spans="2:7" x14ac:dyDescent="0.25">
      <c r="B101" s="223" t="s">
        <v>83</v>
      </c>
      <c r="C101" s="224" t="s">
        <v>347</v>
      </c>
      <c r="D101" s="225" t="s">
        <v>89</v>
      </c>
      <c r="E101" s="226">
        <v>1</v>
      </c>
      <c r="F101" s="227"/>
      <c r="G101" s="228"/>
    </row>
    <row r="102" spans="2:7" x14ac:dyDescent="0.25">
      <c r="B102" s="223" t="s">
        <v>83</v>
      </c>
      <c r="C102" s="224" t="s">
        <v>348</v>
      </c>
      <c r="D102" s="225" t="s">
        <v>89</v>
      </c>
      <c r="E102" s="226">
        <v>1</v>
      </c>
      <c r="F102" s="227"/>
      <c r="G102" s="228"/>
    </row>
    <row r="103" spans="2:7" x14ac:dyDescent="0.25">
      <c r="B103" s="223" t="s">
        <v>83</v>
      </c>
      <c r="C103" s="224" t="s">
        <v>349</v>
      </c>
      <c r="D103" s="225" t="s">
        <v>89</v>
      </c>
      <c r="E103" s="226">
        <v>1</v>
      </c>
      <c r="F103" s="227"/>
      <c r="G103" s="228"/>
    </row>
    <row r="104" spans="2:7" x14ac:dyDescent="0.25">
      <c r="B104" s="223" t="s">
        <v>83</v>
      </c>
      <c r="C104" s="224" t="s">
        <v>350</v>
      </c>
      <c r="D104" s="225" t="s">
        <v>89</v>
      </c>
      <c r="E104" s="226">
        <v>1</v>
      </c>
      <c r="F104" s="227"/>
      <c r="G104" s="228"/>
    </row>
    <row r="105" spans="2:7" x14ac:dyDescent="0.25">
      <c r="B105" s="223" t="s">
        <v>83</v>
      </c>
      <c r="C105" s="224" t="s">
        <v>351</v>
      </c>
      <c r="D105" s="225" t="s">
        <v>89</v>
      </c>
      <c r="E105" s="226">
        <v>1</v>
      </c>
      <c r="F105" s="227"/>
      <c r="G105" s="228"/>
    </row>
    <row r="106" spans="2:7" x14ac:dyDescent="0.25">
      <c r="B106" s="223" t="s">
        <v>83</v>
      </c>
      <c r="C106" s="224" t="s">
        <v>352</v>
      </c>
      <c r="D106" s="225" t="s">
        <v>89</v>
      </c>
      <c r="E106" s="226">
        <v>1</v>
      </c>
      <c r="F106" s="227"/>
      <c r="G106" s="228"/>
    </row>
    <row r="107" spans="2:7" x14ac:dyDescent="0.25">
      <c r="B107" s="223" t="s">
        <v>83</v>
      </c>
      <c r="C107" s="224" t="s">
        <v>353</v>
      </c>
      <c r="D107" s="225" t="s">
        <v>89</v>
      </c>
      <c r="E107" s="226">
        <v>1</v>
      </c>
      <c r="F107" s="227"/>
      <c r="G107" s="228"/>
    </row>
    <row r="108" spans="2:7" x14ac:dyDescent="0.25">
      <c r="B108" s="223" t="s">
        <v>83</v>
      </c>
      <c r="C108" s="224" t="s">
        <v>354</v>
      </c>
      <c r="D108" s="225" t="s">
        <v>89</v>
      </c>
      <c r="E108" s="226">
        <v>3</v>
      </c>
      <c r="F108" s="227"/>
      <c r="G108" s="228"/>
    </row>
    <row r="109" spans="2:7" x14ac:dyDescent="0.25">
      <c r="B109" s="223" t="s">
        <v>83</v>
      </c>
      <c r="C109" s="224" t="s">
        <v>355</v>
      </c>
      <c r="D109" s="225" t="s">
        <v>89</v>
      </c>
      <c r="E109" s="226">
        <v>1</v>
      </c>
      <c r="F109" s="227"/>
      <c r="G109" s="228"/>
    </row>
    <row r="110" spans="2:7" x14ac:dyDescent="0.25">
      <c r="B110" s="223" t="s">
        <v>83</v>
      </c>
      <c r="C110" s="224" t="s">
        <v>356</v>
      </c>
      <c r="D110" s="225" t="s">
        <v>89</v>
      </c>
      <c r="E110" s="226">
        <v>1</v>
      </c>
      <c r="F110" s="227"/>
      <c r="G110" s="228"/>
    </row>
    <row r="111" spans="2:7" x14ac:dyDescent="0.25">
      <c r="B111" s="223" t="s">
        <v>83</v>
      </c>
      <c r="C111" s="224" t="s">
        <v>357</v>
      </c>
      <c r="D111" s="225" t="s">
        <v>89</v>
      </c>
      <c r="E111" s="226">
        <v>1</v>
      </c>
      <c r="F111" s="227"/>
      <c r="G111" s="228"/>
    </row>
    <row r="112" spans="2:7" x14ac:dyDescent="0.25">
      <c r="B112" s="186">
        <v>3</v>
      </c>
      <c r="C112" s="36" t="s">
        <v>95</v>
      </c>
      <c r="D112" s="187"/>
      <c r="E112" s="208"/>
      <c r="F112" s="188"/>
      <c r="G112" s="189"/>
    </row>
    <row r="113" spans="2:7" x14ac:dyDescent="0.25">
      <c r="B113" s="186" t="s">
        <v>83</v>
      </c>
      <c r="C113" s="36" t="s">
        <v>96</v>
      </c>
      <c r="D113" s="187" t="s">
        <v>85</v>
      </c>
      <c r="E113" s="208">
        <v>1</v>
      </c>
      <c r="F113" s="27"/>
      <c r="G113" s="189">
        <f>F113*E113</f>
        <v>0</v>
      </c>
    </row>
    <row r="114" spans="2:7" x14ac:dyDescent="0.25">
      <c r="B114" s="186" t="s">
        <v>83</v>
      </c>
      <c r="C114" s="36" t="s">
        <v>358</v>
      </c>
      <c r="D114" s="187" t="s">
        <v>85</v>
      </c>
      <c r="E114" s="208">
        <v>5</v>
      </c>
      <c r="F114" s="27"/>
      <c r="G114" s="189">
        <f>F114*E114</f>
        <v>0</v>
      </c>
    </row>
    <row r="115" spans="2:7" x14ac:dyDescent="0.25">
      <c r="B115" s="186" t="s">
        <v>83</v>
      </c>
      <c r="C115" s="36" t="s">
        <v>98</v>
      </c>
      <c r="D115" s="187" t="s">
        <v>99</v>
      </c>
      <c r="E115" s="208">
        <f>6*3</f>
        <v>18</v>
      </c>
      <c r="F115" s="27"/>
      <c r="G115" s="189">
        <f>F115*E115</f>
        <v>0</v>
      </c>
    </row>
    <row r="116" spans="2:7" x14ac:dyDescent="0.25">
      <c r="B116" s="209"/>
      <c r="C116" s="191" t="s">
        <v>162</v>
      </c>
      <c r="D116" s="192"/>
      <c r="E116" s="193"/>
      <c r="F116" s="194"/>
      <c r="G116" s="195">
        <f>SUM(G92:G115)</f>
        <v>0</v>
      </c>
    </row>
    <row r="117" spans="2:7" x14ac:dyDescent="0.25">
      <c r="B117" s="186"/>
      <c r="C117" s="36"/>
      <c r="D117" s="187"/>
      <c r="E117" s="211"/>
      <c r="F117" s="188"/>
      <c r="G117" s="197"/>
    </row>
    <row r="118" spans="2:7" x14ac:dyDescent="0.25">
      <c r="B118" s="198" t="s">
        <v>100</v>
      </c>
      <c r="C118" s="199" t="s">
        <v>101</v>
      </c>
      <c r="D118" s="187"/>
      <c r="E118" s="211"/>
      <c r="F118" s="188"/>
      <c r="G118" s="189"/>
    </row>
    <row r="119" spans="2:7" x14ac:dyDescent="0.25">
      <c r="B119" s="36">
        <v>1</v>
      </c>
      <c r="C119" s="36" t="s">
        <v>359</v>
      </c>
      <c r="D119" s="187" t="s">
        <v>21</v>
      </c>
      <c r="E119" s="213">
        <f>E78-E120-66</f>
        <v>292.60000000000025</v>
      </c>
      <c r="F119" s="27"/>
      <c r="G119" s="189">
        <f>F119*E119</f>
        <v>0</v>
      </c>
    </row>
    <row r="120" spans="2:7" x14ac:dyDescent="0.25">
      <c r="B120" s="36">
        <v>2</v>
      </c>
      <c r="C120" s="36" t="s">
        <v>103</v>
      </c>
      <c r="D120" s="187" t="s">
        <v>21</v>
      </c>
      <c r="E120" s="208">
        <f>82.9</f>
        <v>82.9</v>
      </c>
      <c r="F120" s="27"/>
      <c r="G120" s="189">
        <f>F120*E120</f>
        <v>0</v>
      </c>
    </row>
    <row r="121" spans="2:7" x14ac:dyDescent="0.25">
      <c r="B121" s="36">
        <v>3</v>
      </c>
      <c r="C121" s="36" t="s">
        <v>104</v>
      </c>
      <c r="D121" s="187" t="s">
        <v>21</v>
      </c>
      <c r="E121" s="208">
        <f>E68+E69</f>
        <v>65</v>
      </c>
      <c r="F121" s="27"/>
      <c r="G121" s="189">
        <f>F121*E121</f>
        <v>0</v>
      </c>
    </row>
    <row r="122" spans="2:7" x14ac:dyDescent="0.25">
      <c r="B122" s="36">
        <v>4</v>
      </c>
      <c r="C122" s="36" t="s">
        <v>105</v>
      </c>
      <c r="D122" s="187" t="s">
        <v>21</v>
      </c>
      <c r="E122" s="208">
        <f>E84</f>
        <v>20</v>
      </c>
      <c r="F122" s="27"/>
      <c r="G122" s="189">
        <f>F122*E122</f>
        <v>0</v>
      </c>
    </row>
    <row r="123" spans="2:7" x14ac:dyDescent="0.25">
      <c r="B123" s="36">
        <v>5</v>
      </c>
      <c r="C123" s="36" t="s">
        <v>106</v>
      </c>
      <c r="D123" s="187" t="s">
        <v>15</v>
      </c>
      <c r="E123" s="208">
        <f>E86</f>
        <v>6</v>
      </c>
      <c r="F123" s="27"/>
      <c r="G123" s="189">
        <f>F123*E123</f>
        <v>0</v>
      </c>
    </row>
    <row r="124" spans="2:7" x14ac:dyDescent="0.25">
      <c r="B124" s="209"/>
      <c r="C124" s="191" t="s">
        <v>162</v>
      </c>
      <c r="D124" s="192"/>
      <c r="E124" s="193"/>
      <c r="F124" s="194"/>
      <c r="G124" s="195">
        <f>SUM(G119:G123)</f>
        <v>0</v>
      </c>
    </row>
    <row r="125" spans="2:7" x14ac:dyDescent="0.25">
      <c r="B125" s="186"/>
      <c r="C125" s="36"/>
      <c r="D125" s="187"/>
      <c r="E125" s="211"/>
      <c r="F125" s="188"/>
      <c r="G125" s="197"/>
    </row>
    <row r="126" spans="2:7" x14ac:dyDescent="0.25">
      <c r="B126" s="198" t="s">
        <v>107</v>
      </c>
      <c r="C126" s="199" t="s">
        <v>108</v>
      </c>
      <c r="D126" s="187"/>
      <c r="E126" s="211"/>
      <c r="F126" s="188"/>
      <c r="G126" s="189"/>
    </row>
    <row r="127" spans="2:7" x14ac:dyDescent="0.25">
      <c r="B127" s="186">
        <v>1</v>
      </c>
      <c r="C127" s="36" t="s">
        <v>360</v>
      </c>
      <c r="D127" s="36"/>
      <c r="E127" s="211"/>
      <c r="F127" s="188"/>
      <c r="G127" s="189"/>
    </row>
    <row r="128" spans="2:7" x14ac:dyDescent="0.25">
      <c r="B128" s="186" t="s">
        <v>83</v>
      </c>
      <c r="C128" s="36" t="s">
        <v>110</v>
      </c>
      <c r="D128" s="187" t="s">
        <v>85</v>
      </c>
      <c r="E128" s="208">
        <v>1</v>
      </c>
      <c r="F128" s="188"/>
      <c r="G128" s="189">
        <f t="shared" ref="G128:G153" si="6">F128*E128</f>
        <v>0</v>
      </c>
    </row>
    <row r="129" spans="2:7" x14ac:dyDescent="0.25">
      <c r="B129" s="186" t="s">
        <v>83</v>
      </c>
      <c r="C129" s="36" t="s">
        <v>361</v>
      </c>
      <c r="D129" s="187" t="s">
        <v>85</v>
      </c>
      <c r="E129" s="208">
        <v>1</v>
      </c>
      <c r="F129" s="27"/>
      <c r="G129" s="189">
        <f t="shared" si="6"/>
        <v>0</v>
      </c>
    </row>
    <row r="130" spans="2:7" x14ac:dyDescent="0.25">
      <c r="B130" s="186" t="s">
        <v>83</v>
      </c>
      <c r="C130" s="36" t="s">
        <v>115</v>
      </c>
      <c r="D130" s="187" t="s">
        <v>85</v>
      </c>
      <c r="E130" s="208">
        <v>1</v>
      </c>
      <c r="F130" s="188"/>
      <c r="G130" s="189">
        <f t="shared" si="6"/>
        <v>0</v>
      </c>
    </row>
    <row r="131" spans="2:7" x14ac:dyDescent="0.25">
      <c r="B131" s="186">
        <v>2</v>
      </c>
      <c r="C131" s="36" t="s">
        <v>362</v>
      </c>
      <c r="D131" s="36"/>
      <c r="E131" s="211"/>
      <c r="F131" s="188"/>
      <c r="G131" s="189">
        <f t="shared" si="6"/>
        <v>0</v>
      </c>
    </row>
    <row r="132" spans="2:7" x14ac:dyDescent="0.25">
      <c r="B132" s="186" t="s">
        <v>83</v>
      </c>
      <c r="C132" s="36" t="s">
        <v>110</v>
      </c>
      <c r="D132" s="187" t="s">
        <v>85</v>
      </c>
      <c r="E132" s="208">
        <v>1</v>
      </c>
      <c r="F132" s="188"/>
      <c r="G132" s="189">
        <f t="shared" si="6"/>
        <v>0</v>
      </c>
    </row>
    <row r="133" spans="2:7" x14ac:dyDescent="0.25">
      <c r="B133" s="186" t="s">
        <v>83</v>
      </c>
      <c r="C133" s="36" t="s">
        <v>363</v>
      </c>
      <c r="D133" s="187" t="s">
        <v>85</v>
      </c>
      <c r="E133" s="208">
        <v>1</v>
      </c>
      <c r="F133" s="188"/>
      <c r="G133" s="189">
        <f t="shared" si="6"/>
        <v>0</v>
      </c>
    </row>
    <row r="134" spans="2:7" x14ac:dyDescent="0.25">
      <c r="B134" s="186" t="s">
        <v>83</v>
      </c>
      <c r="C134" s="36" t="s">
        <v>112</v>
      </c>
      <c r="D134" s="187" t="s">
        <v>85</v>
      </c>
      <c r="E134" s="208">
        <v>1</v>
      </c>
      <c r="F134" s="188"/>
      <c r="G134" s="189">
        <f t="shared" si="6"/>
        <v>0</v>
      </c>
    </row>
    <row r="135" spans="2:7" x14ac:dyDescent="0.25">
      <c r="B135" s="186" t="s">
        <v>83</v>
      </c>
      <c r="C135" s="36" t="s">
        <v>113</v>
      </c>
      <c r="D135" s="187" t="s">
        <v>85</v>
      </c>
      <c r="E135" s="208">
        <v>1</v>
      </c>
      <c r="F135" s="188"/>
      <c r="G135" s="189">
        <f t="shared" si="6"/>
        <v>0</v>
      </c>
    </row>
    <row r="136" spans="2:7" x14ac:dyDescent="0.25">
      <c r="B136" s="186" t="s">
        <v>83</v>
      </c>
      <c r="C136" s="36" t="s">
        <v>361</v>
      </c>
      <c r="D136" s="187" t="s">
        <v>85</v>
      </c>
      <c r="E136" s="208">
        <v>1</v>
      </c>
      <c r="F136" s="27"/>
      <c r="G136" s="189">
        <f t="shared" si="6"/>
        <v>0</v>
      </c>
    </row>
    <row r="137" spans="2:7" x14ac:dyDescent="0.25">
      <c r="B137" s="186" t="s">
        <v>83</v>
      </c>
      <c r="C137" s="36" t="s">
        <v>115</v>
      </c>
      <c r="D137" s="187" t="s">
        <v>85</v>
      </c>
      <c r="E137" s="208">
        <v>1</v>
      </c>
      <c r="F137" s="188"/>
      <c r="G137" s="189">
        <f t="shared" si="6"/>
        <v>0</v>
      </c>
    </row>
    <row r="138" spans="2:7" x14ac:dyDescent="0.25">
      <c r="B138" s="36">
        <v>4</v>
      </c>
      <c r="C138" s="36" t="s">
        <v>116</v>
      </c>
      <c r="D138" s="36"/>
      <c r="E138" s="208"/>
      <c r="F138" s="188"/>
      <c r="G138" s="189">
        <f t="shared" si="6"/>
        <v>0</v>
      </c>
    </row>
    <row r="139" spans="2:7" x14ac:dyDescent="0.25">
      <c r="B139" s="186" t="s">
        <v>83</v>
      </c>
      <c r="C139" s="36" t="s">
        <v>117</v>
      </c>
      <c r="D139" s="187" t="s">
        <v>85</v>
      </c>
      <c r="E139" s="208">
        <v>1</v>
      </c>
      <c r="F139" s="188"/>
      <c r="G139" s="189">
        <f t="shared" si="6"/>
        <v>0</v>
      </c>
    </row>
    <row r="140" spans="2:7" x14ac:dyDescent="0.25">
      <c r="B140" s="186" t="s">
        <v>83</v>
      </c>
      <c r="C140" s="36" t="s">
        <v>118</v>
      </c>
      <c r="D140" s="187" t="s">
        <v>85</v>
      </c>
      <c r="E140" s="208">
        <v>1</v>
      </c>
      <c r="F140" s="188"/>
      <c r="G140" s="189">
        <f t="shared" si="6"/>
        <v>0</v>
      </c>
    </row>
    <row r="141" spans="2:7" x14ac:dyDescent="0.25">
      <c r="B141" s="186">
        <v>5</v>
      </c>
      <c r="C141" s="36" t="s">
        <v>119</v>
      </c>
      <c r="D141" s="187" t="s">
        <v>85</v>
      </c>
      <c r="E141" s="208">
        <v>1</v>
      </c>
      <c r="F141" s="188"/>
      <c r="G141" s="189">
        <f t="shared" si="6"/>
        <v>0</v>
      </c>
    </row>
    <row r="142" spans="2:7" x14ac:dyDescent="0.25">
      <c r="B142" s="186">
        <v>6</v>
      </c>
      <c r="C142" s="36" t="s">
        <v>120</v>
      </c>
      <c r="D142" s="187" t="s">
        <v>85</v>
      </c>
      <c r="E142" s="208">
        <v>2</v>
      </c>
      <c r="F142" s="188"/>
      <c r="G142" s="189">
        <f t="shared" si="6"/>
        <v>0</v>
      </c>
    </row>
    <row r="143" spans="2:7" x14ac:dyDescent="0.25">
      <c r="B143" s="186">
        <v>7</v>
      </c>
      <c r="C143" s="36" t="s">
        <v>121</v>
      </c>
      <c r="D143" s="187" t="s">
        <v>85</v>
      </c>
      <c r="E143" s="208">
        <v>2</v>
      </c>
      <c r="F143" s="188"/>
      <c r="G143" s="189">
        <f t="shared" si="6"/>
        <v>0</v>
      </c>
    </row>
    <row r="144" spans="2:7" x14ac:dyDescent="0.25">
      <c r="B144" s="186">
        <v>8</v>
      </c>
      <c r="C144" s="36" t="s">
        <v>122</v>
      </c>
      <c r="D144" s="36"/>
      <c r="E144" s="211">
        <v>0</v>
      </c>
      <c r="F144" s="188"/>
      <c r="G144" s="189">
        <f t="shared" si="6"/>
        <v>0</v>
      </c>
    </row>
    <row r="145" spans="2:7" x14ac:dyDescent="0.25">
      <c r="B145" s="186" t="s">
        <v>83</v>
      </c>
      <c r="C145" s="36" t="s">
        <v>364</v>
      </c>
      <c r="D145" s="187" t="s">
        <v>15</v>
      </c>
      <c r="E145" s="208">
        <v>7</v>
      </c>
      <c r="F145" s="188"/>
      <c r="G145" s="189">
        <f t="shared" si="6"/>
        <v>0</v>
      </c>
    </row>
    <row r="146" spans="2:7" x14ac:dyDescent="0.25">
      <c r="B146" s="186" t="s">
        <v>83</v>
      </c>
      <c r="C146" s="36" t="s">
        <v>365</v>
      </c>
      <c r="D146" s="187" t="s">
        <v>15</v>
      </c>
      <c r="E146" s="208">
        <f>6+3+7+1.5+3+3*3+(4.5+4+6+2+0)+3.5*4</f>
        <v>60</v>
      </c>
      <c r="F146" s="188"/>
      <c r="G146" s="189">
        <f t="shared" si="6"/>
        <v>0</v>
      </c>
    </row>
    <row r="147" spans="2:7" x14ac:dyDescent="0.25">
      <c r="B147" s="186">
        <v>9</v>
      </c>
      <c r="C147" s="36" t="s">
        <v>125</v>
      </c>
      <c r="D147" s="187"/>
      <c r="E147" s="208"/>
      <c r="F147" s="188"/>
      <c r="G147" s="189">
        <f t="shared" si="6"/>
        <v>0</v>
      </c>
    </row>
    <row r="148" spans="2:7" x14ac:dyDescent="0.25">
      <c r="B148" s="186" t="s">
        <v>83</v>
      </c>
      <c r="C148" s="36" t="s">
        <v>366</v>
      </c>
      <c r="D148" s="187" t="s">
        <v>15</v>
      </c>
      <c r="E148" s="208">
        <v>2.15</v>
      </c>
      <c r="F148" s="188"/>
      <c r="G148" s="189">
        <f t="shared" si="6"/>
        <v>0</v>
      </c>
    </row>
    <row r="149" spans="2:7" x14ac:dyDescent="0.25">
      <c r="B149" s="186" t="s">
        <v>83</v>
      </c>
      <c r="C149" s="36" t="s">
        <v>367</v>
      </c>
      <c r="D149" s="187" t="s">
        <v>15</v>
      </c>
      <c r="E149" s="208">
        <f>2.5+2.5+4+2</f>
        <v>11</v>
      </c>
      <c r="F149" s="188"/>
      <c r="G149" s="189">
        <f t="shared" si="6"/>
        <v>0</v>
      </c>
    </row>
    <row r="150" spans="2:7" x14ac:dyDescent="0.25">
      <c r="B150" s="186" t="s">
        <v>83</v>
      </c>
      <c r="C150" s="36" t="s">
        <v>126</v>
      </c>
      <c r="D150" s="187" t="s">
        <v>15</v>
      </c>
      <c r="E150" s="208">
        <f>2.5+3.5</f>
        <v>6</v>
      </c>
      <c r="F150" s="188"/>
      <c r="G150" s="189">
        <f t="shared" si="6"/>
        <v>0</v>
      </c>
    </row>
    <row r="151" spans="2:7" x14ac:dyDescent="0.25">
      <c r="B151" s="186" t="s">
        <v>83</v>
      </c>
      <c r="C151" s="36" t="s">
        <v>127</v>
      </c>
      <c r="D151" s="187" t="s">
        <v>15</v>
      </c>
      <c r="E151" s="208">
        <f>12+9+15</f>
        <v>36</v>
      </c>
      <c r="F151" s="188"/>
      <c r="G151" s="189">
        <f t="shared" si="6"/>
        <v>0</v>
      </c>
    </row>
    <row r="152" spans="2:7" x14ac:dyDescent="0.25">
      <c r="B152" s="186" t="s">
        <v>83</v>
      </c>
      <c r="C152" s="36" t="s">
        <v>128</v>
      </c>
      <c r="D152" s="187" t="s">
        <v>85</v>
      </c>
      <c r="E152" s="208">
        <v>3</v>
      </c>
      <c r="F152" s="188"/>
      <c r="G152" s="189">
        <f t="shared" si="6"/>
        <v>0</v>
      </c>
    </row>
    <row r="153" spans="2:7" x14ac:dyDescent="0.25">
      <c r="B153" s="186" t="s">
        <v>83</v>
      </c>
      <c r="C153" s="36" t="s">
        <v>129</v>
      </c>
      <c r="D153" s="187" t="s">
        <v>85</v>
      </c>
      <c r="E153" s="208">
        <v>1</v>
      </c>
      <c r="F153" s="189"/>
      <c r="G153" s="189">
        <f t="shared" si="6"/>
        <v>0</v>
      </c>
    </row>
    <row r="154" spans="2:7" x14ac:dyDescent="0.25">
      <c r="B154" s="209"/>
      <c r="C154" s="191" t="s">
        <v>162</v>
      </c>
      <c r="D154" s="192"/>
      <c r="E154" s="193"/>
      <c r="F154" s="194"/>
      <c r="G154" s="195">
        <f>SUM(G128:G153)</f>
        <v>0</v>
      </c>
    </row>
    <row r="155" spans="2:7" x14ac:dyDescent="0.25">
      <c r="B155" s="186"/>
      <c r="C155" s="221"/>
      <c r="D155" s="187"/>
      <c r="E155" s="211"/>
      <c r="F155" s="188"/>
      <c r="G155" s="197"/>
    </row>
    <row r="156" spans="2:7" x14ac:dyDescent="0.25">
      <c r="B156" s="198" t="s">
        <v>130</v>
      </c>
      <c r="C156" s="199" t="s">
        <v>131</v>
      </c>
      <c r="D156" s="187"/>
      <c r="E156" s="211"/>
      <c r="F156" s="188"/>
      <c r="G156" s="189"/>
    </row>
    <row r="157" spans="2:7" x14ac:dyDescent="0.25">
      <c r="B157" s="198"/>
      <c r="C157" s="199" t="s">
        <v>368</v>
      </c>
      <c r="D157" s="187"/>
      <c r="E157" s="211"/>
      <c r="F157" s="188"/>
      <c r="G157" s="189"/>
    </row>
    <row r="158" spans="2:7" x14ac:dyDescent="0.25">
      <c r="B158" s="36">
        <v>1</v>
      </c>
      <c r="C158" s="36" t="s">
        <v>133</v>
      </c>
      <c r="D158" s="187" t="s">
        <v>134</v>
      </c>
      <c r="E158" s="208">
        <v>11</v>
      </c>
      <c r="F158" s="188"/>
      <c r="G158" s="189">
        <f t="shared" ref="G158:G173" si="7">F158*E158</f>
        <v>0</v>
      </c>
    </row>
    <row r="159" spans="2:7" x14ac:dyDescent="0.25">
      <c r="B159" s="36">
        <v>2</v>
      </c>
      <c r="C159" s="36" t="s">
        <v>135</v>
      </c>
      <c r="D159" s="187" t="s">
        <v>134</v>
      </c>
      <c r="E159" s="208">
        <v>9</v>
      </c>
      <c r="F159" s="188"/>
      <c r="G159" s="189">
        <f t="shared" si="7"/>
        <v>0</v>
      </c>
    </row>
    <row r="160" spans="2:7" x14ac:dyDescent="0.25">
      <c r="B160" s="36">
        <v>3</v>
      </c>
      <c r="C160" s="36" t="s">
        <v>137</v>
      </c>
      <c r="D160" s="187" t="s">
        <v>134</v>
      </c>
      <c r="E160" s="208">
        <v>1</v>
      </c>
      <c r="F160" s="188"/>
      <c r="G160" s="189">
        <f t="shared" si="7"/>
        <v>0</v>
      </c>
    </row>
    <row r="161" spans="2:7" x14ac:dyDescent="0.25">
      <c r="B161" s="36">
        <v>4</v>
      </c>
      <c r="C161" s="36" t="s">
        <v>138</v>
      </c>
      <c r="D161" s="187" t="s">
        <v>134</v>
      </c>
      <c r="E161" s="208">
        <v>2</v>
      </c>
      <c r="F161" s="188"/>
      <c r="G161" s="189">
        <f t="shared" si="7"/>
        <v>0</v>
      </c>
    </row>
    <row r="162" spans="2:7" x14ac:dyDescent="0.25">
      <c r="B162" s="36">
        <v>5</v>
      </c>
      <c r="C162" s="36" t="s">
        <v>369</v>
      </c>
      <c r="D162" s="187" t="s">
        <v>134</v>
      </c>
      <c r="E162" s="208">
        <v>2</v>
      </c>
      <c r="F162" s="188"/>
      <c r="G162" s="189">
        <f t="shared" si="7"/>
        <v>0</v>
      </c>
    </row>
    <row r="163" spans="2:7" x14ac:dyDescent="0.25">
      <c r="B163" s="36">
        <v>6</v>
      </c>
      <c r="C163" s="36" t="s">
        <v>140</v>
      </c>
      <c r="D163" s="187" t="s">
        <v>134</v>
      </c>
      <c r="E163" s="208">
        <v>1</v>
      </c>
      <c r="F163" s="188"/>
      <c r="G163" s="189">
        <f t="shared" si="7"/>
        <v>0</v>
      </c>
    </row>
    <row r="164" spans="2:7" x14ac:dyDescent="0.25">
      <c r="B164" s="36">
        <v>7</v>
      </c>
      <c r="C164" s="36" t="s">
        <v>141</v>
      </c>
      <c r="D164" s="187" t="s">
        <v>134</v>
      </c>
      <c r="E164" s="208">
        <v>0</v>
      </c>
      <c r="F164" s="188"/>
      <c r="G164" s="189">
        <f t="shared" si="7"/>
        <v>0</v>
      </c>
    </row>
    <row r="165" spans="2:7" x14ac:dyDescent="0.25">
      <c r="B165" s="36">
        <v>8</v>
      </c>
      <c r="C165" s="36" t="s">
        <v>142</v>
      </c>
      <c r="D165" s="187" t="s">
        <v>85</v>
      </c>
      <c r="E165" s="208">
        <v>2</v>
      </c>
      <c r="F165" s="27"/>
      <c r="G165" s="189">
        <f t="shared" si="7"/>
        <v>0</v>
      </c>
    </row>
    <row r="166" spans="2:7" x14ac:dyDescent="0.25">
      <c r="B166" s="36">
        <v>9</v>
      </c>
      <c r="C166" s="36" t="s">
        <v>143</v>
      </c>
      <c r="D166" s="187" t="s">
        <v>85</v>
      </c>
      <c r="E166" s="208">
        <v>4</v>
      </c>
      <c r="F166" s="27"/>
      <c r="G166" s="189">
        <f t="shared" si="7"/>
        <v>0</v>
      </c>
    </row>
    <row r="167" spans="2:7" x14ac:dyDescent="0.25">
      <c r="B167" s="36">
        <v>10</v>
      </c>
      <c r="C167" s="36" t="s">
        <v>144</v>
      </c>
      <c r="D167" s="187" t="s">
        <v>85</v>
      </c>
      <c r="E167" s="208">
        <f>E159</f>
        <v>9</v>
      </c>
      <c r="F167" s="188"/>
      <c r="G167" s="189">
        <f t="shared" si="7"/>
        <v>0</v>
      </c>
    </row>
    <row r="168" spans="2:7" x14ac:dyDescent="0.25">
      <c r="B168" s="36">
        <v>11</v>
      </c>
      <c r="C168" s="36" t="s">
        <v>370</v>
      </c>
      <c r="D168" s="187" t="s">
        <v>85</v>
      </c>
      <c r="E168" s="208">
        <v>2</v>
      </c>
      <c r="F168" s="188"/>
      <c r="G168" s="189">
        <f t="shared" si="7"/>
        <v>0</v>
      </c>
    </row>
    <row r="169" spans="2:7" x14ac:dyDescent="0.25">
      <c r="B169" s="36">
        <v>12</v>
      </c>
      <c r="C169" s="36" t="s">
        <v>371</v>
      </c>
      <c r="D169" s="187" t="s">
        <v>85</v>
      </c>
      <c r="E169" s="208">
        <v>1</v>
      </c>
      <c r="F169" s="188"/>
      <c r="G169" s="189">
        <f t="shared" si="7"/>
        <v>0</v>
      </c>
    </row>
    <row r="170" spans="2:7" x14ac:dyDescent="0.25">
      <c r="B170" s="36">
        <v>13</v>
      </c>
      <c r="C170" s="36" t="s">
        <v>136</v>
      </c>
      <c r="D170" s="187" t="s">
        <v>85</v>
      </c>
      <c r="E170" s="208">
        <v>1</v>
      </c>
      <c r="F170" s="188"/>
      <c r="G170" s="189">
        <f t="shared" si="7"/>
        <v>0</v>
      </c>
    </row>
    <row r="171" spans="2:7" x14ac:dyDescent="0.25">
      <c r="B171" s="36">
        <v>14</v>
      </c>
      <c r="C171" s="36" t="s">
        <v>145</v>
      </c>
      <c r="D171" s="187" t="s">
        <v>146</v>
      </c>
      <c r="E171" s="208">
        <v>1</v>
      </c>
      <c r="F171" s="27"/>
      <c r="G171" s="189">
        <f t="shared" si="7"/>
        <v>0</v>
      </c>
    </row>
    <row r="172" spans="2:7" x14ac:dyDescent="0.25">
      <c r="B172" s="36">
        <v>15</v>
      </c>
      <c r="C172" s="36" t="s">
        <v>147</v>
      </c>
      <c r="D172" s="187" t="s">
        <v>148</v>
      </c>
      <c r="E172" s="208">
        <v>1</v>
      </c>
      <c r="F172" s="188"/>
      <c r="G172" s="189">
        <f t="shared" si="7"/>
        <v>0</v>
      </c>
    </row>
    <row r="173" spans="2:7" x14ac:dyDescent="0.25">
      <c r="B173" s="36">
        <v>16</v>
      </c>
      <c r="C173" s="36" t="s">
        <v>149</v>
      </c>
      <c r="D173" s="187" t="s">
        <v>150</v>
      </c>
      <c r="E173" s="208">
        <v>1</v>
      </c>
      <c r="F173" s="188"/>
      <c r="G173" s="189">
        <f t="shared" si="7"/>
        <v>0</v>
      </c>
    </row>
    <row r="174" spans="2:7" x14ac:dyDescent="0.25">
      <c r="B174" s="209"/>
      <c r="C174" s="191" t="s">
        <v>162</v>
      </c>
      <c r="D174" s="192"/>
      <c r="E174" s="193"/>
      <c r="F174" s="194"/>
      <c r="G174" s="214">
        <f>SUM(G158:G173)</f>
        <v>0</v>
      </c>
    </row>
    <row r="175" spans="2:7" x14ac:dyDescent="0.25">
      <c r="B175" s="186"/>
      <c r="C175" s="221"/>
      <c r="D175" s="187"/>
      <c r="E175" s="211"/>
      <c r="F175" s="188"/>
      <c r="G175" s="215"/>
    </row>
    <row r="176" spans="2:7" x14ac:dyDescent="0.25">
      <c r="B176" s="198" t="s">
        <v>151</v>
      </c>
      <c r="C176" s="199" t="s">
        <v>152</v>
      </c>
      <c r="D176" s="187"/>
      <c r="E176" s="211"/>
      <c r="F176" s="188"/>
      <c r="G176" s="189"/>
    </row>
    <row r="177" spans="2:7" x14ac:dyDescent="0.25">
      <c r="B177" s="53">
        <v>1</v>
      </c>
      <c r="C177" s="48" t="s">
        <v>372</v>
      </c>
      <c r="D177" s="53" t="s">
        <v>150</v>
      </c>
      <c r="E177" s="229">
        <v>1</v>
      </c>
      <c r="F177" s="27"/>
      <c r="G177" s="189">
        <f>F177*E177</f>
        <v>0</v>
      </c>
    </row>
    <row r="178" spans="2:7" x14ac:dyDescent="0.25">
      <c r="B178" s="53">
        <v>2</v>
      </c>
      <c r="C178" s="48" t="s">
        <v>373</v>
      </c>
      <c r="D178" s="53" t="s">
        <v>150</v>
      </c>
      <c r="E178" s="229">
        <v>0</v>
      </c>
      <c r="F178" s="216"/>
      <c r="G178" s="189">
        <f>F178*E178</f>
        <v>0</v>
      </c>
    </row>
    <row r="179" spans="2:7" x14ac:dyDescent="0.25">
      <c r="B179" s="53">
        <v>3</v>
      </c>
      <c r="C179" s="48" t="s">
        <v>374</v>
      </c>
      <c r="D179" s="187" t="s">
        <v>168</v>
      </c>
      <c r="E179" s="229"/>
      <c r="F179" s="216"/>
      <c r="G179" s="189"/>
    </row>
    <row r="180" spans="2:7" x14ac:dyDescent="0.25">
      <c r="B180" s="53"/>
      <c r="C180" s="230" t="s">
        <v>375</v>
      </c>
      <c r="D180" s="187" t="s">
        <v>15</v>
      </c>
      <c r="E180" s="229">
        <f>4</f>
        <v>4</v>
      </c>
      <c r="F180" s="216"/>
      <c r="G180" s="189">
        <f>F180*E180</f>
        <v>0</v>
      </c>
    </row>
    <row r="181" spans="2:7" x14ac:dyDescent="0.25">
      <c r="B181" s="53">
        <v>4</v>
      </c>
      <c r="C181" s="48" t="s">
        <v>376</v>
      </c>
      <c r="D181" s="187" t="s">
        <v>168</v>
      </c>
      <c r="E181" s="229"/>
      <c r="F181" s="216"/>
      <c r="G181" s="189"/>
    </row>
    <row r="182" spans="2:7" x14ac:dyDescent="0.25">
      <c r="B182" s="53"/>
      <c r="C182" s="230" t="s">
        <v>377</v>
      </c>
      <c r="D182" s="187" t="s">
        <v>150</v>
      </c>
      <c r="E182" s="229">
        <v>1</v>
      </c>
      <c r="F182" s="216"/>
      <c r="G182" s="189">
        <f>F182*E182</f>
        <v>0</v>
      </c>
    </row>
    <row r="183" spans="2:7" x14ac:dyDescent="0.25">
      <c r="B183" s="231"/>
      <c r="C183" s="191" t="s">
        <v>162</v>
      </c>
      <c r="D183" s="231"/>
      <c r="E183" s="232"/>
      <c r="F183" s="233"/>
      <c r="G183" s="214">
        <f>SUM(G177:G182)</f>
        <v>0</v>
      </c>
    </row>
    <row r="184" spans="2:7" x14ac:dyDescent="0.25">
      <c r="B184" s="234"/>
      <c r="C184" s="235"/>
      <c r="D184" s="53"/>
      <c r="E184" s="229"/>
      <c r="F184" s="236"/>
      <c r="G184" s="215"/>
    </row>
    <row r="185" spans="2:7" x14ac:dyDescent="0.25">
      <c r="B185" s="221" t="s">
        <v>151</v>
      </c>
      <c r="C185" s="237" t="s">
        <v>154</v>
      </c>
      <c r="D185" s="53"/>
      <c r="E185" s="238"/>
      <c r="F185" s="236"/>
      <c r="G185" s="189"/>
    </row>
    <row r="186" spans="2:7" x14ac:dyDescent="0.25">
      <c r="B186" s="53">
        <v>1</v>
      </c>
      <c r="C186" s="48" t="s">
        <v>378</v>
      </c>
      <c r="D186" s="187"/>
      <c r="E186" s="229"/>
      <c r="F186" s="216"/>
      <c r="G186" s="189"/>
    </row>
    <row r="187" spans="2:7" x14ac:dyDescent="0.25">
      <c r="B187" s="53"/>
      <c r="C187" s="49" t="s">
        <v>379</v>
      </c>
      <c r="D187" s="187" t="s">
        <v>21</v>
      </c>
      <c r="E187" s="229">
        <f>6*2.5-(2.1*2.5)+0.2*2.5*4</f>
        <v>11.75</v>
      </c>
      <c r="F187" s="216"/>
      <c r="G187" s="189">
        <f>F187*E187</f>
        <v>0</v>
      </c>
    </row>
    <row r="188" spans="2:7" x14ac:dyDescent="0.25">
      <c r="B188" s="53">
        <v>2</v>
      </c>
      <c r="C188" s="48" t="s">
        <v>380</v>
      </c>
      <c r="D188" s="187"/>
      <c r="E188" s="229"/>
      <c r="F188" s="216"/>
      <c r="G188" s="189"/>
    </row>
    <row r="189" spans="2:7" x14ac:dyDescent="0.25">
      <c r="B189" s="53"/>
      <c r="C189" s="49" t="s">
        <v>379</v>
      </c>
      <c r="D189" s="239"/>
      <c r="E189" s="229">
        <f>6*3.25-(0.4*5+2.25*1.6+2*2.5)</f>
        <v>8.9</v>
      </c>
      <c r="F189" s="216"/>
      <c r="G189" s="189">
        <f>F189*E189</f>
        <v>0</v>
      </c>
    </row>
    <row r="190" spans="2:7" x14ac:dyDescent="0.25">
      <c r="B190" s="53">
        <v>3</v>
      </c>
      <c r="C190" s="48" t="s">
        <v>381</v>
      </c>
      <c r="D190" s="187" t="s">
        <v>21</v>
      </c>
      <c r="E190" s="229">
        <f>3+1+5+1</f>
        <v>10</v>
      </c>
      <c r="F190" s="216"/>
      <c r="G190" s="189">
        <f>F190*E190</f>
        <v>0</v>
      </c>
    </row>
    <row r="191" spans="2:7" x14ac:dyDescent="0.25">
      <c r="B191" s="53">
        <v>4</v>
      </c>
      <c r="C191" s="36" t="s">
        <v>382</v>
      </c>
      <c r="D191" s="187" t="s">
        <v>21</v>
      </c>
      <c r="E191" s="208">
        <f>1.4*3+3*1.6</f>
        <v>9</v>
      </c>
      <c r="F191" s="188"/>
      <c r="G191" s="189">
        <f>F191*E191</f>
        <v>0</v>
      </c>
    </row>
    <row r="192" spans="2:7" x14ac:dyDescent="0.25">
      <c r="B192" s="53">
        <v>5</v>
      </c>
      <c r="C192" s="48" t="s">
        <v>159</v>
      </c>
      <c r="D192" s="53" t="s">
        <v>150</v>
      </c>
      <c r="E192" s="229">
        <v>0</v>
      </c>
      <c r="F192" s="216"/>
      <c r="G192" s="189">
        <f>F192*E192</f>
        <v>0</v>
      </c>
    </row>
    <row r="193" spans="2:7" x14ac:dyDescent="0.25">
      <c r="B193" s="240"/>
      <c r="C193" s="191" t="s">
        <v>162</v>
      </c>
      <c r="D193" s="231"/>
      <c r="E193" s="232"/>
      <c r="F193" s="241"/>
      <c r="G193" s="214">
        <f>SUM(G186:G192)</f>
        <v>0</v>
      </c>
    </row>
    <row r="194" spans="2:7" x14ac:dyDescent="0.25">
      <c r="B194" s="234"/>
      <c r="C194" s="235"/>
      <c r="D194" s="234"/>
      <c r="E194" s="242"/>
      <c r="F194" s="216"/>
      <c r="G194" s="189"/>
    </row>
    <row r="195" spans="2:7" x14ac:dyDescent="0.25">
      <c r="B195" s="221" t="s">
        <v>151</v>
      </c>
      <c r="C195" s="237" t="s">
        <v>163</v>
      </c>
      <c r="D195" s="53"/>
      <c r="E195" s="229"/>
      <c r="F195" s="217"/>
      <c r="G195" s="189"/>
    </row>
    <row r="196" spans="2:7" x14ac:dyDescent="0.25">
      <c r="B196" s="53">
        <v>1</v>
      </c>
      <c r="C196" s="48" t="s">
        <v>383</v>
      </c>
      <c r="D196" s="53" t="s">
        <v>156</v>
      </c>
      <c r="E196" s="229">
        <f>24*0</f>
        <v>0</v>
      </c>
      <c r="F196" s="217"/>
      <c r="G196" s="189">
        <f>F196*E196</f>
        <v>0</v>
      </c>
    </row>
    <row r="197" spans="2:7" x14ac:dyDescent="0.25">
      <c r="B197" s="53">
        <v>2</v>
      </c>
      <c r="C197" s="48" t="s">
        <v>384</v>
      </c>
      <c r="D197" s="53" t="s">
        <v>156</v>
      </c>
      <c r="E197" s="229">
        <f>22*0</f>
        <v>0</v>
      </c>
      <c r="F197" s="217"/>
      <c r="G197" s="189">
        <f>F197*E197</f>
        <v>0</v>
      </c>
    </row>
    <row r="198" spans="2:7" x14ac:dyDescent="0.25">
      <c r="B198" s="53">
        <v>3</v>
      </c>
      <c r="C198" s="48" t="s">
        <v>385</v>
      </c>
      <c r="D198" s="53" t="s">
        <v>156</v>
      </c>
      <c r="E198" s="229">
        <f>19*0</f>
        <v>0</v>
      </c>
      <c r="F198" s="217"/>
      <c r="G198" s="189">
        <f>F198*E198</f>
        <v>0</v>
      </c>
    </row>
    <row r="199" spans="2:7" x14ac:dyDescent="0.25">
      <c r="B199" s="231"/>
      <c r="C199" s="191" t="s">
        <v>162</v>
      </c>
      <c r="D199" s="240"/>
      <c r="E199" s="243"/>
      <c r="F199" s="233"/>
      <c r="G199" s="214">
        <f>SUM(G196:G198)</f>
        <v>0</v>
      </c>
    </row>
    <row r="200" spans="2:7" x14ac:dyDescent="0.25">
      <c r="B200" s="244"/>
      <c r="C200" s="245"/>
      <c r="D200" s="246"/>
      <c r="E200" s="247"/>
      <c r="F200" s="248"/>
      <c r="G200" s="248"/>
    </row>
    <row r="201" spans="2:7" x14ac:dyDescent="0.25">
      <c r="B201" s="169"/>
      <c r="C201" s="245"/>
      <c r="D201" s="245"/>
      <c r="E201" s="247"/>
      <c r="F201" s="248"/>
      <c r="G201" s="248"/>
    </row>
    <row r="202" spans="2:7" x14ac:dyDescent="0.25">
      <c r="B202" s="168" t="s">
        <v>167</v>
      </c>
      <c r="C202" s="169"/>
      <c r="D202" s="169"/>
      <c r="E202" s="170"/>
      <c r="F202" s="249"/>
      <c r="G202" s="249"/>
    </row>
    <row r="203" spans="2:7" x14ac:dyDescent="0.25">
      <c r="B203" s="250"/>
      <c r="C203" s="251"/>
      <c r="D203" s="251"/>
      <c r="E203" s="252"/>
      <c r="F203" s="253" t="s">
        <v>169</v>
      </c>
      <c r="G203" s="254"/>
    </row>
    <row r="204" spans="2:7" x14ac:dyDescent="0.25">
      <c r="B204" s="255" t="s">
        <v>12</v>
      </c>
      <c r="C204" s="183" t="s">
        <v>13</v>
      </c>
      <c r="D204" s="256"/>
      <c r="E204" s="42"/>
      <c r="F204" s="236">
        <v>1.1156174676816415</v>
      </c>
      <c r="G204" s="215">
        <f>G15</f>
        <v>0</v>
      </c>
    </row>
    <row r="205" spans="2:7" x14ac:dyDescent="0.25">
      <c r="B205" s="198" t="s">
        <v>23</v>
      </c>
      <c r="C205" s="199" t="s">
        <v>24</v>
      </c>
      <c r="D205" s="256"/>
      <c r="E205" s="42"/>
      <c r="F205" s="236">
        <v>1.8930991060880167</v>
      </c>
      <c r="G205" s="257">
        <f>G23</f>
        <v>0</v>
      </c>
    </row>
    <row r="206" spans="2:7" x14ac:dyDescent="0.25">
      <c r="B206" s="198" t="s">
        <v>30</v>
      </c>
      <c r="C206" s="199" t="s">
        <v>31</v>
      </c>
      <c r="D206" s="256"/>
      <c r="E206" s="42"/>
      <c r="F206" s="236">
        <v>2.2614720573209159</v>
      </c>
      <c r="G206" s="215">
        <f>G28</f>
        <v>0</v>
      </c>
    </row>
    <row r="207" spans="2:7" x14ac:dyDescent="0.25">
      <c r="B207" s="198" t="s">
        <v>35</v>
      </c>
      <c r="C207" s="199" t="s">
        <v>36</v>
      </c>
      <c r="D207" s="256"/>
      <c r="E207" s="42"/>
      <c r="F207" s="236">
        <v>39.514000115440155</v>
      </c>
      <c r="G207" s="215">
        <f>G43</f>
        <v>0</v>
      </c>
    </row>
    <row r="208" spans="2:7" x14ac:dyDescent="0.25">
      <c r="B208" s="198" t="s">
        <v>46</v>
      </c>
      <c r="C208" s="199" t="s">
        <v>47</v>
      </c>
      <c r="D208" s="256"/>
      <c r="E208" s="42"/>
      <c r="F208" s="236">
        <v>7.3747415115914814</v>
      </c>
      <c r="G208" s="215">
        <f>G56</f>
        <v>0</v>
      </c>
    </row>
    <row r="209" spans="2:7" x14ac:dyDescent="0.25">
      <c r="B209" s="198" t="s">
        <v>55</v>
      </c>
      <c r="C209" s="199" t="s">
        <v>56</v>
      </c>
      <c r="D209" s="256"/>
      <c r="E209" s="42"/>
      <c r="F209" s="236">
        <v>2.9007855509160492</v>
      </c>
      <c r="G209" s="257">
        <f>G65</f>
        <v>0</v>
      </c>
    </row>
    <row r="210" spans="2:7" x14ac:dyDescent="0.25">
      <c r="B210" s="198" t="s">
        <v>61</v>
      </c>
      <c r="C210" s="199" t="s">
        <v>62</v>
      </c>
      <c r="D210" s="256"/>
      <c r="E210" s="42"/>
      <c r="F210" s="236">
        <v>3.3837877004596737</v>
      </c>
      <c r="G210" s="257">
        <f>G73</f>
        <v>0</v>
      </c>
    </row>
    <row r="211" spans="2:7" x14ac:dyDescent="0.25">
      <c r="B211" s="198" t="s">
        <v>67</v>
      </c>
      <c r="C211" s="199" t="s">
        <v>68</v>
      </c>
      <c r="D211" s="256"/>
      <c r="E211" s="42"/>
      <c r="F211" s="236">
        <v>16.483445352603166</v>
      </c>
      <c r="G211" s="257">
        <f>G79</f>
        <v>0</v>
      </c>
    </row>
    <row r="212" spans="2:7" x14ac:dyDescent="0.25">
      <c r="B212" s="198" t="s">
        <v>72</v>
      </c>
      <c r="C212" s="199" t="s">
        <v>73</v>
      </c>
      <c r="D212" s="256"/>
      <c r="E212" s="42"/>
      <c r="F212" s="236">
        <v>5.1313661772732893</v>
      </c>
      <c r="G212" s="257">
        <f>G89</f>
        <v>0</v>
      </c>
    </row>
    <row r="213" spans="2:7" x14ac:dyDescent="0.25">
      <c r="B213" s="198" t="s">
        <v>80</v>
      </c>
      <c r="C213" s="199" t="s">
        <v>81</v>
      </c>
      <c r="D213" s="256"/>
      <c r="E213" s="42"/>
      <c r="F213" s="236">
        <v>2.9993337091324253</v>
      </c>
      <c r="G213" s="257">
        <f>G116</f>
        <v>0</v>
      </c>
    </row>
    <row r="214" spans="2:7" x14ac:dyDescent="0.25">
      <c r="B214" s="198" t="s">
        <v>100</v>
      </c>
      <c r="C214" s="199" t="s">
        <v>101</v>
      </c>
      <c r="D214" s="256"/>
      <c r="E214" s="42"/>
      <c r="F214" s="236">
        <v>2.4298645921086925</v>
      </c>
      <c r="G214" s="257">
        <f>G124</f>
        <v>0</v>
      </c>
    </row>
    <row r="215" spans="2:7" x14ac:dyDescent="0.25">
      <c r="B215" s="198" t="s">
        <v>107</v>
      </c>
      <c r="C215" s="199" t="s">
        <v>108</v>
      </c>
      <c r="D215" s="256"/>
      <c r="E215" s="42"/>
      <c r="F215" s="236">
        <v>4.8981879479376103</v>
      </c>
      <c r="G215" s="257">
        <f>G154</f>
        <v>0</v>
      </c>
    </row>
    <row r="216" spans="2:7" x14ac:dyDescent="0.25">
      <c r="B216" s="198" t="s">
        <v>130</v>
      </c>
      <c r="C216" s="199" t="s">
        <v>131</v>
      </c>
      <c r="D216" s="256"/>
      <c r="E216" s="42"/>
      <c r="F216" s="236">
        <v>3.2580345025892505</v>
      </c>
      <c r="G216" s="257">
        <f>G174</f>
        <v>0</v>
      </c>
    </row>
    <row r="217" spans="2:7" x14ac:dyDescent="0.25">
      <c r="B217" s="198" t="s">
        <v>151</v>
      </c>
      <c r="C217" s="199" t="str">
        <f>C176</f>
        <v>PEK. LAIN - LAIN</v>
      </c>
      <c r="D217" s="256"/>
      <c r="E217" s="42"/>
      <c r="F217" s="236">
        <v>3.2025289207286383</v>
      </c>
      <c r="G217" s="257">
        <f>G183</f>
        <v>0</v>
      </c>
    </row>
    <row r="218" spans="2:7" x14ac:dyDescent="0.25">
      <c r="B218" s="198" t="s">
        <v>170</v>
      </c>
      <c r="C218" s="199" t="str">
        <f>C185</f>
        <v>PEK. PERUBAHAN BENTUK TAMPAK MUKA</v>
      </c>
      <c r="D218" s="256"/>
      <c r="E218" s="42"/>
      <c r="F218" s="236">
        <v>3.1537352881290164</v>
      </c>
      <c r="G218" s="257">
        <f>G193</f>
        <v>0</v>
      </c>
    </row>
    <row r="219" spans="2:7" x14ac:dyDescent="0.25">
      <c r="B219" s="198" t="s">
        <v>171</v>
      </c>
      <c r="C219" s="199" t="str">
        <f>C195</f>
        <v>PEKERJAAN PLESTER DINDING SAMPING</v>
      </c>
      <c r="D219" s="256"/>
      <c r="E219" s="42"/>
      <c r="F219" s="236">
        <v>0</v>
      </c>
      <c r="G219" s="257">
        <f>G199</f>
        <v>0</v>
      </c>
    </row>
    <row r="220" spans="2:7" x14ac:dyDescent="0.25">
      <c r="B220" s="258"/>
      <c r="C220" s="259"/>
      <c r="D220" s="260"/>
      <c r="E220" s="60"/>
      <c r="F220" s="261">
        <v>100.00000000000003</v>
      </c>
      <c r="G220" s="262"/>
    </row>
    <row r="221" spans="2:7" x14ac:dyDescent="0.25">
      <c r="B221" s="263" t="s">
        <v>386</v>
      </c>
      <c r="C221" s="169" t="s">
        <v>387</v>
      </c>
      <c r="D221" s="169"/>
      <c r="E221" s="170"/>
      <c r="F221" s="171"/>
      <c r="G221" s="264"/>
    </row>
    <row r="222" spans="2:7" x14ac:dyDescent="0.25">
      <c r="B222" s="263"/>
      <c r="C222" s="169"/>
      <c r="D222" s="169"/>
      <c r="E222" s="170"/>
      <c r="F222" s="265" t="s">
        <v>388</v>
      </c>
      <c r="G222" s="266">
        <f>SUM(G203:G219)</f>
        <v>0</v>
      </c>
    </row>
    <row r="223" spans="2:7" x14ac:dyDescent="0.25">
      <c r="B223" s="263"/>
      <c r="C223" s="169"/>
      <c r="D223" s="169"/>
      <c r="E223" s="170"/>
      <c r="F223" s="265" t="s">
        <v>389</v>
      </c>
      <c r="G223" s="266">
        <f>G222*0.1</f>
        <v>0</v>
      </c>
    </row>
    <row r="224" spans="2:7" x14ac:dyDescent="0.25">
      <c r="B224" s="263"/>
      <c r="C224" s="169"/>
      <c r="D224" s="169"/>
      <c r="E224" s="170"/>
      <c r="F224" s="265" t="s">
        <v>390</v>
      </c>
      <c r="G224" s="266">
        <f>+G222</f>
        <v>0</v>
      </c>
    </row>
    <row r="225" spans="2:7" ht="15.75" x14ac:dyDescent="0.25">
      <c r="B225" s="263"/>
      <c r="C225" s="169"/>
      <c r="D225" s="169"/>
      <c r="E225" s="170"/>
      <c r="F225" s="267" t="s">
        <v>301</v>
      </c>
      <c r="G225" s="268">
        <f>ROUNDDOWN(G224,-4)</f>
        <v>0</v>
      </c>
    </row>
    <row r="226" spans="2:7" x14ac:dyDescent="0.25">
      <c r="B226" s="263"/>
      <c r="C226" s="169"/>
      <c r="D226" s="169"/>
      <c r="E226" s="269"/>
      <c r="F226" s="270" t="s">
        <v>391</v>
      </c>
      <c r="G226" s="271">
        <f>0.1*G225</f>
        <v>0</v>
      </c>
    </row>
    <row r="227" spans="2:7" x14ac:dyDescent="0.25">
      <c r="B227" s="263"/>
      <c r="C227" s="169"/>
      <c r="D227" s="169"/>
      <c r="E227" s="269"/>
      <c r="F227" s="270" t="s">
        <v>392</v>
      </c>
      <c r="G227" s="272">
        <f>G226+G225</f>
        <v>0</v>
      </c>
    </row>
    <row r="228" spans="2:7" x14ac:dyDescent="0.25">
      <c r="B228" s="263"/>
      <c r="C228" s="169"/>
      <c r="D228" s="169"/>
      <c r="E228" s="170"/>
      <c r="F228" s="270"/>
      <c r="G228" s="273"/>
    </row>
    <row r="229" spans="2:7" x14ac:dyDescent="0.25">
      <c r="B229" s="263"/>
      <c r="C229" s="169"/>
      <c r="D229" s="169"/>
      <c r="E229" s="170"/>
      <c r="F229" s="265"/>
      <c r="G229" s="274"/>
    </row>
    <row r="230" spans="2:7" x14ac:dyDescent="0.25">
      <c r="B230" s="263"/>
      <c r="C230" s="169"/>
      <c r="D230" s="275" t="s">
        <v>178</v>
      </c>
      <c r="E230" s="275"/>
      <c r="F230" s="171"/>
      <c r="G230" s="171">
        <v>55</v>
      </c>
    </row>
    <row r="231" spans="2:7" x14ac:dyDescent="0.25">
      <c r="B231" s="263"/>
      <c r="C231" s="169"/>
      <c r="D231" s="275"/>
      <c r="E231" s="275"/>
      <c r="F231" s="171"/>
      <c r="G231" s="270"/>
    </row>
    <row r="232" spans="2:7" x14ac:dyDescent="0.25">
      <c r="B232" s="263"/>
      <c r="C232" s="169"/>
      <c r="D232" s="275" t="s">
        <v>180</v>
      </c>
      <c r="E232" s="275"/>
      <c r="F232" s="171"/>
      <c r="G232" s="276">
        <f>G225/G230</f>
        <v>0</v>
      </c>
    </row>
    <row r="233" spans="2:7" x14ac:dyDescent="0.25">
      <c r="B233" s="277"/>
      <c r="C233" s="278"/>
      <c r="D233" s="279"/>
      <c r="E233" s="279"/>
      <c r="F233" s="280"/>
      <c r="G233" s="281"/>
    </row>
  </sheetData>
  <mergeCells count="3">
    <mergeCell ref="B5:B6"/>
    <mergeCell ref="C5:C6"/>
    <mergeCell ref="D5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2"/>
  <sheetViews>
    <sheetView workbookViewId="0">
      <selection activeCell="C5" sqref="C5:C6"/>
    </sheetView>
  </sheetViews>
  <sheetFormatPr defaultRowHeight="15" x14ac:dyDescent="0.25"/>
  <cols>
    <col min="1" max="1" width="3.28515625" customWidth="1"/>
    <col min="2" max="2" width="3.5703125" customWidth="1"/>
    <col min="3" max="3" width="44.7109375" customWidth="1"/>
    <col min="4" max="4" width="5.140625" customWidth="1"/>
    <col min="5" max="5" width="9.7109375" bestFit="1" customWidth="1"/>
    <col min="6" max="6" width="14.5703125" bestFit="1" customWidth="1"/>
    <col min="7" max="7" width="15.42578125" customWidth="1"/>
  </cols>
  <sheetData>
    <row r="1" spans="2:7" ht="18" x14ac:dyDescent="0.25">
      <c r="B1" s="167" t="s">
        <v>0</v>
      </c>
      <c r="C1" s="168"/>
      <c r="D1" s="169"/>
      <c r="E1" s="170"/>
      <c r="F1" s="171"/>
      <c r="G1" s="171"/>
    </row>
    <row r="2" spans="2:7" ht="18" x14ac:dyDescent="0.25">
      <c r="B2" s="167" t="s">
        <v>1</v>
      </c>
      <c r="C2" s="168"/>
      <c r="D2" s="169"/>
      <c r="E2" s="170"/>
      <c r="F2" s="171"/>
      <c r="G2" s="171"/>
    </row>
    <row r="3" spans="2:7" ht="18" x14ac:dyDescent="0.25">
      <c r="B3" s="167" t="s">
        <v>2</v>
      </c>
      <c r="C3" s="168"/>
      <c r="D3" s="169"/>
      <c r="E3" s="170"/>
      <c r="F3" s="171"/>
      <c r="G3" s="171">
        <f>G231</f>
        <v>0</v>
      </c>
    </row>
    <row r="4" spans="2:7" ht="18.75" x14ac:dyDescent="0.3">
      <c r="B4" s="169"/>
      <c r="C4" s="172"/>
      <c r="D4" s="169"/>
      <c r="E4" s="62"/>
      <c r="F4" s="173"/>
      <c r="G4" s="173" t="s">
        <v>393</v>
      </c>
    </row>
    <row r="5" spans="2:7" x14ac:dyDescent="0.25">
      <c r="B5" s="157" t="s">
        <v>4</v>
      </c>
      <c r="C5" s="157" t="s">
        <v>5</v>
      </c>
      <c r="D5" s="157" t="s">
        <v>6</v>
      </c>
      <c r="E5" s="174" t="s">
        <v>7</v>
      </c>
      <c r="F5" s="175" t="s">
        <v>305</v>
      </c>
      <c r="G5" s="175" t="s">
        <v>9</v>
      </c>
    </row>
    <row r="6" spans="2:7" ht="15.75" thickBot="1" x14ac:dyDescent="0.3">
      <c r="B6" s="158"/>
      <c r="C6" s="158"/>
      <c r="D6" s="158"/>
      <c r="E6" s="176" t="s">
        <v>394</v>
      </c>
      <c r="F6" s="177" t="s">
        <v>394</v>
      </c>
      <c r="G6" s="177" t="s">
        <v>394</v>
      </c>
    </row>
    <row r="7" spans="2:7" ht="16.5" thickTop="1" x14ac:dyDescent="0.25">
      <c r="B7" s="178"/>
      <c r="C7" s="179"/>
      <c r="D7" s="180"/>
      <c r="E7" s="17"/>
      <c r="F7" s="181"/>
      <c r="G7" s="181"/>
    </row>
    <row r="8" spans="2:7" x14ac:dyDescent="0.25">
      <c r="B8" s="182" t="s">
        <v>12</v>
      </c>
      <c r="C8" s="183" t="s">
        <v>13</v>
      </c>
      <c r="D8" s="184"/>
      <c r="E8" s="22"/>
      <c r="F8" s="185"/>
      <c r="G8" s="185"/>
    </row>
    <row r="9" spans="2:7" x14ac:dyDescent="0.25">
      <c r="B9" s="186">
        <v>1</v>
      </c>
      <c r="C9" s="36" t="s">
        <v>14</v>
      </c>
      <c r="D9" s="187" t="s">
        <v>15</v>
      </c>
      <c r="E9" s="27">
        <f>8*2+7*2</f>
        <v>30</v>
      </c>
      <c r="F9" s="188"/>
      <c r="G9" s="189">
        <f t="shared" ref="G9:G14" si="0">F9*E9</f>
        <v>0</v>
      </c>
    </row>
    <row r="10" spans="2:7" x14ac:dyDescent="0.25">
      <c r="B10" s="36">
        <v>2</v>
      </c>
      <c r="C10" s="36" t="s">
        <v>16</v>
      </c>
      <c r="D10" s="187" t="s">
        <v>17</v>
      </c>
      <c r="E10" s="27">
        <v>1</v>
      </c>
      <c r="F10" s="188"/>
      <c r="G10" s="189">
        <f t="shared" si="0"/>
        <v>0</v>
      </c>
    </row>
    <row r="11" spans="2:7" x14ac:dyDescent="0.25">
      <c r="B11" s="36">
        <v>3</v>
      </c>
      <c r="C11" s="36" t="s">
        <v>18</v>
      </c>
      <c r="D11" s="187" t="s">
        <v>17</v>
      </c>
      <c r="E11" s="27">
        <v>1</v>
      </c>
      <c r="F11" s="188"/>
      <c r="G11" s="189">
        <f t="shared" si="0"/>
        <v>0</v>
      </c>
    </row>
    <row r="12" spans="2:7" x14ac:dyDescent="0.25">
      <c r="B12" s="36">
        <v>4</v>
      </c>
      <c r="C12" s="36" t="s">
        <v>19</v>
      </c>
      <c r="D12" s="187" t="s">
        <v>17</v>
      </c>
      <c r="E12" s="27">
        <v>1</v>
      </c>
      <c r="F12" s="188"/>
      <c r="G12" s="189">
        <f t="shared" si="0"/>
        <v>0</v>
      </c>
    </row>
    <row r="13" spans="2:7" x14ac:dyDescent="0.25">
      <c r="B13" s="186">
        <v>5</v>
      </c>
      <c r="C13" s="36" t="s">
        <v>20</v>
      </c>
      <c r="D13" s="187" t="s">
        <v>21</v>
      </c>
      <c r="E13" s="27">
        <f>1*(3*4)+2*(3*5)-0.5*2*4+0.5*1-(2*3)</f>
        <v>32.5</v>
      </c>
      <c r="F13" s="188"/>
      <c r="G13" s="189">
        <f t="shared" si="0"/>
        <v>0</v>
      </c>
    </row>
    <row r="14" spans="2:7" x14ac:dyDescent="0.25">
      <c r="B14" s="186"/>
      <c r="C14" s="36" t="s">
        <v>22</v>
      </c>
      <c r="D14" s="187" t="s">
        <v>21</v>
      </c>
      <c r="E14" s="27">
        <f>3*5+3*3+4*5</f>
        <v>44</v>
      </c>
      <c r="F14" s="188"/>
      <c r="G14" s="189">
        <f t="shared" si="0"/>
        <v>0</v>
      </c>
    </row>
    <row r="15" spans="2:7" x14ac:dyDescent="0.25">
      <c r="B15" s="36"/>
      <c r="C15" s="221" t="s">
        <v>162</v>
      </c>
      <c r="D15" s="187"/>
      <c r="E15" s="196"/>
      <c r="F15" s="188"/>
      <c r="G15" s="197">
        <f>SUM(G9:G14)</f>
        <v>0</v>
      </c>
    </row>
    <row r="16" spans="2:7" x14ac:dyDescent="0.25">
      <c r="B16" s="36"/>
      <c r="C16" s="36"/>
      <c r="D16" s="187"/>
      <c r="E16" s="196"/>
      <c r="F16" s="188"/>
      <c r="G16" s="197"/>
    </row>
    <row r="17" spans="2:7" x14ac:dyDescent="0.25">
      <c r="B17" s="198" t="s">
        <v>23</v>
      </c>
      <c r="C17" s="199" t="s">
        <v>24</v>
      </c>
      <c r="D17" s="187"/>
      <c r="E17" s="196"/>
      <c r="F17" s="188"/>
      <c r="G17" s="189"/>
    </row>
    <row r="18" spans="2:7" x14ac:dyDescent="0.25">
      <c r="B18" s="186">
        <v>1</v>
      </c>
      <c r="C18" s="36" t="s">
        <v>25</v>
      </c>
      <c r="D18" s="187" t="s">
        <v>26</v>
      </c>
      <c r="E18" s="27">
        <f>0.7*0.8*(3*7+2*3)+0.6*0.6*(3*2+2*4)-0.6*0.6*1-0.7*0.8*1.5</f>
        <v>18.96</v>
      </c>
      <c r="F18" s="188"/>
      <c r="G18" s="189">
        <f>F18*E18</f>
        <v>0</v>
      </c>
    </row>
    <row r="19" spans="2:7" x14ac:dyDescent="0.25">
      <c r="B19" s="186">
        <v>2</v>
      </c>
      <c r="C19" s="36" t="s">
        <v>27</v>
      </c>
      <c r="D19" s="187" t="s">
        <v>26</v>
      </c>
      <c r="E19" s="27">
        <f>E18-E25-E30-E31</f>
        <v>6.1245000000000012</v>
      </c>
      <c r="F19" s="188"/>
      <c r="G19" s="189">
        <f>F19*E19</f>
        <v>0</v>
      </c>
    </row>
    <row r="20" spans="2:7" x14ac:dyDescent="0.25">
      <c r="B20" s="186">
        <v>3</v>
      </c>
      <c r="C20" s="36" t="s">
        <v>28</v>
      </c>
      <c r="D20" s="187" t="s">
        <v>26</v>
      </c>
      <c r="E20" s="27">
        <f>0.05*(3*3+3*5+1.4*2+2)+0.05*0.6*(38)</f>
        <v>2.58</v>
      </c>
      <c r="F20" s="188"/>
      <c r="G20" s="189">
        <f>F20*E20</f>
        <v>0</v>
      </c>
    </row>
    <row r="21" spans="2:7" x14ac:dyDescent="0.25">
      <c r="B21" s="186">
        <v>4</v>
      </c>
      <c r="C21" s="36" t="s">
        <v>29</v>
      </c>
      <c r="D21" s="187" t="s">
        <v>26</v>
      </c>
      <c r="E21" s="27">
        <f>0.04*(9+2.8+15+2)</f>
        <v>1.1520000000000001</v>
      </c>
      <c r="F21" s="188"/>
      <c r="G21" s="189">
        <f>F21*E21</f>
        <v>0</v>
      </c>
    </row>
    <row r="22" spans="2:7" x14ac:dyDescent="0.25">
      <c r="B22" s="36"/>
      <c r="C22" s="221" t="s">
        <v>162</v>
      </c>
      <c r="D22" s="187"/>
      <c r="E22" s="27"/>
      <c r="F22" s="188"/>
      <c r="G22" s="197">
        <f>SUM(G18:G21)</f>
        <v>0</v>
      </c>
    </row>
    <row r="23" spans="2:7" x14ac:dyDescent="0.25">
      <c r="B23" s="36"/>
      <c r="C23" s="36"/>
      <c r="D23" s="187"/>
      <c r="E23" s="27"/>
      <c r="F23" s="188"/>
      <c r="G23" s="197"/>
    </row>
    <row r="24" spans="2:7" x14ac:dyDescent="0.25">
      <c r="B24" s="198" t="s">
        <v>30</v>
      </c>
      <c r="C24" s="199" t="s">
        <v>31</v>
      </c>
      <c r="D24" s="36"/>
      <c r="E24" s="27"/>
      <c r="F24" s="188"/>
      <c r="G24" s="189"/>
    </row>
    <row r="25" spans="2:7" x14ac:dyDescent="0.25">
      <c r="B25" s="186">
        <v>1</v>
      </c>
      <c r="C25" s="36" t="s">
        <v>309</v>
      </c>
      <c r="D25" s="187" t="s">
        <v>26</v>
      </c>
      <c r="E25" s="27">
        <f>0.425*0.6*(26)+0.375*0.5*(21)</f>
        <v>10.567499999999999</v>
      </c>
      <c r="F25" s="188"/>
      <c r="G25" s="189">
        <f>F25*E25</f>
        <v>0</v>
      </c>
    </row>
    <row r="26" spans="2:7" x14ac:dyDescent="0.25">
      <c r="B26" s="186">
        <v>2</v>
      </c>
      <c r="C26" s="36" t="s">
        <v>33</v>
      </c>
      <c r="D26" s="187" t="s">
        <v>199</v>
      </c>
      <c r="E26" s="27">
        <v>5</v>
      </c>
      <c r="F26" s="188"/>
      <c r="G26" s="189">
        <f>F26*E26</f>
        <v>0</v>
      </c>
    </row>
    <row r="27" spans="2:7" x14ac:dyDescent="0.25">
      <c r="B27" s="198"/>
      <c r="C27" s="221" t="s">
        <v>162</v>
      </c>
      <c r="D27" s="187"/>
      <c r="E27" s="196"/>
      <c r="F27" s="189"/>
      <c r="G27" s="197">
        <f>SUM(G25:G26)</f>
        <v>0</v>
      </c>
    </row>
    <row r="28" spans="2:7" x14ac:dyDescent="0.25">
      <c r="B28" s="198"/>
      <c r="C28" s="36"/>
      <c r="D28" s="187"/>
      <c r="E28" s="196"/>
      <c r="F28" s="189"/>
      <c r="G28" s="197"/>
    </row>
    <row r="29" spans="2:7" x14ac:dyDescent="0.25">
      <c r="B29" s="198" t="s">
        <v>35</v>
      </c>
      <c r="C29" s="199" t="s">
        <v>36</v>
      </c>
      <c r="D29" s="36"/>
      <c r="E29" s="27"/>
      <c r="F29" s="189"/>
      <c r="G29" s="189"/>
    </row>
    <row r="30" spans="2:7" x14ac:dyDescent="0.25">
      <c r="B30" s="186">
        <v>1</v>
      </c>
      <c r="C30" s="36" t="s">
        <v>310</v>
      </c>
      <c r="D30" s="187" t="s">
        <v>26</v>
      </c>
      <c r="E30" s="203">
        <f>0.2*(0.8*0.8*6)</f>
        <v>0.76800000000000024</v>
      </c>
      <c r="F30" s="188"/>
      <c r="G30" s="189">
        <f t="shared" ref="G30:G41" si="1">F30*E30</f>
        <v>0</v>
      </c>
    </row>
    <row r="31" spans="2:7" x14ac:dyDescent="0.25">
      <c r="B31" s="186">
        <v>2</v>
      </c>
      <c r="C31" s="36" t="s">
        <v>395</v>
      </c>
      <c r="D31" s="187" t="s">
        <v>26</v>
      </c>
      <c r="E31" s="42">
        <f>0.15*0.25*(3*8+4)+0.15*0.2*(12+3)</f>
        <v>1.5</v>
      </c>
      <c r="F31" s="188"/>
      <c r="G31" s="189">
        <f t="shared" si="1"/>
        <v>0</v>
      </c>
    </row>
    <row r="32" spans="2:7" x14ac:dyDescent="0.25">
      <c r="B32" s="186">
        <v>3</v>
      </c>
      <c r="C32" s="204" t="s">
        <v>312</v>
      </c>
      <c r="D32" s="187" t="s">
        <v>26</v>
      </c>
      <c r="E32" s="51">
        <f>0.2*0.35*(6+4)+0.2*0.3*(3*6)+0.15*0.25*(7)+0.15*0.3*6-0.15*0.35*3</f>
        <v>2.1549999999999998</v>
      </c>
      <c r="F32" s="188"/>
      <c r="G32" s="189">
        <f t="shared" si="1"/>
        <v>0</v>
      </c>
    </row>
    <row r="33" spans="2:7" x14ac:dyDescent="0.25">
      <c r="B33" s="186">
        <v>4</v>
      </c>
      <c r="C33" s="36" t="s">
        <v>313</v>
      </c>
      <c r="D33" s="187" t="s">
        <v>26</v>
      </c>
      <c r="E33" s="27">
        <f>0.15*0.25*(3*9+1*4+6)+0.15*0.25*4*6-0.2*0.35*3+0.15*0.15*0.2*7</f>
        <v>2.1089999999999995</v>
      </c>
      <c r="F33" s="188"/>
      <c r="G33" s="189">
        <f t="shared" si="1"/>
        <v>0</v>
      </c>
    </row>
    <row r="34" spans="2:7" x14ac:dyDescent="0.25">
      <c r="B34" s="186">
        <v>5</v>
      </c>
      <c r="C34" s="36" t="s">
        <v>314</v>
      </c>
      <c r="D34" s="187" t="s">
        <v>26</v>
      </c>
      <c r="E34" s="27"/>
      <c r="F34" s="188"/>
      <c r="G34" s="189">
        <f t="shared" si="1"/>
        <v>0</v>
      </c>
    </row>
    <row r="35" spans="2:7" x14ac:dyDescent="0.25">
      <c r="B35" s="186">
        <v>6</v>
      </c>
      <c r="C35" s="36" t="s">
        <v>315</v>
      </c>
      <c r="D35" s="187" t="s">
        <v>26</v>
      </c>
      <c r="E35" s="27">
        <f>0.15*0.35*7*4.5</f>
        <v>1.6537500000000001</v>
      </c>
      <c r="F35" s="188"/>
      <c r="G35" s="189">
        <f t="shared" si="1"/>
        <v>0</v>
      </c>
    </row>
    <row r="36" spans="2:7" x14ac:dyDescent="0.25">
      <c r="B36" s="186">
        <v>7</v>
      </c>
      <c r="C36" s="36" t="s">
        <v>316</v>
      </c>
      <c r="D36" s="187" t="s">
        <v>26</v>
      </c>
      <c r="E36" s="27">
        <f>0.15*0.25*3.5*7+0.15*0.2*3.5*3</f>
        <v>1.2337500000000001</v>
      </c>
      <c r="F36" s="188"/>
      <c r="G36" s="189">
        <f t="shared" si="1"/>
        <v>0</v>
      </c>
    </row>
    <row r="37" spans="2:7" x14ac:dyDescent="0.25">
      <c r="B37" s="186">
        <v>8</v>
      </c>
      <c r="C37" s="204" t="s">
        <v>317</v>
      </c>
      <c r="D37" s="187" t="s">
        <v>26</v>
      </c>
      <c r="E37" s="27">
        <f>0.13*0.2*(3.5*2)+0.13*0.13*(2.5*4)+0.13*0.13*(3.5*4)</f>
        <v>0.58760000000000012</v>
      </c>
      <c r="F37" s="188"/>
      <c r="G37" s="189">
        <f t="shared" si="1"/>
        <v>0</v>
      </c>
    </row>
    <row r="38" spans="2:7" x14ac:dyDescent="0.25">
      <c r="B38" s="186">
        <v>9</v>
      </c>
      <c r="C38" s="204" t="s">
        <v>318</v>
      </c>
      <c r="D38" s="187" t="s">
        <v>26</v>
      </c>
      <c r="E38" s="27">
        <f>0.12*(3*5+1*4-1.15*3-1.1*1)</f>
        <v>1.734</v>
      </c>
      <c r="F38" s="188"/>
      <c r="G38" s="189">
        <f t="shared" si="1"/>
        <v>0</v>
      </c>
    </row>
    <row r="39" spans="2:7" x14ac:dyDescent="0.25">
      <c r="B39" s="186">
        <v>10</v>
      </c>
      <c r="C39" s="204" t="s">
        <v>319</v>
      </c>
      <c r="D39" s="187" t="s">
        <v>26</v>
      </c>
      <c r="E39" s="27">
        <f>0.15*(1.25*1.75*3)+0.5*0.2*1.25*23*0.3</f>
        <v>1.8468749999999998</v>
      </c>
      <c r="F39" s="188"/>
      <c r="G39" s="189">
        <f t="shared" si="1"/>
        <v>0</v>
      </c>
    </row>
    <row r="40" spans="2:7" x14ac:dyDescent="0.25">
      <c r="B40" s="186">
        <v>11</v>
      </c>
      <c r="C40" s="204" t="s">
        <v>320</v>
      </c>
      <c r="D40" s="187" t="s">
        <v>26</v>
      </c>
      <c r="E40" s="27">
        <f>0.15*(0.3*6+1.25*2+0.3*6)+0.12*1.5*2</f>
        <v>1.2749999999999999</v>
      </c>
      <c r="F40" s="188"/>
      <c r="G40" s="189">
        <f t="shared" si="1"/>
        <v>0</v>
      </c>
    </row>
    <row r="41" spans="2:7" x14ac:dyDescent="0.25">
      <c r="B41" s="186">
        <v>12</v>
      </c>
      <c r="C41" s="36" t="s">
        <v>45</v>
      </c>
      <c r="D41" s="187" t="s">
        <v>26</v>
      </c>
      <c r="E41" s="27">
        <f>0.12*1.4*0.7</f>
        <v>0.11759999999999998</v>
      </c>
      <c r="F41" s="188"/>
      <c r="G41" s="189">
        <f t="shared" si="1"/>
        <v>0</v>
      </c>
    </row>
    <row r="42" spans="2:7" x14ac:dyDescent="0.25">
      <c r="B42" s="186"/>
      <c r="C42" s="36" t="s">
        <v>396</v>
      </c>
      <c r="D42" s="192" t="s">
        <v>26</v>
      </c>
      <c r="E42" s="200"/>
      <c r="F42" s="194"/>
      <c r="G42" s="202">
        <f>F42*E42</f>
        <v>0</v>
      </c>
    </row>
    <row r="43" spans="2:7" x14ac:dyDescent="0.25">
      <c r="B43" s="282"/>
      <c r="C43" s="221" t="s">
        <v>162</v>
      </c>
      <c r="D43" s="283"/>
      <c r="E43" s="284"/>
      <c r="F43" s="188"/>
      <c r="G43" s="197">
        <f>SUM(G30:G42)</f>
        <v>0</v>
      </c>
    </row>
    <row r="44" spans="2:7" x14ac:dyDescent="0.25">
      <c r="B44" s="198"/>
      <c r="C44" s="36"/>
      <c r="D44" s="187"/>
      <c r="E44" s="196"/>
      <c r="F44" s="188"/>
      <c r="G44" s="197"/>
    </row>
    <row r="45" spans="2:7" x14ac:dyDescent="0.25">
      <c r="B45" s="198" t="s">
        <v>46</v>
      </c>
      <c r="C45" s="199" t="s">
        <v>47</v>
      </c>
      <c r="D45" s="187"/>
      <c r="E45" s="196"/>
      <c r="F45" s="188"/>
      <c r="G45" s="189"/>
    </row>
    <row r="46" spans="2:7" x14ac:dyDescent="0.25">
      <c r="B46" s="186">
        <v>1</v>
      </c>
      <c r="C46" s="36" t="s">
        <v>397</v>
      </c>
      <c r="D46" s="187" t="s">
        <v>21</v>
      </c>
      <c r="E46" s="27">
        <f>2</f>
        <v>2</v>
      </c>
      <c r="F46" s="188"/>
      <c r="G46" s="189">
        <f t="shared" ref="G46:G55" si="2">F46*E46</f>
        <v>0</v>
      </c>
    </row>
    <row r="47" spans="2:7" x14ac:dyDescent="0.25">
      <c r="B47" s="186">
        <v>2</v>
      </c>
      <c r="C47" s="36" t="s">
        <v>398</v>
      </c>
      <c r="D47" s="187" t="s">
        <v>21</v>
      </c>
      <c r="E47" s="27">
        <f>1.4*2</f>
        <v>2.8</v>
      </c>
      <c r="F47" s="188"/>
      <c r="G47" s="189">
        <f t="shared" si="2"/>
        <v>0</v>
      </c>
    </row>
    <row r="48" spans="2:7" x14ac:dyDescent="0.25">
      <c r="B48" s="186">
        <v>3</v>
      </c>
      <c r="C48" s="36" t="s">
        <v>50</v>
      </c>
      <c r="D48" s="187"/>
      <c r="E48" s="27"/>
      <c r="F48" s="188"/>
      <c r="G48" s="189">
        <f t="shared" si="2"/>
        <v>0</v>
      </c>
    </row>
    <row r="49" spans="2:7" x14ac:dyDescent="0.25">
      <c r="B49" s="186"/>
      <c r="C49" s="36" t="s">
        <v>399</v>
      </c>
      <c r="D49" s="187" t="s">
        <v>21</v>
      </c>
      <c r="E49" s="27">
        <f>3*5+3*3+2.65*4+1.1*1.25</f>
        <v>35.975000000000001</v>
      </c>
      <c r="F49" s="188"/>
      <c r="G49" s="189">
        <f t="shared" si="2"/>
        <v>0</v>
      </c>
    </row>
    <row r="50" spans="2:7" x14ac:dyDescent="0.25">
      <c r="B50" s="186">
        <v>4</v>
      </c>
      <c r="C50" s="36" t="s">
        <v>400</v>
      </c>
      <c r="D50" s="187" t="s">
        <v>21</v>
      </c>
      <c r="E50" s="27">
        <f>1.25*1.1</f>
        <v>1.375</v>
      </c>
      <c r="F50" s="188"/>
      <c r="G50" s="189">
        <f t="shared" si="2"/>
        <v>0</v>
      </c>
    </row>
    <row r="51" spans="2:7" x14ac:dyDescent="0.25">
      <c r="B51" s="186">
        <v>5</v>
      </c>
      <c r="C51" s="36" t="s">
        <v>401</v>
      </c>
      <c r="D51" s="187" t="s">
        <v>21</v>
      </c>
      <c r="E51" s="27">
        <f>1.35*2</f>
        <v>2.7</v>
      </c>
      <c r="F51" s="188"/>
      <c r="G51" s="189">
        <f t="shared" si="2"/>
        <v>0</v>
      </c>
    </row>
    <row r="52" spans="2:7" x14ac:dyDescent="0.25">
      <c r="B52" s="186">
        <v>5</v>
      </c>
      <c r="C52" s="36" t="s">
        <v>327</v>
      </c>
      <c r="D52" s="187" t="s">
        <v>21</v>
      </c>
      <c r="E52" s="27">
        <v>0</v>
      </c>
      <c r="F52" s="188"/>
      <c r="G52" s="189">
        <f t="shared" si="2"/>
        <v>0</v>
      </c>
    </row>
    <row r="53" spans="2:7" x14ac:dyDescent="0.25">
      <c r="B53" s="186">
        <v>6</v>
      </c>
      <c r="C53" s="36" t="s">
        <v>328</v>
      </c>
      <c r="D53" s="187" t="s">
        <v>15</v>
      </c>
      <c r="E53" s="27">
        <f>3*4+8+6+2.65*2+5*2+1+1.5-(0.8*8)-(4)</f>
        <v>33.4</v>
      </c>
      <c r="F53" s="188"/>
      <c r="G53" s="189">
        <f t="shared" si="2"/>
        <v>0</v>
      </c>
    </row>
    <row r="54" spans="2:7" x14ac:dyDescent="0.25">
      <c r="B54" s="186">
        <v>7</v>
      </c>
      <c r="C54" s="36" t="s">
        <v>402</v>
      </c>
      <c r="D54" s="187" t="s">
        <v>89</v>
      </c>
      <c r="E54" s="27">
        <v>1</v>
      </c>
      <c r="F54" s="188"/>
      <c r="G54" s="189">
        <f t="shared" si="2"/>
        <v>0</v>
      </c>
    </row>
    <row r="55" spans="2:7" x14ac:dyDescent="0.25">
      <c r="B55" s="186">
        <v>8</v>
      </c>
      <c r="C55" s="36" t="s">
        <v>54</v>
      </c>
      <c r="D55" s="187" t="s">
        <v>21</v>
      </c>
      <c r="E55" s="27">
        <f>5.5*3</f>
        <v>16.5</v>
      </c>
      <c r="F55" s="188"/>
      <c r="G55" s="189">
        <f t="shared" si="2"/>
        <v>0</v>
      </c>
    </row>
    <row r="56" spans="2:7" x14ac:dyDescent="0.25">
      <c r="B56" s="198"/>
      <c r="C56" s="221" t="s">
        <v>162</v>
      </c>
      <c r="D56" s="187"/>
      <c r="E56" s="196"/>
      <c r="F56" s="188"/>
      <c r="G56" s="197">
        <f>SUM(G46:G55)</f>
        <v>0</v>
      </c>
    </row>
    <row r="57" spans="2:7" x14ac:dyDescent="0.25">
      <c r="B57" s="198"/>
      <c r="C57" s="36"/>
      <c r="D57" s="187"/>
      <c r="E57" s="196"/>
      <c r="F57" s="188"/>
      <c r="G57" s="197"/>
    </row>
    <row r="58" spans="2:7" x14ac:dyDescent="0.25">
      <c r="B58" s="198" t="s">
        <v>55</v>
      </c>
      <c r="C58" s="199" t="s">
        <v>56</v>
      </c>
      <c r="D58" s="187"/>
      <c r="E58" s="27"/>
      <c r="F58" s="188"/>
      <c r="G58" s="189"/>
    </row>
    <row r="59" spans="2:7" x14ac:dyDescent="0.25">
      <c r="B59" s="186">
        <v>1</v>
      </c>
      <c r="C59" s="36" t="s">
        <v>403</v>
      </c>
      <c r="D59" s="187" t="s">
        <v>21</v>
      </c>
      <c r="E59" s="208">
        <f>2.5*(1.85+0.85)</f>
        <v>6.75</v>
      </c>
      <c r="F59" s="188"/>
      <c r="G59" s="189">
        <f>F59*E59</f>
        <v>0</v>
      </c>
    </row>
    <row r="60" spans="2:7" x14ac:dyDescent="0.25">
      <c r="B60" s="186">
        <v>2</v>
      </c>
      <c r="C60" s="36" t="s">
        <v>404</v>
      </c>
      <c r="D60" s="187" t="s">
        <v>21</v>
      </c>
      <c r="E60" s="208">
        <f>3*(1.2*2+4)-(0.8*2.5+1.25*3)</f>
        <v>13.450000000000003</v>
      </c>
      <c r="F60" s="188"/>
      <c r="G60" s="189">
        <f>F60*E60</f>
        <v>0</v>
      </c>
    </row>
    <row r="61" spans="2:7" x14ac:dyDescent="0.25">
      <c r="B61" s="186">
        <v>3</v>
      </c>
      <c r="C61" s="36" t="s">
        <v>405</v>
      </c>
      <c r="D61" s="187" t="s">
        <v>21</v>
      </c>
      <c r="E61" s="208">
        <f>1.2*3</f>
        <v>3.5999999999999996</v>
      </c>
      <c r="F61" s="188"/>
      <c r="G61" s="189">
        <f>F61*E61</f>
        <v>0</v>
      </c>
    </row>
    <row r="62" spans="2:7" x14ac:dyDescent="0.25">
      <c r="B62" s="186">
        <v>4</v>
      </c>
      <c r="C62" s="36" t="s">
        <v>334</v>
      </c>
      <c r="D62" s="187" t="s">
        <v>21</v>
      </c>
      <c r="E62" s="208">
        <f>0.8*1.4</f>
        <v>1.1199999999999999</v>
      </c>
      <c r="F62" s="188"/>
      <c r="G62" s="189">
        <f>F62*E62</f>
        <v>0</v>
      </c>
    </row>
    <row r="63" spans="2:7" x14ac:dyDescent="0.25">
      <c r="B63" s="186">
        <v>5</v>
      </c>
      <c r="C63" s="36" t="s">
        <v>335</v>
      </c>
      <c r="D63" s="187" t="s">
        <v>21</v>
      </c>
      <c r="E63" s="208">
        <f>0.6*2</f>
        <v>1.2</v>
      </c>
      <c r="F63" s="188"/>
      <c r="G63" s="189">
        <f>F63*E63</f>
        <v>0</v>
      </c>
    </row>
    <row r="64" spans="2:7" x14ac:dyDescent="0.25">
      <c r="B64" s="186"/>
      <c r="C64" s="221" t="s">
        <v>162</v>
      </c>
      <c r="D64" s="187"/>
      <c r="E64" s="208"/>
      <c r="F64" s="212"/>
      <c r="G64" s="197">
        <f>SUM(G59:G63)</f>
        <v>0</v>
      </c>
    </row>
    <row r="65" spans="2:7" x14ac:dyDescent="0.25">
      <c r="B65" s="186"/>
      <c r="C65" s="36"/>
      <c r="D65" s="187"/>
      <c r="E65" s="211"/>
      <c r="F65" s="212"/>
      <c r="G65" s="197"/>
    </row>
    <row r="66" spans="2:7" x14ac:dyDescent="0.25">
      <c r="B66" s="198" t="s">
        <v>61</v>
      </c>
      <c r="C66" s="199" t="s">
        <v>62</v>
      </c>
      <c r="D66" s="36"/>
      <c r="E66" s="211"/>
      <c r="F66" s="188"/>
      <c r="G66" s="189"/>
    </row>
    <row r="67" spans="2:7" x14ac:dyDescent="0.25">
      <c r="B67" s="36">
        <v>1</v>
      </c>
      <c r="C67" s="36" t="s">
        <v>63</v>
      </c>
      <c r="D67" s="187" t="s">
        <v>21</v>
      </c>
      <c r="E67" s="213">
        <f>3*3+3*4+(3*5+1*4)+2</f>
        <v>42</v>
      </c>
      <c r="F67" s="188"/>
      <c r="G67" s="189">
        <f>F67*E67</f>
        <v>0</v>
      </c>
    </row>
    <row r="68" spans="2:7" x14ac:dyDescent="0.25">
      <c r="B68" s="186">
        <v>2</v>
      </c>
      <c r="C68" s="36" t="s">
        <v>66</v>
      </c>
      <c r="D68" s="187" t="s">
        <v>21</v>
      </c>
      <c r="E68" s="213">
        <f>1*3+1*6*2+1*1.5</f>
        <v>16.5</v>
      </c>
      <c r="F68" s="188"/>
      <c r="G68" s="189">
        <f>F68*E68</f>
        <v>0</v>
      </c>
    </row>
    <row r="69" spans="2:7" x14ac:dyDescent="0.25">
      <c r="B69" s="36">
        <v>3</v>
      </c>
      <c r="C69" s="36" t="s">
        <v>64</v>
      </c>
      <c r="D69" s="187" t="s">
        <v>15</v>
      </c>
      <c r="E69" s="213">
        <f>(3*4+3*2+5*2)+(6*2+5*2+3*4+2)-6</f>
        <v>58</v>
      </c>
      <c r="F69" s="188"/>
      <c r="G69" s="189">
        <f>F69*E69</f>
        <v>0</v>
      </c>
    </row>
    <row r="70" spans="2:7" x14ac:dyDescent="0.25">
      <c r="B70" s="186">
        <v>4</v>
      </c>
      <c r="C70" s="36" t="s">
        <v>65</v>
      </c>
      <c r="D70" s="187" t="s">
        <v>15</v>
      </c>
      <c r="E70" s="213">
        <f>3*2+2+6*2+2+6*2+2+3+2-4</f>
        <v>37</v>
      </c>
      <c r="F70" s="188"/>
      <c r="G70" s="189">
        <f>F70*E70</f>
        <v>0</v>
      </c>
    </row>
    <row r="71" spans="2:7" x14ac:dyDescent="0.25">
      <c r="B71" s="186">
        <v>5</v>
      </c>
      <c r="C71" s="36" t="s">
        <v>336</v>
      </c>
      <c r="D71" s="187" t="s">
        <v>15</v>
      </c>
      <c r="E71" s="213">
        <f>1.5*2+1.2*2+1.5+0.5*6</f>
        <v>9.9</v>
      </c>
      <c r="F71" s="188"/>
      <c r="G71" s="189">
        <f>F71*E71</f>
        <v>0</v>
      </c>
    </row>
    <row r="72" spans="2:7" x14ac:dyDescent="0.25">
      <c r="B72" s="198"/>
      <c r="C72" s="221" t="s">
        <v>162</v>
      </c>
      <c r="D72" s="36"/>
      <c r="E72" s="211"/>
      <c r="F72" s="188"/>
      <c r="G72" s="215">
        <f>SUM(G67:G71)</f>
        <v>0</v>
      </c>
    </row>
    <row r="73" spans="2:7" x14ac:dyDescent="0.25">
      <c r="B73" s="198"/>
      <c r="C73" s="36"/>
      <c r="D73" s="36"/>
      <c r="E73" s="211"/>
      <c r="F73" s="212"/>
      <c r="G73" s="215"/>
    </row>
    <row r="74" spans="2:7" x14ac:dyDescent="0.25">
      <c r="B74" s="198" t="s">
        <v>67</v>
      </c>
      <c r="C74" s="199" t="s">
        <v>68</v>
      </c>
      <c r="D74" s="187"/>
      <c r="E74" s="211"/>
      <c r="F74" s="212"/>
      <c r="G74" s="189"/>
    </row>
    <row r="75" spans="2:7" x14ac:dyDescent="0.25">
      <c r="B75" s="186">
        <v>1</v>
      </c>
      <c r="C75" s="36" t="s">
        <v>69</v>
      </c>
      <c r="D75" s="187" t="s">
        <v>21</v>
      </c>
      <c r="E75" s="213">
        <f>0.5*(3*7+2*2)</f>
        <v>12.5</v>
      </c>
      <c r="F75" s="216"/>
      <c r="G75" s="189">
        <f>F75*E75</f>
        <v>0</v>
      </c>
    </row>
    <row r="76" spans="2:7" x14ac:dyDescent="0.25">
      <c r="B76" s="186">
        <v>2</v>
      </c>
      <c r="C76" s="36" t="s">
        <v>70</v>
      </c>
      <c r="D76" s="187" t="s">
        <v>21</v>
      </c>
      <c r="E76" s="213">
        <f>254.4-30</f>
        <v>224.4</v>
      </c>
      <c r="F76" s="217"/>
      <c r="G76" s="189">
        <f>F76*E76</f>
        <v>0</v>
      </c>
    </row>
    <row r="77" spans="2:7" x14ac:dyDescent="0.25">
      <c r="B77" s="186">
        <v>3</v>
      </c>
      <c r="C77" s="36" t="s">
        <v>71</v>
      </c>
      <c r="D77" s="187" t="s">
        <v>21</v>
      </c>
      <c r="E77" s="213">
        <f>E76*2</f>
        <v>448.8</v>
      </c>
      <c r="F77" s="218"/>
      <c r="G77" s="189">
        <f>F77*E77</f>
        <v>0</v>
      </c>
    </row>
    <row r="78" spans="2:7" x14ac:dyDescent="0.25">
      <c r="B78" s="186"/>
      <c r="C78" s="221" t="s">
        <v>162</v>
      </c>
      <c r="D78" s="187"/>
      <c r="E78" s="211"/>
      <c r="F78" s="212"/>
      <c r="G78" s="197">
        <f>SUM(G75:G77)</f>
        <v>0</v>
      </c>
    </row>
    <row r="79" spans="2:7" x14ac:dyDescent="0.25">
      <c r="B79" s="186"/>
      <c r="C79" s="36"/>
      <c r="D79" s="187"/>
      <c r="E79" s="211"/>
      <c r="F79" s="212"/>
      <c r="G79" s="197"/>
    </row>
    <row r="80" spans="2:7" x14ac:dyDescent="0.25">
      <c r="B80" s="198" t="s">
        <v>72</v>
      </c>
      <c r="C80" s="199" t="s">
        <v>73</v>
      </c>
      <c r="D80" s="36"/>
      <c r="E80" s="211"/>
      <c r="F80" s="188"/>
      <c r="G80" s="189"/>
    </row>
    <row r="81" spans="2:7" x14ac:dyDescent="0.25">
      <c r="B81" s="186">
        <v>1</v>
      </c>
      <c r="C81" s="36" t="s">
        <v>74</v>
      </c>
      <c r="D81" s="187" t="s">
        <v>21</v>
      </c>
      <c r="E81" s="285">
        <f>4.25*3+43.5</f>
        <v>56.25</v>
      </c>
      <c r="F81" s="188"/>
      <c r="G81" s="189">
        <f t="shared" ref="G81:G87" si="3">F81*E81</f>
        <v>0</v>
      </c>
    </row>
    <row r="82" spans="2:7" x14ac:dyDescent="0.25">
      <c r="B82" s="186">
        <v>2</v>
      </c>
      <c r="C82" s="36" t="s">
        <v>75</v>
      </c>
      <c r="D82" s="187" t="s">
        <v>21</v>
      </c>
      <c r="E82" s="285">
        <f>E81</f>
        <v>56.25</v>
      </c>
      <c r="F82" s="219"/>
      <c r="G82" s="189">
        <f t="shared" si="3"/>
        <v>0</v>
      </c>
    </row>
    <row r="83" spans="2:7" x14ac:dyDescent="0.25">
      <c r="B83" s="186">
        <v>3</v>
      </c>
      <c r="C83" s="36" t="s">
        <v>76</v>
      </c>
      <c r="D83" s="187" t="s">
        <v>15</v>
      </c>
      <c r="E83" s="285">
        <f>4.5+6+3+5.5+1-2</f>
        <v>18</v>
      </c>
      <c r="F83" s="219"/>
      <c r="G83" s="189">
        <f t="shared" si="3"/>
        <v>0</v>
      </c>
    </row>
    <row r="84" spans="2:7" x14ac:dyDescent="0.25">
      <c r="B84" s="36">
        <v>4</v>
      </c>
      <c r="C84" s="36" t="s">
        <v>77</v>
      </c>
      <c r="D84" s="187" t="s">
        <v>15</v>
      </c>
      <c r="E84" s="285">
        <f>4.25*2+4*2+3+3.5+3</f>
        <v>26</v>
      </c>
      <c r="F84" s="219"/>
      <c r="G84" s="189">
        <f t="shared" si="3"/>
        <v>0</v>
      </c>
    </row>
    <row r="85" spans="2:7" x14ac:dyDescent="0.25">
      <c r="B85" s="36">
        <v>5</v>
      </c>
      <c r="C85" s="36" t="s">
        <v>78</v>
      </c>
      <c r="D85" s="187" t="s">
        <v>15</v>
      </c>
      <c r="E85" s="285">
        <f>6-1</f>
        <v>5</v>
      </c>
      <c r="F85" s="219"/>
      <c r="G85" s="189">
        <f t="shared" si="3"/>
        <v>0</v>
      </c>
    </row>
    <row r="86" spans="2:7" x14ac:dyDescent="0.25">
      <c r="B86" s="36">
        <v>6</v>
      </c>
      <c r="C86" s="36" t="s">
        <v>337</v>
      </c>
      <c r="D86" s="187" t="s">
        <v>99</v>
      </c>
      <c r="E86" s="285">
        <v>0</v>
      </c>
      <c r="F86" s="219"/>
      <c r="G86" s="189">
        <f t="shared" si="3"/>
        <v>0</v>
      </c>
    </row>
    <row r="87" spans="2:7" x14ac:dyDescent="0.25">
      <c r="B87" s="36">
        <v>7</v>
      </c>
      <c r="C87" s="36" t="s">
        <v>338</v>
      </c>
      <c r="D87" s="187" t="s">
        <v>99</v>
      </c>
      <c r="E87" s="285">
        <v>1</v>
      </c>
      <c r="F87" s="219"/>
      <c r="G87" s="189">
        <f t="shared" si="3"/>
        <v>0</v>
      </c>
    </row>
    <row r="88" spans="2:7" x14ac:dyDescent="0.25">
      <c r="B88" s="198"/>
      <c r="C88" s="221" t="s">
        <v>162</v>
      </c>
      <c r="D88" s="36"/>
      <c r="E88" s="211"/>
      <c r="F88" s="188"/>
      <c r="G88" s="197">
        <f>SUM(G81:G87)</f>
        <v>0</v>
      </c>
    </row>
    <row r="89" spans="2:7" x14ac:dyDescent="0.25">
      <c r="B89" s="198"/>
      <c r="C89" s="221"/>
      <c r="D89" s="36"/>
      <c r="E89" s="211"/>
      <c r="F89" s="188"/>
      <c r="G89" s="197"/>
    </row>
    <row r="90" spans="2:7" x14ac:dyDescent="0.25">
      <c r="B90" s="198" t="s">
        <v>80</v>
      </c>
      <c r="C90" s="199" t="s">
        <v>81</v>
      </c>
      <c r="D90" s="36"/>
      <c r="E90" s="222"/>
      <c r="F90" s="188"/>
      <c r="G90" s="189"/>
    </row>
    <row r="91" spans="2:7" x14ac:dyDescent="0.25">
      <c r="B91" s="186">
        <v>1</v>
      </c>
      <c r="C91" s="36" t="s">
        <v>82</v>
      </c>
      <c r="D91" s="187" t="s">
        <v>343</v>
      </c>
      <c r="E91" s="286">
        <v>1</v>
      </c>
      <c r="F91" s="188"/>
      <c r="G91" s="189">
        <f t="shared" ref="G91:G96" si="4">F91*E91</f>
        <v>0</v>
      </c>
    </row>
    <row r="92" spans="2:7" x14ac:dyDescent="0.25">
      <c r="B92" s="186"/>
      <c r="C92" s="36" t="s">
        <v>339</v>
      </c>
      <c r="D92" s="187" t="s">
        <v>89</v>
      </c>
      <c r="E92" s="286">
        <v>1</v>
      </c>
      <c r="F92" s="188"/>
      <c r="G92" s="189">
        <f t="shared" si="4"/>
        <v>0</v>
      </c>
    </row>
    <row r="93" spans="2:7" x14ac:dyDescent="0.25">
      <c r="B93" s="186"/>
      <c r="C93" s="36" t="s">
        <v>340</v>
      </c>
      <c r="D93" s="187" t="s">
        <v>89</v>
      </c>
      <c r="E93" s="286">
        <v>1</v>
      </c>
      <c r="F93" s="188"/>
      <c r="G93" s="189">
        <f t="shared" si="4"/>
        <v>0</v>
      </c>
    </row>
    <row r="94" spans="2:7" x14ac:dyDescent="0.25">
      <c r="B94" s="186"/>
      <c r="C94" s="36" t="s">
        <v>341</v>
      </c>
      <c r="D94" s="187" t="s">
        <v>89</v>
      </c>
      <c r="E94" s="286">
        <v>2</v>
      </c>
      <c r="F94" s="188"/>
      <c r="G94" s="189">
        <f t="shared" si="4"/>
        <v>0</v>
      </c>
    </row>
    <row r="95" spans="2:7" x14ac:dyDescent="0.25">
      <c r="B95" s="186"/>
      <c r="C95" s="36" t="s">
        <v>342</v>
      </c>
      <c r="D95" s="187" t="s">
        <v>89</v>
      </c>
      <c r="E95" s="286">
        <v>2</v>
      </c>
      <c r="F95" s="188"/>
      <c r="G95" s="189">
        <f t="shared" si="4"/>
        <v>0</v>
      </c>
    </row>
    <row r="96" spans="2:7" x14ac:dyDescent="0.25">
      <c r="B96" s="186">
        <v>2</v>
      </c>
      <c r="C96" s="36" t="s">
        <v>87</v>
      </c>
      <c r="D96" s="187" t="s">
        <v>343</v>
      </c>
      <c r="E96" s="286">
        <v>1</v>
      </c>
      <c r="F96" s="194"/>
      <c r="G96" s="194">
        <f t="shared" si="4"/>
        <v>0</v>
      </c>
    </row>
    <row r="97" spans="2:7" x14ac:dyDescent="0.25">
      <c r="B97" s="186" t="s">
        <v>83</v>
      </c>
      <c r="C97" s="36" t="s">
        <v>344</v>
      </c>
      <c r="D97" s="187" t="s">
        <v>89</v>
      </c>
      <c r="E97" s="286">
        <v>1</v>
      </c>
      <c r="F97" s="188"/>
      <c r="G97" s="189"/>
    </row>
    <row r="98" spans="2:7" x14ac:dyDescent="0.25">
      <c r="B98" s="186" t="s">
        <v>83</v>
      </c>
      <c r="C98" s="36" t="s">
        <v>345</v>
      </c>
      <c r="D98" s="187" t="s">
        <v>89</v>
      </c>
      <c r="E98" s="286">
        <v>1</v>
      </c>
      <c r="F98" s="188"/>
      <c r="G98" s="189"/>
    </row>
    <row r="99" spans="2:7" x14ac:dyDescent="0.25">
      <c r="B99" s="186" t="s">
        <v>83</v>
      </c>
      <c r="C99" s="36" t="s">
        <v>346</v>
      </c>
      <c r="D99" s="187" t="s">
        <v>89</v>
      </c>
      <c r="E99" s="286">
        <v>1</v>
      </c>
      <c r="F99" s="188"/>
      <c r="G99" s="189"/>
    </row>
    <row r="100" spans="2:7" x14ac:dyDescent="0.25">
      <c r="B100" s="186" t="s">
        <v>83</v>
      </c>
      <c r="C100" s="36" t="s">
        <v>347</v>
      </c>
      <c r="D100" s="187" t="s">
        <v>89</v>
      </c>
      <c r="E100" s="286">
        <v>1</v>
      </c>
      <c r="F100" s="188"/>
      <c r="G100" s="189"/>
    </row>
    <row r="101" spans="2:7" x14ac:dyDescent="0.25">
      <c r="B101" s="186" t="s">
        <v>83</v>
      </c>
      <c r="C101" s="36" t="s">
        <v>348</v>
      </c>
      <c r="D101" s="187" t="s">
        <v>89</v>
      </c>
      <c r="E101" s="286">
        <v>1</v>
      </c>
      <c r="F101" s="188"/>
      <c r="G101" s="189"/>
    </row>
    <row r="102" spans="2:7" x14ac:dyDescent="0.25">
      <c r="B102" s="186" t="s">
        <v>83</v>
      </c>
      <c r="C102" s="36" t="s">
        <v>349</v>
      </c>
      <c r="D102" s="187" t="s">
        <v>89</v>
      </c>
      <c r="E102" s="286">
        <v>1</v>
      </c>
      <c r="F102" s="188"/>
      <c r="G102" s="189"/>
    </row>
    <row r="103" spans="2:7" x14ac:dyDescent="0.25">
      <c r="B103" s="186" t="s">
        <v>83</v>
      </c>
      <c r="C103" s="36" t="s">
        <v>350</v>
      </c>
      <c r="D103" s="187" t="s">
        <v>89</v>
      </c>
      <c r="E103" s="286">
        <v>1</v>
      </c>
      <c r="F103" s="188"/>
      <c r="G103" s="189"/>
    </row>
    <row r="104" spans="2:7" x14ac:dyDescent="0.25">
      <c r="B104" s="186" t="s">
        <v>83</v>
      </c>
      <c r="C104" s="36" t="s">
        <v>351</v>
      </c>
      <c r="D104" s="187" t="s">
        <v>89</v>
      </c>
      <c r="E104" s="286">
        <v>1</v>
      </c>
      <c r="F104" s="188"/>
      <c r="G104" s="189"/>
    </row>
    <row r="105" spans="2:7" x14ac:dyDescent="0.25">
      <c r="B105" s="186" t="s">
        <v>83</v>
      </c>
      <c r="C105" s="36" t="s">
        <v>352</v>
      </c>
      <c r="D105" s="187" t="s">
        <v>89</v>
      </c>
      <c r="E105" s="286">
        <v>1</v>
      </c>
      <c r="F105" s="188"/>
      <c r="G105" s="189"/>
    </row>
    <row r="106" spans="2:7" x14ac:dyDescent="0.25">
      <c r="B106" s="186" t="s">
        <v>83</v>
      </c>
      <c r="C106" s="36" t="s">
        <v>353</v>
      </c>
      <c r="D106" s="187" t="s">
        <v>89</v>
      </c>
      <c r="E106" s="286">
        <v>1</v>
      </c>
      <c r="F106" s="188"/>
      <c r="G106" s="189"/>
    </row>
    <row r="107" spans="2:7" x14ac:dyDescent="0.25">
      <c r="B107" s="186" t="s">
        <v>83</v>
      </c>
      <c r="C107" s="36" t="s">
        <v>354</v>
      </c>
      <c r="D107" s="187" t="s">
        <v>89</v>
      </c>
      <c r="E107" s="286">
        <v>3</v>
      </c>
      <c r="F107" s="188"/>
      <c r="G107" s="189"/>
    </row>
    <row r="108" spans="2:7" x14ac:dyDescent="0.25">
      <c r="B108" s="186" t="s">
        <v>83</v>
      </c>
      <c r="C108" s="36" t="s">
        <v>355</v>
      </c>
      <c r="D108" s="187" t="s">
        <v>89</v>
      </c>
      <c r="E108" s="286">
        <v>1</v>
      </c>
      <c r="F108" s="188"/>
      <c r="G108" s="189"/>
    </row>
    <row r="109" spans="2:7" x14ac:dyDescent="0.25">
      <c r="B109" s="186" t="s">
        <v>83</v>
      </c>
      <c r="C109" s="36" t="s">
        <v>356</v>
      </c>
      <c r="D109" s="187" t="s">
        <v>89</v>
      </c>
      <c r="E109" s="286">
        <v>1</v>
      </c>
      <c r="F109" s="188"/>
      <c r="G109" s="189"/>
    </row>
    <row r="110" spans="2:7" x14ac:dyDescent="0.25">
      <c r="B110" s="186" t="s">
        <v>83</v>
      </c>
      <c r="C110" s="36" t="s">
        <v>357</v>
      </c>
      <c r="D110" s="187" t="s">
        <v>89</v>
      </c>
      <c r="E110" s="286">
        <v>1</v>
      </c>
      <c r="F110" s="188"/>
      <c r="G110" s="189"/>
    </row>
    <row r="111" spans="2:7" x14ac:dyDescent="0.25">
      <c r="B111" s="186">
        <v>3</v>
      </c>
      <c r="C111" s="36" t="s">
        <v>95</v>
      </c>
      <c r="D111" s="187"/>
      <c r="E111" s="286"/>
      <c r="F111" s="188"/>
      <c r="G111" s="189"/>
    </row>
    <row r="112" spans="2:7" x14ac:dyDescent="0.25">
      <c r="B112" s="186" t="s">
        <v>83</v>
      </c>
      <c r="C112" s="36" t="s">
        <v>96</v>
      </c>
      <c r="D112" s="187" t="s">
        <v>85</v>
      </c>
      <c r="E112" s="286">
        <v>1</v>
      </c>
      <c r="F112" s="188"/>
      <c r="G112" s="189">
        <f>F112*E112</f>
        <v>0</v>
      </c>
    </row>
    <row r="113" spans="2:7" x14ac:dyDescent="0.25">
      <c r="B113" s="186" t="s">
        <v>83</v>
      </c>
      <c r="C113" s="36" t="s">
        <v>358</v>
      </c>
      <c r="D113" s="187" t="s">
        <v>85</v>
      </c>
      <c r="E113" s="286">
        <v>5</v>
      </c>
      <c r="F113" s="188"/>
      <c r="G113" s="189">
        <f>F113*E113</f>
        <v>0</v>
      </c>
    </row>
    <row r="114" spans="2:7" x14ac:dyDescent="0.25">
      <c r="B114" s="186" t="s">
        <v>83</v>
      </c>
      <c r="C114" s="36" t="s">
        <v>98</v>
      </c>
      <c r="D114" s="187" t="s">
        <v>99</v>
      </c>
      <c r="E114" s="286">
        <f>6*3</f>
        <v>18</v>
      </c>
      <c r="F114" s="188"/>
      <c r="G114" s="189">
        <f>F114*E114</f>
        <v>0</v>
      </c>
    </row>
    <row r="115" spans="2:7" x14ac:dyDescent="0.25">
      <c r="B115" s="186"/>
      <c r="C115" s="221" t="s">
        <v>162</v>
      </c>
      <c r="D115" s="187"/>
      <c r="E115" s="211"/>
      <c r="F115" s="188"/>
      <c r="G115" s="197">
        <f>SUM(G91:G114)</f>
        <v>0</v>
      </c>
    </row>
    <row r="116" spans="2:7" x14ac:dyDescent="0.25">
      <c r="B116" s="186"/>
      <c r="C116" s="36"/>
      <c r="D116" s="187"/>
      <c r="E116" s="211"/>
      <c r="F116" s="188"/>
      <c r="G116" s="197"/>
    </row>
    <row r="117" spans="2:7" x14ac:dyDescent="0.25">
      <c r="B117" s="198" t="s">
        <v>100</v>
      </c>
      <c r="C117" s="199" t="s">
        <v>101</v>
      </c>
      <c r="D117" s="187"/>
      <c r="E117" s="211"/>
      <c r="F117" s="188"/>
      <c r="G117" s="189"/>
    </row>
    <row r="118" spans="2:7" x14ac:dyDescent="0.25">
      <c r="B118" s="36">
        <v>1</v>
      </c>
      <c r="C118" s="36" t="s">
        <v>359</v>
      </c>
      <c r="D118" s="187" t="s">
        <v>21</v>
      </c>
      <c r="E118" s="213">
        <f>E77-E119-101</f>
        <v>292.17500000000001</v>
      </c>
      <c r="F118" s="188"/>
      <c r="G118" s="189">
        <f>F118*E118</f>
        <v>0</v>
      </c>
    </row>
    <row r="119" spans="2:7" x14ac:dyDescent="0.25">
      <c r="B119" s="36">
        <v>2</v>
      </c>
      <c r="C119" s="36" t="s">
        <v>103</v>
      </c>
      <c r="D119" s="187" t="s">
        <v>21</v>
      </c>
      <c r="E119" s="208">
        <f>2.5*11+3.5*3+0.5*3*1.75+3*(5)</f>
        <v>55.625</v>
      </c>
      <c r="F119" s="188"/>
      <c r="G119" s="189">
        <f>F119*E119</f>
        <v>0</v>
      </c>
    </row>
    <row r="120" spans="2:7" x14ac:dyDescent="0.25">
      <c r="B120" s="36">
        <v>3</v>
      </c>
      <c r="C120" s="36" t="s">
        <v>104</v>
      </c>
      <c r="D120" s="187" t="s">
        <v>21</v>
      </c>
      <c r="E120" s="208">
        <f>E67+E68</f>
        <v>58.5</v>
      </c>
      <c r="F120" s="188"/>
      <c r="G120" s="189">
        <f>F120*E120</f>
        <v>0</v>
      </c>
    </row>
    <row r="121" spans="2:7" x14ac:dyDescent="0.25">
      <c r="B121" s="36">
        <v>4</v>
      </c>
      <c r="C121" s="36" t="s">
        <v>105</v>
      </c>
      <c r="D121" s="187" t="s">
        <v>21</v>
      </c>
      <c r="E121" s="208">
        <f>E83</f>
        <v>18</v>
      </c>
      <c r="F121" s="188"/>
      <c r="G121" s="189">
        <f>F121*E121</f>
        <v>0</v>
      </c>
    </row>
    <row r="122" spans="2:7" x14ac:dyDescent="0.25">
      <c r="B122" s="36">
        <v>5</v>
      </c>
      <c r="C122" s="36" t="s">
        <v>106</v>
      </c>
      <c r="D122" s="187" t="s">
        <v>15</v>
      </c>
      <c r="E122" s="208">
        <f>E85</f>
        <v>5</v>
      </c>
      <c r="F122" s="188"/>
      <c r="G122" s="189">
        <f>F122*E122</f>
        <v>0</v>
      </c>
    </row>
    <row r="123" spans="2:7" x14ac:dyDescent="0.25">
      <c r="B123" s="186"/>
      <c r="C123" s="221" t="s">
        <v>162</v>
      </c>
      <c r="D123" s="187"/>
      <c r="E123" s="211"/>
      <c r="F123" s="188"/>
      <c r="G123" s="197">
        <f>SUM(G118:G122)</f>
        <v>0</v>
      </c>
    </row>
    <row r="124" spans="2:7" x14ac:dyDescent="0.25">
      <c r="B124" s="186"/>
      <c r="C124" s="36"/>
      <c r="D124" s="187"/>
      <c r="E124" s="211"/>
      <c r="F124" s="188"/>
      <c r="G124" s="197"/>
    </row>
    <row r="125" spans="2:7" x14ac:dyDescent="0.25">
      <c r="B125" s="198" t="s">
        <v>107</v>
      </c>
      <c r="C125" s="199" t="s">
        <v>108</v>
      </c>
      <c r="D125" s="187"/>
      <c r="E125" s="211"/>
      <c r="F125" s="188"/>
      <c r="G125" s="189"/>
    </row>
    <row r="126" spans="2:7" x14ac:dyDescent="0.25">
      <c r="B126" s="186">
        <v>1</v>
      </c>
      <c r="C126" s="36" t="s">
        <v>360</v>
      </c>
      <c r="D126" s="36"/>
      <c r="E126" s="211"/>
      <c r="F126" s="188"/>
      <c r="G126" s="189"/>
    </row>
    <row r="127" spans="2:7" x14ac:dyDescent="0.25">
      <c r="B127" s="186" t="s">
        <v>83</v>
      </c>
      <c r="C127" s="36" t="s">
        <v>110</v>
      </c>
      <c r="D127" s="187" t="s">
        <v>85</v>
      </c>
      <c r="E127" s="286">
        <v>1</v>
      </c>
      <c r="F127" s="188"/>
      <c r="G127" s="189">
        <f t="shared" ref="G127:G152" si="5">F127*E127</f>
        <v>0</v>
      </c>
    </row>
    <row r="128" spans="2:7" x14ac:dyDescent="0.25">
      <c r="B128" s="186" t="s">
        <v>83</v>
      </c>
      <c r="C128" s="36" t="s">
        <v>361</v>
      </c>
      <c r="D128" s="187" t="s">
        <v>85</v>
      </c>
      <c r="E128" s="286">
        <v>1</v>
      </c>
      <c r="F128" s="188"/>
      <c r="G128" s="189">
        <f t="shared" si="5"/>
        <v>0</v>
      </c>
    </row>
    <row r="129" spans="2:7" x14ac:dyDescent="0.25">
      <c r="B129" s="186" t="s">
        <v>83</v>
      </c>
      <c r="C129" s="36" t="s">
        <v>115</v>
      </c>
      <c r="D129" s="187" t="s">
        <v>85</v>
      </c>
      <c r="E129" s="286">
        <v>1</v>
      </c>
      <c r="F129" s="188"/>
      <c r="G129" s="189">
        <f t="shared" si="5"/>
        <v>0</v>
      </c>
    </row>
    <row r="130" spans="2:7" x14ac:dyDescent="0.25">
      <c r="B130" s="186">
        <v>2</v>
      </c>
      <c r="C130" s="36" t="s">
        <v>362</v>
      </c>
      <c r="D130" s="36"/>
      <c r="E130" s="287"/>
      <c r="F130" s="188"/>
      <c r="G130" s="189">
        <f t="shared" si="5"/>
        <v>0</v>
      </c>
    </row>
    <row r="131" spans="2:7" x14ac:dyDescent="0.25">
      <c r="B131" s="186" t="s">
        <v>83</v>
      </c>
      <c r="C131" s="36" t="s">
        <v>110</v>
      </c>
      <c r="D131" s="187" t="s">
        <v>85</v>
      </c>
      <c r="E131" s="286">
        <v>1</v>
      </c>
      <c r="F131" s="188"/>
      <c r="G131" s="189">
        <f t="shared" si="5"/>
        <v>0</v>
      </c>
    </row>
    <row r="132" spans="2:7" x14ac:dyDescent="0.25">
      <c r="B132" s="186" t="s">
        <v>83</v>
      </c>
      <c r="C132" s="36" t="s">
        <v>363</v>
      </c>
      <c r="D132" s="187" t="s">
        <v>85</v>
      </c>
      <c r="E132" s="286">
        <v>1</v>
      </c>
      <c r="F132" s="188"/>
      <c r="G132" s="189">
        <f t="shared" si="5"/>
        <v>0</v>
      </c>
    </row>
    <row r="133" spans="2:7" x14ac:dyDescent="0.25">
      <c r="B133" s="186" t="s">
        <v>83</v>
      </c>
      <c r="C133" s="36" t="s">
        <v>112</v>
      </c>
      <c r="D133" s="187" t="s">
        <v>85</v>
      </c>
      <c r="E133" s="286">
        <v>1</v>
      </c>
      <c r="F133" s="188"/>
      <c r="G133" s="189">
        <v>0</v>
      </c>
    </row>
    <row r="134" spans="2:7" x14ac:dyDescent="0.25">
      <c r="B134" s="186" t="s">
        <v>83</v>
      </c>
      <c r="C134" s="36" t="s">
        <v>113</v>
      </c>
      <c r="D134" s="187" t="s">
        <v>85</v>
      </c>
      <c r="E134" s="286">
        <v>1</v>
      </c>
      <c r="F134" s="188"/>
      <c r="G134" s="189">
        <f t="shared" si="5"/>
        <v>0</v>
      </c>
    </row>
    <row r="135" spans="2:7" x14ac:dyDescent="0.25">
      <c r="B135" s="186" t="s">
        <v>83</v>
      </c>
      <c r="C135" s="36" t="s">
        <v>361</v>
      </c>
      <c r="D135" s="187" t="s">
        <v>85</v>
      </c>
      <c r="E135" s="286">
        <v>1</v>
      </c>
      <c r="F135" s="188"/>
      <c r="G135" s="189">
        <f t="shared" si="5"/>
        <v>0</v>
      </c>
    </row>
    <row r="136" spans="2:7" x14ac:dyDescent="0.25">
      <c r="B136" s="186" t="s">
        <v>83</v>
      </c>
      <c r="C136" s="36" t="s">
        <v>115</v>
      </c>
      <c r="D136" s="187" t="s">
        <v>85</v>
      </c>
      <c r="E136" s="286">
        <v>1</v>
      </c>
      <c r="F136" s="188"/>
      <c r="G136" s="189">
        <f t="shared" si="5"/>
        <v>0</v>
      </c>
    </row>
    <row r="137" spans="2:7" x14ac:dyDescent="0.25">
      <c r="B137" s="36">
        <v>4</v>
      </c>
      <c r="C137" s="36" t="s">
        <v>116</v>
      </c>
      <c r="D137" s="36"/>
      <c r="E137" s="286"/>
      <c r="F137" s="188"/>
      <c r="G137" s="189">
        <f t="shared" si="5"/>
        <v>0</v>
      </c>
    </row>
    <row r="138" spans="2:7" x14ac:dyDescent="0.25">
      <c r="B138" s="186" t="s">
        <v>83</v>
      </c>
      <c r="C138" s="36" t="s">
        <v>117</v>
      </c>
      <c r="D138" s="187" t="s">
        <v>85</v>
      </c>
      <c r="E138" s="286">
        <v>1</v>
      </c>
      <c r="F138" s="188"/>
      <c r="G138" s="189">
        <f t="shared" si="5"/>
        <v>0</v>
      </c>
    </row>
    <row r="139" spans="2:7" x14ac:dyDescent="0.25">
      <c r="B139" s="186" t="s">
        <v>83</v>
      </c>
      <c r="C139" s="36" t="s">
        <v>118</v>
      </c>
      <c r="D139" s="187" t="s">
        <v>85</v>
      </c>
      <c r="E139" s="286">
        <v>1</v>
      </c>
      <c r="F139" s="188"/>
      <c r="G139" s="189">
        <f t="shared" si="5"/>
        <v>0</v>
      </c>
    </row>
    <row r="140" spans="2:7" x14ac:dyDescent="0.25">
      <c r="B140" s="186">
        <v>5</v>
      </c>
      <c r="C140" s="36" t="s">
        <v>119</v>
      </c>
      <c r="D140" s="187" t="s">
        <v>85</v>
      </c>
      <c r="E140" s="286">
        <v>1</v>
      </c>
      <c r="F140" s="188"/>
      <c r="G140" s="189">
        <f t="shared" si="5"/>
        <v>0</v>
      </c>
    </row>
    <row r="141" spans="2:7" x14ac:dyDescent="0.25">
      <c r="B141" s="186">
        <v>6</v>
      </c>
      <c r="C141" s="36" t="s">
        <v>120</v>
      </c>
      <c r="D141" s="187" t="s">
        <v>85</v>
      </c>
      <c r="E141" s="286">
        <v>2</v>
      </c>
      <c r="F141" s="188"/>
      <c r="G141" s="189">
        <f t="shared" si="5"/>
        <v>0</v>
      </c>
    </row>
    <row r="142" spans="2:7" x14ac:dyDescent="0.25">
      <c r="B142" s="186">
        <v>7</v>
      </c>
      <c r="C142" s="36" t="s">
        <v>121</v>
      </c>
      <c r="D142" s="187" t="s">
        <v>85</v>
      </c>
      <c r="E142" s="286">
        <v>2</v>
      </c>
      <c r="F142" s="188"/>
      <c r="G142" s="189">
        <f t="shared" si="5"/>
        <v>0</v>
      </c>
    </row>
    <row r="143" spans="2:7" x14ac:dyDescent="0.25">
      <c r="B143" s="186">
        <v>8</v>
      </c>
      <c r="C143" s="36" t="s">
        <v>122</v>
      </c>
      <c r="D143" s="36"/>
      <c r="E143" s="287">
        <v>0</v>
      </c>
      <c r="F143" s="188"/>
      <c r="G143" s="189">
        <f t="shared" si="5"/>
        <v>0</v>
      </c>
    </row>
    <row r="144" spans="2:7" x14ac:dyDescent="0.25">
      <c r="B144" s="186" t="s">
        <v>83</v>
      </c>
      <c r="C144" s="36" t="s">
        <v>364</v>
      </c>
      <c r="D144" s="187" t="s">
        <v>15</v>
      </c>
      <c r="E144" s="286">
        <v>7</v>
      </c>
      <c r="F144" s="188"/>
      <c r="G144" s="189">
        <f t="shared" si="5"/>
        <v>0</v>
      </c>
    </row>
    <row r="145" spans="2:7" x14ac:dyDescent="0.25">
      <c r="B145" s="186" t="s">
        <v>83</v>
      </c>
      <c r="C145" s="36" t="s">
        <v>365</v>
      </c>
      <c r="D145" s="187" t="s">
        <v>15</v>
      </c>
      <c r="E145" s="286">
        <f>6+3+7+1.5+3+3*3+(4.5+4+6+2+0)+3.5*4</f>
        <v>60</v>
      </c>
      <c r="F145" s="188"/>
      <c r="G145" s="189">
        <f t="shared" si="5"/>
        <v>0</v>
      </c>
    </row>
    <row r="146" spans="2:7" x14ac:dyDescent="0.25">
      <c r="B146" s="186">
        <v>9</v>
      </c>
      <c r="C146" s="36" t="s">
        <v>125</v>
      </c>
      <c r="D146" s="187"/>
      <c r="E146" s="286"/>
      <c r="F146" s="188"/>
      <c r="G146" s="189">
        <f t="shared" si="5"/>
        <v>0</v>
      </c>
    </row>
    <row r="147" spans="2:7" x14ac:dyDescent="0.25">
      <c r="B147" s="186" t="s">
        <v>83</v>
      </c>
      <c r="C147" s="36" t="s">
        <v>366</v>
      </c>
      <c r="D147" s="187" t="s">
        <v>15</v>
      </c>
      <c r="E147" s="286">
        <v>2.15</v>
      </c>
      <c r="F147" s="188"/>
      <c r="G147" s="189">
        <f t="shared" si="5"/>
        <v>0</v>
      </c>
    </row>
    <row r="148" spans="2:7" x14ac:dyDescent="0.25">
      <c r="B148" s="186" t="s">
        <v>83</v>
      </c>
      <c r="C148" s="36" t="s">
        <v>367</v>
      </c>
      <c r="D148" s="187" t="s">
        <v>15</v>
      </c>
      <c r="E148" s="286">
        <f>2.5+2.5+4+2</f>
        <v>11</v>
      </c>
      <c r="F148" s="188"/>
      <c r="G148" s="189">
        <f t="shared" si="5"/>
        <v>0</v>
      </c>
    </row>
    <row r="149" spans="2:7" x14ac:dyDescent="0.25">
      <c r="B149" s="186" t="s">
        <v>83</v>
      </c>
      <c r="C149" s="36" t="s">
        <v>126</v>
      </c>
      <c r="D149" s="187" t="s">
        <v>15</v>
      </c>
      <c r="E149" s="286">
        <f>2.5+3.5</f>
        <v>6</v>
      </c>
      <c r="F149" s="188"/>
      <c r="G149" s="189">
        <f t="shared" si="5"/>
        <v>0</v>
      </c>
    </row>
    <row r="150" spans="2:7" x14ac:dyDescent="0.25">
      <c r="B150" s="186" t="s">
        <v>83</v>
      </c>
      <c r="C150" s="36" t="s">
        <v>127</v>
      </c>
      <c r="D150" s="187" t="s">
        <v>15</v>
      </c>
      <c r="E150" s="286">
        <f>12+9+15</f>
        <v>36</v>
      </c>
      <c r="F150" s="188"/>
      <c r="G150" s="189">
        <f t="shared" si="5"/>
        <v>0</v>
      </c>
    </row>
    <row r="151" spans="2:7" x14ac:dyDescent="0.25">
      <c r="B151" s="186" t="s">
        <v>83</v>
      </c>
      <c r="C151" s="36" t="s">
        <v>128</v>
      </c>
      <c r="D151" s="187" t="s">
        <v>85</v>
      </c>
      <c r="E151" s="286">
        <v>3</v>
      </c>
      <c r="F151" s="188"/>
      <c r="G151" s="189">
        <f t="shared" si="5"/>
        <v>0</v>
      </c>
    </row>
    <row r="152" spans="2:7" x14ac:dyDescent="0.25">
      <c r="B152" s="186" t="s">
        <v>83</v>
      </c>
      <c r="C152" s="36" t="s">
        <v>129</v>
      </c>
      <c r="D152" s="187" t="s">
        <v>85</v>
      </c>
      <c r="E152" s="286">
        <v>1</v>
      </c>
      <c r="F152" s="189"/>
      <c r="G152" s="189">
        <f t="shared" si="5"/>
        <v>0</v>
      </c>
    </row>
    <row r="153" spans="2:7" x14ac:dyDescent="0.25">
      <c r="B153" s="186"/>
      <c r="C153" s="221" t="s">
        <v>162</v>
      </c>
      <c r="D153" s="187"/>
      <c r="E153" s="287"/>
      <c r="F153" s="188"/>
      <c r="G153" s="197">
        <f>SUM(G127:G152)</f>
        <v>0</v>
      </c>
    </row>
    <row r="154" spans="2:7" x14ac:dyDescent="0.25">
      <c r="B154" s="186"/>
      <c r="C154" s="221"/>
      <c r="D154" s="187"/>
      <c r="E154" s="287"/>
      <c r="F154" s="188"/>
      <c r="G154" s="197"/>
    </row>
    <row r="155" spans="2:7" x14ac:dyDescent="0.25">
      <c r="B155" s="198" t="s">
        <v>130</v>
      </c>
      <c r="C155" s="199" t="s">
        <v>131</v>
      </c>
      <c r="D155" s="187"/>
      <c r="E155" s="287"/>
      <c r="F155" s="188"/>
      <c r="G155" s="189"/>
    </row>
    <row r="156" spans="2:7" x14ac:dyDescent="0.25">
      <c r="B156" s="198"/>
      <c r="C156" s="199" t="s">
        <v>368</v>
      </c>
      <c r="D156" s="187"/>
      <c r="E156" s="287"/>
      <c r="F156" s="188"/>
      <c r="G156" s="189"/>
    </row>
    <row r="157" spans="2:7" x14ac:dyDescent="0.25">
      <c r="B157" s="36">
        <v>1</v>
      </c>
      <c r="C157" s="36" t="s">
        <v>133</v>
      </c>
      <c r="D157" s="187" t="s">
        <v>134</v>
      </c>
      <c r="E157" s="286">
        <v>11</v>
      </c>
      <c r="F157" s="188"/>
      <c r="G157" s="189">
        <f t="shared" ref="G157:G172" si="6">F157*E157</f>
        <v>0</v>
      </c>
    </row>
    <row r="158" spans="2:7" x14ac:dyDescent="0.25">
      <c r="B158" s="36">
        <v>2</v>
      </c>
      <c r="C158" s="36" t="s">
        <v>135</v>
      </c>
      <c r="D158" s="187" t="s">
        <v>134</v>
      </c>
      <c r="E158" s="286">
        <v>9</v>
      </c>
      <c r="F158" s="188"/>
      <c r="G158" s="189">
        <f t="shared" si="6"/>
        <v>0</v>
      </c>
    </row>
    <row r="159" spans="2:7" x14ac:dyDescent="0.25">
      <c r="B159" s="36">
        <v>3</v>
      </c>
      <c r="C159" s="36" t="s">
        <v>137</v>
      </c>
      <c r="D159" s="187" t="s">
        <v>134</v>
      </c>
      <c r="E159" s="286">
        <v>1</v>
      </c>
      <c r="F159" s="188"/>
      <c r="G159" s="189">
        <f t="shared" si="6"/>
        <v>0</v>
      </c>
    </row>
    <row r="160" spans="2:7" x14ac:dyDescent="0.25">
      <c r="B160" s="36">
        <v>4</v>
      </c>
      <c r="C160" s="36" t="s">
        <v>138</v>
      </c>
      <c r="D160" s="187" t="s">
        <v>134</v>
      </c>
      <c r="E160" s="286">
        <v>2</v>
      </c>
      <c r="F160" s="188"/>
      <c r="G160" s="189">
        <f t="shared" si="6"/>
        <v>0</v>
      </c>
    </row>
    <row r="161" spans="2:7" x14ac:dyDescent="0.25">
      <c r="B161" s="36">
        <v>5</v>
      </c>
      <c r="C161" s="36" t="s">
        <v>369</v>
      </c>
      <c r="D161" s="187" t="s">
        <v>134</v>
      </c>
      <c r="E161" s="286">
        <v>2</v>
      </c>
      <c r="F161" s="188"/>
      <c r="G161" s="189">
        <f t="shared" si="6"/>
        <v>0</v>
      </c>
    </row>
    <row r="162" spans="2:7" x14ac:dyDescent="0.25">
      <c r="B162" s="36">
        <v>6</v>
      </c>
      <c r="C162" s="36" t="s">
        <v>140</v>
      </c>
      <c r="D162" s="187" t="s">
        <v>134</v>
      </c>
      <c r="E162" s="286">
        <v>1</v>
      </c>
      <c r="F162" s="188"/>
      <c r="G162" s="189">
        <f t="shared" si="6"/>
        <v>0</v>
      </c>
    </row>
    <row r="163" spans="2:7" x14ac:dyDescent="0.25">
      <c r="B163" s="36">
        <v>7</v>
      </c>
      <c r="C163" s="36" t="s">
        <v>141</v>
      </c>
      <c r="D163" s="187" t="s">
        <v>134</v>
      </c>
      <c r="E163" s="286">
        <v>0</v>
      </c>
      <c r="F163" s="188"/>
      <c r="G163" s="189">
        <f t="shared" si="6"/>
        <v>0</v>
      </c>
    </row>
    <row r="164" spans="2:7" x14ac:dyDescent="0.25">
      <c r="B164" s="36">
        <v>8</v>
      </c>
      <c r="C164" s="36" t="s">
        <v>142</v>
      </c>
      <c r="D164" s="187" t="s">
        <v>85</v>
      </c>
      <c r="E164" s="286">
        <v>2</v>
      </c>
      <c r="F164" s="188"/>
      <c r="G164" s="189">
        <f t="shared" si="6"/>
        <v>0</v>
      </c>
    </row>
    <row r="165" spans="2:7" x14ac:dyDescent="0.25">
      <c r="B165" s="36">
        <v>9</v>
      </c>
      <c r="C165" s="36" t="s">
        <v>143</v>
      </c>
      <c r="D165" s="187" t="s">
        <v>85</v>
      </c>
      <c r="E165" s="286">
        <v>4</v>
      </c>
      <c r="F165" s="188"/>
      <c r="G165" s="189">
        <f t="shared" si="6"/>
        <v>0</v>
      </c>
    </row>
    <row r="166" spans="2:7" x14ac:dyDescent="0.25">
      <c r="B166" s="36">
        <v>10</v>
      </c>
      <c r="C166" s="36" t="s">
        <v>144</v>
      </c>
      <c r="D166" s="187" t="s">
        <v>85</v>
      </c>
      <c r="E166" s="286">
        <f>E158</f>
        <v>9</v>
      </c>
      <c r="F166" s="188"/>
      <c r="G166" s="189">
        <f t="shared" si="6"/>
        <v>0</v>
      </c>
    </row>
    <row r="167" spans="2:7" x14ac:dyDescent="0.25">
      <c r="B167" s="36">
        <v>11</v>
      </c>
      <c r="C167" s="36" t="s">
        <v>370</v>
      </c>
      <c r="D167" s="187" t="s">
        <v>85</v>
      </c>
      <c r="E167" s="286">
        <v>2</v>
      </c>
      <c r="F167" s="188"/>
      <c r="G167" s="189">
        <f t="shared" si="6"/>
        <v>0</v>
      </c>
    </row>
    <row r="168" spans="2:7" x14ac:dyDescent="0.25">
      <c r="B168" s="36">
        <v>12</v>
      </c>
      <c r="C168" s="36" t="s">
        <v>371</v>
      </c>
      <c r="D168" s="187" t="s">
        <v>85</v>
      </c>
      <c r="E168" s="286">
        <v>1</v>
      </c>
      <c r="F168" s="188"/>
      <c r="G168" s="189">
        <f t="shared" si="6"/>
        <v>0</v>
      </c>
    </row>
    <row r="169" spans="2:7" x14ac:dyDescent="0.25">
      <c r="B169" s="36">
        <v>13</v>
      </c>
      <c r="C169" s="36" t="s">
        <v>136</v>
      </c>
      <c r="D169" s="187" t="s">
        <v>85</v>
      </c>
      <c r="E169" s="286">
        <v>1</v>
      </c>
      <c r="F169" s="188"/>
      <c r="G169" s="189">
        <f t="shared" si="6"/>
        <v>0</v>
      </c>
    </row>
    <row r="170" spans="2:7" x14ac:dyDescent="0.25">
      <c r="B170" s="36">
        <v>14</v>
      </c>
      <c r="C170" s="36" t="s">
        <v>145</v>
      </c>
      <c r="D170" s="187" t="s">
        <v>146</v>
      </c>
      <c r="E170" s="286">
        <v>1</v>
      </c>
      <c r="F170" s="188"/>
      <c r="G170" s="189">
        <f t="shared" si="6"/>
        <v>0</v>
      </c>
    </row>
    <row r="171" spans="2:7" x14ac:dyDescent="0.25">
      <c r="B171" s="36">
        <v>15</v>
      </c>
      <c r="C171" s="36" t="s">
        <v>147</v>
      </c>
      <c r="D171" s="187" t="s">
        <v>148</v>
      </c>
      <c r="E171" s="286">
        <v>1</v>
      </c>
      <c r="F171" s="188"/>
      <c r="G171" s="189">
        <f t="shared" si="6"/>
        <v>0</v>
      </c>
    </row>
    <row r="172" spans="2:7" x14ac:dyDescent="0.25">
      <c r="B172" s="36">
        <v>16</v>
      </c>
      <c r="C172" s="36" t="s">
        <v>149</v>
      </c>
      <c r="D172" s="187" t="s">
        <v>150</v>
      </c>
      <c r="E172" s="286">
        <v>1</v>
      </c>
      <c r="F172" s="188"/>
      <c r="G172" s="189">
        <f t="shared" si="6"/>
        <v>0</v>
      </c>
    </row>
    <row r="173" spans="2:7" x14ac:dyDescent="0.25">
      <c r="B173" s="186"/>
      <c r="C173" s="221" t="s">
        <v>162</v>
      </c>
      <c r="D173" s="187"/>
      <c r="E173" s="287"/>
      <c r="F173" s="188"/>
      <c r="G173" s="215">
        <f>SUM(G157:G172)</f>
        <v>0</v>
      </c>
    </row>
    <row r="174" spans="2:7" x14ac:dyDescent="0.25">
      <c r="B174" s="186"/>
      <c r="C174" s="221"/>
      <c r="D174" s="187"/>
      <c r="E174" s="287"/>
      <c r="F174" s="188"/>
      <c r="G174" s="215"/>
    </row>
    <row r="175" spans="2:7" x14ac:dyDescent="0.25">
      <c r="B175" s="198" t="s">
        <v>151</v>
      </c>
      <c r="C175" s="199" t="s">
        <v>152</v>
      </c>
      <c r="D175" s="187"/>
      <c r="E175" s="287"/>
      <c r="F175" s="188"/>
      <c r="G175" s="189"/>
    </row>
    <row r="176" spans="2:7" x14ac:dyDescent="0.25">
      <c r="B176" s="53">
        <v>1</v>
      </c>
      <c r="C176" s="48" t="s">
        <v>372</v>
      </c>
      <c r="D176" s="53" t="s">
        <v>150</v>
      </c>
      <c r="E176" s="288">
        <v>1</v>
      </c>
      <c r="F176" s="188"/>
      <c r="G176" s="189">
        <f>F176*E176</f>
        <v>0</v>
      </c>
    </row>
    <row r="177" spans="2:7" x14ac:dyDescent="0.25">
      <c r="B177" s="53">
        <v>2</v>
      </c>
      <c r="C177" s="48" t="s">
        <v>373</v>
      </c>
      <c r="D177" s="53" t="s">
        <v>150</v>
      </c>
      <c r="E177" s="288">
        <v>0</v>
      </c>
      <c r="F177" s="216"/>
      <c r="G177" s="189">
        <f>F177*E177</f>
        <v>0</v>
      </c>
    </row>
    <row r="178" spans="2:7" x14ac:dyDescent="0.25">
      <c r="B178" s="53">
        <v>3</v>
      </c>
      <c r="C178" s="48" t="s">
        <v>374</v>
      </c>
      <c r="D178" s="187" t="s">
        <v>168</v>
      </c>
      <c r="E178" s="288"/>
      <c r="F178" s="216"/>
      <c r="G178" s="189"/>
    </row>
    <row r="179" spans="2:7" x14ac:dyDescent="0.25">
      <c r="B179" s="53"/>
      <c r="C179" s="230" t="s">
        <v>375</v>
      </c>
      <c r="D179" s="187" t="s">
        <v>15</v>
      </c>
      <c r="E179" s="288">
        <f>4</f>
        <v>4</v>
      </c>
      <c r="F179" s="216"/>
      <c r="G179" s="189">
        <f>F179*E179</f>
        <v>0</v>
      </c>
    </row>
    <row r="180" spans="2:7" x14ac:dyDescent="0.25">
      <c r="B180" s="53">
        <v>4</v>
      </c>
      <c r="C180" s="48" t="s">
        <v>376</v>
      </c>
      <c r="D180" s="187" t="s">
        <v>168</v>
      </c>
      <c r="E180" s="288"/>
      <c r="F180" s="216"/>
      <c r="G180" s="189"/>
    </row>
    <row r="181" spans="2:7" x14ac:dyDescent="0.25">
      <c r="B181" s="53"/>
      <c r="C181" s="230" t="s">
        <v>377</v>
      </c>
      <c r="D181" s="187" t="s">
        <v>150</v>
      </c>
      <c r="E181" s="288">
        <v>1</v>
      </c>
      <c r="F181" s="216"/>
      <c r="G181" s="189">
        <f>F181*E181</f>
        <v>0</v>
      </c>
    </row>
    <row r="182" spans="2:7" x14ac:dyDescent="0.25">
      <c r="B182" s="53"/>
      <c r="C182" s="221" t="s">
        <v>162</v>
      </c>
      <c r="D182" s="53"/>
      <c r="E182" s="288"/>
      <c r="F182" s="236"/>
      <c r="G182" s="215">
        <f>SUM(G176:G181)</f>
        <v>0</v>
      </c>
    </row>
    <row r="183" spans="2:7" x14ac:dyDescent="0.25">
      <c r="B183" s="234"/>
      <c r="C183" s="235"/>
      <c r="D183" s="53"/>
      <c r="E183" s="288"/>
      <c r="F183" s="236"/>
      <c r="G183" s="215"/>
    </row>
    <row r="184" spans="2:7" x14ac:dyDescent="0.25">
      <c r="B184" s="221" t="s">
        <v>151</v>
      </c>
      <c r="C184" s="237" t="s">
        <v>154</v>
      </c>
      <c r="D184" s="53"/>
      <c r="E184" s="289"/>
      <c r="F184" s="236"/>
      <c r="G184" s="189"/>
    </row>
    <row r="185" spans="2:7" x14ac:dyDescent="0.25">
      <c r="B185" s="53">
        <v>1</v>
      </c>
      <c r="C185" s="48" t="s">
        <v>378</v>
      </c>
      <c r="D185" s="187"/>
      <c r="E185" s="288"/>
      <c r="F185" s="216"/>
      <c r="G185" s="189"/>
    </row>
    <row r="186" spans="2:7" x14ac:dyDescent="0.25">
      <c r="B186" s="53"/>
      <c r="C186" s="49" t="s">
        <v>379</v>
      </c>
      <c r="D186" s="187" t="s">
        <v>21</v>
      </c>
      <c r="E186" s="288">
        <f>5*2.5-(2.1*2.5)+0.2*2.5*4</f>
        <v>9.25</v>
      </c>
      <c r="F186" s="216"/>
      <c r="G186" s="189">
        <f>F186*E186</f>
        <v>0</v>
      </c>
    </row>
    <row r="187" spans="2:7" x14ac:dyDescent="0.25">
      <c r="B187" s="53">
        <v>2</v>
      </c>
      <c r="C187" s="48" t="s">
        <v>380</v>
      </c>
      <c r="D187" s="187"/>
      <c r="E187" s="288"/>
      <c r="F187" s="216"/>
      <c r="G187" s="189"/>
    </row>
    <row r="188" spans="2:7" x14ac:dyDescent="0.25">
      <c r="B188" s="53"/>
      <c r="C188" s="49" t="s">
        <v>379</v>
      </c>
      <c r="D188" s="239"/>
      <c r="E188" s="288">
        <f>5*3.25-(0.4*5+2.25*1.6+2*2.5)</f>
        <v>5.65</v>
      </c>
      <c r="F188" s="216"/>
      <c r="G188" s="189">
        <f>F188*E188</f>
        <v>0</v>
      </c>
    </row>
    <row r="189" spans="2:7" x14ac:dyDescent="0.25">
      <c r="B189" s="53">
        <v>3</v>
      </c>
      <c r="C189" s="48" t="s">
        <v>381</v>
      </c>
      <c r="D189" s="187" t="s">
        <v>21</v>
      </c>
      <c r="E189" s="288">
        <f>3+1+5+1-1</f>
        <v>9</v>
      </c>
      <c r="F189" s="216"/>
      <c r="G189" s="189">
        <f>F189*E189</f>
        <v>0</v>
      </c>
    </row>
    <row r="190" spans="2:7" x14ac:dyDescent="0.25">
      <c r="B190" s="53">
        <v>4</v>
      </c>
      <c r="C190" s="36" t="s">
        <v>382</v>
      </c>
      <c r="D190" s="187" t="s">
        <v>21</v>
      </c>
      <c r="E190" s="286">
        <f>1.4*2+2*1.6</f>
        <v>6</v>
      </c>
      <c r="F190" s="188"/>
      <c r="G190" s="189">
        <f>F190*E190</f>
        <v>0</v>
      </c>
    </row>
    <row r="191" spans="2:7" x14ac:dyDescent="0.25">
      <c r="B191" s="53">
        <v>5</v>
      </c>
      <c r="C191" s="48" t="s">
        <v>159</v>
      </c>
      <c r="D191" s="53" t="s">
        <v>150</v>
      </c>
      <c r="E191" s="288">
        <v>0</v>
      </c>
      <c r="F191" s="216"/>
      <c r="G191" s="189">
        <f>F191*E191</f>
        <v>0</v>
      </c>
    </row>
    <row r="192" spans="2:7" x14ac:dyDescent="0.25">
      <c r="B192" s="52"/>
      <c r="C192" s="221" t="s">
        <v>162</v>
      </c>
      <c r="D192" s="53"/>
      <c r="E192" s="288"/>
      <c r="F192" s="216"/>
      <c r="G192" s="215">
        <f>SUM(G185:G191)</f>
        <v>0</v>
      </c>
    </row>
    <row r="193" spans="2:7" x14ac:dyDescent="0.25">
      <c r="B193" s="234"/>
      <c r="C193" s="235"/>
      <c r="D193" s="234"/>
      <c r="E193" s="290"/>
      <c r="F193" s="216"/>
      <c r="G193" s="189"/>
    </row>
    <row r="194" spans="2:7" x14ac:dyDescent="0.25">
      <c r="B194" s="221" t="s">
        <v>151</v>
      </c>
      <c r="C194" s="237" t="s">
        <v>163</v>
      </c>
      <c r="D194" s="53"/>
      <c r="E194" s="288"/>
      <c r="F194" s="217"/>
      <c r="G194" s="189"/>
    </row>
    <row r="195" spans="2:7" x14ac:dyDescent="0.25">
      <c r="B195" s="53">
        <v>1</v>
      </c>
      <c r="C195" s="48" t="s">
        <v>383</v>
      </c>
      <c r="D195" s="53" t="s">
        <v>156</v>
      </c>
      <c r="E195" s="288">
        <f>24*0</f>
        <v>0</v>
      </c>
      <c r="F195" s="217"/>
      <c r="G195" s="189">
        <f>F195*E195</f>
        <v>0</v>
      </c>
    </row>
    <row r="196" spans="2:7" x14ac:dyDescent="0.25">
      <c r="B196" s="53">
        <v>2</v>
      </c>
      <c r="C196" s="48" t="s">
        <v>384</v>
      </c>
      <c r="D196" s="53" t="s">
        <v>156</v>
      </c>
      <c r="E196" s="288">
        <f>22*0</f>
        <v>0</v>
      </c>
      <c r="F196" s="217"/>
      <c r="G196" s="189">
        <f>F196*E196</f>
        <v>0</v>
      </c>
    </row>
    <row r="197" spans="2:7" x14ac:dyDescent="0.25">
      <c r="B197" s="53">
        <v>3</v>
      </c>
      <c r="C197" s="48" t="s">
        <v>385</v>
      </c>
      <c r="D197" s="53" t="s">
        <v>156</v>
      </c>
      <c r="E197" s="288">
        <f>19*0</f>
        <v>0</v>
      </c>
      <c r="F197" s="217"/>
      <c r="G197" s="189">
        <f>F197*E197</f>
        <v>0</v>
      </c>
    </row>
    <row r="198" spans="2:7" x14ac:dyDescent="0.25">
      <c r="B198" s="53"/>
      <c r="C198" s="221" t="s">
        <v>162</v>
      </c>
      <c r="D198" s="52"/>
      <c r="E198" s="289"/>
      <c r="F198" s="236"/>
      <c r="G198" s="215">
        <f>SUM(G195:G197)</f>
        <v>0</v>
      </c>
    </row>
    <row r="199" spans="2:7" x14ac:dyDescent="0.25">
      <c r="B199" s="244"/>
      <c r="C199" s="245"/>
      <c r="D199" s="246"/>
      <c r="E199" s="247"/>
      <c r="F199" s="248"/>
      <c r="G199" s="248"/>
    </row>
    <row r="200" spans="2:7" x14ac:dyDescent="0.25">
      <c r="B200" s="169"/>
      <c r="C200" s="245"/>
      <c r="D200" s="245"/>
      <c r="E200" s="247"/>
      <c r="F200" s="248"/>
      <c r="G200" s="248"/>
    </row>
    <row r="201" spans="2:7" x14ac:dyDescent="0.25">
      <c r="B201" s="168" t="s">
        <v>167</v>
      </c>
      <c r="C201" s="169"/>
      <c r="D201" s="169"/>
      <c r="E201" s="291"/>
      <c r="F201" s="249"/>
      <c r="G201" s="249"/>
    </row>
    <row r="202" spans="2:7" x14ac:dyDescent="0.25">
      <c r="B202" s="250"/>
      <c r="C202" s="251"/>
      <c r="D202" s="251"/>
      <c r="E202" s="292"/>
      <c r="F202" s="253" t="s">
        <v>169</v>
      </c>
      <c r="G202" s="254"/>
    </row>
    <row r="203" spans="2:7" x14ac:dyDescent="0.25">
      <c r="B203" s="255" t="s">
        <v>12</v>
      </c>
      <c r="C203" s="183" t="s">
        <v>13</v>
      </c>
      <c r="D203" s="256"/>
      <c r="E203" s="293"/>
      <c r="F203" s="236">
        <v>1.1156174676816415</v>
      </c>
      <c r="G203" s="215">
        <f>G15</f>
        <v>0</v>
      </c>
    </row>
    <row r="204" spans="2:7" x14ac:dyDescent="0.25">
      <c r="B204" s="198" t="s">
        <v>23</v>
      </c>
      <c r="C204" s="199" t="s">
        <v>24</v>
      </c>
      <c r="D204" s="256"/>
      <c r="E204" s="293"/>
      <c r="F204" s="236">
        <v>1.8930991060880167</v>
      </c>
      <c r="G204" s="257">
        <f>G22</f>
        <v>0</v>
      </c>
    </row>
    <row r="205" spans="2:7" x14ac:dyDescent="0.25">
      <c r="B205" s="198" t="s">
        <v>30</v>
      </c>
      <c r="C205" s="199" t="s">
        <v>31</v>
      </c>
      <c r="D205" s="256"/>
      <c r="E205" s="293"/>
      <c r="F205" s="236">
        <v>2.2614720573209159</v>
      </c>
      <c r="G205" s="215">
        <f>G27</f>
        <v>0</v>
      </c>
    </row>
    <row r="206" spans="2:7" x14ac:dyDescent="0.25">
      <c r="B206" s="198" t="s">
        <v>35</v>
      </c>
      <c r="C206" s="199" t="s">
        <v>36</v>
      </c>
      <c r="D206" s="256"/>
      <c r="E206" s="293"/>
      <c r="F206" s="236">
        <v>39.514000115440155</v>
      </c>
      <c r="G206" s="215">
        <f>G43</f>
        <v>0</v>
      </c>
    </row>
    <row r="207" spans="2:7" x14ac:dyDescent="0.25">
      <c r="B207" s="198" t="s">
        <v>46</v>
      </c>
      <c r="C207" s="199" t="s">
        <v>47</v>
      </c>
      <c r="D207" s="256"/>
      <c r="E207" s="293"/>
      <c r="F207" s="236">
        <v>7.3747415115914814</v>
      </c>
      <c r="G207" s="215">
        <f>G56</f>
        <v>0</v>
      </c>
    </row>
    <row r="208" spans="2:7" x14ac:dyDescent="0.25">
      <c r="B208" s="198" t="s">
        <v>55</v>
      </c>
      <c r="C208" s="199" t="s">
        <v>56</v>
      </c>
      <c r="D208" s="256"/>
      <c r="E208" s="293"/>
      <c r="F208" s="236">
        <v>2.9007855509160492</v>
      </c>
      <c r="G208" s="257">
        <f>G64</f>
        <v>0</v>
      </c>
    </row>
    <row r="209" spans="2:7" x14ac:dyDescent="0.25">
      <c r="B209" s="198" t="s">
        <v>61</v>
      </c>
      <c r="C209" s="199" t="s">
        <v>62</v>
      </c>
      <c r="D209" s="256"/>
      <c r="E209" s="293"/>
      <c r="F209" s="236">
        <v>3.3837877004596737</v>
      </c>
      <c r="G209" s="257">
        <f>G72</f>
        <v>0</v>
      </c>
    </row>
    <row r="210" spans="2:7" x14ac:dyDescent="0.25">
      <c r="B210" s="198" t="s">
        <v>67</v>
      </c>
      <c r="C210" s="199" t="s">
        <v>68</v>
      </c>
      <c r="D210" s="256"/>
      <c r="E210" s="293"/>
      <c r="F210" s="236">
        <v>16.483445352603166</v>
      </c>
      <c r="G210" s="257">
        <f>G78</f>
        <v>0</v>
      </c>
    </row>
    <row r="211" spans="2:7" x14ac:dyDescent="0.25">
      <c r="B211" s="198" t="s">
        <v>72</v>
      </c>
      <c r="C211" s="199" t="s">
        <v>73</v>
      </c>
      <c r="D211" s="256"/>
      <c r="E211" s="293"/>
      <c r="F211" s="236">
        <v>5.1313661772732893</v>
      </c>
      <c r="G211" s="257">
        <f>G88</f>
        <v>0</v>
      </c>
    </row>
    <row r="212" spans="2:7" x14ac:dyDescent="0.25">
      <c r="B212" s="198" t="s">
        <v>80</v>
      </c>
      <c r="C212" s="199" t="s">
        <v>81</v>
      </c>
      <c r="D212" s="256"/>
      <c r="E212" s="293"/>
      <c r="F212" s="236">
        <v>2.9993337091324253</v>
      </c>
      <c r="G212" s="257">
        <f>G115</f>
        <v>0</v>
      </c>
    </row>
    <row r="213" spans="2:7" x14ac:dyDescent="0.25">
      <c r="B213" s="198" t="s">
        <v>100</v>
      </c>
      <c r="C213" s="199" t="s">
        <v>101</v>
      </c>
      <c r="D213" s="256"/>
      <c r="E213" s="293"/>
      <c r="F213" s="236">
        <v>2.4298645921086925</v>
      </c>
      <c r="G213" s="257">
        <f>G123</f>
        <v>0</v>
      </c>
    </row>
    <row r="214" spans="2:7" x14ac:dyDescent="0.25">
      <c r="B214" s="198" t="s">
        <v>107</v>
      </c>
      <c r="C214" s="199" t="s">
        <v>108</v>
      </c>
      <c r="D214" s="256"/>
      <c r="E214" s="293"/>
      <c r="F214" s="236">
        <v>4.8981879479376103</v>
      </c>
      <c r="G214" s="257">
        <f>G153</f>
        <v>0</v>
      </c>
    </row>
    <row r="215" spans="2:7" x14ac:dyDescent="0.25">
      <c r="B215" s="198" t="s">
        <v>130</v>
      </c>
      <c r="C215" s="199" t="s">
        <v>131</v>
      </c>
      <c r="D215" s="256"/>
      <c r="E215" s="293"/>
      <c r="F215" s="236">
        <v>3.2580345025892505</v>
      </c>
      <c r="G215" s="257">
        <f>G173</f>
        <v>0</v>
      </c>
    </row>
    <row r="216" spans="2:7" x14ac:dyDescent="0.25">
      <c r="B216" s="198" t="s">
        <v>151</v>
      </c>
      <c r="C216" s="199" t="str">
        <f>C175</f>
        <v>PEK. LAIN - LAIN</v>
      </c>
      <c r="D216" s="256"/>
      <c r="E216" s="293"/>
      <c r="F216" s="236">
        <v>3.2025289207286383</v>
      </c>
      <c r="G216" s="257">
        <f>G182</f>
        <v>0</v>
      </c>
    </row>
    <row r="217" spans="2:7" x14ac:dyDescent="0.25">
      <c r="B217" s="198" t="s">
        <v>170</v>
      </c>
      <c r="C217" s="199" t="str">
        <f>C184</f>
        <v>PEK. PERUBAHAN BENTUK TAMPAK MUKA</v>
      </c>
      <c r="D217" s="256"/>
      <c r="E217" s="293"/>
      <c r="F217" s="236">
        <v>3.1537352881290164</v>
      </c>
      <c r="G217" s="257">
        <f>G192</f>
        <v>0</v>
      </c>
    </row>
    <row r="218" spans="2:7" x14ac:dyDescent="0.25">
      <c r="B218" s="198" t="s">
        <v>171</v>
      </c>
      <c r="C218" s="199" t="str">
        <f>C194</f>
        <v>PEKERJAAN PLESTER DINDING SAMPING</v>
      </c>
      <c r="D218" s="256"/>
      <c r="E218" s="229"/>
      <c r="F218" s="236">
        <v>0</v>
      </c>
      <c r="G218" s="257">
        <f>G198</f>
        <v>0</v>
      </c>
    </row>
    <row r="219" spans="2:7" x14ac:dyDescent="0.25">
      <c r="B219" s="258"/>
      <c r="C219" s="259"/>
      <c r="D219" s="260"/>
      <c r="E219" s="60"/>
      <c r="F219" s="261">
        <v>100.00000000000003</v>
      </c>
      <c r="G219" s="262"/>
    </row>
    <row r="220" spans="2:7" x14ac:dyDescent="0.25">
      <c r="B220" s="263"/>
      <c r="C220" s="169"/>
      <c r="D220" s="169"/>
      <c r="E220" s="170"/>
      <c r="F220" s="171"/>
      <c r="G220" s="264"/>
    </row>
    <row r="221" spans="2:7" x14ac:dyDescent="0.25">
      <c r="B221" s="263"/>
      <c r="C221" s="169"/>
      <c r="D221" s="169"/>
      <c r="E221" s="170"/>
      <c r="F221" s="267" t="s">
        <v>9</v>
      </c>
      <c r="G221" s="266">
        <f>SUM(G202:G218)</f>
        <v>0</v>
      </c>
    </row>
    <row r="222" spans="2:7" x14ac:dyDescent="0.25">
      <c r="B222" s="263"/>
      <c r="C222" s="169"/>
      <c r="D222" s="169"/>
      <c r="E222" s="170"/>
      <c r="F222" s="270" t="s">
        <v>406</v>
      </c>
      <c r="G222" s="271">
        <f>0.1*G221</f>
        <v>0</v>
      </c>
    </row>
    <row r="223" spans="2:7" x14ac:dyDescent="0.25">
      <c r="B223" s="263"/>
      <c r="C223" s="169"/>
      <c r="D223" s="169"/>
      <c r="E223" s="170"/>
      <c r="F223" s="171" t="s">
        <v>303</v>
      </c>
      <c r="G223" s="266">
        <f>G222+G221</f>
        <v>0</v>
      </c>
    </row>
    <row r="224" spans="2:7" ht="15.75" x14ac:dyDescent="0.25">
      <c r="B224" s="263"/>
      <c r="C224" s="169"/>
      <c r="D224" s="169"/>
      <c r="E224" s="170"/>
      <c r="F224" s="267" t="s">
        <v>301</v>
      </c>
      <c r="G224" s="268">
        <f>ROUNDDOWN(G223,-4)</f>
        <v>0</v>
      </c>
    </row>
    <row r="225" spans="2:7" x14ac:dyDescent="0.25">
      <c r="B225" s="263"/>
      <c r="C225" s="169"/>
      <c r="D225" s="169"/>
      <c r="E225" s="269"/>
      <c r="F225" s="270" t="s">
        <v>391</v>
      </c>
      <c r="G225" s="271">
        <f>0.1*G224</f>
        <v>0</v>
      </c>
    </row>
    <row r="226" spans="2:7" x14ac:dyDescent="0.25">
      <c r="B226" s="263"/>
      <c r="C226" s="169"/>
      <c r="D226" s="169"/>
      <c r="E226" s="269"/>
      <c r="F226" s="270" t="s">
        <v>392</v>
      </c>
      <c r="G226" s="272">
        <f>G225+G224</f>
        <v>0</v>
      </c>
    </row>
    <row r="227" spans="2:7" x14ac:dyDescent="0.25">
      <c r="B227" s="263"/>
      <c r="C227" s="169"/>
      <c r="D227" s="169"/>
      <c r="E227" s="170"/>
      <c r="F227" s="270"/>
      <c r="G227" s="273"/>
    </row>
    <row r="228" spans="2:7" x14ac:dyDescent="0.25">
      <c r="B228" s="263"/>
      <c r="C228" s="169"/>
      <c r="D228" s="169"/>
      <c r="E228" s="170"/>
      <c r="F228" s="265"/>
      <c r="G228" s="274"/>
    </row>
    <row r="229" spans="2:7" x14ac:dyDescent="0.25">
      <c r="B229" s="263"/>
      <c r="C229" s="169"/>
      <c r="D229" s="275" t="s">
        <v>178</v>
      </c>
      <c r="E229" s="275"/>
      <c r="F229" s="171"/>
      <c r="G229" s="171">
        <v>46</v>
      </c>
    </row>
    <row r="230" spans="2:7" x14ac:dyDescent="0.25">
      <c r="B230" s="263"/>
      <c r="C230" s="169"/>
      <c r="D230" s="275"/>
      <c r="E230" s="275"/>
      <c r="F230" s="171"/>
      <c r="G230" s="270"/>
    </row>
    <row r="231" spans="2:7" x14ac:dyDescent="0.25">
      <c r="B231" s="263"/>
      <c r="C231" s="169"/>
      <c r="D231" s="275" t="s">
        <v>180</v>
      </c>
      <c r="E231" s="275"/>
      <c r="F231" s="171"/>
      <c r="G231" s="276">
        <f>G224/G229</f>
        <v>0</v>
      </c>
    </row>
    <row r="232" spans="2:7" x14ac:dyDescent="0.25">
      <c r="B232" s="277"/>
      <c r="C232" s="278"/>
      <c r="D232" s="279"/>
      <c r="E232" s="279"/>
      <c r="F232" s="280"/>
      <c r="G232" s="281"/>
    </row>
  </sheetData>
  <mergeCells count="3">
    <mergeCell ref="B5:B6"/>
    <mergeCell ref="C5:C6"/>
    <mergeCell ref="D5:D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G102" sqref="G102"/>
    </sheetView>
  </sheetViews>
  <sheetFormatPr defaultRowHeight="15" x14ac:dyDescent="0.25"/>
  <cols>
    <col min="1" max="1" width="4.42578125" customWidth="1"/>
    <col min="2" max="2" width="40.42578125" customWidth="1"/>
    <col min="3" max="3" width="36.28515625" customWidth="1"/>
    <col min="4" max="4" width="5.85546875" customWidth="1"/>
    <col min="5" max="5" width="9.5703125" customWidth="1"/>
    <col min="6" max="6" width="12" customWidth="1"/>
    <col min="7" max="7" width="16.7109375" customWidth="1"/>
  </cols>
  <sheetData>
    <row r="1" spans="1:7" ht="18" x14ac:dyDescent="0.25">
      <c r="A1" s="90" t="s">
        <v>183</v>
      </c>
      <c r="B1" s="91"/>
      <c r="C1" s="91"/>
      <c r="D1" s="91"/>
      <c r="E1" s="91"/>
      <c r="F1" s="92"/>
    </row>
    <row r="2" spans="1:7" ht="18.75" thickBot="1" x14ac:dyDescent="0.3">
      <c r="A2" s="90" t="s">
        <v>184</v>
      </c>
      <c r="B2" s="91"/>
      <c r="C2" s="91"/>
      <c r="D2" s="91"/>
      <c r="E2" s="91"/>
      <c r="F2" s="92"/>
    </row>
    <row r="3" spans="1:7" x14ac:dyDescent="0.25">
      <c r="A3" s="161" t="s">
        <v>4</v>
      </c>
      <c r="B3" s="163" t="s">
        <v>185</v>
      </c>
      <c r="C3" s="163" t="s">
        <v>186</v>
      </c>
      <c r="D3" s="163" t="s">
        <v>187</v>
      </c>
      <c r="E3" s="163" t="s">
        <v>188</v>
      </c>
      <c r="F3" s="165" t="s">
        <v>189</v>
      </c>
      <c r="G3" s="159" t="s">
        <v>9</v>
      </c>
    </row>
    <row r="4" spans="1:7" ht="15.75" thickBot="1" x14ac:dyDescent="0.3">
      <c r="A4" s="162"/>
      <c r="B4" s="164"/>
      <c r="C4" s="164"/>
      <c r="D4" s="164"/>
      <c r="E4" s="164"/>
      <c r="F4" s="166"/>
      <c r="G4" s="160"/>
    </row>
    <row r="5" spans="1:7" ht="15.75" thickTop="1" x14ac:dyDescent="0.25">
      <c r="A5" s="93"/>
      <c r="B5" s="94"/>
      <c r="C5" s="94"/>
      <c r="D5" s="94"/>
      <c r="E5" s="94"/>
      <c r="F5" s="95"/>
      <c r="G5" s="96"/>
    </row>
    <row r="6" spans="1:7" x14ac:dyDescent="0.25">
      <c r="A6" s="97" t="s">
        <v>12</v>
      </c>
      <c r="B6" s="98" t="s">
        <v>13</v>
      </c>
      <c r="C6" s="99"/>
      <c r="D6" s="99"/>
      <c r="E6" s="99"/>
      <c r="F6" s="100"/>
      <c r="G6" s="101"/>
    </row>
    <row r="7" spans="1:7" x14ac:dyDescent="0.25">
      <c r="A7" s="102">
        <v>1</v>
      </c>
      <c r="B7" s="99" t="s">
        <v>190</v>
      </c>
      <c r="C7" s="99" t="s">
        <v>191</v>
      </c>
      <c r="D7" s="103" t="s">
        <v>15</v>
      </c>
      <c r="E7" s="104">
        <f>15.95+6.25+11.95+1.75+4</f>
        <v>39.9</v>
      </c>
      <c r="F7" s="105">
        <v>0</v>
      </c>
      <c r="G7" s="106">
        <f>F7*E7</f>
        <v>0</v>
      </c>
    </row>
    <row r="8" spans="1:7" x14ac:dyDescent="0.25">
      <c r="A8" s="102">
        <f>A7+1</f>
        <v>2</v>
      </c>
      <c r="B8" s="99" t="s">
        <v>192</v>
      </c>
      <c r="C8" s="99" t="s">
        <v>193</v>
      </c>
      <c r="D8" s="103" t="s">
        <v>17</v>
      </c>
      <c r="E8" s="104">
        <v>1</v>
      </c>
      <c r="F8" s="105">
        <v>0</v>
      </c>
      <c r="G8" s="106">
        <f t="shared" ref="G8:G11" si="0">F8*E8</f>
        <v>0</v>
      </c>
    </row>
    <row r="9" spans="1:7" x14ac:dyDescent="0.25">
      <c r="A9" s="102">
        <f>A8+1</f>
        <v>3</v>
      </c>
      <c r="B9" s="99" t="s">
        <v>194</v>
      </c>
      <c r="C9" s="99" t="s">
        <v>195</v>
      </c>
      <c r="D9" s="103" t="s">
        <v>17</v>
      </c>
      <c r="E9" s="104">
        <v>1</v>
      </c>
      <c r="F9" s="105">
        <v>0</v>
      </c>
      <c r="G9" s="106">
        <f t="shared" si="0"/>
        <v>0</v>
      </c>
    </row>
    <row r="10" spans="1:7" x14ac:dyDescent="0.25">
      <c r="A10" s="102">
        <v>4</v>
      </c>
      <c r="B10" s="99" t="s">
        <v>196</v>
      </c>
      <c r="C10" s="99" t="s">
        <v>195</v>
      </c>
      <c r="D10" s="103" t="s">
        <v>17</v>
      </c>
      <c r="E10" s="104">
        <v>1</v>
      </c>
      <c r="F10" s="105">
        <v>0</v>
      </c>
      <c r="G10" s="106">
        <f t="shared" si="0"/>
        <v>0</v>
      </c>
    </row>
    <row r="11" spans="1:7" x14ac:dyDescent="0.25">
      <c r="A11" s="102">
        <v>5</v>
      </c>
      <c r="B11" s="99" t="s">
        <v>197</v>
      </c>
      <c r="C11" s="99" t="s">
        <v>198</v>
      </c>
      <c r="D11" s="103" t="s">
        <v>199</v>
      </c>
      <c r="E11" s="104">
        <f>15.95+4.5+1.75</f>
        <v>22.2</v>
      </c>
      <c r="F11" s="105">
        <v>0</v>
      </c>
      <c r="G11" s="106">
        <f t="shared" si="0"/>
        <v>0</v>
      </c>
    </row>
    <row r="12" spans="1:7" x14ac:dyDescent="0.25">
      <c r="A12" s="102"/>
      <c r="B12" s="99"/>
      <c r="C12" s="99"/>
      <c r="D12" s="103"/>
      <c r="E12" s="104"/>
      <c r="F12" s="105">
        <v>0</v>
      </c>
      <c r="G12" s="107">
        <f>SUM(G7:G11)</f>
        <v>0</v>
      </c>
    </row>
    <row r="13" spans="1:7" x14ac:dyDescent="0.25">
      <c r="A13" s="97" t="s">
        <v>23</v>
      </c>
      <c r="B13" s="98" t="s">
        <v>200</v>
      </c>
      <c r="C13" s="99"/>
      <c r="D13" s="103"/>
      <c r="E13" s="104"/>
      <c r="F13" s="105">
        <v>0</v>
      </c>
      <c r="G13" s="106"/>
    </row>
    <row r="14" spans="1:7" x14ac:dyDescent="0.25">
      <c r="A14" s="102">
        <v>1</v>
      </c>
      <c r="B14" s="99" t="s">
        <v>201</v>
      </c>
      <c r="C14" s="99"/>
      <c r="D14" s="103" t="s">
        <v>156</v>
      </c>
      <c r="E14" s="104">
        <f>1.6*2.5*2+3*6.5+3*3</f>
        <v>36.5</v>
      </c>
      <c r="F14" s="105">
        <v>0</v>
      </c>
      <c r="G14" s="106">
        <f t="shared" ref="G14:G79" si="1">F14*E14</f>
        <v>0</v>
      </c>
    </row>
    <row r="15" spans="1:7" x14ac:dyDescent="0.25">
      <c r="A15" s="102">
        <v>2</v>
      </c>
      <c r="B15" s="99" t="s">
        <v>202</v>
      </c>
      <c r="C15" s="99"/>
      <c r="D15" s="103" t="s">
        <v>156</v>
      </c>
      <c r="E15" s="104">
        <f>3*4*4</f>
        <v>48</v>
      </c>
      <c r="F15" s="105">
        <v>0</v>
      </c>
      <c r="G15" s="106">
        <f t="shared" si="1"/>
        <v>0</v>
      </c>
    </row>
    <row r="16" spans="1:7" x14ac:dyDescent="0.25">
      <c r="A16" s="102">
        <v>3</v>
      </c>
      <c r="B16" s="99" t="s">
        <v>203</v>
      </c>
      <c r="C16" s="99"/>
      <c r="D16" s="103" t="s">
        <v>150</v>
      </c>
      <c r="E16" s="104">
        <v>3</v>
      </c>
      <c r="F16" s="105">
        <v>0</v>
      </c>
      <c r="G16" s="106">
        <f t="shared" si="1"/>
        <v>0</v>
      </c>
    </row>
    <row r="17" spans="1:7" x14ac:dyDescent="0.25">
      <c r="A17" s="102">
        <v>4</v>
      </c>
      <c r="B17" s="99" t="s">
        <v>204</v>
      </c>
      <c r="C17" s="99"/>
      <c r="D17" s="103" t="s">
        <v>156</v>
      </c>
      <c r="E17" s="104">
        <f>1*2.5</f>
        <v>2.5</v>
      </c>
      <c r="F17" s="105">
        <v>0</v>
      </c>
      <c r="G17" s="106">
        <f t="shared" si="1"/>
        <v>0</v>
      </c>
    </row>
    <row r="18" spans="1:7" x14ac:dyDescent="0.25">
      <c r="A18" s="102">
        <v>5</v>
      </c>
      <c r="B18" s="99" t="s">
        <v>407</v>
      </c>
      <c r="C18" s="99"/>
      <c r="D18" s="103" t="s">
        <v>199</v>
      </c>
      <c r="E18" s="104">
        <f>4+1.6</f>
        <v>5.6</v>
      </c>
      <c r="F18" s="105">
        <v>0</v>
      </c>
      <c r="G18" s="106">
        <f t="shared" si="1"/>
        <v>0</v>
      </c>
    </row>
    <row r="19" spans="1:7" x14ac:dyDescent="0.25">
      <c r="A19" s="102">
        <v>6</v>
      </c>
      <c r="B19" s="99" t="s">
        <v>408</v>
      </c>
      <c r="C19" s="99" t="s">
        <v>409</v>
      </c>
      <c r="D19" s="103" t="s">
        <v>199</v>
      </c>
      <c r="E19" s="104">
        <v>11.95</v>
      </c>
      <c r="F19" s="105">
        <v>0</v>
      </c>
      <c r="G19" s="106">
        <f t="shared" si="1"/>
        <v>0</v>
      </c>
    </row>
    <row r="20" spans="1:7" x14ac:dyDescent="0.25">
      <c r="A20" s="102">
        <v>7</v>
      </c>
      <c r="B20" s="99" t="s">
        <v>206</v>
      </c>
      <c r="C20" s="99"/>
      <c r="D20" s="103" t="s">
        <v>207</v>
      </c>
      <c r="E20" s="104">
        <v>5</v>
      </c>
      <c r="F20" s="105">
        <v>0</v>
      </c>
      <c r="G20" s="106">
        <f t="shared" si="1"/>
        <v>0</v>
      </c>
    </row>
    <row r="21" spans="1:7" x14ac:dyDescent="0.25">
      <c r="A21" s="102">
        <v>8</v>
      </c>
      <c r="B21" s="99" t="s">
        <v>208</v>
      </c>
      <c r="C21" s="99"/>
      <c r="D21" s="103" t="s">
        <v>207</v>
      </c>
      <c r="E21" s="104">
        <v>3</v>
      </c>
      <c r="F21" s="105">
        <v>0</v>
      </c>
      <c r="G21" s="106">
        <f t="shared" si="1"/>
        <v>0</v>
      </c>
    </row>
    <row r="22" spans="1:7" x14ac:dyDescent="0.25">
      <c r="A22" s="102"/>
      <c r="B22" s="99"/>
      <c r="C22" s="99"/>
      <c r="D22" s="103"/>
      <c r="E22" s="104"/>
      <c r="F22" s="105">
        <v>0</v>
      </c>
      <c r="G22" s="107">
        <f>SUM(G14:G19)</f>
        <v>0</v>
      </c>
    </row>
    <row r="23" spans="1:7" x14ac:dyDescent="0.25">
      <c r="A23" s="97" t="s">
        <v>30</v>
      </c>
      <c r="B23" s="98" t="s">
        <v>209</v>
      </c>
      <c r="C23" s="99"/>
      <c r="D23" s="103"/>
      <c r="E23" s="104"/>
      <c r="F23" s="105">
        <v>0</v>
      </c>
      <c r="G23" s="106"/>
    </row>
    <row r="24" spans="1:7" x14ac:dyDescent="0.25">
      <c r="A24" s="102">
        <v>1</v>
      </c>
      <c r="B24" s="99" t="s">
        <v>410</v>
      </c>
      <c r="C24" s="99" t="s">
        <v>411</v>
      </c>
      <c r="D24" s="103" t="s">
        <v>26</v>
      </c>
      <c r="E24" s="104">
        <f>0.8*0.9*(15.95+4.5+1.75)+1.25*1.25*6+0.5*6*0.5</f>
        <v>26.859000000000002</v>
      </c>
      <c r="F24" s="105">
        <v>0</v>
      </c>
      <c r="G24" s="106">
        <f t="shared" si="1"/>
        <v>0</v>
      </c>
    </row>
    <row r="25" spans="1:7" x14ac:dyDescent="0.25">
      <c r="A25" s="102">
        <v>2</v>
      </c>
      <c r="B25" s="99" t="s">
        <v>210</v>
      </c>
      <c r="C25" s="99" t="s">
        <v>211</v>
      </c>
      <c r="D25" s="103" t="s">
        <v>26</v>
      </c>
      <c r="E25" s="104">
        <f>E24-E28-E29-E30-E31-E34</f>
        <v>14.840750000000003</v>
      </c>
      <c r="F25" s="105">
        <v>0</v>
      </c>
      <c r="G25" s="106">
        <f t="shared" si="1"/>
        <v>0</v>
      </c>
    </row>
    <row r="26" spans="1:7" x14ac:dyDescent="0.25">
      <c r="A26" s="102"/>
      <c r="B26" s="99"/>
      <c r="C26" s="99"/>
      <c r="D26" s="103"/>
      <c r="E26" s="104"/>
      <c r="F26" s="105">
        <v>0</v>
      </c>
      <c r="G26" s="107">
        <f>SUM(G24:G25)</f>
        <v>0</v>
      </c>
    </row>
    <row r="27" spans="1:7" x14ac:dyDescent="0.25">
      <c r="A27" s="97" t="s">
        <v>35</v>
      </c>
      <c r="B27" s="98" t="s">
        <v>212</v>
      </c>
      <c r="C27" s="99"/>
      <c r="D27" s="103"/>
      <c r="E27" s="104"/>
      <c r="F27" s="105">
        <v>0</v>
      </c>
      <c r="G27" s="106"/>
    </row>
    <row r="28" spans="1:7" x14ac:dyDescent="0.25">
      <c r="A28" s="102">
        <v>1</v>
      </c>
      <c r="B28" s="99" t="s">
        <v>213</v>
      </c>
      <c r="C28" s="99" t="s">
        <v>214</v>
      </c>
      <c r="D28" s="103" t="s">
        <v>26</v>
      </c>
      <c r="E28" s="104">
        <f>0.05*(15.95*4.5+1.75*4*6)</f>
        <v>5.6887499999999998</v>
      </c>
      <c r="F28" s="105">
        <v>0</v>
      </c>
      <c r="G28" s="106">
        <f t="shared" si="1"/>
        <v>0</v>
      </c>
    </row>
    <row r="29" spans="1:7" x14ac:dyDescent="0.25">
      <c r="A29" s="102">
        <f>A28+1</f>
        <v>2</v>
      </c>
      <c r="B29" s="99" t="s">
        <v>215</v>
      </c>
      <c r="C29" s="99" t="s">
        <v>216</v>
      </c>
      <c r="D29" s="103" t="s">
        <v>26</v>
      </c>
      <c r="E29" s="104">
        <f>0.04*(1.25*1.25*6+0.3*6.25)</f>
        <v>0.45</v>
      </c>
      <c r="F29" s="105">
        <v>0</v>
      </c>
      <c r="G29" s="106">
        <f t="shared" si="1"/>
        <v>0</v>
      </c>
    </row>
    <row r="30" spans="1:7" x14ac:dyDescent="0.25">
      <c r="A30" s="102">
        <f>A29+1</f>
        <v>3</v>
      </c>
      <c r="B30" s="99" t="s">
        <v>217</v>
      </c>
      <c r="C30" s="99" t="s">
        <v>218</v>
      </c>
      <c r="D30" s="103" t="s">
        <v>26</v>
      </c>
      <c r="E30" s="104">
        <f>0.7*0.5*(4+4.5+1.75)</f>
        <v>3.5874999999999999</v>
      </c>
      <c r="F30" s="105">
        <v>0</v>
      </c>
      <c r="G30" s="106">
        <f t="shared" si="1"/>
        <v>0</v>
      </c>
    </row>
    <row r="31" spans="1:7" x14ac:dyDescent="0.25">
      <c r="A31" s="102">
        <f>A30+1</f>
        <v>4</v>
      </c>
      <c r="B31" s="99" t="s">
        <v>219</v>
      </c>
      <c r="C31" s="99" t="s">
        <v>220</v>
      </c>
      <c r="D31" s="103" t="s">
        <v>26</v>
      </c>
      <c r="E31" s="104">
        <f>0.8*0.8*0.25*6</f>
        <v>0.96000000000000019</v>
      </c>
      <c r="F31" s="105">
        <v>0</v>
      </c>
      <c r="G31" s="106">
        <f t="shared" si="1"/>
        <v>0</v>
      </c>
    </row>
    <row r="32" spans="1:7" x14ac:dyDescent="0.25">
      <c r="A32" s="102"/>
      <c r="B32" s="99"/>
      <c r="C32" s="99"/>
      <c r="D32" s="103"/>
      <c r="E32" s="104"/>
      <c r="F32" s="105">
        <v>0</v>
      </c>
      <c r="G32" s="107">
        <f>SUM(G28:G31)</f>
        <v>0</v>
      </c>
    </row>
    <row r="33" spans="1:7" x14ac:dyDescent="0.25">
      <c r="A33" s="97" t="s">
        <v>46</v>
      </c>
      <c r="B33" s="98" t="s">
        <v>221</v>
      </c>
      <c r="C33" s="99"/>
      <c r="D33" s="103"/>
      <c r="E33" s="104"/>
      <c r="F33" s="105">
        <v>0</v>
      </c>
      <c r="G33" s="106"/>
    </row>
    <row r="34" spans="1:7" x14ac:dyDescent="0.25">
      <c r="A34" s="102">
        <v>1</v>
      </c>
      <c r="B34" s="99" t="s">
        <v>222</v>
      </c>
      <c r="C34" s="99" t="s">
        <v>223</v>
      </c>
      <c r="D34" s="103" t="s">
        <v>26</v>
      </c>
      <c r="E34" s="104">
        <f>0.2*0.3*(15.95+4.5+1.75)</f>
        <v>1.3319999999999999</v>
      </c>
      <c r="F34" s="105">
        <v>0</v>
      </c>
      <c r="G34" s="106">
        <f t="shared" si="1"/>
        <v>0</v>
      </c>
    </row>
    <row r="35" spans="1:7" x14ac:dyDescent="0.25">
      <c r="A35" s="102">
        <f t="shared" ref="A35:A39" si="2">A34+1</f>
        <v>2</v>
      </c>
      <c r="B35" s="99" t="s">
        <v>224</v>
      </c>
      <c r="C35" s="99" t="s">
        <v>225</v>
      </c>
      <c r="D35" s="103" t="s">
        <v>26</v>
      </c>
      <c r="E35" s="104">
        <f>0.2*0.3*(6*4+2)</f>
        <v>1.56</v>
      </c>
      <c r="F35" s="105">
        <v>0</v>
      </c>
      <c r="G35" s="106">
        <f t="shared" si="1"/>
        <v>0</v>
      </c>
    </row>
    <row r="36" spans="1:7" x14ac:dyDescent="0.25">
      <c r="A36" s="102">
        <v>2</v>
      </c>
      <c r="B36" s="99" t="s">
        <v>226</v>
      </c>
      <c r="C36" s="99" t="s">
        <v>227</v>
      </c>
      <c r="D36" s="103" t="s">
        <v>26</v>
      </c>
      <c r="E36" s="104">
        <f>0.15*0.15*(4*2)</f>
        <v>0.18</v>
      </c>
      <c r="F36" s="105">
        <v>0</v>
      </c>
      <c r="G36" s="106">
        <f t="shared" si="1"/>
        <v>0</v>
      </c>
    </row>
    <row r="37" spans="1:7" x14ac:dyDescent="0.25">
      <c r="A37" s="102">
        <f t="shared" si="2"/>
        <v>3</v>
      </c>
      <c r="B37" s="99" t="s">
        <v>228</v>
      </c>
      <c r="C37" s="99" t="s">
        <v>229</v>
      </c>
      <c r="D37" s="103" t="s">
        <v>26</v>
      </c>
      <c r="E37" s="104">
        <f>0.2*0.3*(15.95*2)</f>
        <v>1.9139999999999999</v>
      </c>
      <c r="F37" s="105">
        <v>0</v>
      </c>
      <c r="G37" s="106">
        <f t="shared" si="1"/>
        <v>0</v>
      </c>
    </row>
    <row r="38" spans="1:7" x14ac:dyDescent="0.25">
      <c r="A38" s="102">
        <v>3</v>
      </c>
      <c r="B38" s="99" t="s">
        <v>230</v>
      </c>
      <c r="C38" s="99" t="s">
        <v>231</v>
      </c>
      <c r="D38" s="103" t="s">
        <v>26</v>
      </c>
      <c r="E38" s="104">
        <f>0.12*(0.75*10.5+2*4.5)</f>
        <v>2.0249999999999999</v>
      </c>
      <c r="F38" s="105">
        <v>0</v>
      </c>
      <c r="G38" s="106">
        <f t="shared" si="1"/>
        <v>0</v>
      </c>
    </row>
    <row r="39" spans="1:7" x14ac:dyDescent="0.25">
      <c r="A39" s="102">
        <f t="shared" si="2"/>
        <v>4</v>
      </c>
      <c r="B39" s="99" t="s">
        <v>232</v>
      </c>
      <c r="C39" s="99" t="s">
        <v>227</v>
      </c>
      <c r="D39" s="103" t="s">
        <v>26</v>
      </c>
      <c r="E39" s="104">
        <f>0.15*0.2*(15.95*2+4.5*5)</f>
        <v>1.6319999999999999</v>
      </c>
      <c r="F39" s="105">
        <v>0</v>
      </c>
      <c r="G39" s="106">
        <f t="shared" si="1"/>
        <v>0</v>
      </c>
    </row>
    <row r="40" spans="1:7" x14ac:dyDescent="0.25">
      <c r="A40" s="102"/>
      <c r="B40" s="99"/>
      <c r="C40" s="99"/>
      <c r="D40" s="103"/>
      <c r="E40" s="104"/>
      <c r="F40" s="105">
        <v>0</v>
      </c>
      <c r="G40" s="107">
        <f>SUM(G34:G39)</f>
        <v>0</v>
      </c>
    </row>
    <row r="41" spans="1:7" x14ac:dyDescent="0.25">
      <c r="A41" s="97" t="s">
        <v>55</v>
      </c>
      <c r="B41" s="98" t="s">
        <v>233</v>
      </c>
      <c r="C41" s="99"/>
      <c r="D41" s="103"/>
      <c r="E41" s="104"/>
      <c r="F41" s="105">
        <v>0</v>
      </c>
      <c r="G41" s="106"/>
    </row>
    <row r="42" spans="1:7" x14ac:dyDescent="0.25">
      <c r="A42" s="24">
        <v>1</v>
      </c>
      <c r="B42" s="108" t="s">
        <v>74</v>
      </c>
      <c r="C42" s="99"/>
      <c r="D42" s="109" t="s">
        <v>21</v>
      </c>
      <c r="E42" s="104">
        <v>78.754999999999995</v>
      </c>
      <c r="F42" s="105">
        <v>0</v>
      </c>
      <c r="G42" s="106">
        <f t="shared" si="1"/>
        <v>0</v>
      </c>
    </row>
    <row r="43" spans="1:7" x14ac:dyDescent="0.25">
      <c r="A43" s="24">
        <v>2</v>
      </c>
      <c r="B43" s="108" t="s">
        <v>75</v>
      </c>
      <c r="C43" s="99"/>
      <c r="D43" s="109" t="s">
        <v>21</v>
      </c>
      <c r="E43" s="104">
        <v>78.754999999999995</v>
      </c>
      <c r="F43" s="105">
        <v>0</v>
      </c>
      <c r="G43" s="106">
        <f t="shared" si="1"/>
        <v>0</v>
      </c>
    </row>
    <row r="44" spans="1:7" x14ac:dyDescent="0.25">
      <c r="A44" s="24">
        <v>3</v>
      </c>
      <c r="B44" s="108" t="s">
        <v>76</v>
      </c>
      <c r="C44" s="99"/>
      <c r="D44" s="109" t="s">
        <v>15</v>
      </c>
      <c r="E44" s="104">
        <v>22.22</v>
      </c>
      <c r="F44" s="105">
        <v>0</v>
      </c>
      <c r="G44" s="106">
        <f t="shared" si="1"/>
        <v>0</v>
      </c>
    </row>
    <row r="45" spans="1:7" x14ac:dyDescent="0.25">
      <c r="A45" s="25">
        <v>4</v>
      </c>
      <c r="B45" s="108" t="s">
        <v>77</v>
      </c>
      <c r="C45" s="99"/>
      <c r="D45" s="109" t="s">
        <v>15</v>
      </c>
      <c r="E45" s="104">
        <v>19.95</v>
      </c>
      <c r="F45" s="105">
        <v>0</v>
      </c>
      <c r="G45" s="106">
        <f t="shared" si="1"/>
        <v>0</v>
      </c>
    </row>
    <row r="46" spans="1:7" x14ac:dyDescent="0.25">
      <c r="A46" s="25">
        <v>5</v>
      </c>
      <c r="B46" s="108" t="s">
        <v>78</v>
      </c>
      <c r="C46" s="99"/>
      <c r="D46" s="109" t="s">
        <v>15</v>
      </c>
      <c r="E46" s="104">
        <v>15.95</v>
      </c>
      <c r="F46" s="105">
        <v>0</v>
      </c>
      <c r="G46" s="106">
        <f t="shared" si="1"/>
        <v>0</v>
      </c>
    </row>
    <row r="47" spans="1:7" x14ac:dyDescent="0.25">
      <c r="A47" s="25">
        <v>6</v>
      </c>
      <c r="B47" s="108" t="s">
        <v>79</v>
      </c>
      <c r="C47" s="99"/>
      <c r="D47" s="109" t="s">
        <v>15</v>
      </c>
      <c r="E47" s="104">
        <v>26.7</v>
      </c>
      <c r="F47" s="105">
        <v>0</v>
      </c>
      <c r="G47" s="106">
        <f t="shared" si="1"/>
        <v>0</v>
      </c>
    </row>
    <row r="48" spans="1:7" x14ac:dyDescent="0.25">
      <c r="A48" s="102"/>
      <c r="B48" s="99"/>
      <c r="C48" s="99"/>
      <c r="D48" s="103"/>
      <c r="E48" s="104"/>
      <c r="F48" s="105">
        <v>0</v>
      </c>
      <c r="G48" s="107">
        <f>SUM(G42:G47)</f>
        <v>0</v>
      </c>
    </row>
    <row r="49" spans="1:7" x14ac:dyDescent="0.25">
      <c r="A49" s="97" t="s">
        <v>61</v>
      </c>
      <c r="B49" s="98" t="s">
        <v>234</v>
      </c>
      <c r="C49" s="99"/>
      <c r="D49" s="103"/>
      <c r="E49" s="104"/>
      <c r="F49" s="105">
        <v>0</v>
      </c>
      <c r="G49" s="106"/>
    </row>
    <row r="50" spans="1:7" x14ac:dyDescent="0.25">
      <c r="A50" s="110">
        <v>1</v>
      </c>
      <c r="B50" s="111" t="s">
        <v>235</v>
      </c>
      <c r="C50" s="111" t="s">
        <v>236</v>
      </c>
      <c r="D50" s="112" t="s">
        <v>21</v>
      </c>
      <c r="E50" s="104">
        <f>4*22.2+1.5*22.2</f>
        <v>122.1</v>
      </c>
      <c r="F50" s="105">
        <v>0</v>
      </c>
      <c r="G50" s="106">
        <f t="shared" si="1"/>
        <v>0</v>
      </c>
    </row>
    <row r="51" spans="1:7" x14ac:dyDescent="0.25">
      <c r="A51" s="110">
        <v>2</v>
      </c>
      <c r="B51" s="111" t="s">
        <v>237</v>
      </c>
      <c r="C51" s="111" t="s">
        <v>238</v>
      </c>
      <c r="D51" s="112" t="s">
        <v>21</v>
      </c>
      <c r="E51" s="104">
        <f>E50*2</f>
        <v>244.2</v>
      </c>
      <c r="F51" s="105">
        <v>0</v>
      </c>
      <c r="G51" s="106">
        <f t="shared" si="1"/>
        <v>0</v>
      </c>
    </row>
    <row r="52" spans="1:7" x14ac:dyDescent="0.25">
      <c r="A52" s="110">
        <v>3</v>
      </c>
      <c r="B52" s="113" t="s">
        <v>239</v>
      </c>
      <c r="C52" s="111" t="s">
        <v>240</v>
      </c>
      <c r="D52" s="114" t="s">
        <v>21</v>
      </c>
      <c r="E52" s="104">
        <f>(4*4)*3+4*3-(1*2.5)</f>
        <v>57.5</v>
      </c>
      <c r="F52" s="105">
        <v>0</v>
      </c>
      <c r="G52" s="106">
        <f t="shared" si="1"/>
        <v>0</v>
      </c>
    </row>
    <row r="53" spans="1:7" x14ac:dyDescent="0.25">
      <c r="A53" s="102"/>
      <c r="B53" s="99"/>
      <c r="C53" s="99" t="s">
        <v>241</v>
      </c>
      <c r="D53" s="103"/>
      <c r="E53" s="104"/>
      <c r="F53" s="105">
        <v>0</v>
      </c>
      <c r="G53" s="107">
        <f>SUM(G50:G52)</f>
        <v>0</v>
      </c>
    </row>
    <row r="54" spans="1:7" x14ac:dyDescent="0.25">
      <c r="A54" s="102">
        <v>4</v>
      </c>
      <c r="B54" s="99" t="s">
        <v>205</v>
      </c>
      <c r="C54" s="99"/>
      <c r="D54" s="103" t="s">
        <v>15</v>
      </c>
      <c r="E54" s="104">
        <v>1.5</v>
      </c>
      <c r="F54" s="105">
        <v>0</v>
      </c>
      <c r="G54" s="107"/>
    </row>
    <row r="55" spans="1:7" x14ac:dyDescent="0.25">
      <c r="A55" s="102"/>
      <c r="B55" s="99"/>
      <c r="C55" s="99"/>
      <c r="D55" s="103"/>
      <c r="E55" s="104"/>
      <c r="F55" s="105">
        <v>0</v>
      </c>
      <c r="G55" s="107"/>
    </row>
    <row r="56" spans="1:7" x14ac:dyDescent="0.25">
      <c r="A56" s="115" t="s">
        <v>67</v>
      </c>
      <c r="B56" s="116" t="s">
        <v>242</v>
      </c>
      <c r="C56" s="99"/>
      <c r="D56" s="103"/>
      <c r="E56" s="104"/>
      <c r="F56" s="105">
        <v>0</v>
      </c>
      <c r="G56" s="106"/>
    </row>
    <row r="57" spans="1:7" x14ac:dyDescent="0.25">
      <c r="A57" s="102">
        <v>1</v>
      </c>
      <c r="B57" s="99" t="s">
        <v>243</v>
      </c>
      <c r="C57" s="99"/>
      <c r="D57" s="103" t="s">
        <v>89</v>
      </c>
      <c r="E57" s="104">
        <v>1</v>
      </c>
      <c r="F57" s="105">
        <v>0</v>
      </c>
      <c r="G57" s="106">
        <f t="shared" si="1"/>
        <v>0</v>
      </c>
    </row>
    <row r="58" spans="1:7" x14ac:dyDescent="0.25">
      <c r="A58" s="102">
        <f>A57+1</f>
        <v>2</v>
      </c>
      <c r="B58" s="99" t="s">
        <v>244</v>
      </c>
      <c r="C58" s="99"/>
      <c r="D58" s="103" t="s">
        <v>89</v>
      </c>
      <c r="E58" s="104">
        <v>1</v>
      </c>
      <c r="F58" s="105">
        <v>0</v>
      </c>
      <c r="G58" s="106">
        <f t="shared" si="1"/>
        <v>0</v>
      </c>
    </row>
    <row r="59" spans="1:7" x14ac:dyDescent="0.25">
      <c r="A59" s="102">
        <f>A58+1</f>
        <v>3</v>
      </c>
      <c r="B59" s="99" t="s">
        <v>245</v>
      </c>
      <c r="C59" s="99"/>
      <c r="D59" s="103" t="s">
        <v>89</v>
      </c>
      <c r="E59" s="104">
        <v>6</v>
      </c>
      <c r="F59" s="105">
        <v>0</v>
      </c>
      <c r="G59" s="106">
        <f t="shared" si="1"/>
        <v>0</v>
      </c>
    </row>
    <row r="60" spans="1:7" x14ac:dyDescent="0.25">
      <c r="A60" s="102">
        <f t="shared" ref="A60" si="3">A59+1</f>
        <v>4</v>
      </c>
      <c r="B60" s="99" t="s">
        <v>246</v>
      </c>
      <c r="C60" s="99"/>
      <c r="D60" s="103" t="s">
        <v>89</v>
      </c>
      <c r="E60" s="104">
        <v>4</v>
      </c>
      <c r="F60" s="105">
        <v>0</v>
      </c>
      <c r="G60" s="106">
        <f t="shared" si="1"/>
        <v>0</v>
      </c>
    </row>
    <row r="61" spans="1:7" x14ac:dyDescent="0.25">
      <c r="A61" s="102">
        <v>5</v>
      </c>
      <c r="B61" s="99" t="s">
        <v>247</v>
      </c>
      <c r="C61" s="99"/>
      <c r="D61" s="103" t="s">
        <v>89</v>
      </c>
      <c r="E61" s="104">
        <v>5</v>
      </c>
      <c r="F61" s="105">
        <v>0</v>
      </c>
      <c r="G61" s="106">
        <f t="shared" si="1"/>
        <v>0</v>
      </c>
    </row>
    <row r="62" spans="1:7" x14ac:dyDescent="0.25">
      <c r="A62" s="102"/>
      <c r="B62" s="99"/>
      <c r="C62" s="99"/>
      <c r="D62" s="103"/>
      <c r="E62" s="104"/>
      <c r="F62" s="105">
        <v>0</v>
      </c>
      <c r="G62" s="107">
        <f>SUM(G57:G61)</f>
        <v>0</v>
      </c>
    </row>
    <row r="63" spans="1:7" x14ac:dyDescent="0.25">
      <c r="A63" s="115" t="s">
        <v>72</v>
      </c>
      <c r="B63" s="116" t="s">
        <v>248</v>
      </c>
      <c r="C63" s="116"/>
      <c r="D63" s="116"/>
      <c r="E63" s="104"/>
      <c r="F63" s="105">
        <v>0</v>
      </c>
      <c r="G63" s="106"/>
    </row>
    <row r="64" spans="1:7" x14ac:dyDescent="0.25">
      <c r="A64" s="110">
        <v>1</v>
      </c>
      <c r="B64" s="111" t="s">
        <v>249</v>
      </c>
      <c r="C64" s="111" t="s">
        <v>250</v>
      </c>
      <c r="D64" s="112" t="s">
        <v>21</v>
      </c>
      <c r="E64" s="104">
        <f>4.5*15.95+4*1.75</f>
        <v>78.774999999999991</v>
      </c>
      <c r="F64" s="105">
        <v>0</v>
      </c>
      <c r="G64" s="106">
        <f t="shared" si="1"/>
        <v>0</v>
      </c>
    </row>
    <row r="65" spans="1:7" x14ac:dyDescent="0.25">
      <c r="A65" s="110">
        <v>2</v>
      </c>
      <c r="B65" s="111" t="s">
        <v>251</v>
      </c>
      <c r="C65" s="111" t="s">
        <v>252</v>
      </c>
      <c r="D65" s="112" t="s">
        <v>15</v>
      </c>
      <c r="E65" s="104">
        <f>4.5*3+15.95+1.75*2+3.5+4+5.5+2.45+4*3</f>
        <v>60.400000000000006</v>
      </c>
      <c r="F65" s="105">
        <v>0</v>
      </c>
      <c r="G65" s="106">
        <f t="shared" si="1"/>
        <v>0</v>
      </c>
    </row>
    <row r="66" spans="1:7" x14ac:dyDescent="0.25">
      <c r="A66" s="110">
        <v>3</v>
      </c>
      <c r="B66" s="132" t="s">
        <v>412</v>
      </c>
      <c r="C66" s="111" t="s">
        <v>413</v>
      </c>
      <c r="D66" s="112" t="s">
        <v>199</v>
      </c>
      <c r="E66" s="104">
        <f>6.5+7+4</f>
        <v>17.5</v>
      </c>
      <c r="F66" s="105">
        <v>0</v>
      </c>
      <c r="G66" s="106">
        <f t="shared" si="1"/>
        <v>0</v>
      </c>
    </row>
    <row r="67" spans="1:7" x14ac:dyDescent="0.25">
      <c r="A67" s="102"/>
      <c r="B67" s="99"/>
      <c r="C67" s="99"/>
      <c r="D67" s="103"/>
      <c r="E67" s="104"/>
      <c r="F67" s="105">
        <v>0</v>
      </c>
      <c r="G67" s="107">
        <f>SUM(G64:G66)</f>
        <v>0</v>
      </c>
    </row>
    <row r="68" spans="1:7" x14ac:dyDescent="0.25">
      <c r="A68" s="115" t="s">
        <v>80</v>
      </c>
      <c r="B68" s="116" t="s">
        <v>253</v>
      </c>
      <c r="C68" s="116"/>
      <c r="D68" s="112"/>
      <c r="E68" s="104"/>
      <c r="F68" s="105">
        <v>0</v>
      </c>
      <c r="G68" s="106"/>
    </row>
    <row r="69" spans="1:7" x14ac:dyDescent="0.25">
      <c r="A69" s="118">
        <v>1</v>
      </c>
      <c r="B69" s="111" t="s">
        <v>254</v>
      </c>
      <c r="C69" s="119" t="s">
        <v>255</v>
      </c>
      <c r="D69" s="112" t="s">
        <v>21</v>
      </c>
      <c r="E69" s="104">
        <f>3.2*(1.75*3+4*4.5+15.95+3.5+4*2+5.5)-(1.6*2.8*7+2)</f>
        <v>146.48000000000002</v>
      </c>
      <c r="F69" s="105">
        <v>0</v>
      </c>
      <c r="G69" s="106">
        <f t="shared" si="1"/>
        <v>0</v>
      </c>
    </row>
    <row r="70" spans="1:7" x14ac:dyDescent="0.25">
      <c r="A70" s="118">
        <f>A69+1</f>
        <v>2</v>
      </c>
      <c r="B70" s="111" t="s">
        <v>256</v>
      </c>
      <c r="C70" s="119" t="s">
        <v>257</v>
      </c>
      <c r="D70" s="112" t="s">
        <v>21</v>
      </c>
      <c r="E70" s="104">
        <f>4.5*(15.95+6.25)-(1.6*2.8*7)</f>
        <v>68.539999999999992</v>
      </c>
      <c r="F70" s="105">
        <v>0</v>
      </c>
      <c r="G70" s="106">
        <f t="shared" si="1"/>
        <v>0</v>
      </c>
    </row>
    <row r="71" spans="1:7" x14ac:dyDescent="0.25">
      <c r="A71" s="118">
        <f>A70+1</f>
        <v>3</v>
      </c>
      <c r="B71" s="111" t="s">
        <v>258</v>
      </c>
      <c r="C71" s="119" t="s">
        <v>259</v>
      </c>
      <c r="D71" s="112" t="s">
        <v>21</v>
      </c>
      <c r="E71" s="104">
        <f>0.75*15.95+0.75*6.25*3+2.5*5</f>
        <v>38.524999999999999</v>
      </c>
      <c r="F71" s="105">
        <v>0</v>
      </c>
      <c r="G71" s="106">
        <f t="shared" si="1"/>
        <v>0</v>
      </c>
    </row>
    <row r="72" spans="1:7" x14ac:dyDescent="0.25">
      <c r="A72" s="102"/>
      <c r="B72" s="99"/>
      <c r="C72" s="99"/>
      <c r="D72" s="103"/>
      <c r="E72" s="104"/>
      <c r="F72" s="105">
        <v>0</v>
      </c>
      <c r="G72" s="107">
        <f>SUM(G69:G71)</f>
        <v>0</v>
      </c>
    </row>
    <row r="73" spans="1:7" x14ac:dyDescent="0.25">
      <c r="A73" s="115" t="s">
        <v>100</v>
      </c>
      <c r="B73" s="120" t="s">
        <v>260</v>
      </c>
      <c r="C73" s="99"/>
      <c r="D73" s="103"/>
      <c r="E73" s="104"/>
      <c r="F73" s="105">
        <v>0</v>
      </c>
      <c r="G73" s="106"/>
    </row>
    <row r="74" spans="1:7" x14ac:dyDescent="0.25">
      <c r="A74" s="121">
        <v>1</v>
      </c>
      <c r="B74" s="122" t="s">
        <v>261</v>
      </c>
      <c r="C74" s="123" t="s">
        <v>262</v>
      </c>
      <c r="D74" s="124" t="s">
        <v>21</v>
      </c>
      <c r="E74" s="104">
        <f>15.95*4.5+1.75*4</f>
        <v>78.774999999999991</v>
      </c>
      <c r="F74" s="105">
        <v>0</v>
      </c>
      <c r="G74" s="106">
        <f t="shared" si="1"/>
        <v>0</v>
      </c>
    </row>
    <row r="75" spans="1:7" x14ac:dyDescent="0.25">
      <c r="A75" s="121">
        <v>2</v>
      </c>
      <c r="B75" s="125" t="s">
        <v>263</v>
      </c>
      <c r="C75" s="123" t="s">
        <v>264</v>
      </c>
      <c r="D75" s="103" t="s">
        <v>15</v>
      </c>
      <c r="E75" s="104">
        <f>E65-(0.8*2)</f>
        <v>58.800000000000004</v>
      </c>
      <c r="F75" s="105">
        <v>0</v>
      </c>
      <c r="G75" s="106">
        <f t="shared" si="1"/>
        <v>0</v>
      </c>
    </row>
    <row r="76" spans="1:7" x14ac:dyDescent="0.25">
      <c r="A76" s="102"/>
      <c r="B76" s="99"/>
      <c r="C76" s="99"/>
      <c r="D76" s="103"/>
      <c r="E76" s="104"/>
      <c r="F76" s="105">
        <v>0</v>
      </c>
      <c r="G76" s="107">
        <f>SUM(G74:G75)</f>
        <v>0</v>
      </c>
    </row>
    <row r="77" spans="1:7" x14ac:dyDescent="0.25">
      <c r="A77" s="115" t="s">
        <v>107</v>
      </c>
      <c r="B77" s="116" t="s">
        <v>265</v>
      </c>
      <c r="C77" s="111"/>
      <c r="D77" s="112"/>
      <c r="E77" s="104"/>
      <c r="F77" s="105">
        <v>0</v>
      </c>
      <c r="G77" s="106"/>
    </row>
    <row r="78" spans="1:7" x14ac:dyDescent="0.25">
      <c r="A78" s="110">
        <v>1</v>
      </c>
      <c r="B78" s="125" t="s">
        <v>266</v>
      </c>
      <c r="C78" s="119" t="s">
        <v>267</v>
      </c>
      <c r="D78" s="112" t="s">
        <v>134</v>
      </c>
      <c r="E78" s="104">
        <v>9</v>
      </c>
      <c r="F78" s="105">
        <v>0</v>
      </c>
      <c r="G78" s="106">
        <f t="shared" si="1"/>
        <v>0</v>
      </c>
    </row>
    <row r="79" spans="1:7" x14ac:dyDescent="0.25">
      <c r="A79" s="110">
        <f t="shared" ref="A79:A89" si="4">A78+1</f>
        <v>2</v>
      </c>
      <c r="B79" s="117" t="s">
        <v>135</v>
      </c>
      <c r="C79" s="126" t="s">
        <v>268</v>
      </c>
      <c r="D79" s="112" t="s">
        <v>134</v>
      </c>
      <c r="E79" s="104">
        <v>18</v>
      </c>
      <c r="F79" s="105">
        <v>0</v>
      </c>
      <c r="G79" s="106">
        <f t="shared" si="1"/>
        <v>0</v>
      </c>
    </row>
    <row r="80" spans="1:7" x14ac:dyDescent="0.25">
      <c r="A80" s="110">
        <v>3</v>
      </c>
      <c r="B80" s="117" t="s">
        <v>269</v>
      </c>
      <c r="C80" s="127"/>
      <c r="D80" s="112" t="s">
        <v>134</v>
      </c>
      <c r="E80" s="104">
        <v>14</v>
      </c>
      <c r="F80" s="105">
        <v>0</v>
      </c>
      <c r="G80" s="106">
        <f t="shared" ref="G80:G102" si="5">F80*E80</f>
        <v>0</v>
      </c>
    </row>
    <row r="81" spans="1:7" x14ac:dyDescent="0.25">
      <c r="A81" s="110">
        <f t="shared" si="4"/>
        <v>4</v>
      </c>
      <c r="B81" s="128" t="s">
        <v>270</v>
      </c>
      <c r="C81" s="111" t="s">
        <v>271</v>
      </c>
      <c r="D81" s="112" t="s">
        <v>85</v>
      </c>
      <c r="E81" s="104">
        <v>9</v>
      </c>
      <c r="F81" s="105">
        <v>0</v>
      </c>
      <c r="G81" s="106">
        <f t="shared" si="5"/>
        <v>0</v>
      </c>
    </row>
    <row r="82" spans="1:7" x14ac:dyDescent="0.25">
      <c r="A82" s="110">
        <v>5</v>
      </c>
      <c r="B82" s="128" t="s">
        <v>414</v>
      </c>
      <c r="C82" s="294"/>
      <c r="D82" s="112" t="s">
        <v>85</v>
      </c>
      <c r="E82" s="104">
        <v>2</v>
      </c>
      <c r="F82" s="105">
        <v>0</v>
      </c>
      <c r="G82" s="106"/>
    </row>
    <row r="83" spans="1:7" x14ac:dyDescent="0.25">
      <c r="A83" s="110">
        <f t="shared" si="4"/>
        <v>6</v>
      </c>
      <c r="B83" s="117" t="s">
        <v>272</v>
      </c>
      <c r="C83" s="119" t="s">
        <v>273</v>
      </c>
      <c r="D83" s="112" t="s">
        <v>85</v>
      </c>
      <c r="E83" s="104">
        <v>3</v>
      </c>
      <c r="F83" s="105">
        <v>0</v>
      </c>
      <c r="G83" s="106">
        <f t="shared" si="5"/>
        <v>0</v>
      </c>
    </row>
    <row r="84" spans="1:7" x14ac:dyDescent="0.25">
      <c r="A84" s="110">
        <v>6</v>
      </c>
      <c r="B84" s="117" t="s">
        <v>143</v>
      </c>
      <c r="C84" s="126" t="s">
        <v>274</v>
      </c>
      <c r="D84" s="112" t="s">
        <v>85</v>
      </c>
      <c r="E84" s="104">
        <v>2</v>
      </c>
      <c r="F84" s="105">
        <v>0</v>
      </c>
      <c r="G84" s="106">
        <f t="shared" si="5"/>
        <v>0</v>
      </c>
    </row>
    <row r="85" spans="1:7" x14ac:dyDescent="0.25">
      <c r="A85" s="110">
        <f t="shared" si="4"/>
        <v>7</v>
      </c>
      <c r="B85" s="117" t="s">
        <v>275</v>
      </c>
      <c r="C85" s="119" t="s">
        <v>276</v>
      </c>
      <c r="D85" s="112" t="s">
        <v>85</v>
      </c>
      <c r="E85" s="104">
        <v>8</v>
      </c>
      <c r="F85" s="105">
        <v>0</v>
      </c>
      <c r="G85" s="106">
        <f t="shared" si="5"/>
        <v>0</v>
      </c>
    </row>
    <row r="86" spans="1:7" x14ac:dyDescent="0.25">
      <c r="A86" s="110">
        <v>8</v>
      </c>
      <c r="B86" s="117" t="s">
        <v>277</v>
      </c>
      <c r="C86" s="119" t="s">
        <v>278</v>
      </c>
      <c r="D86" s="112" t="s">
        <v>85</v>
      </c>
      <c r="E86" s="104">
        <v>18</v>
      </c>
      <c r="F86" s="105">
        <v>0</v>
      </c>
      <c r="G86" s="106">
        <f t="shared" si="5"/>
        <v>0</v>
      </c>
    </row>
    <row r="87" spans="1:7" x14ac:dyDescent="0.25">
      <c r="A87" s="110">
        <f t="shared" si="4"/>
        <v>9</v>
      </c>
      <c r="B87" s="117" t="s">
        <v>279</v>
      </c>
      <c r="C87" s="126" t="s">
        <v>280</v>
      </c>
      <c r="D87" s="112" t="s">
        <v>85</v>
      </c>
      <c r="E87" s="104">
        <v>14</v>
      </c>
      <c r="F87" s="105">
        <v>0</v>
      </c>
      <c r="G87" s="106">
        <f t="shared" si="5"/>
        <v>0</v>
      </c>
    </row>
    <row r="88" spans="1:7" x14ac:dyDescent="0.25">
      <c r="A88" s="110">
        <v>10</v>
      </c>
      <c r="B88" s="117" t="s">
        <v>281</v>
      </c>
      <c r="C88" s="111" t="s">
        <v>282</v>
      </c>
      <c r="D88" s="112" t="s">
        <v>283</v>
      </c>
      <c r="E88" s="104">
        <v>3</v>
      </c>
      <c r="F88" s="105">
        <v>0</v>
      </c>
      <c r="G88" s="106">
        <f t="shared" si="5"/>
        <v>0</v>
      </c>
    </row>
    <row r="89" spans="1:7" x14ac:dyDescent="0.25">
      <c r="A89" s="110">
        <f t="shared" si="4"/>
        <v>11</v>
      </c>
      <c r="B89" s="117" t="s">
        <v>284</v>
      </c>
      <c r="C89" s="111" t="s">
        <v>285</v>
      </c>
      <c r="D89" s="112" t="s">
        <v>148</v>
      </c>
      <c r="E89" s="104">
        <v>1</v>
      </c>
      <c r="F89" s="105">
        <v>0</v>
      </c>
      <c r="G89" s="106">
        <f t="shared" si="5"/>
        <v>0</v>
      </c>
    </row>
    <row r="90" spans="1:7" x14ac:dyDescent="0.25">
      <c r="A90" s="102"/>
      <c r="B90" s="99"/>
      <c r="C90" s="99"/>
      <c r="D90" s="103"/>
      <c r="E90" s="104"/>
      <c r="F90" s="105">
        <v>0</v>
      </c>
      <c r="G90" s="107">
        <f>SUM(G78:G89)</f>
        <v>0</v>
      </c>
    </row>
    <row r="91" spans="1:7" x14ac:dyDescent="0.25">
      <c r="A91" s="115" t="s">
        <v>130</v>
      </c>
      <c r="B91" s="116" t="s">
        <v>286</v>
      </c>
      <c r="C91" s="111"/>
      <c r="D91" s="112"/>
      <c r="E91" s="104"/>
      <c r="F91" s="105">
        <v>0</v>
      </c>
      <c r="G91" s="106"/>
    </row>
    <row r="92" spans="1:7" x14ac:dyDescent="0.25">
      <c r="A92" s="129" t="s">
        <v>12</v>
      </c>
      <c r="B92" s="130" t="s">
        <v>287</v>
      </c>
      <c r="C92" s="111"/>
      <c r="D92" s="112"/>
      <c r="E92" s="104"/>
      <c r="F92" s="105">
        <v>0</v>
      </c>
      <c r="G92" s="106"/>
    </row>
    <row r="93" spans="1:7" x14ac:dyDescent="0.25">
      <c r="A93" s="110">
        <v>1</v>
      </c>
      <c r="B93" s="125" t="s">
        <v>288</v>
      </c>
      <c r="C93" s="111" t="s">
        <v>289</v>
      </c>
      <c r="D93" s="112" t="s">
        <v>15</v>
      </c>
      <c r="E93" s="104">
        <v>30.2</v>
      </c>
      <c r="F93" s="105">
        <v>0</v>
      </c>
      <c r="G93" s="106">
        <f t="shared" si="5"/>
        <v>0</v>
      </c>
    </row>
    <row r="94" spans="1:7" x14ac:dyDescent="0.25">
      <c r="A94" s="110">
        <v>2</v>
      </c>
      <c r="B94" s="125" t="s">
        <v>290</v>
      </c>
      <c r="C94" s="111" t="s">
        <v>291</v>
      </c>
      <c r="D94" s="112" t="s">
        <v>85</v>
      </c>
      <c r="E94" s="104">
        <v>5</v>
      </c>
      <c r="F94" s="105">
        <v>0</v>
      </c>
      <c r="G94" s="106">
        <f t="shared" si="5"/>
        <v>0</v>
      </c>
    </row>
    <row r="95" spans="1:7" x14ac:dyDescent="0.25">
      <c r="A95" s="110">
        <v>3</v>
      </c>
      <c r="B95" s="125" t="s">
        <v>292</v>
      </c>
      <c r="C95" s="111" t="s">
        <v>415</v>
      </c>
      <c r="D95" s="112" t="s">
        <v>15</v>
      </c>
      <c r="E95" s="104">
        <v>6</v>
      </c>
      <c r="F95" s="105">
        <v>0</v>
      </c>
      <c r="G95" s="106"/>
    </row>
    <row r="96" spans="1:7" x14ac:dyDescent="0.25">
      <c r="A96" s="110">
        <v>4</v>
      </c>
      <c r="B96" s="125" t="s">
        <v>293</v>
      </c>
      <c r="C96" s="111" t="s">
        <v>416</v>
      </c>
      <c r="D96" s="112" t="s">
        <v>15</v>
      </c>
      <c r="E96" s="104">
        <v>7</v>
      </c>
      <c r="F96" s="105">
        <v>0</v>
      </c>
      <c r="G96" s="106"/>
    </row>
    <row r="97" spans="1:7" x14ac:dyDescent="0.25">
      <c r="A97" s="110"/>
      <c r="B97" s="111"/>
      <c r="C97" s="111"/>
      <c r="D97" s="112"/>
      <c r="E97" s="104"/>
      <c r="F97" s="105">
        <v>0</v>
      </c>
      <c r="G97" s="107">
        <f>SUM(G93:G94)</f>
        <v>0</v>
      </c>
    </row>
    <row r="98" spans="1:7" x14ac:dyDescent="0.25">
      <c r="A98" s="115" t="s">
        <v>151</v>
      </c>
      <c r="B98" s="116" t="s">
        <v>294</v>
      </c>
      <c r="C98" s="111"/>
      <c r="D98" s="112"/>
      <c r="E98" s="104"/>
      <c r="F98" s="105">
        <v>0</v>
      </c>
      <c r="G98" s="106"/>
    </row>
    <row r="99" spans="1:7" x14ac:dyDescent="0.25">
      <c r="A99" s="110">
        <v>1</v>
      </c>
      <c r="B99" s="117" t="s">
        <v>295</v>
      </c>
      <c r="C99" s="111"/>
      <c r="D99" s="112" t="s">
        <v>199</v>
      </c>
      <c r="E99" s="104">
        <f>6+6</f>
        <v>12</v>
      </c>
      <c r="F99" s="105">
        <v>0</v>
      </c>
      <c r="G99" s="106">
        <f t="shared" si="5"/>
        <v>0</v>
      </c>
    </row>
    <row r="100" spans="1:7" x14ac:dyDescent="0.25">
      <c r="A100" s="110">
        <v>2</v>
      </c>
      <c r="B100" s="117" t="s">
        <v>296</v>
      </c>
      <c r="C100" s="111"/>
      <c r="D100" s="112" t="s">
        <v>156</v>
      </c>
      <c r="E100" s="104">
        <f>0.85*(3.25*2+6)</f>
        <v>10.625</v>
      </c>
      <c r="F100" s="105">
        <v>0</v>
      </c>
      <c r="G100" s="106">
        <f t="shared" si="5"/>
        <v>0</v>
      </c>
    </row>
    <row r="101" spans="1:7" x14ac:dyDescent="0.25">
      <c r="A101" s="131">
        <v>3</v>
      </c>
      <c r="B101" s="117" t="s">
        <v>297</v>
      </c>
      <c r="C101" s="132"/>
      <c r="D101" s="133" t="s">
        <v>298</v>
      </c>
      <c r="E101" s="134">
        <v>14</v>
      </c>
      <c r="F101" s="105">
        <v>0</v>
      </c>
      <c r="G101" s="106">
        <f t="shared" si="5"/>
        <v>0</v>
      </c>
    </row>
    <row r="102" spans="1:7" x14ac:dyDescent="0.25">
      <c r="A102" s="131">
        <v>4</v>
      </c>
      <c r="B102" s="117" t="s">
        <v>299</v>
      </c>
      <c r="C102" s="132"/>
      <c r="D102" s="133" t="s">
        <v>298</v>
      </c>
      <c r="E102" s="134">
        <v>14</v>
      </c>
      <c r="F102" s="105">
        <v>0</v>
      </c>
      <c r="G102" s="106">
        <f t="shared" si="5"/>
        <v>0</v>
      </c>
    </row>
    <row r="103" spans="1:7" x14ac:dyDescent="0.25">
      <c r="A103" s="135">
        <v>5</v>
      </c>
      <c r="B103" s="136" t="s">
        <v>300</v>
      </c>
      <c r="C103" s="137"/>
      <c r="D103" s="138" t="s">
        <v>21</v>
      </c>
      <c r="E103" s="139">
        <f>1.5*1+1.5*1</f>
        <v>3</v>
      </c>
      <c r="F103" s="105">
        <v>0</v>
      </c>
      <c r="G103" s="106"/>
    </row>
    <row r="104" spans="1:7" x14ac:dyDescent="0.25">
      <c r="A104" s="140"/>
      <c r="B104" s="141"/>
      <c r="C104" s="141"/>
      <c r="D104" s="142"/>
      <c r="E104" s="143"/>
      <c r="F104" s="144"/>
      <c r="G104" s="107">
        <f>SUM(G99:G102)</f>
        <v>0</v>
      </c>
    </row>
    <row r="105" spans="1:7" ht="15.75" thickBot="1" x14ac:dyDescent="0.3">
      <c r="A105" s="145"/>
      <c r="B105" s="146"/>
      <c r="C105" s="146"/>
      <c r="D105" s="147"/>
      <c r="E105" s="148"/>
      <c r="F105" s="149"/>
      <c r="G105" s="150"/>
    </row>
    <row r="106" spans="1:7" ht="15.75" thickTop="1" x14ac:dyDescent="0.25"/>
    <row r="107" spans="1:7" x14ac:dyDescent="0.25">
      <c r="C107" s="151" t="s">
        <v>174</v>
      </c>
      <c r="G107" s="152">
        <f>G12+G22+G26+G32+G40+G48+G53+G62+G67+G72+G76+G90+G97+G104</f>
        <v>0</v>
      </c>
    </row>
    <row r="108" spans="1:7" x14ac:dyDescent="0.25">
      <c r="C108" s="153" t="s">
        <v>301</v>
      </c>
      <c r="G108" s="154">
        <f>ROUNDDOWN(G107,-4)</f>
        <v>0</v>
      </c>
    </row>
    <row r="109" spans="1:7" x14ac:dyDescent="0.25">
      <c r="C109" s="153" t="s">
        <v>302</v>
      </c>
      <c r="G109" s="155">
        <f>G108*0.1</f>
        <v>0</v>
      </c>
    </row>
    <row r="110" spans="1:7" x14ac:dyDescent="0.25">
      <c r="C110" s="151" t="s">
        <v>303</v>
      </c>
      <c r="G110" s="156">
        <f>G108+G109</f>
        <v>0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Livistona 1</vt:lpstr>
      <vt:lpstr>New Livistona 2</vt:lpstr>
      <vt:lpstr>New Attaleya 1</vt:lpstr>
      <vt:lpstr>New Attaleya 2</vt:lpstr>
      <vt:lpstr>Site Office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HENDHY</dc:creator>
  <cp:lastModifiedBy>HENDHY</cp:lastModifiedBy>
  <dcterms:created xsi:type="dcterms:W3CDTF">2019-05-17T01:26:42Z</dcterms:created>
  <dcterms:modified xsi:type="dcterms:W3CDTF">2019-05-17T06:29:20Z</dcterms:modified>
</cp:coreProperties>
</file>