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anasea Mekarasri\infra struktur\Taman dan Landscape\"/>
    </mc:Choice>
  </mc:AlternateContent>
  <bookViews>
    <workbookView xWindow="0" yWindow="0" windowWidth="20490" windowHeight="7515"/>
  </bookViews>
  <sheets>
    <sheet name="ENTRANCE R1" sheetId="19" r:id="rId1"/>
    <sheet name="SCUPTURE AREA R1" sheetId="14" r:id="rId2"/>
    <sheet name="BERM&amp;MEDIAN R1" sheetId="13" r:id="rId3"/>
    <sheet name="MO R1" sheetId="9" r:id="rId4"/>
    <sheet name="L8 (1 lantai) R1" sheetId="15" r:id="rId5"/>
    <sheet name="L10 (2 lantai) R1" sheetId="16" r:id="rId6"/>
  </sheets>
  <definedNames>
    <definedName name="_xlnm.Print_Area" localSheetId="2">'BERM&amp;MEDIAN R1'!$A$1:$C$38</definedName>
    <definedName name="_xlnm.Print_Area" localSheetId="0">'ENTRANCE R1'!$A$1:$C$38</definedName>
    <definedName name="_xlnm.Print_Area" localSheetId="5">'L10 (2 lantai) R1'!$A$1:$C$46</definedName>
    <definedName name="_xlnm.Print_Area" localSheetId="4">'L8 (1 lantai) R1'!$A$1:$C$41</definedName>
    <definedName name="_xlnm.Print_Area" localSheetId="3">'MO R1'!$A$1:$C$41</definedName>
    <definedName name="_xlnm.Print_Area" localSheetId="1">'SCUPTURE AREA R1'!$A$1:$C$29</definedName>
    <definedName name="_xlnm.Print_Titles" localSheetId="2">'BERM&amp;MEDIAN R1'!$1:$3</definedName>
    <definedName name="_xlnm.Print_Titles" localSheetId="0">'ENTRANCE R1'!$1:$3</definedName>
    <definedName name="_xlnm.Print_Titles" localSheetId="5">'L10 (2 lantai) R1'!$1:$3</definedName>
    <definedName name="_xlnm.Print_Titles" localSheetId="4">'L8 (1 lantai) R1'!$1:$3</definedName>
    <definedName name="_xlnm.Print_Titles" localSheetId="3">'MO R1'!$26:$42</definedName>
    <definedName name="_xlnm.Print_Titles" localSheetId="1">'SCUPTURE AREA R1'!$1:$3</definedName>
  </definedNames>
  <calcPr calcId="152511"/>
</workbook>
</file>

<file path=xl/calcChain.xml><?xml version="1.0" encoding="utf-8"?>
<calcChain xmlns="http://schemas.openxmlformats.org/spreadsheetml/2006/main">
  <c r="D28" i="19" l="1"/>
  <c r="G24" i="9" l="1"/>
  <c r="I24" i="9" s="1"/>
  <c r="G21" i="9"/>
  <c r="G35" i="16"/>
  <c r="G34" i="16"/>
  <c r="G33" i="16"/>
  <c r="G32" i="16"/>
  <c r="G31" i="16"/>
  <c r="G30" i="16"/>
  <c r="G29" i="16"/>
  <c r="G28" i="16"/>
  <c r="G25" i="16"/>
  <c r="I17" i="14"/>
  <c r="G17" i="14"/>
  <c r="G21" i="19"/>
  <c r="G24" i="19"/>
  <c r="G25" i="19"/>
  <c r="G26" i="19"/>
  <c r="G27" i="19"/>
  <c r="G20" i="19"/>
  <c r="E22" i="15"/>
  <c r="D28" i="13"/>
  <c r="D24" i="13"/>
  <c r="D21" i="13"/>
  <c r="G21" i="13" s="1"/>
  <c r="G27" i="13"/>
  <c r="I27" i="13" s="1"/>
  <c r="I26" i="13"/>
  <c r="G26" i="13"/>
  <c r="E9" i="13"/>
  <c r="I28" i="16" l="1"/>
  <c r="I32" i="16"/>
  <c r="I34" i="16"/>
  <c r="E10" i="16"/>
  <c r="I10" i="16" s="1"/>
  <c r="E7" i="16"/>
  <c r="E27" i="16"/>
  <c r="E26" i="16"/>
  <c r="G26" i="16" s="1"/>
  <c r="E24" i="16"/>
  <c r="E21" i="16"/>
  <c r="E11" i="16" s="1"/>
  <c r="I11" i="16" s="1"/>
  <c r="I20" i="16"/>
  <c r="I19" i="16"/>
  <c r="I18" i="16"/>
  <c r="I17" i="16"/>
  <c r="I16" i="16"/>
  <c r="I9" i="16"/>
  <c r="D30" i="15"/>
  <c r="G30" i="15" s="1"/>
  <c r="D29" i="15"/>
  <c r="D28" i="15"/>
  <c r="G28" i="15" s="1"/>
  <c r="D27" i="15"/>
  <c r="G27" i="15" s="1"/>
  <c r="I27" i="15" s="1"/>
  <c r="D26" i="15"/>
  <c r="G26" i="15" s="1"/>
  <c r="D24" i="15"/>
  <c r="G24" i="15" s="1"/>
  <c r="D23" i="15"/>
  <c r="G23" i="15" s="1"/>
  <c r="D22" i="15"/>
  <c r="G22" i="15" s="1"/>
  <c r="I22" i="15" s="1"/>
  <c r="E29" i="15"/>
  <c r="E25" i="15"/>
  <c r="G25" i="15" s="1"/>
  <c r="I24" i="15"/>
  <c r="I23" i="15"/>
  <c r="E19" i="15"/>
  <c r="E11" i="15" s="1"/>
  <c r="I11" i="15" s="1"/>
  <c r="I18" i="15"/>
  <c r="I17" i="15"/>
  <c r="I16" i="15"/>
  <c r="I10" i="15"/>
  <c r="I7" i="15"/>
  <c r="G25" i="13"/>
  <c r="G24" i="13"/>
  <c r="I24" i="13" s="1"/>
  <c r="G22" i="13"/>
  <c r="E18" i="13"/>
  <c r="E11" i="13" s="1"/>
  <c r="I11" i="13" s="1"/>
  <c r="I17" i="13"/>
  <c r="I16" i="13"/>
  <c r="I10" i="13"/>
  <c r="E7" i="13"/>
  <c r="E16" i="14"/>
  <c r="G16" i="14" s="1"/>
  <c r="I16" i="14" s="1"/>
  <c r="I11" i="14"/>
  <c r="I10" i="14"/>
  <c r="E7" i="14"/>
  <c r="D18" i="14" s="1"/>
  <c r="G18" i="14" s="1"/>
  <c r="I18" i="14" s="1"/>
  <c r="G23" i="9"/>
  <c r="I23" i="9" s="1"/>
  <c r="G26" i="9"/>
  <c r="I26" i="9" s="1"/>
  <c r="G27" i="9"/>
  <c r="I27" i="9" s="1"/>
  <c r="G28" i="9"/>
  <c r="G29" i="9"/>
  <c r="E25" i="9"/>
  <c r="G25" i="9" s="1"/>
  <c r="E22" i="9"/>
  <c r="G22" i="9" s="1"/>
  <c r="I21" i="9"/>
  <c r="E18" i="9"/>
  <c r="I17" i="9"/>
  <c r="I16" i="9"/>
  <c r="I11" i="9"/>
  <c r="I10" i="9"/>
  <c r="E7" i="9"/>
  <c r="E8" i="19"/>
  <c r="I8" i="19" s="1"/>
  <c r="E9" i="19"/>
  <c r="I9" i="19" s="1"/>
  <c r="I27" i="19"/>
  <c r="E23" i="19"/>
  <c r="G23" i="19" s="1"/>
  <c r="E22" i="19"/>
  <c r="G22" i="19" s="1"/>
  <c r="E17" i="19"/>
  <c r="I16" i="19"/>
  <c r="I11" i="19"/>
  <c r="I10" i="19"/>
  <c r="I7" i="19"/>
  <c r="G24" i="16" l="1"/>
  <c r="I24" i="16" s="1"/>
  <c r="G27" i="16"/>
  <c r="I27" i="16" s="1"/>
  <c r="G29" i="15"/>
  <c r="I29" i="15" s="1"/>
  <c r="E9" i="14"/>
  <c r="I9" i="14" s="1"/>
  <c r="E9" i="9"/>
  <c r="I9" i="9" s="1"/>
  <c r="D31" i="15"/>
  <c r="I7" i="16"/>
  <c r="I26" i="16"/>
  <c r="I33" i="16"/>
  <c r="I25" i="16"/>
  <c r="I29" i="16"/>
  <c r="I21" i="16"/>
  <c r="I30" i="16"/>
  <c r="E8" i="16"/>
  <c r="I8" i="16" s="1"/>
  <c r="I12" i="16" s="1"/>
  <c r="I19" i="15"/>
  <c r="I18" i="9"/>
  <c r="I22" i="9"/>
  <c r="I25" i="9"/>
  <c r="I18" i="13"/>
  <c r="I7" i="14"/>
  <c r="I17" i="19"/>
  <c r="I12" i="19"/>
  <c r="I31" i="16"/>
  <c r="I25" i="15"/>
  <c r="I26" i="15"/>
  <c r="I30" i="15"/>
  <c r="I8" i="15"/>
  <c r="I9" i="15"/>
  <c r="I28" i="15"/>
  <c r="I25" i="13"/>
  <c r="I22" i="13"/>
  <c r="I8" i="13"/>
  <c r="I7" i="13"/>
  <c r="I8" i="14"/>
  <c r="I29" i="9"/>
  <c r="I28" i="9"/>
  <c r="I7" i="9"/>
  <c r="D30" i="9"/>
  <c r="I8" i="9"/>
  <c r="I21" i="19"/>
  <c r="I25" i="19"/>
  <c r="I22" i="19"/>
  <c r="I23" i="19"/>
  <c r="I24" i="19"/>
  <c r="I26" i="19"/>
  <c r="E28" i="19"/>
  <c r="I31" i="15" l="1"/>
  <c r="I32" i="15" s="1"/>
  <c r="I35" i="15" s="1"/>
  <c r="I36" i="15" s="1"/>
  <c r="D31" i="9"/>
  <c r="G30" i="9"/>
  <c r="I30" i="9" s="1"/>
  <c r="I31" i="9"/>
  <c r="I32" i="9" s="1"/>
  <c r="I35" i="9" s="1"/>
  <c r="I36" i="9" s="1"/>
  <c r="I12" i="14"/>
  <c r="I35" i="16"/>
  <c r="I36" i="16" s="1"/>
  <c r="I37" i="16" s="1"/>
  <c r="I40" i="16" s="1"/>
  <c r="D36" i="16"/>
  <c r="I12" i="15"/>
  <c r="I9" i="13"/>
  <c r="G23" i="13"/>
  <c r="I21" i="13"/>
  <c r="D19" i="14"/>
  <c r="I12" i="9"/>
  <c r="I20" i="19"/>
  <c r="I28" i="19" s="1"/>
  <c r="I29" i="19" s="1"/>
  <c r="I12" i="13" l="1"/>
  <c r="I37" i="15"/>
  <c r="I38" i="15" s="1"/>
  <c r="I39" i="15" s="1"/>
  <c r="I37" i="9"/>
  <c r="I38" i="9" s="1"/>
  <c r="I39" i="9" s="1"/>
  <c r="I41" i="16"/>
  <c r="I42" i="16" s="1"/>
  <c r="I23" i="13"/>
  <c r="I28" i="13" s="1"/>
  <c r="I29" i="13" s="1"/>
  <c r="I32" i="13" s="1"/>
  <c r="I33" i="13" s="1"/>
  <c r="I19" i="14"/>
  <c r="I20" i="14" s="1"/>
  <c r="I32" i="19"/>
  <c r="I33" i="19" s="1"/>
  <c r="I34" i="19" s="1"/>
  <c r="I41" i="9" l="1"/>
  <c r="I34" i="13"/>
  <c r="I35" i="13" s="1"/>
  <c r="I36" i="13" s="1"/>
  <c r="I41" i="15"/>
  <c r="I43" i="16"/>
  <c r="I44" i="16" s="1"/>
  <c r="I23" i="14"/>
  <c r="I24" i="14" s="1"/>
  <c r="I25" i="14" s="1"/>
  <c r="I35" i="19"/>
  <c r="I36" i="19" s="1"/>
  <c r="I46" i="16" l="1"/>
  <c r="I38" i="13"/>
  <c r="I38" i="19"/>
  <c r="I26" i="14"/>
  <c r="I27" i="14" s="1"/>
  <c r="I29" i="14" l="1"/>
</calcChain>
</file>

<file path=xl/sharedStrings.xml><?xml version="1.0" encoding="utf-8"?>
<sst xmlns="http://schemas.openxmlformats.org/spreadsheetml/2006/main" count="617" uniqueCount="148">
  <si>
    <t>NO.</t>
  </si>
  <si>
    <t>BOTANICAL NAME/LOCAL NAME</t>
  </si>
  <si>
    <t>SPECIFICATION</t>
  </si>
  <si>
    <t>UNIT</t>
  </si>
  <si>
    <t>PEKERJAAN PERSIAPAN</t>
  </si>
  <si>
    <t>II</t>
  </si>
  <si>
    <t>PEKERJAAN PENANAMAN</t>
  </si>
  <si>
    <t>I</t>
  </si>
  <si>
    <t>RENCANA ANGGARAN BIAYA</t>
  </si>
  <si>
    <t>No</t>
  </si>
  <si>
    <t>Pembersihan awal dan akhir</t>
  </si>
  <si>
    <t>Pembentukan Lahan</t>
  </si>
  <si>
    <t>Pupuk kandang</t>
  </si>
  <si>
    <t>Steger di cat warna hijau</t>
  </si>
  <si>
    <t>TOTAL PEKERJAAN PERSIAPAN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</si>
  <si>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</si>
  <si>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Vol/m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</si>
  <si>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TOTAL PEKERJAAN PENANAMAN</t>
  </si>
  <si>
    <t>DESCRIPTION</t>
  </si>
  <si>
    <t>III</t>
  </si>
  <si>
    <t>PERAWATAN</t>
  </si>
  <si>
    <t>Pemupukan, Penyiraman, Pemangkasan, Penyulaman</t>
  </si>
  <si>
    <t>TOTAL PERAWATAN</t>
  </si>
  <si>
    <t>TOTAL KESELURUHAN</t>
  </si>
  <si>
    <t>bln</t>
  </si>
  <si>
    <t>GRAND TOTAL</t>
  </si>
  <si>
    <t>A.</t>
  </si>
  <si>
    <t>TREES</t>
  </si>
  <si>
    <t>SHRUBS</t>
  </si>
  <si>
    <t>TOTAL SHRUBS</t>
  </si>
  <si>
    <t>B.</t>
  </si>
  <si>
    <t>TOTAL TREES</t>
  </si>
  <si>
    <t>Fee 10 %</t>
  </si>
  <si>
    <t>tanaman yang mati</t>
  </si>
  <si>
    <t>Vol/Plb</t>
  </si>
  <si>
    <t>VOL</t>
  </si>
  <si>
    <t>Ph</t>
  </si>
  <si>
    <t>Project : CitraLand Cileungsi</t>
  </si>
  <si>
    <t>Lokasi   : Marketing Office</t>
  </si>
  <si>
    <t>Alstonia Scholaris / PULAI</t>
  </si>
  <si>
    <t>Plumeria Rubra / KAMBOJA PINK</t>
  </si>
  <si>
    <t>Calathea Lutea / PISANG KALATHEA</t>
  </si>
  <si>
    <t xml:space="preserve">Heliconia Sexy Pink / PISANG-PISANGAN SEXY PINK </t>
  </si>
  <si>
    <t>h=40-60cm</t>
  </si>
  <si>
    <t>Philodendron Selloum / PHILODENDRON</t>
  </si>
  <si>
    <t>h=15-20cm</t>
  </si>
  <si>
    <t>Loropetalum Chinensis / PITALUM</t>
  </si>
  <si>
    <t>Costus Speciosa / PACING MERAH</t>
  </si>
  <si>
    <t>Colocasia Esculenta Black / TALAS BATANG HITAM</t>
  </si>
  <si>
    <t>h=100cm</t>
  </si>
  <si>
    <t>h=30cm</t>
  </si>
  <si>
    <t>Spathyphyllum Walisii / SPATHYPHYLLUM</t>
  </si>
  <si>
    <t>Hymenocallis Littoralis / BAKUNG AIR MANCUR</t>
  </si>
  <si>
    <t>Opiphogon Japonicus "dwarf" / KUCAI MINI</t>
  </si>
  <si>
    <t>h=10cm</t>
  </si>
  <si>
    <t>Eucalyptus Deglupta / Eucalyptus Rainbow</t>
  </si>
  <si>
    <t>HARGA SATUAN</t>
  </si>
  <si>
    <t xml:space="preserve">Calathea Lutea / PISANG KALATHEA </t>
  </si>
  <si>
    <t>Heliconia Rostrata / PISANG HIAS WARNA MERAH</t>
  </si>
  <si>
    <t>Lokasi   : Berm &amp; Median</t>
  </si>
  <si>
    <t>Lokasi   : Entrance</t>
  </si>
  <si>
    <t>Samanea Saman / TREMBESI</t>
  </si>
  <si>
    <t>Lokasi   : Scupture Area</t>
  </si>
  <si>
    <t>Arachis Pintoi / LANDEP</t>
  </si>
  <si>
    <t>h=15-20m</t>
  </si>
  <si>
    <t>Axonopus Compressus Dwarf / RUMPUT GAJAH MINI</t>
  </si>
  <si>
    <t>Lokasi   : Rumah Contoh L8 (1 Lantai)</t>
  </si>
  <si>
    <t>Terminalia Montalii / KETAPANG KENCANA</t>
  </si>
  <si>
    <t>Licuala Grandis / PALEM KOL</t>
  </si>
  <si>
    <t>Colocasia Esculenta "black" / TALAS BATANG HITAM</t>
  </si>
  <si>
    <t>Alphinia Zerumbet / HONJE BELANG</t>
  </si>
  <si>
    <t>Neprolephis Exaltata / PAKIS KELABANG</t>
  </si>
  <si>
    <t>h=30-40cm</t>
  </si>
  <si>
    <t>Lokasi   : Rumah Contoh L10 (2 Lantai)</t>
  </si>
  <si>
    <t>Plumeria Obtusa / KAMBOJA CENDANA BALI</t>
  </si>
  <si>
    <t>Plumeria Rubra / KAMBOJA MERAH KECAP</t>
  </si>
  <si>
    <t>Costus Speciosa / PACING BUNGA MERAH</t>
  </si>
  <si>
    <t>Heliconia Sexy Pink / PISANG-PISANGAN SEXY PINK</t>
  </si>
  <si>
    <t>TOTAL</t>
  </si>
  <si>
    <t>h=20-25cm</t>
  </si>
  <si>
    <t>m3</t>
  </si>
  <si>
    <t>m2</t>
  </si>
  <si>
    <t>krg</t>
  </si>
  <si>
    <t>set</t>
  </si>
  <si>
    <t>LUAS AREA (m2)</t>
  </si>
  <si>
    <t>h=4-5m, d.btg=15cm</t>
  </si>
  <si>
    <t>h=5m;d.btg=25cm</t>
  </si>
  <si>
    <t>h=5m; d.btg=20cm</t>
  </si>
  <si>
    <t>h=1-1,5m; d,btg=15cm</t>
  </si>
  <si>
    <t>h=3,5m; d.btg=10cm</t>
  </si>
  <si>
    <t>Pengolahan lahan, langsir</t>
  </si>
  <si>
    <t>Pengolahan Lahan, langsir</t>
  </si>
  <si>
    <t>h=3m; d.btg=15cm</t>
  </si>
  <si>
    <t>Costus speciosa / PACING PENTUL</t>
  </si>
  <si>
    <t>Ananas comosus / NANAS MERAH</t>
  </si>
  <si>
    <t>h=80-100cm</t>
  </si>
  <si>
    <t>NOTE</t>
  </si>
  <si>
    <t>h=40-50cm</t>
  </si>
  <si>
    <t xml:space="preserve">Livistona rotundifolia / PALEM SADENG </t>
  </si>
  <si>
    <t>Zephyrantes rosea /  BAWANG-BAWANGAN BUNGA PINK</t>
  </si>
  <si>
    <r>
      <t>m</t>
    </r>
    <r>
      <rPr>
        <vertAlign val="superscript"/>
        <sz val="11"/>
        <rFont val="Calibri"/>
        <family val="2"/>
        <scheme val="minor"/>
      </rPr>
      <t>2</t>
    </r>
  </si>
  <si>
    <t>Neomarica Gracilis /  IRIS PUTIH</t>
  </si>
  <si>
    <t>h=1,2m</t>
  </si>
  <si>
    <t>Ixora coccinea / SOKA SINGAPORE</t>
  </si>
  <si>
    <t>Heliconia rostrata/ PISANG HIAS WARNA MERAH</t>
  </si>
  <si>
    <t>JASA DESAIN, PERCEPATAN, AKOMODASI, DLL 10%</t>
  </si>
  <si>
    <t>TOTAL SETELAH FEE</t>
  </si>
  <si>
    <t>Zephyrantes candida / BAWANG-BAWANGAN BUNGA PUTIH</t>
  </si>
  <si>
    <t>T.depan 16.4m2, T. belakang 19.7m2</t>
  </si>
  <si>
    <t>Tambahan di taman belakang</t>
  </si>
  <si>
    <t>Harga Lampung</t>
  </si>
  <si>
    <t>Di Lampung tidak ada fee desain dll</t>
  </si>
  <si>
    <t>Harga Benara</t>
  </si>
  <si>
    <t>Pembentukan dan pengolahan jadi 1 kesatuan. Ketebalan tanah 40cm. Harga Lampung</t>
  </si>
  <si>
    <t>Ditambah jumlahnya sbg pengganti tanaman buah</t>
  </si>
  <si>
    <t>Penambahan di area depan MO</t>
  </si>
  <si>
    <t>NOTE:</t>
  </si>
  <si>
    <t>TOTAL SHRUBS BELUM TERMASUK TANAMAN YANG DI AREA BERM, SILAHKAN DI TAMBAHKAN SESUAI USULAN DESAIN DARI BU WIWIK</t>
  </si>
  <si>
    <t>Dikurangi jumlahnya</t>
  </si>
  <si>
    <t>Supply by Ciputra</t>
  </si>
  <si>
    <t>Perubahan volume karena perubahan luas lahan</t>
  </si>
  <si>
    <t>Terlalu banyak, Harga Lampung</t>
  </si>
  <si>
    <t>T.depan 16.8m2, T. belakang 81.2m2</t>
  </si>
  <si>
    <t>PERHITUNGAN VOLUME PADA BQ DI ATAS, HANYA AREA TAMAN DEPAN, SEDANGKAN UNTUK AREA TAMAN BELAKANG MASIH MENUNGGU USULAN DESAIN DARI BU WIWIK</t>
  </si>
  <si>
    <t>Hanya taman depan</t>
  </si>
  <si>
    <t>Harga Benara, Hanya taman depan</t>
  </si>
  <si>
    <t>Harga Lampung, Hanya taman depan</t>
  </si>
  <si>
    <t>REVIEW DAN NEGO HARGA</t>
  </si>
  <si>
    <t>Harga Benara tidak ada stok</t>
  </si>
  <si>
    <t>h=2,5-3mbtg.; d.btg=15cm</t>
  </si>
  <si>
    <t>h=25-30cm</t>
  </si>
  <si>
    <t>Lee Kwan Yuw</t>
  </si>
  <si>
    <t>t.phn=0,8-1,2m;d.btg=10cm</t>
  </si>
  <si>
    <t>h=5-6m, d.btg=7-8cm</t>
  </si>
  <si>
    <t>Livistonarotundifolia / Palem sadeng</t>
  </si>
  <si>
    <t>JADI DIPAKAI TIDAK?</t>
  </si>
  <si>
    <t>By Citra</t>
  </si>
  <si>
    <t>h=0,8-1,2m; d.btg=10cm</t>
  </si>
  <si>
    <t>t.ph=2,5-3mbtg; d.btg=15cm</t>
  </si>
  <si>
    <t>H=50-60cm</t>
  </si>
  <si>
    <t>Hymnecalis speciosa/BAKUNG LELE</t>
  </si>
  <si>
    <t>Philodendron solleum/PHILODENDRON</t>
  </si>
  <si>
    <t>Heliconia rostrata/PISANG HIAS WARNA MERAH</t>
  </si>
  <si>
    <t>Nephrolepis biserrata/PAKIS KELABANG</t>
  </si>
  <si>
    <t>Alphinia purpurata/HONJE BUNGA MERAH</t>
  </si>
  <si>
    <t>Calathea luthea/PISANG KALATHEA</t>
  </si>
  <si>
    <t>Anthuriumandraeanum pink / ANTURIUM PINK IMPORT</t>
  </si>
  <si>
    <t xml:space="preserve">Spathyphyllum Walisii / SPATHYPHYLLUM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</si>
</sst>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  <numFmt numFmtId="165" formatCode="_(* #,##0_);_(* \(#,##0\);_(* &quot;-&quot;??_);_(@_)"/>
    <numFmt numFmtId="166" formatCode="0.0"/>
    <numFmt numFmtId="167" formatCode="_(* #,##0.0_);_(* \(#,##0.0\);_(* &quot;-&quot;_);_(@_)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Times New Roman"/>
      <family val="1"/>
    </font>
    <font>
      <b/>
      <sz val="11"/>
      <color rgb="FFFF0000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2" fillId="0" borderId="0"/>
  </cellStyleXfs>
  <cellXfs count="257">
    <xf numFmtId="0" fontId="0" fillId="0" borderId="0" xfId="0">
      <alignment vertical="center"/>
    </xf>
    <xf numFmtId="0" fontId="15" fillId="0" borderId="3" xfId="0" applyFont="1" applyBorder="1">
      <alignment vertical="center"/>
    </xf>
    <xf numFmtId="0" fontId="15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15" fillId="0" borderId="3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6" fillId="0" borderId="8" xfId="0" applyFont="1" applyBorder="1">
      <alignment vertical="center"/>
    </xf>
    <xf numFmtId="0" fontId="16" fillId="0" borderId="9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5" fillId="2" borderId="1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3" fillId="0" borderId="3" xfId="0" applyFont="1" applyBorder="1">
      <alignment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0" fillId="0" borderId="3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3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15" fillId="2" borderId="3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14" fillId="0" borderId="0" xfId="0" applyFont="1" applyAlignment="1">
      <alignment horizontal="left" vertical="center"/>
    </xf>
    <xf numFmtId="164" fontId="0" fillId="0" borderId="3" xfId="0" applyNumberFormat="1" applyBorder="1">
      <alignment vertical="center"/>
    </xf>
    <xf numFmtId="164" fontId="15" fillId="0" borderId="3" xfId="0" applyNumberFormat="1" applyFont="1" applyBorder="1" applyAlignment="1">
      <alignment horizontal="center" vertical="center"/>
    </xf>
    <xf numFmtId="43" fontId="0" fillId="0" borderId="0" xfId="2" applyFont="1" applyAlignment="1">
      <alignment vertical="center"/>
    </xf>
    <xf numFmtId="41" fontId="0" fillId="0" borderId="0" xfId="0" applyNumberFormat="1">
      <alignment vertical="center"/>
    </xf>
    <xf numFmtId="0" fontId="17" fillId="0" borderId="3" xfId="0" applyFont="1" applyBorder="1">
      <alignment vertical="center"/>
    </xf>
    <xf numFmtId="0" fontId="17" fillId="0" borderId="3" xfId="0" applyFont="1" applyBorder="1" applyAlignment="1">
      <alignment vertical="center" wrapText="1"/>
    </xf>
    <xf numFmtId="0" fontId="12" fillId="0" borderId="3" xfId="0" applyFont="1" applyBorder="1">
      <alignment vertical="center"/>
    </xf>
    <xf numFmtId="0" fontId="12" fillId="0" borderId="3" xfId="0" applyFont="1" applyBorder="1" applyAlignment="1">
      <alignment vertical="center" wrapText="1"/>
    </xf>
    <xf numFmtId="43" fontId="0" fillId="0" borderId="0" xfId="0" applyNumberFormat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3" xfId="0" applyFont="1" applyBorder="1">
      <alignment vertical="center"/>
    </xf>
    <xf numFmtId="0" fontId="20" fillId="0" borderId="3" xfId="0" applyFont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16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12" fillId="4" borderId="3" xfId="0" applyFont="1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165" fontId="0" fillId="4" borderId="3" xfId="2" applyNumberFormat="1" applyFont="1" applyFill="1" applyBorder="1" applyAlignment="1">
      <alignment vertical="center"/>
    </xf>
    <xf numFmtId="41" fontId="0" fillId="4" borderId="3" xfId="0" applyNumberFormat="1" applyFill="1" applyBorder="1">
      <alignment vertical="center"/>
    </xf>
    <xf numFmtId="0" fontId="13" fillId="4" borderId="3" xfId="0" applyFont="1" applyFill="1" applyBorder="1">
      <alignment vertical="center"/>
    </xf>
    <xf numFmtId="0" fontId="13" fillId="4" borderId="7" xfId="0" applyFont="1" applyFill="1" applyBorder="1">
      <alignment vertical="center"/>
    </xf>
    <xf numFmtId="0" fontId="0" fillId="4" borderId="7" xfId="0" applyFill="1" applyBorder="1" applyAlignment="1">
      <alignment horizontal="center" vertical="center"/>
    </xf>
    <xf numFmtId="0" fontId="17" fillId="4" borderId="11" xfId="0" applyFont="1" applyFill="1" applyBorder="1" applyAlignment="1">
      <alignment horizontal="center" vertical="center"/>
    </xf>
    <xf numFmtId="165" fontId="0" fillId="4" borderId="3" xfId="0" applyNumberFormat="1" applyFill="1" applyBorder="1">
      <alignment vertical="center"/>
    </xf>
    <xf numFmtId="0" fontId="17" fillId="4" borderId="3" xfId="0" applyFont="1" applyFill="1" applyBorder="1" applyAlignment="1">
      <alignment horizontal="center" vertical="center"/>
    </xf>
    <xf numFmtId="0" fontId="17" fillId="4" borderId="4" xfId="0" applyFont="1" applyFill="1" applyBorder="1">
      <alignment vertical="center"/>
    </xf>
    <xf numFmtId="0" fontId="10" fillId="4" borderId="3" xfId="0" applyFont="1" applyFill="1" applyBorder="1">
      <alignment vertical="center"/>
    </xf>
    <xf numFmtId="0" fontId="20" fillId="4" borderId="3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41" fontId="20" fillId="4" borderId="3" xfId="0" applyNumberFormat="1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right" vertical="center"/>
    </xf>
    <xf numFmtId="41" fontId="0" fillId="4" borderId="3" xfId="2" applyNumberFormat="1" applyFont="1" applyFill="1" applyBorder="1" applyAlignment="1">
      <alignment vertical="center"/>
    </xf>
    <xf numFmtId="164" fontId="0" fillId="4" borderId="3" xfId="0" applyNumberFormat="1" applyFill="1" applyBorder="1" applyAlignment="1">
      <alignment horizontal="right" vertical="center"/>
    </xf>
    <xf numFmtId="0" fontId="0" fillId="4" borderId="7" xfId="0" applyFill="1" applyBorder="1" applyAlignment="1">
      <alignment horizontal="right" vertical="center"/>
    </xf>
    <xf numFmtId="0" fontId="20" fillId="0" borderId="3" xfId="0" applyFont="1" applyBorder="1" applyAlignment="1">
      <alignment vertical="center" wrapText="1"/>
    </xf>
    <xf numFmtId="0" fontId="20" fillId="0" borderId="0" xfId="0" applyFont="1">
      <alignment vertical="center"/>
    </xf>
    <xf numFmtId="0" fontId="0" fillId="0" borderId="3" xfId="0" applyFill="1" applyBorder="1" applyAlignment="1">
      <alignment horizontal="center" vertical="center"/>
    </xf>
    <xf numFmtId="0" fontId="10" fillId="0" borderId="3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10" fillId="0" borderId="3" xfId="0" applyFont="1" applyFill="1" applyBorder="1">
      <alignment vertical="center"/>
    </xf>
    <xf numFmtId="0" fontId="17" fillId="0" borderId="3" xfId="0" applyNumberFormat="1" applyFont="1" applyBorder="1" applyAlignment="1">
      <alignment horizontal="left" vertical="center"/>
    </xf>
    <xf numFmtId="0" fontId="17" fillId="0" borderId="3" xfId="0" applyFont="1" applyFill="1" applyBorder="1" applyAlignment="1">
      <alignment vertical="center" wrapText="1"/>
    </xf>
    <xf numFmtId="0" fontId="9" fillId="0" borderId="3" xfId="0" applyFont="1" applyBorder="1" applyAlignment="1">
      <alignment horizontal="left" vertical="center"/>
    </xf>
    <xf numFmtId="0" fontId="15" fillId="0" borderId="4" xfId="0" applyFont="1" applyFill="1" applyBorder="1" applyAlignment="1">
      <alignment horizontal="center" vertical="center"/>
    </xf>
    <xf numFmtId="0" fontId="8" fillId="0" borderId="3" xfId="0" applyFont="1" applyBorder="1">
      <alignment vertical="center"/>
    </xf>
    <xf numFmtId="0" fontId="15" fillId="2" borderId="5" xfId="0" applyFont="1" applyFill="1" applyBorder="1">
      <alignment vertical="center"/>
    </xf>
    <xf numFmtId="0" fontId="15" fillId="2" borderId="9" xfId="0" applyFont="1" applyFill="1" applyBorder="1">
      <alignment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2" xfId="0" applyFont="1" applyFill="1" applyBorder="1">
      <alignment vertical="center"/>
    </xf>
    <xf numFmtId="0" fontId="15" fillId="2" borderId="4" xfId="0" applyFont="1" applyFill="1" applyBorder="1">
      <alignment vertical="center"/>
    </xf>
    <xf numFmtId="0" fontId="15" fillId="2" borderId="1" xfId="0" applyFont="1" applyFill="1" applyBorder="1">
      <alignment vertical="center"/>
    </xf>
    <xf numFmtId="0" fontId="15" fillId="2" borderId="4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 wrapText="1"/>
    </xf>
    <xf numFmtId="0" fontId="16" fillId="4" borderId="5" xfId="0" applyFont="1" applyFill="1" applyBorder="1">
      <alignment vertical="center"/>
    </xf>
    <xf numFmtId="0" fontId="15" fillId="4" borderId="3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horizontal="left" vertical="center"/>
    </xf>
    <xf numFmtId="41" fontId="15" fillId="4" borderId="3" xfId="0" applyNumberFormat="1" applyFont="1" applyFill="1" applyBorder="1">
      <alignment vertical="center"/>
    </xf>
    <xf numFmtId="0" fontId="17" fillId="4" borderId="10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15" fillId="4" borderId="3" xfId="0" applyFont="1" applyFill="1" applyBorder="1" applyAlignment="1">
      <alignment horizontal="right" vertical="center"/>
    </xf>
    <xf numFmtId="0" fontId="15" fillId="4" borderId="1" xfId="0" applyFont="1" applyFill="1" applyBorder="1" applyAlignment="1">
      <alignment horizontal="center" vertical="center"/>
    </xf>
    <xf numFmtId="41" fontId="0" fillId="4" borderId="3" xfId="1" applyFont="1" applyFill="1" applyBorder="1" applyAlignment="1">
      <alignment horizontal="center" vertical="center"/>
    </xf>
    <xf numFmtId="41" fontId="0" fillId="4" borderId="3" xfId="1" applyFont="1" applyFill="1" applyBorder="1" applyAlignment="1">
      <alignment vertical="center"/>
    </xf>
    <xf numFmtId="41" fontId="0" fillId="4" borderId="3" xfId="1" applyNumberFormat="1" applyFont="1" applyFill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7" xfId="0" applyFill="1" applyBorder="1">
      <alignment vertical="center"/>
    </xf>
    <xf numFmtId="0" fontId="16" fillId="4" borderId="7" xfId="0" applyFont="1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165" fontId="0" fillId="4" borderId="7" xfId="2" applyNumberFormat="1" applyFont="1" applyFill="1" applyBorder="1" applyAlignment="1">
      <alignment vertical="center"/>
    </xf>
    <xf numFmtId="41" fontId="15" fillId="4" borderId="5" xfId="0" applyNumberFormat="1" applyFont="1" applyFill="1" applyBorder="1">
      <alignment vertical="center"/>
    </xf>
    <xf numFmtId="0" fontId="15" fillId="4" borderId="3" xfId="0" applyFont="1" applyFill="1" applyBorder="1">
      <alignment vertical="center"/>
    </xf>
    <xf numFmtId="165" fontId="15" fillId="4" borderId="5" xfId="0" applyNumberFormat="1" applyFont="1" applyFill="1" applyBorder="1">
      <alignment vertical="center"/>
    </xf>
    <xf numFmtId="0" fontId="0" fillId="0" borderId="4" xfId="0" applyBorder="1">
      <alignment vertical="center"/>
    </xf>
    <xf numFmtId="0" fontId="15" fillId="4" borderId="5" xfId="0" applyFont="1" applyFill="1" applyBorder="1" applyAlignment="1">
      <alignment horizontal="left" vertical="center"/>
    </xf>
    <xf numFmtId="0" fontId="15" fillId="4" borderId="5" xfId="0" applyFont="1" applyFill="1" applyBorder="1" applyAlignment="1">
      <alignment horizontal="right" vertical="center"/>
    </xf>
    <xf numFmtId="41" fontId="0" fillId="4" borderId="5" xfId="1" applyFont="1" applyFill="1" applyBorder="1" applyAlignment="1">
      <alignment horizontal="center" vertical="center"/>
    </xf>
    <xf numFmtId="41" fontId="0" fillId="4" borderId="5" xfId="1" applyFont="1" applyFill="1" applyBorder="1" applyAlignment="1">
      <alignment vertical="center"/>
    </xf>
    <xf numFmtId="41" fontId="0" fillId="4" borderId="5" xfId="1" applyNumberFormat="1" applyFont="1" applyFill="1" applyBorder="1" applyAlignment="1">
      <alignment horizontal="center" vertical="center"/>
    </xf>
    <xf numFmtId="0" fontId="15" fillId="4" borderId="5" xfId="0" applyFont="1" applyFill="1" applyBorder="1">
      <alignment vertical="center"/>
    </xf>
    <xf numFmtId="0" fontId="0" fillId="0" borderId="0" xfId="0" applyFill="1" applyBorder="1">
      <alignment vertical="center"/>
    </xf>
    <xf numFmtId="165" fontId="15" fillId="4" borderId="3" xfId="0" applyNumberFormat="1" applyFont="1" applyFill="1" applyBorder="1">
      <alignment vertical="center"/>
    </xf>
    <xf numFmtId="41" fontId="7" fillId="4" borderId="3" xfId="0" applyNumberFormat="1" applyFont="1" applyFill="1" applyBorder="1">
      <alignment vertical="center"/>
    </xf>
    <xf numFmtId="43" fontId="0" fillId="4" borderId="3" xfId="0" applyNumberFormat="1" applyFill="1" applyBorder="1">
      <alignment vertical="center"/>
    </xf>
    <xf numFmtId="43" fontId="15" fillId="4" borderId="3" xfId="0" applyNumberFormat="1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13" fillId="4" borderId="6" xfId="0" applyFont="1" applyFill="1" applyBorder="1">
      <alignment vertical="center"/>
    </xf>
    <xf numFmtId="2" fontId="13" fillId="4" borderId="3" xfId="0" applyNumberFormat="1" applyFont="1" applyFill="1" applyBorder="1">
      <alignment vertical="center"/>
    </xf>
    <xf numFmtId="41" fontId="20" fillId="4" borderId="3" xfId="1" applyFont="1" applyFill="1" applyBorder="1" applyAlignment="1">
      <alignment vertical="center"/>
    </xf>
    <xf numFmtId="41" fontId="20" fillId="4" borderId="3" xfId="0" applyNumberFormat="1" applyFont="1" applyFill="1" applyBorder="1">
      <alignment vertical="center"/>
    </xf>
    <xf numFmtId="0" fontId="15" fillId="4" borderId="1" xfId="0" applyFont="1" applyFill="1" applyBorder="1" applyAlignment="1">
      <alignment horizontal="left" vertical="center" wrapText="1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41" fontId="0" fillId="4" borderId="5" xfId="0" applyNumberFormat="1" applyFill="1" applyBorder="1">
      <alignment vertical="center"/>
    </xf>
    <xf numFmtId="0" fontId="15" fillId="0" borderId="0" xfId="0" applyFont="1">
      <alignment vertical="center"/>
    </xf>
    <xf numFmtId="43" fontId="0" fillId="0" borderId="0" xfId="0" applyNumberFormat="1" applyFill="1">
      <alignment vertical="center"/>
    </xf>
    <xf numFmtId="0" fontId="0" fillId="4" borderId="1" xfId="0" applyFill="1" applyBorder="1" applyAlignment="1">
      <alignment horizontal="left" vertical="center"/>
    </xf>
    <xf numFmtId="0" fontId="20" fillId="4" borderId="6" xfId="0" applyFont="1" applyFill="1" applyBorder="1" applyAlignment="1">
      <alignment horizontal="center" vertical="center"/>
    </xf>
    <xf numFmtId="164" fontId="0" fillId="4" borderId="3" xfId="0" applyNumberFormat="1" applyFill="1" applyBorder="1">
      <alignment vertical="center"/>
    </xf>
    <xf numFmtId="164" fontId="15" fillId="4" borderId="3" xfId="0" applyNumberFormat="1" applyFont="1" applyFill="1" applyBorder="1" applyAlignment="1">
      <alignment horizontal="center" vertical="center" wrapText="1"/>
    </xf>
    <xf numFmtId="41" fontId="0" fillId="4" borderId="3" xfId="1" applyNumberFormat="1" applyFont="1" applyFill="1" applyBorder="1" applyAlignment="1">
      <alignment vertical="center"/>
    </xf>
    <xf numFmtId="41" fontId="0" fillId="4" borderId="4" xfId="1" applyFont="1" applyFill="1" applyBorder="1" applyAlignment="1">
      <alignment vertical="center"/>
    </xf>
    <xf numFmtId="41" fontId="15" fillId="4" borderId="3" xfId="0" applyNumberFormat="1" applyFont="1" applyFill="1" applyBorder="1" applyAlignment="1">
      <alignment horizontal="center" vertical="center"/>
    </xf>
    <xf numFmtId="165" fontId="0" fillId="4" borderId="7" xfId="0" applyNumberFormat="1" applyFill="1" applyBorder="1">
      <alignment vertical="center"/>
    </xf>
    <xf numFmtId="0" fontId="12" fillId="0" borderId="0" xfId="0" applyFont="1" applyFill="1">
      <alignment vertical="center"/>
    </xf>
    <xf numFmtId="0" fontId="17" fillId="0" borderId="4" xfId="0" applyFont="1" applyBorder="1" applyAlignment="1">
      <alignment horizontal="center" vertical="center"/>
    </xf>
    <xf numFmtId="0" fontId="13" fillId="0" borderId="1" xfId="0" applyFont="1" applyBorder="1">
      <alignment vertical="center"/>
    </xf>
    <xf numFmtId="43" fontId="0" fillId="4" borderId="3" xfId="2" applyFont="1" applyFill="1" applyBorder="1" applyAlignment="1">
      <alignment vertical="center"/>
    </xf>
    <xf numFmtId="41" fontId="20" fillId="4" borderId="11" xfId="1" applyFont="1" applyFill="1" applyBorder="1" applyAlignment="1">
      <alignment horizontal="center" vertical="center"/>
    </xf>
    <xf numFmtId="0" fontId="11" fillId="4" borderId="5" xfId="0" applyFont="1" applyFill="1" applyBorder="1">
      <alignment vertical="center"/>
    </xf>
    <xf numFmtId="0" fontId="20" fillId="4" borderId="3" xfId="0" applyFont="1" applyFill="1" applyBorder="1" applyAlignment="1">
      <alignment horizontal="right" vertical="center"/>
    </xf>
    <xf numFmtId="43" fontId="0" fillId="4" borderId="0" xfId="0" applyNumberFormat="1" applyFill="1">
      <alignment vertical="center"/>
    </xf>
    <xf numFmtId="165" fontId="20" fillId="4" borderId="7" xfId="2" applyNumberFormat="1" applyFont="1" applyFill="1" applyBorder="1" applyAlignment="1">
      <alignment vertical="center"/>
    </xf>
    <xf numFmtId="0" fontId="15" fillId="4" borderId="1" xfId="0" applyFont="1" applyFill="1" applyBorder="1">
      <alignment vertical="center"/>
    </xf>
    <xf numFmtId="165" fontId="15" fillId="4" borderId="5" xfId="2" applyNumberFormat="1" applyFont="1" applyFill="1" applyBorder="1" applyAlignment="1">
      <alignment vertical="center"/>
    </xf>
    <xf numFmtId="0" fontId="15" fillId="4" borderId="7" xfId="0" applyFont="1" applyFill="1" applyBorder="1">
      <alignment vertical="center"/>
    </xf>
    <xf numFmtId="0" fontId="15" fillId="4" borderId="2" xfId="0" applyFont="1" applyFill="1" applyBorder="1">
      <alignment vertical="center"/>
    </xf>
    <xf numFmtId="41" fontId="15" fillId="4" borderId="11" xfId="0" applyNumberFormat="1" applyFont="1" applyFill="1" applyBorder="1">
      <alignment vertical="center"/>
    </xf>
    <xf numFmtId="2" fontId="15" fillId="4" borderId="3" xfId="0" applyNumberFormat="1" applyFont="1" applyFill="1" applyBorder="1" applyAlignment="1">
      <alignment horizontal="right" vertical="center" wrapText="1"/>
    </xf>
    <xf numFmtId="41" fontId="20" fillId="4" borderId="7" xfId="0" applyNumberFormat="1" applyFont="1" applyFill="1" applyBorder="1">
      <alignment vertical="center"/>
    </xf>
    <xf numFmtId="41" fontId="6" fillId="4" borderId="3" xfId="0" applyNumberFormat="1" applyFont="1" applyFill="1" applyBorder="1">
      <alignment vertical="center"/>
    </xf>
    <xf numFmtId="165" fontId="20" fillId="4" borderId="3" xfId="2" applyNumberFormat="1" applyFont="1" applyFill="1" applyBorder="1" applyAlignment="1">
      <alignment vertical="center"/>
    </xf>
    <xf numFmtId="165" fontId="6" fillId="4" borderId="3" xfId="0" applyNumberFormat="1" applyFont="1" applyFill="1" applyBorder="1">
      <alignment vertical="center"/>
    </xf>
    <xf numFmtId="165" fontId="6" fillId="4" borderId="3" xfId="2" applyNumberFormat="1" applyFont="1" applyFill="1" applyBorder="1" applyAlignment="1">
      <alignment vertical="center"/>
    </xf>
    <xf numFmtId="41" fontId="7" fillId="4" borderId="3" xfId="0" applyNumberFormat="1" applyFont="1" applyFill="1" applyBorder="1" applyAlignment="1">
      <alignment vertical="center"/>
    </xf>
    <xf numFmtId="41" fontId="0" fillId="4" borderId="3" xfId="0" applyNumberFormat="1" applyFill="1" applyBorder="1" applyAlignment="1">
      <alignment vertical="center"/>
    </xf>
    <xf numFmtId="41" fontId="6" fillId="4" borderId="3" xfId="0" applyNumberFormat="1" applyFont="1" applyFill="1" applyBorder="1" applyAlignment="1">
      <alignment vertical="center"/>
    </xf>
    <xf numFmtId="41" fontId="6" fillId="4" borderId="3" xfId="0" applyNumberFormat="1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center" wrapText="1"/>
    </xf>
    <xf numFmtId="0" fontId="14" fillId="0" borderId="0" xfId="0" applyFont="1" applyAlignment="1">
      <alignment horizontal="left" vertical="center"/>
    </xf>
    <xf numFmtId="41" fontId="6" fillId="4" borderId="7" xfId="0" applyNumberFormat="1" applyFont="1" applyFill="1" applyBorder="1" applyAlignment="1">
      <alignment vertical="center" wrapText="1"/>
    </xf>
    <xf numFmtId="41" fontId="5" fillId="4" borderId="3" xfId="0" applyNumberFormat="1" applyFont="1" applyFill="1" applyBorder="1">
      <alignment vertical="center"/>
    </xf>
    <xf numFmtId="165" fontId="17" fillId="4" borderId="3" xfId="2" applyNumberFormat="1" applyFont="1" applyFill="1" applyBorder="1" applyAlignment="1">
      <alignment vertical="center"/>
    </xf>
    <xf numFmtId="41" fontId="17" fillId="4" borderId="3" xfId="2" applyNumberFormat="1" applyFont="1" applyFill="1" applyBorder="1" applyAlignment="1">
      <alignment vertical="center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43" fontId="0" fillId="4" borderId="0" xfId="2" applyFont="1" applyFill="1" applyAlignment="1">
      <alignment vertical="center"/>
    </xf>
    <xf numFmtId="43" fontId="17" fillId="4" borderId="3" xfId="2" applyNumberFormat="1" applyFont="1" applyFill="1" applyBorder="1" applyAlignment="1">
      <alignment vertical="center"/>
    </xf>
    <xf numFmtId="41" fontId="17" fillId="4" borderId="10" xfId="0" applyNumberFormat="1" applyFont="1" applyFill="1" applyBorder="1" applyAlignment="1">
      <alignment horizontal="center" vertical="center"/>
    </xf>
    <xf numFmtId="167" fontId="17" fillId="4" borderId="3" xfId="0" applyNumberFormat="1" applyFont="1" applyFill="1" applyBorder="1" applyAlignment="1">
      <alignment horizontal="right" vertical="center"/>
    </xf>
    <xf numFmtId="0" fontId="17" fillId="4" borderId="6" xfId="0" applyFont="1" applyFill="1" applyBorder="1" applyAlignment="1">
      <alignment horizontal="right" vertical="center"/>
    </xf>
    <xf numFmtId="41" fontId="17" fillId="4" borderId="3" xfId="0" applyNumberFormat="1" applyFont="1" applyFill="1" applyBorder="1">
      <alignment vertical="center"/>
    </xf>
    <xf numFmtId="0" fontId="0" fillId="4" borderId="0" xfId="0" applyFill="1" applyBorder="1">
      <alignment vertical="center"/>
    </xf>
    <xf numFmtId="43" fontId="0" fillId="4" borderId="0" xfId="0" applyNumberFormat="1" applyFill="1" applyBorder="1">
      <alignment vertical="center"/>
    </xf>
    <xf numFmtId="41" fontId="5" fillId="4" borderId="3" xfId="0" applyNumberFormat="1" applyFont="1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/>
    </xf>
    <xf numFmtId="0" fontId="13" fillId="5" borderId="3" xfId="0" applyFont="1" applyFill="1" applyBorder="1">
      <alignment vertical="center"/>
    </xf>
    <xf numFmtId="0" fontId="16" fillId="5" borderId="3" xfId="0" applyFont="1" applyFill="1" applyBorder="1" applyAlignment="1">
      <alignment horizontal="center" vertical="center"/>
    </xf>
    <xf numFmtId="41" fontId="0" fillId="5" borderId="3" xfId="0" applyNumberFormat="1" applyFill="1" applyBorder="1">
      <alignment vertical="center"/>
    </xf>
    <xf numFmtId="41" fontId="4" fillId="4" borderId="3" xfId="0" applyNumberFormat="1" applyFont="1" applyFill="1" applyBorder="1">
      <alignment vertical="center"/>
    </xf>
    <xf numFmtId="0" fontId="13" fillId="0" borderId="3" xfId="0" applyFont="1" applyFill="1" applyBorder="1">
      <alignment vertical="center"/>
    </xf>
    <xf numFmtId="166" fontId="0" fillId="4" borderId="5" xfId="2" applyNumberFormat="1" applyFont="1" applyFill="1" applyBorder="1" applyAlignment="1">
      <alignment horizontal="right" vertical="center"/>
    </xf>
    <xf numFmtId="41" fontId="20" fillId="4" borderId="5" xfId="1" applyFont="1" applyFill="1" applyBorder="1" applyAlignment="1">
      <alignment vertical="center"/>
    </xf>
    <xf numFmtId="41" fontId="15" fillId="4" borderId="5" xfId="0" applyNumberFormat="1" applyFont="1" applyFill="1" applyBorder="1" applyAlignment="1">
      <alignment horizontal="center" vertical="center"/>
    </xf>
    <xf numFmtId="0" fontId="15" fillId="0" borderId="0" xfId="0" applyFont="1" applyFill="1" applyBorder="1">
      <alignment vertical="center"/>
    </xf>
    <xf numFmtId="0" fontId="15" fillId="4" borderId="3" xfId="0" applyFont="1" applyFill="1" applyBorder="1" applyAlignment="1">
      <alignment horizontal="left" vertical="center" wrapText="1"/>
    </xf>
    <xf numFmtId="41" fontId="0" fillId="4" borderId="10" xfId="0" applyNumberFormat="1" applyFill="1" applyBorder="1" applyAlignment="1">
      <alignment horizontal="center" vertical="center"/>
    </xf>
    <xf numFmtId="41" fontId="17" fillId="4" borderId="5" xfId="0" applyNumberFormat="1" applyFont="1" applyFill="1" applyBorder="1" applyAlignment="1">
      <alignment horizontal="center" vertical="center"/>
    </xf>
    <xf numFmtId="41" fontId="17" fillId="4" borderId="5" xfId="2" applyNumberFormat="1" applyFont="1" applyFill="1" applyBorder="1" applyAlignment="1">
      <alignment vertical="center"/>
    </xf>
    <xf numFmtId="164" fontId="20" fillId="3" borderId="3" xfId="0" applyNumberFormat="1" applyFont="1" applyFill="1" applyBorder="1" applyAlignment="1">
      <alignment horizontal="right" vertical="center"/>
    </xf>
    <xf numFmtId="0" fontId="4" fillId="0" borderId="4" xfId="0" applyFont="1" applyBorder="1">
      <alignment vertical="center"/>
    </xf>
    <xf numFmtId="0" fontId="0" fillId="3" borderId="3" xfId="0" applyFill="1" applyBorder="1" applyAlignment="1">
      <alignment horizontal="right" vertical="center"/>
    </xf>
    <xf numFmtId="165" fontId="5" fillId="4" borderId="7" xfId="0" applyNumberFormat="1" applyFont="1" applyFill="1" applyBorder="1" applyAlignment="1">
      <alignment horizontal="left" vertical="center"/>
    </xf>
    <xf numFmtId="0" fontId="13" fillId="0" borderId="3" xfId="0" applyFont="1" applyFill="1" applyBorder="1" applyAlignment="1">
      <alignment vertical="center" wrapText="1"/>
    </xf>
    <xf numFmtId="0" fontId="8" fillId="0" borderId="3" xfId="0" applyFont="1" applyFill="1" applyBorder="1">
      <alignment vertical="center"/>
    </xf>
    <xf numFmtId="0" fontId="9" fillId="0" borderId="3" xfId="0" applyFont="1" applyFill="1" applyBorder="1">
      <alignment vertical="center"/>
    </xf>
    <xf numFmtId="41" fontId="0" fillId="4" borderId="3" xfId="0" applyNumberFormat="1" applyFill="1" applyBorder="1" applyAlignment="1">
      <alignment vertical="center" wrapText="1"/>
    </xf>
    <xf numFmtId="41" fontId="3" fillId="4" borderId="3" xfId="0" applyNumberFormat="1" applyFont="1" applyFill="1" applyBorder="1" applyAlignment="1">
      <alignment vertical="center" wrapText="1"/>
    </xf>
    <xf numFmtId="0" fontId="0" fillId="4" borderId="5" xfId="0" applyFill="1" applyBorder="1" applyAlignment="1">
      <alignment horizontal="right" vertical="center"/>
    </xf>
    <xf numFmtId="0" fontId="4" fillId="5" borderId="3" xfId="0" applyFont="1" applyFill="1" applyBorder="1" applyAlignment="1">
      <alignment vertical="center" wrapText="1"/>
    </xf>
    <xf numFmtId="0" fontId="20" fillId="5" borderId="6" xfId="0" applyFont="1" applyFill="1" applyBorder="1" applyAlignment="1">
      <alignment horizontal="center" vertical="center"/>
    </xf>
    <xf numFmtId="41" fontId="13" fillId="5" borderId="3" xfId="1" applyFont="1" applyFill="1" applyBorder="1" applyAlignment="1">
      <alignment vertical="center"/>
    </xf>
    <xf numFmtId="0" fontId="3" fillId="4" borderId="3" xfId="0" applyFont="1" applyFill="1" applyBorder="1">
      <alignment vertical="center"/>
    </xf>
    <xf numFmtId="0" fontId="3" fillId="0" borderId="4" xfId="0" applyFont="1" applyBorder="1">
      <alignment vertical="center"/>
    </xf>
    <xf numFmtId="166" fontId="0" fillId="4" borderId="5" xfId="0" applyNumberFormat="1" applyFill="1" applyBorder="1" applyAlignment="1">
      <alignment horizontal="right" vertical="center"/>
    </xf>
    <xf numFmtId="1" fontId="24" fillId="3" borderId="5" xfId="0" applyNumberFormat="1" applyFont="1" applyFill="1" applyBorder="1" applyAlignment="1">
      <alignment horizontal="right" vertical="center"/>
    </xf>
    <xf numFmtId="0" fontId="0" fillId="3" borderId="5" xfId="0" applyFill="1" applyBorder="1" applyAlignment="1">
      <alignment horizontal="right" vertical="center"/>
    </xf>
    <xf numFmtId="0" fontId="0" fillId="3" borderId="11" xfId="0" applyFill="1" applyBorder="1" applyAlignment="1">
      <alignment horizontal="center" vertical="center"/>
    </xf>
    <xf numFmtId="2" fontId="23" fillId="3" borderId="3" xfId="3" applyNumberFormat="1" applyFont="1" applyFill="1" applyBorder="1"/>
    <xf numFmtId="2" fontId="13" fillId="3" borderId="3" xfId="0" applyNumberFormat="1" applyFont="1" applyFill="1" applyBorder="1">
      <alignment vertical="center"/>
    </xf>
    <xf numFmtId="2" fontId="0" fillId="3" borderId="3" xfId="0" applyNumberFormat="1" applyFill="1" applyBorder="1">
      <alignment vertical="center"/>
    </xf>
    <xf numFmtId="2" fontId="20" fillId="3" borderId="3" xfId="0" applyNumberFormat="1" applyFont="1" applyFill="1" applyBorder="1">
      <alignment vertical="center"/>
    </xf>
    <xf numFmtId="41" fontId="0" fillId="3" borderId="5" xfId="1" applyFont="1" applyFill="1" applyBorder="1" applyAlignment="1">
      <alignment vertical="center"/>
    </xf>
    <xf numFmtId="41" fontId="20" fillId="3" borderId="5" xfId="1" applyFont="1" applyFill="1" applyBorder="1" applyAlignment="1">
      <alignment vertical="center"/>
    </xf>
    <xf numFmtId="0" fontId="17" fillId="3" borderId="3" xfId="0" applyFont="1" applyFill="1" applyBorder="1" applyAlignment="1">
      <alignment horizontal="right" vertical="center"/>
    </xf>
    <xf numFmtId="0" fontId="13" fillId="3" borderId="7" xfId="0" applyFont="1" applyFill="1" applyBorder="1">
      <alignment vertical="center"/>
    </xf>
    <xf numFmtId="0" fontId="13" fillId="3" borderId="3" xfId="0" applyFont="1" applyFill="1" applyBorder="1">
      <alignment vertical="center"/>
    </xf>
    <xf numFmtId="43" fontId="20" fillId="3" borderId="3" xfId="0" applyNumberFormat="1" applyFont="1" applyFill="1" applyBorder="1" applyAlignment="1">
      <alignment horizontal="right" vertical="center"/>
    </xf>
    <xf numFmtId="0" fontId="0" fillId="0" borderId="3" xfId="0" applyFont="1" applyBorder="1">
      <alignment vertical="center"/>
    </xf>
    <xf numFmtId="164" fontId="0" fillId="3" borderId="3" xfId="1" applyNumberFormat="1" applyFont="1" applyFill="1" applyBorder="1" applyAlignment="1">
      <alignment horizontal="center" vertical="center"/>
    </xf>
    <xf numFmtId="41" fontId="17" fillId="3" borderId="3" xfId="0" applyNumberFormat="1" applyFont="1" applyFill="1" applyBorder="1" applyAlignment="1">
      <alignment horizontal="right" vertical="center"/>
    </xf>
    <xf numFmtId="0" fontId="2" fillId="4" borderId="3" xfId="0" applyFont="1" applyFill="1" applyBorder="1">
      <alignment vertical="center"/>
    </xf>
    <xf numFmtId="0" fontId="2" fillId="0" borderId="3" xfId="0" applyFont="1" applyBorder="1">
      <alignment vertical="center"/>
    </xf>
    <xf numFmtId="0" fontId="17" fillId="3" borderId="6" xfId="0" applyFont="1" applyFill="1" applyBorder="1" applyAlignment="1">
      <alignment horizontal="center" vertical="center"/>
    </xf>
    <xf numFmtId="164" fontId="17" fillId="3" borderId="3" xfId="1" applyNumberFormat="1" applyFont="1" applyFill="1" applyBorder="1" applyAlignment="1">
      <alignment vertical="center"/>
    </xf>
    <xf numFmtId="164" fontId="17" fillId="3" borderId="3" xfId="0" applyNumberFormat="1" applyFont="1" applyFill="1" applyBorder="1">
      <alignment vertical="center"/>
    </xf>
    <xf numFmtId="164" fontId="0" fillId="3" borderId="4" xfId="1" applyNumberFormat="1" applyFont="1" applyFill="1" applyBorder="1" applyAlignment="1">
      <alignment vertical="center"/>
    </xf>
    <xf numFmtId="41" fontId="0" fillId="3" borderId="3" xfId="1" applyFont="1" applyFill="1" applyBorder="1" applyAlignment="1">
      <alignment vertical="center"/>
    </xf>
    <xf numFmtId="2" fontId="4" fillId="3" borderId="3" xfId="0" applyNumberFormat="1" applyFont="1" applyFill="1" applyBorder="1">
      <alignment vertical="center"/>
    </xf>
    <xf numFmtId="41" fontId="0" fillId="3" borderId="3" xfId="0" applyNumberFormat="1" applyFill="1" applyBorder="1">
      <alignment vertical="center"/>
    </xf>
    <xf numFmtId="43" fontId="17" fillId="3" borderId="5" xfId="0" applyNumberFormat="1" applyFont="1" applyFill="1" applyBorder="1">
      <alignment vertical="center"/>
    </xf>
    <xf numFmtId="43" fontId="0" fillId="3" borderId="5" xfId="0" applyNumberFormat="1" applyFill="1" applyBorder="1">
      <alignment vertical="center"/>
    </xf>
    <xf numFmtId="0" fontId="0" fillId="3" borderId="3" xfId="0" applyFill="1" applyBorder="1">
      <alignment vertical="center"/>
    </xf>
    <xf numFmtId="0" fontId="0" fillId="3" borderId="11" xfId="0" applyFill="1" applyBorder="1" applyAlignment="1">
      <alignment horizontal="right" vertical="center"/>
    </xf>
    <xf numFmtId="0" fontId="20" fillId="3" borderId="10" xfId="0" applyFont="1" applyFill="1" applyBorder="1" applyAlignment="1">
      <alignment horizontal="right" vertical="center"/>
    </xf>
    <xf numFmtId="0" fontId="12" fillId="4" borderId="4" xfId="0" applyFont="1" applyFill="1" applyBorder="1">
      <alignment vertical="center"/>
    </xf>
    <xf numFmtId="0" fontId="2" fillId="0" borderId="4" xfId="0" applyFont="1" applyBorder="1">
      <alignment vertical="center"/>
    </xf>
    <xf numFmtId="164" fontId="15" fillId="4" borderId="3" xfId="0" applyNumberFormat="1" applyFont="1" applyFill="1" applyBorder="1" applyAlignment="1">
      <alignment horizontal="left" vertical="center" wrapText="1"/>
    </xf>
    <xf numFmtId="0" fontId="10" fillId="0" borderId="4" xfId="0" applyFont="1" applyBorder="1">
      <alignment vertical="center"/>
    </xf>
    <xf numFmtId="0" fontId="4" fillId="0" borderId="4" xfId="0" applyFont="1" applyFill="1" applyBorder="1">
      <alignment vertical="center"/>
    </xf>
    <xf numFmtId="0" fontId="20" fillId="0" borderId="4" xfId="0" applyFont="1" applyBorder="1">
      <alignment vertical="center"/>
    </xf>
    <xf numFmtId="0" fontId="1" fillId="5" borderId="3" xfId="0" applyFont="1" applyFill="1" applyBorder="1">
      <alignment vertical="center"/>
    </xf>
    <xf numFmtId="41" fontId="20" fillId="5" borderId="3" xfId="2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1" fillId="0" borderId="3" xfId="0" applyFont="1" applyBorder="1">
      <alignment vertical="center"/>
    </xf>
    <xf numFmtId="43" fontId="0" fillId="3" borderId="3" xfId="0" applyNumberFormat="1" applyFill="1" applyBorder="1">
      <alignment vertical="center"/>
    </xf>
    <xf numFmtId="43" fontId="17" fillId="3" borderId="3" xfId="1" applyNumberFormat="1" applyFont="1" applyFill="1" applyBorder="1" applyAlignment="1">
      <alignment vertical="center"/>
    </xf>
    <xf numFmtId="43" fontId="15" fillId="4" borderId="3" xfId="0" applyNumberFormat="1" applyFont="1" applyFill="1" applyBorder="1">
      <alignment vertical="center"/>
    </xf>
    <xf numFmtId="0" fontId="1" fillId="0" borderId="3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horizontal="left" vertical="center" wrapText="1"/>
    </xf>
    <xf numFmtId="41" fontId="5" fillId="4" borderId="6" xfId="0" applyNumberFormat="1" applyFont="1" applyFill="1" applyBorder="1" applyAlignment="1">
      <alignment horizontal="left" vertical="center" wrapText="1"/>
    </xf>
    <xf numFmtId="41" fontId="0" fillId="4" borderId="7" xfId="0" applyNumberFormat="1" applyFill="1" applyBorder="1" applyAlignment="1">
      <alignment horizontal="left" vertical="center" wrapText="1"/>
    </xf>
    <xf numFmtId="0" fontId="14" fillId="0" borderId="0" xfId="0" applyFont="1" applyAlignment="1">
      <alignment horizontal="left" vertical="center"/>
    </xf>
  </cellXfs>
  <cellStyles count="4">
    <cellStyle name="Comma" xfId="2" builtinId="3"/>
    <cellStyle name="Comma [0]" xfId="1" builtinId="6"/>
    <cellStyle name="Normal" xfId="0" builtinId="0"/>
    <cellStyle name="Normal 2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41</xdr:row>
      <xdr:rowOff>171450</xdr:rowOff>
    </xdr:from>
    <xdr:to>
      <xdr:col>13</xdr:col>
      <xdr:colOff>209550</xdr:colOff>
      <xdr:row>58</xdr:row>
      <xdr:rowOff>171450</xdr:rowOff>
    </xdr:to>
    <xdr:pic>
      <xdr:nvPicPr>
        <xdr:cNvPr id="2" name="Picture 1"/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7743825"/>
          <a:ext cx="18154650" cy="323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13" workbookViewId="0">
      <pane xSplit="2" topLeftCell="C1" activePane="topRight" state="frozen"/>
      <selection pane="topRight" activeCell="E11" sqref="E11"/>
    </sheetView>
  </sheetViews>
  <sheetFormatPr defaultColWidth="9.140625" defaultRowHeight="15"/>
  <cols>
    <col min="1" max="1" width="3.85546875" customWidth="1"/>
    <col min="2" max="2" width="48.28515625" customWidth="1"/>
    <col min="3" max="3" width="23.28515625" customWidth="1"/>
    <col min="4" max="4" width="9.140625" style="113"/>
    <col min="8" max="8" width="12.42578125" customWidth="1"/>
    <col min="9" max="9" width="15.85546875" customWidth="1"/>
    <col min="10" max="10" width="46.5703125" customWidth="1"/>
  </cols>
  <sheetData>
    <row r="1" spans="1:10" ht="17.25">
      <c r="A1" s="256" t="s">
        <v>8</v>
      </c>
      <c r="B1" s="256"/>
    </row>
    <row r="2" spans="1:10" ht="17.25">
      <c r="A2" s="162" t="s">
        <v>37</v>
      </c>
      <c r="B2" s="162"/>
    </row>
    <row r="3" spans="1:10" ht="17.25">
      <c r="A3" s="162" t="s">
        <v>60</v>
      </c>
      <c r="B3" s="162"/>
      <c r="E3" s="187" t="s">
        <v>127</v>
      </c>
    </row>
    <row r="4" spans="1:10">
      <c r="C4" s="33"/>
    </row>
    <row r="5" spans="1:10" ht="30" customHeight="1">
      <c r="A5" s="2" t="s">
        <v>9</v>
      </c>
      <c r="B5" s="17" t="s">
        <v>18</v>
      </c>
      <c r="C5" s="2" t="s">
        <v>2</v>
      </c>
      <c r="D5" s="83"/>
      <c r="E5" s="84" t="s">
        <v>35</v>
      </c>
      <c r="F5" s="83" t="s">
        <v>3</v>
      </c>
      <c r="G5" s="84" t="s">
        <v>16</v>
      </c>
      <c r="H5" s="85" t="s">
        <v>56</v>
      </c>
      <c r="I5" s="83" t="s">
        <v>78</v>
      </c>
      <c r="J5" s="83" t="s">
        <v>96</v>
      </c>
    </row>
    <row r="6" spans="1:10">
      <c r="A6" s="2" t="s">
        <v>7</v>
      </c>
      <c r="B6" s="1" t="s">
        <v>4</v>
      </c>
      <c r="C6" s="3"/>
      <c r="D6" s="44"/>
      <c r="E6" s="46"/>
      <c r="F6" s="44"/>
      <c r="G6" s="46"/>
      <c r="H6" s="44"/>
      <c r="I6" s="44"/>
      <c r="J6" s="44"/>
    </row>
    <row r="7" spans="1:10">
      <c r="A7" s="42">
        <v>1</v>
      </c>
      <c r="B7" s="43" t="s">
        <v>10</v>
      </c>
      <c r="C7" s="44"/>
      <c r="D7" s="44"/>
      <c r="E7" s="184">
        <v>2850.8</v>
      </c>
      <c r="F7" s="45" t="s">
        <v>81</v>
      </c>
      <c r="G7" s="46"/>
      <c r="H7" s="165">
        <v>4500</v>
      </c>
      <c r="I7" s="48">
        <f>E7*H7</f>
        <v>12828600</v>
      </c>
      <c r="J7" s="48" t="s">
        <v>110</v>
      </c>
    </row>
    <row r="8" spans="1:10" ht="15" customHeight="1">
      <c r="A8" s="4">
        <v>2</v>
      </c>
      <c r="B8" s="25" t="s">
        <v>11</v>
      </c>
      <c r="C8" s="3"/>
      <c r="D8" s="44"/>
      <c r="E8" s="208">
        <f>E7*0.8</f>
        <v>2280.6400000000003</v>
      </c>
      <c r="F8" s="45" t="s">
        <v>80</v>
      </c>
      <c r="G8" s="46"/>
      <c r="H8" s="165">
        <v>25000</v>
      </c>
      <c r="I8" s="48">
        <f t="shared" ref="I8:I11" si="0">E8*H8</f>
        <v>57016000.000000007</v>
      </c>
      <c r="J8" s="254" t="s">
        <v>113</v>
      </c>
    </row>
    <row r="9" spans="1:10">
      <c r="A9" s="4">
        <v>3</v>
      </c>
      <c r="B9" s="37" t="s">
        <v>90</v>
      </c>
      <c r="C9" s="3"/>
      <c r="D9" s="44"/>
      <c r="E9" s="207">
        <f>E7</f>
        <v>2850.8</v>
      </c>
      <c r="F9" s="45" t="s">
        <v>81</v>
      </c>
      <c r="G9" s="46"/>
      <c r="H9" s="47">
        <v>12500</v>
      </c>
      <c r="I9" s="48">
        <f t="shared" si="0"/>
        <v>35635000</v>
      </c>
      <c r="J9" s="255"/>
    </row>
    <row r="10" spans="1:10">
      <c r="A10" s="4">
        <v>4</v>
      </c>
      <c r="B10" s="25" t="s">
        <v>12</v>
      </c>
      <c r="C10" s="3"/>
      <c r="D10" s="44"/>
      <c r="E10" s="201">
        <v>200</v>
      </c>
      <c r="F10" s="45" t="s">
        <v>82</v>
      </c>
      <c r="G10" s="86"/>
      <c r="H10" s="165">
        <v>25000</v>
      </c>
      <c r="I10" s="48">
        <f t="shared" si="0"/>
        <v>5000000</v>
      </c>
      <c r="J10" s="153" t="s">
        <v>110</v>
      </c>
    </row>
    <row r="11" spans="1:10">
      <c r="A11" s="4">
        <v>5</v>
      </c>
      <c r="B11" s="25" t="s">
        <v>13</v>
      </c>
      <c r="C11" s="3"/>
      <c r="D11" s="44"/>
      <c r="E11" s="209">
        <v>15</v>
      </c>
      <c r="F11" s="45" t="s">
        <v>83</v>
      </c>
      <c r="G11" s="86"/>
      <c r="H11" s="165">
        <v>20000</v>
      </c>
      <c r="I11" s="48">
        <f t="shared" si="0"/>
        <v>300000</v>
      </c>
      <c r="J11" s="153" t="s">
        <v>110</v>
      </c>
    </row>
    <row r="12" spans="1:10" ht="15" customHeight="1">
      <c r="A12" s="13"/>
      <c r="B12" s="12" t="s">
        <v>14</v>
      </c>
      <c r="C12" s="26"/>
      <c r="D12" s="118"/>
      <c r="E12" s="107"/>
      <c r="F12" s="87"/>
      <c r="G12" s="88"/>
      <c r="H12" s="44"/>
      <c r="I12" s="89">
        <f>SUM(I7:I11)</f>
        <v>110779600</v>
      </c>
      <c r="J12" s="89"/>
    </row>
    <row r="13" spans="1:10">
      <c r="A13" s="2" t="s">
        <v>5</v>
      </c>
      <c r="B13" s="5" t="s">
        <v>6</v>
      </c>
      <c r="C13" s="3"/>
      <c r="D13" s="44"/>
      <c r="E13" s="46"/>
      <c r="F13" s="44"/>
      <c r="G13" s="46"/>
      <c r="H13" s="44"/>
      <c r="I13" s="44"/>
      <c r="J13" s="44"/>
    </row>
    <row r="14" spans="1:10">
      <c r="A14" s="17" t="s">
        <v>26</v>
      </c>
      <c r="B14" s="16" t="s">
        <v>27</v>
      </c>
      <c r="C14" s="3"/>
      <c r="D14" s="44"/>
      <c r="E14" s="46"/>
      <c r="F14" s="44"/>
      <c r="G14" s="46"/>
      <c r="H14" s="44"/>
      <c r="I14" s="44"/>
      <c r="J14" s="44"/>
    </row>
    <row r="15" spans="1:10" ht="30">
      <c r="A15" s="2" t="s">
        <v>0</v>
      </c>
      <c r="B15" s="2" t="s">
        <v>1</v>
      </c>
      <c r="C15" s="2" t="s">
        <v>2</v>
      </c>
      <c r="D15" s="83"/>
      <c r="E15" s="84" t="s">
        <v>35</v>
      </c>
      <c r="F15" s="83" t="s">
        <v>3</v>
      </c>
      <c r="G15" s="84" t="s">
        <v>34</v>
      </c>
      <c r="H15" s="85" t="s">
        <v>56</v>
      </c>
      <c r="I15" s="83" t="s">
        <v>78</v>
      </c>
      <c r="J15" s="83"/>
    </row>
    <row r="16" spans="1:10">
      <c r="A16" s="42">
        <v>1</v>
      </c>
      <c r="B16" s="56" t="s">
        <v>55</v>
      </c>
      <c r="C16" s="205" t="s">
        <v>133</v>
      </c>
      <c r="D16" s="49"/>
      <c r="E16" s="210">
        <v>15</v>
      </c>
      <c r="F16" s="42" t="s">
        <v>36</v>
      </c>
      <c r="G16" s="52"/>
      <c r="H16" s="165">
        <v>2500000</v>
      </c>
      <c r="I16" s="48">
        <f>E16*H16</f>
        <v>37500000</v>
      </c>
      <c r="J16" s="48" t="s">
        <v>114</v>
      </c>
    </row>
    <row r="17" spans="1:10" ht="15" customHeight="1">
      <c r="A17" s="13"/>
      <c r="B17" s="12" t="s">
        <v>31</v>
      </c>
      <c r="C17" s="14"/>
      <c r="D17" s="83"/>
      <c r="E17" s="84">
        <f>SUM(E16:E16)</f>
        <v>15</v>
      </c>
      <c r="F17" s="84"/>
      <c r="G17" s="93"/>
      <c r="H17" s="44"/>
      <c r="I17" s="89">
        <f>SUM(I16:I16)</f>
        <v>37500000</v>
      </c>
      <c r="J17" s="163"/>
    </row>
    <row r="18" spans="1:10">
      <c r="A18" s="17" t="s">
        <v>30</v>
      </c>
      <c r="B18" s="16" t="s">
        <v>28</v>
      </c>
      <c r="C18" s="3"/>
      <c r="D18" s="44"/>
      <c r="E18" s="46"/>
      <c r="F18" s="44"/>
      <c r="G18" s="46"/>
      <c r="H18" s="48"/>
      <c r="I18" s="44"/>
      <c r="J18" s="44"/>
    </row>
    <row r="19" spans="1:10" ht="45">
      <c r="A19" s="2" t="s">
        <v>0</v>
      </c>
      <c r="B19" s="2" t="s">
        <v>1</v>
      </c>
      <c r="C19" s="2" t="s">
        <v>2</v>
      </c>
      <c r="D19" s="85" t="s">
        <v>84</v>
      </c>
      <c r="E19" s="84" t="s">
        <v>35</v>
      </c>
      <c r="F19" s="83" t="s">
        <v>3</v>
      </c>
      <c r="G19" s="84" t="s">
        <v>34</v>
      </c>
      <c r="H19" s="85" t="s">
        <v>56</v>
      </c>
      <c r="I19" s="83" t="s">
        <v>78</v>
      </c>
      <c r="J19" s="83"/>
    </row>
    <row r="20" spans="1:10" ht="17.25">
      <c r="A20" s="4">
        <v>1</v>
      </c>
      <c r="B20" s="3" t="s">
        <v>57</v>
      </c>
      <c r="C20" s="34" t="s">
        <v>102</v>
      </c>
      <c r="D20" s="211">
        <v>340.3</v>
      </c>
      <c r="E20" s="109">
        <v>16</v>
      </c>
      <c r="F20" s="60" t="s">
        <v>15</v>
      </c>
      <c r="G20" s="48">
        <f>D20*E20</f>
        <v>5444.8</v>
      </c>
      <c r="H20" s="165">
        <v>15000</v>
      </c>
      <c r="I20" s="48">
        <f>G20*H20</f>
        <v>81672000</v>
      </c>
      <c r="J20" s="153" t="s">
        <v>110</v>
      </c>
    </row>
    <row r="21" spans="1:10" ht="15" customHeight="1">
      <c r="A21" s="4">
        <v>2</v>
      </c>
      <c r="B21" s="24" t="s">
        <v>42</v>
      </c>
      <c r="C21" s="75" t="s">
        <v>43</v>
      </c>
      <c r="D21" s="212">
        <v>142.08000000000001</v>
      </c>
      <c r="E21" s="109">
        <v>16</v>
      </c>
      <c r="F21" s="60" t="s">
        <v>15</v>
      </c>
      <c r="G21" s="48">
        <f t="shared" ref="G21:G27" si="1">D21*E21</f>
        <v>2273.2800000000002</v>
      </c>
      <c r="H21" s="165">
        <v>30000</v>
      </c>
      <c r="I21" s="48">
        <f t="shared" ref="I21:I25" si="2">G21*H21</f>
        <v>68198400</v>
      </c>
      <c r="J21" s="182" t="s">
        <v>128</v>
      </c>
    </row>
    <row r="22" spans="1:10" ht="17.25">
      <c r="A22" s="4">
        <v>3</v>
      </c>
      <c r="B22" s="19" t="s">
        <v>44</v>
      </c>
      <c r="C22" s="75" t="s">
        <v>72</v>
      </c>
      <c r="D22" s="212">
        <v>285.72000000000003</v>
      </c>
      <c r="E22" s="110">
        <f>7133/285.32</f>
        <v>25</v>
      </c>
      <c r="F22" s="60" t="s">
        <v>15</v>
      </c>
      <c r="G22" s="48">
        <f t="shared" si="1"/>
        <v>7143.0000000000009</v>
      </c>
      <c r="H22" s="165">
        <v>15000</v>
      </c>
      <c r="I22" s="48">
        <f t="shared" si="2"/>
        <v>107145000.00000001</v>
      </c>
      <c r="J22" s="153" t="s">
        <v>110</v>
      </c>
    </row>
    <row r="23" spans="1:10" ht="17.25">
      <c r="A23" s="4">
        <v>4</v>
      </c>
      <c r="B23" s="24" t="s">
        <v>58</v>
      </c>
      <c r="C23" s="41" t="s">
        <v>43</v>
      </c>
      <c r="D23" s="213">
        <v>357.26</v>
      </c>
      <c r="E23" s="110">
        <f>4548/181.9</f>
        <v>25.002748763056623</v>
      </c>
      <c r="F23" s="60" t="s">
        <v>15</v>
      </c>
      <c r="G23" s="48">
        <f t="shared" si="1"/>
        <v>8932.4820230896094</v>
      </c>
      <c r="H23" s="165">
        <v>15000</v>
      </c>
      <c r="I23" s="48">
        <f t="shared" si="2"/>
        <v>133987230.34634414</v>
      </c>
      <c r="J23" s="153" t="s">
        <v>110</v>
      </c>
    </row>
    <row r="24" spans="1:10" ht="17.25">
      <c r="A24" s="4">
        <v>5</v>
      </c>
      <c r="B24" s="35" t="s">
        <v>103</v>
      </c>
      <c r="C24" s="248" t="s">
        <v>130</v>
      </c>
      <c r="D24" s="212">
        <v>112.85</v>
      </c>
      <c r="E24" s="215">
        <v>49</v>
      </c>
      <c r="F24" s="60" t="s">
        <v>15</v>
      </c>
      <c r="G24" s="48">
        <f t="shared" si="1"/>
        <v>5529.65</v>
      </c>
      <c r="H24" s="165">
        <v>9000</v>
      </c>
      <c r="I24" s="48">
        <f t="shared" si="2"/>
        <v>49766850</v>
      </c>
      <c r="J24" s="48"/>
    </row>
    <row r="25" spans="1:10" ht="17.25">
      <c r="A25" s="4">
        <v>6</v>
      </c>
      <c r="B25" s="65" t="s">
        <v>46</v>
      </c>
      <c r="C25" s="41" t="s">
        <v>130</v>
      </c>
      <c r="D25" s="214">
        <v>97.08</v>
      </c>
      <c r="E25" s="185">
        <v>49</v>
      </c>
      <c r="F25" s="57" t="s">
        <v>100</v>
      </c>
      <c r="G25" s="48">
        <f t="shared" si="1"/>
        <v>4756.92</v>
      </c>
      <c r="H25" s="165">
        <v>12500</v>
      </c>
      <c r="I25" s="48">
        <f t="shared" si="2"/>
        <v>59461500</v>
      </c>
      <c r="J25" s="48"/>
    </row>
    <row r="26" spans="1:10" ht="17.25">
      <c r="A26" s="4">
        <v>7</v>
      </c>
      <c r="B26" s="41" t="s">
        <v>93</v>
      </c>
      <c r="C26" s="41" t="s">
        <v>43</v>
      </c>
      <c r="D26" s="214">
        <v>347.45</v>
      </c>
      <c r="E26" s="216">
        <v>36</v>
      </c>
      <c r="F26" s="57" t="s">
        <v>100</v>
      </c>
      <c r="G26" s="48">
        <f t="shared" si="1"/>
        <v>12508.199999999999</v>
      </c>
      <c r="H26" s="165">
        <v>9000</v>
      </c>
      <c r="I26" s="48">
        <f>G26*H26</f>
        <v>112573799.99999999</v>
      </c>
      <c r="J26" s="48"/>
    </row>
    <row r="27" spans="1:10" ht="17.25">
      <c r="A27" s="4">
        <v>8</v>
      </c>
      <c r="B27" s="19" t="s">
        <v>65</v>
      </c>
      <c r="C27" s="19"/>
      <c r="D27" s="212">
        <v>1168.06</v>
      </c>
      <c r="E27" s="110">
        <v>1</v>
      </c>
      <c r="F27" s="60" t="s">
        <v>15</v>
      </c>
      <c r="G27" s="48">
        <f t="shared" si="1"/>
        <v>1168.06</v>
      </c>
      <c r="H27" s="165">
        <v>32500</v>
      </c>
      <c r="I27" s="48">
        <f>G27*H27</f>
        <v>37961950</v>
      </c>
      <c r="J27" s="48"/>
    </row>
    <row r="28" spans="1:10" ht="15" customHeight="1">
      <c r="A28" s="13"/>
      <c r="B28" s="253" t="s">
        <v>29</v>
      </c>
      <c r="C28" s="253"/>
      <c r="D28" s="151">
        <f>SUM(D20:D27)</f>
        <v>2850.8</v>
      </c>
      <c r="E28" s="186">
        <f>SUM(D20:D26)</f>
        <v>1682.74</v>
      </c>
      <c r="F28" s="83"/>
      <c r="G28" s="83"/>
      <c r="H28" s="44"/>
      <c r="I28" s="89">
        <f>SUM(I20:I27)</f>
        <v>650766730.34634411</v>
      </c>
      <c r="J28" s="89"/>
    </row>
    <row r="29" spans="1:10" ht="15" customHeight="1">
      <c r="A29" s="13"/>
      <c r="B29" s="253" t="s">
        <v>17</v>
      </c>
      <c r="C29" s="253"/>
      <c r="D29" s="188"/>
      <c r="E29" s="84"/>
      <c r="F29" s="83"/>
      <c r="G29" s="83"/>
      <c r="H29" s="44"/>
      <c r="I29" s="89">
        <f>I17+I28</f>
        <v>688266730.34634411</v>
      </c>
      <c r="J29" s="89"/>
    </row>
    <row r="30" spans="1:10">
      <c r="A30" s="2" t="s">
        <v>19</v>
      </c>
      <c r="B30" s="5" t="s">
        <v>20</v>
      </c>
      <c r="C30" s="3"/>
      <c r="D30" s="44"/>
      <c r="E30" s="46"/>
      <c r="F30" s="44"/>
      <c r="G30" s="46"/>
      <c r="H30" s="44"/>
      <c r="I30" s="44"/>
      <c r="J30" s="44"/>
    </row>
    <row r="31" spans="1:10">
      <c r="A31" s="6"/>
      <c r="B31" s="8" t="s">
        <v>21</v>
      </c>
      <c r="C31" s="10"/>
      <c r="D31" s="44"/>
      <c r="E31" s="98"/>
      <c r="F31" s="97"/>
      <c r="G31" s="98"/>
      <c r="H31" s="97"/>
      <c r="I31" s="97"/>
      <c r="J31" s="44"/>
    </row>
    <row r="32" spans="1:10">
      <c r="A32" s="7"/>
      <c r="B32" s="9" t="s">
        <v>33</v>
      </c>
      <c r="C32" s="11"/>
      <c r="D32" s="44"/>
      <c r="E32" s="101">
        <v>3</v>
      </c>
      <c r="F32" s="100" t="s">
        <v>24</v>
      </c>
      <c r="G32" s="101"/>
      <c r="H32" s="99"/>
      <c r="I32" s="152">
        <f>I29*10%</f>
        <v>68826673.034634411</v>
      </c>
      <c r="J32" s="122"/>
    </row>
    <row r="33" spans="1:10" ht="15" customHeight="1">
      <c r="A33" s="13"/>
      <c r="B33" s="14" t="s">
        <v>22</v>
      </c>
      <c r="C33" s="27"/>
      <c r="D33" s="83"/>
      <c r="E33" s="84"/>
      <c r="F33" s="84"/>
      <c r="G33" s="93"/>
      <c r="H33" s="44"/>
      <c r="I33" s="114">
        <f>I32</f>
        <v>68826673.034634411</v>
      </c>
      <c r="J33" s="114"/>
    </row>
    <row r="34" spans="1:10" ht="15" customHeight="1">
      <c r="A34" s="13"/>
      <c r="B34" s="14" t="s">
        <v>23</v>
      </c>
      <c r="C34" s="27"/>
      <c r="D34" s="83"/>
      <c r="E34" s="84"/>
      <c r="F34" s="84"/>
      <c r="G34" s="93"/>
      <c r="H34" s="44"/>
      <c r="I34" s="89">
        <f>I12+I29+I33</f>
        <v>867873003.38097858</v>
      </c>
      <c r="J34" s="89"/>
    </row>
    <row r="35" spans="1:10" ht="15" customHeight="1">
      <c r="A35" s="13"/>
      <c r="B35" s="14" t="s">
        <v>32</v>
      </c>
      <c r="C35" s="27"/>
      <c r="D35" s="83"/>
      <c r="E35" s="84"/>
      <c r="F35" s="84"/>
      <c r="G35" s="93"/>
      <c r="H35" s="44"/>
      <c r="I35" s="114">
        <f>I34*10%</f>
        <v>86787300.33809787</v>
      </c>
      <c r="J35" s="114"/>
    </row>
    <row r="36" spans="1:10" ht="15" customHeight="1">
      <c r="A36" s="13"/>
      <c r="B36" s="14" t="s">
        <v>106</v>
      </c>
      <c r="C36" s="27"/>
      <c r="D36" s="83"/>
      <c r="E36" s="84"/>
      <c r="F36" s="84"/>
      <c r="G36" s="93"/>
      <c r="H36" s="44"/>
      <c r="I36" s="114">
        <f>I34+I35</f>
        <v>954660303.7190764</v>
      </c>
      <c r="J36" s="114"/>
    </row>
    <row r="37" spans="1:10">
      <c r="A37" s="13"/>
      <c r="B37" s="76" t="s">
        <v>105</v>
      </c>
      <c r="C37" s="28"/>
      <c r="D37" s="44"/>
      <c r="E37" s="46"/>
      <c r="F37" s="46"/>
      <c r="G37" s="44"/>
      <c r="H37" s="44"/>
      <c r="I37" s="114">
        <v>0</v>
      </c>
      <c r="J37" s="114" t="s">
        <v>111</v>
      </c>
    </row>
    <row r="38" spans="1:10">
      <c r="A38" s="13"/>
      <c r="B38" s="15" t="s">
        <v>25</v>
      </c>
      <c r="C38" s="28"/>
      <c r="D38" s="44"/>
      <c r="E38" s="46"/>
      <c r="F38" s="46"/>
      <c r="G38" s="44"/>
      <c r="H38" s="44"/>
      <c r="I38" s="114">
        <f>I36+I37</f>
        <v>954660303.7190764</v>
      </c>
      <c r="J38" s="114"/>
    </row>
    <row r="39" spans="1:10">
      <c r="A39" s="69"/>
      <c r="B39" s="161"/>
      <c r="C39" s="69"/>
      <c r="E39" s="69"/>
      <c r="F39" s="69"/>
      <c r="G39" s="69"/>
      <c r="H39" s="69"/>
      <c r="I39" s="69"/>
      <c r="J39" s="69"/>
    </row>
    <row r="40" spans="1:10">
      <c r="A40" s="69"/>
      <c r="B40" s="69"/>
      <c r="C40" s="69"/>
      <c r="E40" s="69"/>
      <c r="F40" s="69"/>
      <c r="G40" s="69"/>
      <c r="H40" s="69"/>
      <c r="I40" s="69"/>
      <c r="J40" s="69"/>
    </row>
  </sheetData>
  <mergeCells count="4">
    <mergeCell ref="B29:C29"/>
    <mergeCell ref="J8:J9"/>
    <mergeCell ref="A1:B1"/>
    <mergeCell ref="B28:C28"/>
  </mergeCells>
  <printOptions horizontalCentered="1"/>
  <pageMargins left="0.1" right="2.5590551E-2" top="0.27559055118110198" bottom="1.1811023622047201" header="0.196850393700787" footer="0.23622047244094499"/>
  <pageSetup paperSize="8" scale="85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19" workbookViewId="0">
      <pane xSplit="2" topLeftCell="C1" activePane="topRight" state="frozen"/>
      <selection pane="topRight" activeCell="I27" sqref="I27"/>
    </sheetView>
  </sheetViews>
  <sheetFormatPr defaultColWidth="9.140625" defaultRowHeight="15"/>
  <cols>
    <col min="1" max="1" width="3.85546875" customWidth="1"/>
    <col min="2" max="2" width="48.28515625" customWidth="1"/>
    <col min="3" max="3" width="25" customWidth="1"/>
    <col min="4" max="4" width="11.42578125" customWidth="1"/>
    <col min="5" max="5" width="8.140625" customWidth="1"/>
    <col min="6" max="6" width="5" customWidth="1"/>
    <col min="7" max="7" width="9.5703125" customWidth="1"/>
    <col min="8" max="8" width="13.42578125" customWidth="1"/>
    <col min="9" max="9" width="15.28515625" customWidth="1"/>
    <col min="10" max="10" width="43.140625" customWidth="1"/>
  </cols>
  <sheetData>
    <row r="1" spans="1:10" ht="17.25">
      <c r="A1" s="256" t="s">
        <v>8</v>
      </c>
      <c r="B1" s="256"/>
    </row>
    <row r="2" spans="1:10" ht="17.25">
      <c r="A2" s="23" t="s">
        <v>37</v>
      </c>
      <c r="B2" s="23"/>
    </row>
    <row r="3" spans="1:10" ht="17.25">
      <c r="A3" s="23" t="s">
        <v>62</v>
      </c>
      <c r="B3" s="23"/>
      <c r="D3" s="127" t="s">
        <v>127</v>
      </c>
    </row>
    <row r="5" spans="1:10" ht="30" customHeight="1">
      <c r="A5" s="2" t="s">
        <v>9</v>
      </c>
      <c r="B5" s="17" t="s">
        <v>18</v>
      </c>
      <c r="C5" s="2" t="s">
        <v>2</v>
      </c>
      <c r="D5" s="83"/>
      <c r="E5" s="83" t="s">
        <v>35</v>
      </c>
      <c r="F5" s="83" t="s">
        <v>3</v>
      </c>
      <c r="G5" s="84" t="s">
        <v>16</v>
      </c>
      <c r="H5" s="85" t="s">
        <v>56</v>
      </c>
      <c r="I5" s="83" t="s">
        <v>78</v>
      </c>
      <c r="J5" s="83" t="s">
        <v>96</v>
      </c>
    </row>
    <row r="6" spans="1:10">
      <c r="A6" s="2" t="s">
        <v>7</v>
      </c>
      <c r="B6" s="1" t="s">
        <v>4</v>
      </c>
      <c r="C6" s="3"/>
      <c r="D6" s="44"/>
      <c r="E6" s="44"/>
      <c r="F6" s="44"/>
      <c r="G6" s="46"/>
      <c r="H6" s="47"/>
      <c r="I6" s="140"/>
      <c r="J6" s="140"/>
    </row>
    <row r="7" spans="1:10" ht="17.25">
      <c r="A7" s="42">
        <v>1</v>
      </c>
      <c r="B7" s="43" t="s">
        <v>10</v>
      </c>
      <c r="C7" s="44"/>
      <c r="D7" s="44"/>
      <c r="E7" s="61">
        <f>175.7+1006.5</f>
        <v>1182.2</v>
      </c>
      <c r="F7" s="60" t="s">
        <v>15</v>
      </c>
      <c r="G7" s="46"/>
      <c r="H7" s="165">
        <v>4500</v>
      </c>
      <c r="I7" s="47">
        <f>E7*H7</f>
        <v>5319900</v>
      </c>
      <c r="J7" s="156" t="s">
        <v>110</v>
      </c>
    </row>
    <row r="8" spans="1:10" ht="15" customHeight="1">
      <c r="A8" s="4">
        <v>2</v>
      </c>
      <c r="B8" s="25" t="s">
        <v>11</v>
      </c>
      <c r="C8" s="3"/>
      <c r="D8" s="44"/>
      <c r="E8" s="194">
        <v>591.1</v>
      </c>
      <c r="F8" s="45" t="s">
        <v>80</v>
      </c>
      <c r="G8" s="46"/>
      <c r="H8" s="165">
        <v>25000</v>
      </c>
      <c r="I8" s="47">
        <f>E8*H8</f>
        <v>14777500</v>
      </c>
      <c r="J8" s="254" t="s">
        <v>113</v>
      </c>
    </row>
    <row r="9" spans="1:10">
      <c r="A9" s="4">
        <v>3</v>
      </c>
      <c r="B9" s="37" t="s">
        <v>91</v>
      </c>
      <c r="C9" s="3"/>
      <c r="D9" s="44"/>
      <c r="E9" s="61">
        <f>E7</f>
        <v>1182.2</v>
      </c>
      <c r="F9" s="45" t="s">
        <v>81</v>
      </c>
      <c r="G9" s="46"/>
      <c r="H9" s="47">
        <v>12500</v>
      </c>
      <c r="I9" s="47">
        <f t="shared" ref="I9:I11" si="0">E9*H9</f>
        <v>14777500</v>
      </c>
      <c r="J9" s="255"/>
    </row>
    <row r="10" spans="1:10">
      <c r="A10" s="4">
        <v>4</v>
      </c>
      <c r="B10" s="25" t="s">
        <v>12</v>
      </c>
      <c r="C10" s="3"/>
      <c r="D10" s="44"/>
      <c r="E10" s="217">
        <v>82</v>
      </c>
      <c r="F10" s="45" t="s">
        <v>82</v>
      </c>
      <c r="G10" s="86"/>
      <c r="H10" s="166">
        <v>25000</v>
      </c>
      <c r="I10" s="47">
        <f t="shared" si="0"/>
        <v>2050000</v>
      </c>
      <c r="J10" s="156" t="s">
        <v>110</v>
      </c>
    </row>
    <row r="11" spans="1:10">
      <c r="A11" s="4">
        <v>5</v>
      </c>
      <c r="B11" s="25" t="s">
        <v>13</v>
      </c>
      <c r="C11" s="3"/>
      <c r="D11" s="44"/>
      <c r="E11" s="61">
        <v>0</v>
      </c>
      <c r="F11" s="45" t="s">
        <v>83</v>
      </c>
      <c r="G11" s="86"/>
      <c r="H11" s="165">
        <v>0</v>
      </c>
      <c r="I11" s="48">
        <f t="shared" si="0"/>
        <v>0</v>
      </c>
      <c r="J11" s="156" t="s">
        <v>110</v>
      </c>
    </row>
    <row r="12" spans="1:10" ht="15" customHeight="1">
      <c r="A12" s="13"/>
      <c r="B12" s="12" t="s">
        <v>14</v>
      </c>
      <c r="C12" s="26"/>
      <c r="D12" s="129"/>
      <c r="E12" s="87"/>
      <c r="F12" s="87"/>
      <c r="G12" s="88"/>
      <c r="H12" s="44"/>
      <c r="I12" s="114">
        <f>SUM(I7:I11)</f>
        <v>36924900</v>
      </c>
      <c r="J12" s="114"/>
    </row>
    <row r="13" spans="1:10">
      <c r="A13" s="2" t="s">
        <v>5</v>
      </c>
      <c r="B13" s="5" t="s">
        <v>6</v>
      </c>
      <c r="C13" s="3"/>
      <c r="D13" s="44"/>
      <c r="E13" s="44"/>
      <c r="F13" s="44"/>
      <c r="G13" s="46"/>
      <c r="H13" s="44"/>
      <c r="I13" s="44"/>
      <c r="J13" s="44"/>
    </row>
    <row r="14" spans="1:10">
      <c r="A14" s="17" t="s">
        <v>26</v>
      </c>
      <c r="B14" s="16" t="s">
        <v>28</v>
      </c>
      <c r="C14" s="3"/>
      <c r="D14" s="44"/>
      <c r="E14" s="44"/>
      <c r="F14" s="44"/>
      <c r="G14" s="46"/>
      <c r="H14" s="44"/>
      <c r="I14" s="44"/>
      <c r="J14" s="44"/>
    </row>
    <row r="15" spans="1:10" ht="30">
      <c r="A15" s="2" t="s">
        <v>0</v>
      </c>
      <c r="B15" s="2" t="s">
        <v>1</v>
      </c>
      <c r="C15" s="2" t="s">
        <v>2</v>
      </c>
      <c r="D15" s="85" t="s">
        <v>84</v>
      </c>
      <c r="E15" s="83" t="s">
        <v>35</v>
      </c>
      <c r="F15" s="83" t="s">
        <v>3</v>
      </c>
      <c r="G15" s="84" t="s">
        <v>34</v>
      </c>
      <c r="H15" s="85" t="s">
        <v>56</v>
      </c>
      <c r="I15" s="83" t="s">
        <v>78</v>
      </c>
      <c r="J15" s="83"/>
    </row>
    <row r="16" spans="1:10" ht="17.25">
      <c r="A16" s="4">
        <v>1</v>
      </c>
      <c r="B16" s="19" t="s">
        <v>63</v>
      </c>
      <c r="C16" s="19" t="s">
        <v>64</v>
      </c>
      <c r="D16" s="218">
        <v>829.5</v>
      </c>
      <c r="E16" s="51">
        <f>29186/291.86</f>
        <v>100</v>
      </c>
      <c r="F16" s="60" t="s">
        <v>15</v>
      </c>
      <c r="G16" s="141">
        <f>D16*E16</f>
        <v>82950</v>
      </c>
      <c r="H16" s="166">
        <v>2500</v>
      </c>
      <c r="I16" s="48">
        <f>G16*H16</f>
        <v>207375000</v>
      </c>
      <c r="J16" s="48"/>
    </row>
    <row r="17" spans="1:10" ht="17.25">
      <c r="A17" s="178">
        <v>2</v>
      </c>
      <c r="B17" s="202" t="s">
        <v>131</v>
      </c>
      <c r="C17" s="244" t="s">
        <v>139</v>
      </c>
      <c r="D17" s="179">
        <v>107.46</v>
      </c>
      <c r="E17" s="203">
        <v>16</v>
      </c>
      <c r="F17" s="180" t="s">
        <v>15</v>
      </c>
      <c r="G17" s="204">
        <f>D17*E17</f>
        <v>1719.36</v>
      </c>
      <c r="H17" s="245">
        <v>10000</v>
      </c>
      <c r="I17" s="181">
        <f>G17*H17</f>
        <v>17193600</v>
      </c>
      <c r="J17" s="181" t="s">
        <v>135</v>
      </c>
    </row>
    <row r="18" spans="1:10" ht="17.25">
      <c r="A18" s="4">
        <v>3</v>
      </c>
      <c r="B18" s="24" t="s">
        <v>65</v>
      </c>
      <c r="C18" s="19"/>
      <c r="D18" s="219">
        <f>E7-936.96</f>
        <v>245.24</v>
      </c>
      <c r="E18" s="130">
        <v>1</v>
      </c>
      <c r="F18" s="60" t="s">
        <v>15</v>
      </c>
      <c r="G18" s="49">
        <f>D18*E18</f>
        <v>245.24</v>
      </c>
      <c r="H18" s="166">
        <v>32500</v>
      </c>
      <c r="I18" s="48">
        <f>G18*H18</f>
        <v>7970300</v>
      </c>
      <c r="J18" s="48"/>
    </row>
    <row r="19" spans="1:10" ht="15" customHeight="1">
      <c r="A19" s="13"/>
      <c r="B19" s="12" t="s">
        <v>29</v>
      </c>
      <c r="C19" s="14"/>
      <c r="D19" s="92">
        <f>SUM(D16:D18)</f>
        <v>1182.2</v>
      </c>
      <c r="E19" s="83"/>
      <c r="F19" s="84"/>
      <c r="G19" s="93"/>
      <c r="H19" s="44"/>
      <c r="I19" s="89">
        <f>SUM(I16:I18)</f>
        <v>232538900</v>
      </c>
      <c r="J19" s="89"/>
    </row>
    <row r="20" spans="1:10" ht="15" customHeight="1">
      <c r="A20" s="13"/>
      <c r="B20" s="253" t="s">
        <v>17</v>
      </c>
      <c r="C20" s="253"/>
      <c r="D20" s="123"/>
      <c r="E20" s="83"/>
      <c r="F20" s="83"/>
      <c r="G20" s="83"/>
      <c r="H20" s="44"/>
      <c r="I20" s="89">
        <f>I19</f>
        <v>232538900</v>
      </c>
      <c r="J20" s="89"/>
    </row>
    <row r="21" spans="1:10">
      <c r="A21" s="2" t="s">
        <v>19</v>
      </c>
      <c r="B21" s="5" t="s">
        <v>20</v>
      </c>
      <c r="C21" s="3"/>
      <c r="D21" s="44"/>
      <c r="E21" s="44"/>
      <c r="F21" s="44"/>
      <c r="G21" s="46"/>
      <c r="H21" s="44"/>
      <c r="I21" s="44"/>
      <c r="J21" s="44"/>
    </row>
    <row r="22" spans="1:10">
      <c r="A22" s="6"/>
      <c r="B22" s="8" t="s">
        <v>21</v>
      </c>
      <c r="C22" s="10"/>
      <c r="D22" s="124"/>
      <c r="E22" s="97"/>
      <c r="F22" s="97"/>
      <c r="G22" s="98"/>
      <c r="H22" s="97"/>
      <c r="I22" s="97"/>
      <c r="J22" s="44"/>
    </row>
    <row r="23" spans="1:10">
      <c r="A23" s="7"/>
      <c r="B23" s="9" t="s">
        <v>33</v>
      </c>
      <c r="C23" s="11"/>
      <c r="D23" s="125"/>
      <c r="E23" s="99">
        <v>3</v>
      </c>
      <c r="F23" s="100" t="s">
        <v>24</v>
      </c>
      <c r="G23" s="101"/>
      <c r="H23" s="99"/>
      <c r="I23" s="102">
        <f>I20*10%</f>
        <v>23253890</v>
      </c>
      <c r="J23" s="47"/>
    </row>
    <row r="24" spans="1:10" ht="15" customHeight="1">
      <c r="A24" s="13"/>
      <c r="B24" s="14" t="s">
        <v>22</v>
      </c>
      <c r="C24" s="82"/>
      <c r="D24" s="83"/>
      <c r="E24" s="83"/>
      <c r="F24" s="83"/>
      <c r="G24" s="83"/>
      <c r="H24" s="44"/>
      <c r="I24" s="103">
        <f>I23</f>
        <v>23253890</v>
      </c>
      <c r="J24" s="89"/>
    </row>
    <row r="25" spans="1:10" ht="15" customHeight="1">
      <c r="A25" s="13"/>
      <c r="B25" s="14" t="s">
        <v>23</v>
      </c>
      <c r="C25" s="82"/>
      <c r="D25" s="83"/>
      <c r="E25" s="83"/>
      <c r="F25" s="83"/>
      <c r="G25" s="83"/>
      <c r="H25" s="44"/>
      <c r="I25" s="105">
        <f>I12+I20+I24</f>
        <v>292717690</v>
      </c>
      <c r="J25" s="114"/>
    </row>
    <row r="26" spans="1:10" ht="15" customHeight="1">
      <c r="A26" s="13"/>
      <c r="B26" s="14" t="s">
        <v>32</v>
      </c>
      <c r="C26" s="82"/>
      <c r="D26" s="83"/>
      <c r="E26" s="83"/>
      <c r="F26" s="83"/>
      <c r="G26" s="83"/>
      <c r="H26" s="44"/>
      <c r="I26" s="105">
        <f>I25*10%</f>
        <v>29271769</v>
      </c>
      <c r="J26" s="114"/>
    </row>
    <row r="27" spans="1:10" ht="15" customHeight="1">
      <c r="A27" s="13"/>
      <c r="B27" s="14" t="s">
        <v>106</v>
      </c>
      <c r="C27" s="82"/>
      <c r="D27" s="83"/>
      <c r="E27" s="83"/>
      <c r="F27" s="83"/>
      <c r="G27" s="83"/>
      <c r="H27" s="44"/>
      <c r="I27" s="105">
        <f>I25+I26</f>
        <v>321989459</v>
      </c>
      <c r="J27" s="114"/>
    </row>
    <row r="28" spans="1:10">
      <c r="A28" s="80"/>
      <c r="B28" s="81" t="s">
        <v>105</v>
      </c>
      <c r="C28" s="81"/>
      <c r="D28" s="104"/>
      <c r="E28" s="104"/>
      <c r="F28" s="104"/>
      <c r="G28" s="104"/>
      <c r="H28" s="104"/>
      <c r="I28" s="105">
        <v>0</v>
      </c>
      <c r="J28" s="114" t="s">
        <v>111</v>
      </c>
    </row>
    <row r="29" spans="1:10">
      <c r="A29" s="80"/>
      <c r="B29" s="14" t="s">
        <v>25</v>
      </c>
      <c r="C29" s="81"/>
      <c r="D29" s="104"/>
      <c r="E29" s="104"/>
      <c r="F29" s="104"/>
      <c r="G29" s="104"/>
      <c r="H29" s="104"/>
      <c r="I29" s="105">
        <f>I27+I28</f>
        <v>321989459</v>
      </c>
      <c r="J29" s="114"/>
    </row>
    <row r="31" spans="1:10">
      <c r="I31" s="38"/>
      <c r="J31" s="38"/>
    </row>
  </sheetData>
  <mergeCells count="3">
    <mergeCell ref="A1:B1"/>
    <mergeCell ref="B20:C20"/>
    <mergeCell ref="J8:J9"/>
  </mergeCells>
  <printOptions horizontalCentered="1"/>
  <pageMargins left="0.1" right="0.1" top="0.21" bottom="0.82677165354330695" header="0.196850393700787" footer="0.23622047244094499"/>
  <pageSetup paperSize="8" scale="85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28" workbookViewId="0">
      <pane xSplit="2" topLeftCell="C1" activePane="topRight" state="frozen"/>
      <selection pane="topRight" activeCell="I36" sqref="I36"/>
    </sheetView>
  </sheetViews>
  <sheetFormatPr defaultColWidth="9.140625" defaultRowHeight="15"/>
  <cols>
    <col min="1" max="1" width="3.85546875" customWidth="1"/>
    <col min="2" max="2" width="48.28515625" customWidth="1"/>
    <col min="3" max="3" width="25.5703125" customWidth="1"/>
    <col min="4" max="4" width="11.5703125" customWidth="1"/>
    <col min="5" max="5" width="9.7109375" customWidth="1"/>
    <col min="6" max="6" width="5" customWidth="1"/>
    <col min="7" max="7" width="10.85546875" customWidth="1"/>
    <col min="8" max="8" width="13.42578125" customWidth="1"/>
    <col min="9" max="9" width="14.28515625" customWidth="1"/>
    <col min="10" max="10" width="43.140625" customWidth="1"/>
  </cols>
  <sheetData>
    <row r="1" spans="1:10" ht="17.25">
      <c r="A1" s="256" t="s">
        <v>8</v>
      </c>
      <c r="B1" s="256"/>
    </row>
    <row r="2" spans="1:10" ht="17.25">
      <c r="A2" s="23" t="s">
        <v>37</v>
      </c>
      <c r="B2" s="23"/>
    </row>
    <row r="3" spans="1:10" ht="17.25">
      <c r="A3" s="23" t="s">
        <v>59</v>
      </c>
      <c r="B3" s="23"/>
      <c r="D3" s="127" t="s">
        <v>127</v>
      </c>
    </row>
    <row r="5" spans="1:10" ht="30" customHeight="1">
      <c r="A5" s="2" t="s">
        <v>9</v>
      </c>
      <c r="B5" s="17" t="s">
        <v>18</v>
      </c>
      <c r="C5" s="2" t="s">
        <v>2</v>
      </c>
      <c r="D5" s="83"/>
      <c r="E5" s="83" t="s">
        <v>35</v>
      </c>
      <c r="F5" s="83" t="s">
        <v>3</v>
      </c>
      <c r="G5" s="84" t="s">
        <v>16</v>
      </c>
      <c r="H5" s="85" t="s">
        <v>56</v>
      </c>
      <c r="I5" s="83" t="s">
        <v>78</v>
      </c>
      <c r="J5" s="83" t="s">
        <v>96</v>
      </c>
    </row>
    <row r="6" spans="1:10">
      <c r="A6" s="2" t="s">
        <v>7</v>
      </c>
      <c r="B6" s="1" t="s">
        <v>4</v>
      </c>
      <c r="C6" s="3"/>
      <c r="D6" s="44"/>
      <c r="E6" s="44"/>
      <c r="F6" s="44"/>
      <c r="G6" s="46"/>
      <c r="H6" s="44"/>
      <c r="I6" s="44"/>
      <c r="J6" s="44"/>
    </row>
    <row r="7" spans="1:10" ht="17.25">
      <c r="A7" s="42">
        <v>1</v>
      </c>
      <c r="B7" s="43" t="s">
        <v>10</v>
      </c>
      <c r="C7" s="44"/>
      <c r="D7" s="44"/>
      <c r="E7" s="63">
        <f>925.5+193.2+624.3+1740.9</f>
        <v>3483.9</v>
      </c>
      <c r="F7" s="45" t="s">
        <v>15</v>
      </c>
      <c r="G7" s="46"/>
      <c r="H7" s="165">
        <v>4500</v>
      </c>
      <c r="I7" s="53">
        <f>E7*H7</f>
        <v>15677550</v>
      </c>
      <c r="J7" s="155" t="s">
        <v>110</v>
      </c>
    </row>
    <row r="8" spans="1:10" ht="15" customHeight="1">
      <c r="A8" s="4">
        <v>2</v>
      </c>
      <c r="B8" s="25" t="s">
        <v>11</v>
      </c>
      <c r="C8" s="3"/>
      <c r="D8" s="44"/>
      <c r="E8" s="220">
        <v>2787.12</v>
      </c>
      <c r="F8" s="45" t="s">
        <v>80</v>
      </c>
      <c r="G8" s="46"/>
      <c r="H8" s="165">
        <v>25000</v>
      </c>
      <c r="I8" s="53">
        <f t="shared" ref="I8:I11" si="0">E8*H8</f>
        <v>69678000</v>
      </c>
      <c r="J8" s="254" t="s">
        <v>113</v>
      </c>
    </row>
    <row r="9" spans="1:10">
      <c r="A9" s="4">
        <v>3</v>
      </c>
      <c r="B9" s="37" t="s">
        <v>91</v>
      </c>
      <c r="C9" s="3"/>
      <c r="D9" s="44"/>
      <c r="E9" s="192">
        <f>D25</f>
        <v>111.06</v>
      </c>
      <c r="F9" s="45" t="s">
        <v>81</v>
      </c>
      <c r="G9" s="46"/>
      <c r="H9" s="47">
        <v>12500</v>
      </c>
      <c r="I9" s="53">
        <f t="shared" si="0"/>
        <v>1388250</v>
      </c>
      <c r="J9" s="255"/>
    </row>
    <row r="10" spans="1:10">
      <c r="A10" s="4">
        <v>4</v>
      </c>
      <c r="B10" s="25" t="s">
        <v>12</v>
      </c>
      <c r="C10" s="3"/>
      <c r="D10" s="44"/>
      <c r="E10" s="217">
        <v>261</v>
      </c>
      <c r="F10" s="45" t="s">
        <v>82</v>
      </c>
      <c r="G10" s="86"/>
      <c r="H10" s="166">
        <v>25000</v>
      </c>
      <c r="I10" s="53">
        <f t="shared" si="0"/>
        <v>6525000</v>
      </c>
      <c r="J10" s="155" t="s">
        <v>110</v>
      </c>
    </row>
    <row r="11" spans="1:10">
      <c r="A11" s="4">
        <v>5</v>
      </c>
      <c r="B11" s="25" t="s">
        <v>13</v>
      </c>
      <c r="C11" s="3"/>
      <c r="D11" s="44"/>
      <c r="E11" s="61">
        <f>E18</f>
        <v>56</v>
      </c>
      <c r="F11" s="45" t="s">
        <v>83</v>
      </c>
      <c r="G11" s="86"/>
      <c r="H11" s="166">
        <v>20000</v>
      </c>
      <c r="I11" s="53">
        <f t="shared" si="0"/>
        <v>1120000</v>
      </c>
      <c r="J11" s="155" t="s">
        <v>110</v>
      </c>
    </row>
    <row r="12" spans="1:10" ht="15" customHeight="1">
      <c r="A12" s="13"/>
      <c r="B12" s="12" t="s">
        <v>14</v>
      </c>
      <c r="C12" s="26"/>
      <c r="D12" s="118"/>
      <c r="E12" s="87"/>
      <c r="F12" s="87"/>
      <c r="G12" s="88"/>
      <c r="H12" s="44"/>
      <c r="I12" s="114">
        <f>SUM(I7:I11)</f>
        <v>94388800</v>
      </c>
      <c r="J12" s="114"/>
    </row>
    <row r="13" spans="1:10">
      <c r="A13" s="2" t="s">
        <v>5</v>
      </c>
      <c r="B13" s="5" t="s">
        <v>6</v>
      </c>
      <c r="C13" s="106"/>
      <c r="D13" s="44"/>
      <c r="E13" s="44"/>
      <c r="F13" s="44"/>
      <c r="G13" s="46"/>
      <c r="H13" s="44"/>
      <c r="I13" s="44"/>
      <c r="J13" s="44"/>
    </row>
    <row r="14" spans="1:10">
      <c r="A14" s="17" t="s">
        <v>26</v>
      </c>
      <c r="B14" s="16" t="s">
        <v>27</v>
      </c>
      <c r="C14" s="106"/>
      <c r="D14" s="44"/>
      <c r="E14" s="44"/>
      <c r="F14" s="44"/>
      <c r="G14" s="142"/>
      <c r="H14" s="44"/>
      <c r="I14" s="44"/>
      <c r="J14" s="44"/>
    </row>
    <row r="15" spans="1:10" ht="30">
      <c r="A15" s="2" t="s">
        <v>0</v>
      </c>
      <c r="B15" s="2" t="s">
        <v>1</v>
      </c>
      <c r="C15" s="17" t="s">
        <v>2</v>
      </c>
      <c r="D15" s="83"/>
      <c r="E15" s="83" t="s">
        <v>35</v>
      </c>
      <c r="F15" s="83" t="s">
        <v>3</v>
      </c>
      <c r="G15" s="84" t="s">
        <v>34</v>
      </c>
      <c r="H15" s="85" t="s">
        <v>56</v>
      </c>
      <c r="I15" s="83" t="s">
        <v>78</v>
      </c>
      <c r="J15" s="83"/>
    </row>
    <row r="16" spans="1:10">
      <c r="A16" s="42">
        <v>1</v>
      </c>
      <c r="B16" s="49" t="s">
        <v>61</v>
      </c>
      <c r="C16" s="238" t="s">
        <v>85</v>
      </c>
      <c r="D16" s="50"/>
      <c r="E16" s="64">
        <v>31</v>
      </c>
      <c r="F16" s="42" t="s">
        <v>36</v>
      </c>
      <c r="G16" s="52"/>
      <c r="H16" s="165">
        <v>2500000</v>
      </c>
      <c r="I16" s="48">
        <f>E16*H16</f>
        <v>77500000</v>
      </c>
      <c r="J16" s="164" t="s">
        <v>115</v>
      </c>
    </row>
    <row r="17" spans="1:10" ht="15" customHeight="1">
      <c r="A17" s="4">
        <v>2</v>
      </c>
      <c r="B17" s="221" t="s">
        <v>134</v>
      </c>
      <c r="C17" s="239" t="s">
        <v>138</v>
      </c>
      <c r="D17" s="49"/>
      <c r="E17" s="143">
        <v>25</v>
      </c>
      <c r="F17" s="42" t="s">
        <v>36</v>
      </c>
      <c r="G17" s="58"/>
      <c r="H17" s="165">
        <v>3750000</v>
      </c>
      <c r="I17" s="48">
        <f>E17*H17</f>
        <v>93750000</v>
      </c>
      <c r="J17" s="195"/>
    </row>
    <row r="18" spans="1:10" ht="15" customHeight="1">
      <c r="A18" s="13"/>
      <c r="B18" s="12" t="s">
        <v>31</v>
      </c>
      <c r="C18" s="14"/>
      <c r="D18" s="83"/>
      <c r="E18" s="92">
        <f>SUM(E16:E17)</f>
        <v>56</v>
      </c>
      <c r="F18" s="84"/>
      <c r="G18" s="93"/>
      <c r="H18" s="44"/>
      <c r="I18" s="89">
        <f>SUM(I16:I17)</f>
        <v>171250000</v>
      </c>
      <c r="J18" s="89"/>
    </row>
    <row r="19" spans="1:10">
      <c r="A19" s="17" t="s">
        <v>30</v>
      </c>
      <c r="B19" s="16" t="s">
        <v>28</v>
      </c>
      <c r="C19" s="106"/>
      <c r="D19" s="44"/>
      <c r="E19" s="44"/>
      <c r="F19" s="44"/>
      <c r="G19" s="46"/>
      <c r="H19" s="48"/>
      <c r="I19" s="44"/>
      <c r="J19" s="44"/>
    </row>
    <row r="20" spans="1:10" ht="30">
      <c r="A20" s="2" t="s">
        <v>0</v>
      </c>
      <c r="B20" s="2" t="s">
        <v>1</v>
      </c>
      <c r="C20" s="17" t="s">
        <v>2</v>
      </c>
      <c r="D20" s="85" t="s">
        <v>84</v>
      </c>
      <c r="E20" s="83" t="s">
        <v>35</v>
      </c>
      <c r="F20" s="83" t="s">
        <v>3</v>
      </c>
      <c r="G20" s="84" t="s">
        <v>34</v>
      </c>
      <c r="H20" s="85" t="s">
        <v>56</v>
      </c>
      <c r="I20" s="83" t="s">
        <v>78</v>
      </c>
      <c r="J20" s="83"/>
    </row>
    <row r="21" spans="1:10" ht="17.25">
      <c r="A21" s="4">
        <v>1</v>
      </c>
      <c r="B21" s="246" t="s">
        <v>140</v>
      </c>
      <c r="C21" s="206" t="s">
        <v>130</v>
      </c>
      <c r="D21" s="222">
        <f>9.87+9.43+8.94+8.36+8.52</f>
        <v>45.11999999999999</v>
      </c>
      <c r="E21" s="96">
        <v>49</v>
      </c>
      <c r="F21" s="45" t="s">
        <v>15</v>
      </c>
      <c r="G21" s="144">
        <f t="shared" ref="G21:G27" si="1">D21*E21</f>
        <v>2210.8799999999997</v>
      </c>
      <c r="H21" s="165">
        <v>7000</v>
      </c>
      <c r="I21" s="48">
        <f t="shared" ref="I21:I27" si="2">G21*H21</f>
        <v>15476159.999999998</v>
      </c>
      <c r="J21" s="48"/>
    </row>
    <row r="22" spans="1:10" ht="17.25">
      <c r="A22" s="4">
        <v>2</v>
      </c>
      <c r="B22" s="247" t="s">
        <v>141</v>
      </c>
      <c r="C22" s="75" t="s">
        <v>72</v>
      </c>
      <c r="D22" s="222">
        <v>88.24</v>
      </c>
      <c r="E22" s="96">
        <v>25</v>
      </c>
      <c r="F22" s="45" t="s">
        <v>15</v>
      </c>
      <c r="G22" s="116">
        <f t="shared" si="1"/>
        <v>2206</v>
      </c>
      <c r="H22" s="165">
        <v>15000</v>
      </c>
      <c r="I22" s="48">
        <f t="shared" si="2"/>
        <v>33090000</v>
      </c>
      <c r="J22" s="48"/>
    </row>
    <row r="23" spans="1:10" ht="17.25">
      <c r="A23" s="4">
        <v>3</v>
      </c>
      <c r="B23" s="247" t="s">
        <v>142</v>
      </c>
      <c r="C23" s="41" t="s">
        <v>43</v>
      </c>
      <c r="D23" s="222">
        <v>92.87</v>
      </c>
      <c r="E23" s="96">
        <v>25</v>
      </c>
      <c r="F23" s="45" t="s">
        <v>15</v>
      </c>
      <c r="G23" s="116">
        <f t="shared" si="1"/>
        <v>2321.75</v>
      </c>
      <c r="H23" s="165">
        <v>15000</v>
      </c>
      <c r="I23" s="48">
        <f t="shared" si="2"/>
        <v>34826250</v>
      </c>
      <c r="J23" s="48"/>
    </row>
    <row r="24" spans="1:10" ht="17.25">
      <c r="A24" s="4">
        <v>4</v>
      </c>
      <c r="B24" s="247" t="s">
        <v>143</v>
      </c>
      <c r="C24" s="206" t="s">
        <v>130</v>
      </c>
      <c r="D24" s="222">
        <f>12.27+11.81+12.12+11.42+11.95</f>
        <v>59.569999999999993</v>
      </c>
      <c r="E24" s="96">
        <v>36</v>
      </c>
      <c r="F24" s="45" t="s">
        <v>15</v>
      </c>
      <c r="G24" s="116">
        <f t="shared" si="1"/>
        <v>2144.5199999999995</v>
      </c>
      <c r="H24" s="165">
        <v>8000</v>
      </c>
      <c r="I24" s="48">
        <f t="shared" si="2"/>
        <v>17156159.999999996</v>
      </c>
      <c r="J24" s="48"/>
    </row>
    <row r="25" spans="1:10" ht="17.25">
      <c r="A25" s="4">
        <v>5</v>
      </c>
      <c r="B25" s="247" t="s">
        <v>144</v>
      </c>
      <c r="C25" s="241" t="s">
        <v>97</v>
      </c>
      <c r="D25" s="222">
        <v>111.06</v>
      </c>
      <c r="E25" s="96">
        <v>25</v>
      </c>
      <c r="F25" s="45" t="s">
        <v>15</v>
      </c>
      <c r="G25" s="144">
        <f t="shared" si="1"/>
        <v>2776.5</v>
      </c>
      <c r="H25" s="165">
        <v>17500</v>
      </c>
      <c r="I25" s="48">
        <f t="shared" si="2"/>
        <v>48588750</v>
      </c>
      <c r="J25" s="48"/>
    </row>
    <row r="26" spans="1:10" ht="17.25">
      <c r="A26" s="4">
        <v>6</v>
      </c>
      <c r="B26" s="247" t="s">
        <v>145</v>
      </c>
      <c r="C26" s="34" t="s">
        <v>102</v>
      </c>
      <c r="D26" s="222">
        <v>74.44</v>
      </c>
      <c r="E26" s="96">
        <v>16</v>
      </c>
      <c r="F26" s="45" t="s">
        <v>15</v>
      </c>
      <c r="G26" s="116">
        <f t="shared" si="1"/>
        <v>1191.04</v>
      </c>
      <c r="H26" s="165">
        <v>15000</v>
      </c>
      <c r="I26" s="48">
        <f t="shared" si="2"/>
        <v>17865600</v>
      </c>
      <c r="J26" s="48"/>
    </row>
    <row r="27" spans="1:10" ht="17.25">
      <c r="A27" s="4">
        <v>7</v>
      </c>
      <c r="B27" s="24" t="s">
        <v>65</v>
      </c>
      <c r="C27" s="106"/>
      <c r="D27" s="222">
        <v>3765.75</v>
      </c>
      <c r="E27" s="96">
        <v>1</v>
      </c>
      <c r="F27" s="45" t="s">
        <v>15</v>
      </c>
      <c r="G27" s="144">
        <f t="shared" si="1"/>
        <v>3765.75</v>
      </c>
      <c r="H27" s="165">
        <v>32500</v>
      </c>
      <c r="I27" s="48">
        <f t="shared" si="2"/>
        <v>122386875</v>
      </c>
      <c r="J27" s="48"/>
    </row>
    <row r="28" spans="1:10" ht="15" customHeight="1">
      <c r="A28" s="13"/>
      <c r="B28" s="253" t="s">
        <v>29</v>
      </c>
      <c r="C28" s="253"/>
      <c r="D28" s="240">
        <f>SUM(D21:D27)</f>
        <v>4237.05</v>
      </c>
      <c r="E28" s="83"/>
      <c r="F28" s="83"/>
      <c r="G28" s="83"/>
      <c r="H28" s="44"/>
      <c r="I28" s="89">
        <f>SUM(I21:I27)</f>
        <v>289389795</v>
      </c>
      <c r="J28" s="89"/>
    </row>
    <row r="29" spans="1:10" ht="15" customHeight="1">
      <c r="A29" s="13"/>
      <c r="B29" s="253" t="s">
        <v>17</v>
      </c>
      <c r="C29" s="253"/>
      <c r="D29" s="188"/>
      <c r="E29" s="83"/>
      <c r="F29" s="83"/>
      <c r="G29" s="83"/>
      <c r="H29" s="44"/>
      <c r="I29" s="89">
        <f>I18+I28</f>
        <v>460639795</v>
      </c>
      <c r="J29" s="89"/>
    </row>
    <row r="30" spans="1:10">
      <c r="A30" s="2" t="s">
        <v>19</v>
      </c>
      <c r="B30" s="5" t="s">
        <v>20</v>
      </c>
      <c r="C30" s="106"/>
      <c r="D30" s="44"/>
      <c r="E30" s="44"/>
      <c r="F30" s="44"/>
      <c r="G30" s="46"/>
      <c r="H30" s="44"/>
      <c r="I30" s="44"/>
      <c r="J30" s="44"/>
    </row>
    <row r="31" spans="1:10">
      <c r="A31" s="6"/>
      <c r="B31" s="8" t="s">
        <v>21</v>
      </c>
      <c r="C31" s="10"/>
      <c r="D31" s="97"/>
      <c r="E31" s="97"/>
      <c r="F31" s="97"/>
      <c r="G31" s="98"/>
      <c r="H31" s="97"/>
      <c r="I31" s="97"/>
      <c r="J31" s="44"/>
    </row>
    <row r="32" spans="1:10">
      <c r="A32" s="7"/>
      <c r="B32" s="9" t="s">
        <v>33</v>
      </c>
      <c r="C32" s="11"/>
      <c r="D32" s="99"/>
      <c r="E32" s="99">
        <v>3</v>
      </c>
      <c r="F32" s="100" t="s">
        <v>24</v>
      </c>
      <c r="G32" s="101"/>
      <c r="H32" s="99"/>
      <c r="I32" s="145">
        <f>I29*10%</f>
        <v>46063979.5</v>
      </c>
      <c r="J32" s="154"/>
    </row>
    <row r="33" spans="1:10" ht="15" customHeight="1">
      <c r="A33" s="13"/>
      <c r="B33" s="14" t="s">
        <v>22</v>
      </c>
      <c r="C33" s="82"/>
      <c r="D33" s="83"/>
      <c r="E33" s="93"/>
      <c r="F33" s="83"/>
      <c r="G33" s="93"/>
      <c r="H33" s="44"/>
      <c r="I33" s="89">
        <f>SUM(I32)</f>
        <v>46063979.5</v>
      </c>
      <c r="J33" s="89"/>
    </row>
    <row r="34" spans="1:10" ht="15" customHeight="1">
      <c r="A34" s="13"/>
      <c r="B34" s="14" t="s">
        <v>23</v>
      </c>
      <c r="C34" s="82"/>
      <c r="D34" s="83"/>
      <c r="E34" s="93"/>
      <c r="F34" s="83"/>
      <c r="G34" s="93"/>
      <c r="H34" s="44"/>
      <c r="I34" s="89">
        <f>I12+I29+I33</f>
        <v>601092574.5</v>
      </c>
      <c r="J34" s="89"/>
    </row>
    <row r="35" spans="1:10" ht="15" customHeight="1">
      <c r="A35" s="13"/>
      <c r="B35" s="14" t="s">
        <v>32</v>
      </c>
      <c r="C35" s="82"/>
      <c r="D35" s="83"/>
      <c r="E35" s="93"/>
      <c r="F35" s="83"/>
      <c r="G35" s="93"/>
      <c r="H35" s="44"/>
      <c r="I35" s="89">
        <f>I34*10%</f>
        <v>60109257.450000003</v>
      </c>
      <c r="J35" s="89"/>
    </row>
    <row r="36" spans="1:10" ht="15" customHeight="1">
      <c r="A36" s="13"/>
      <c r="B36" s="14" t="s">
        <v>106</v>
      </c>
      <c r="C36" s="82"/>
      <c r="D36" s="83"/>
      <c r="E36" s="93"/>
      <c r="F36" s="83"/>
      <c r="G36" s="93"/>
      <c r="H36" s="44"/>
      <c r="I36" s="89">
        <f>I34+I35</f>
        <v>661201831.95000005</v>
      </c>
      <c r="J36" s="89"/>
    </row>
    <row r="37" spans="1:10">
      <c r="A37" s="80"/>
      <c r="B37" s="81" t="s">
        <v>105</v>
      </c>
      <c r="C37" s="81"/>
      <c r="D37" s="104"/>
      <c r="E37" s="146"/>
      <c r="F37" s="104"/>
      <c r="G37" s="104"/>
      <c r="H37" s="104"/>
      <c r="I37" s="147">
        <v>0</v>
      </c>
      <c r="J37" s="114" t="s">
        <v>111</v>
      </c>
    </row>
    <row r="38" spans="1:10">
      <c r="A38" s="77"/>
      <c r="B38" s="78" t="s">
        <v>25</v>
      </c>
      <c r="C38" s="79"/>
      <c r="D38" s="148"/>
      <c r="E38" s="149"/>
      <c r="F38" s="148"/>
      <c r="G38" s="148"/>
      <c r="H38" s="148"/>
      <c r="I38" s="150">
        <f>I36+I37</f>
        <v>661201831.95000005</v>
      </c>
      <c r="J38" s="89"/>
    </row>
    <row r="40" spans="1:10">
      <c r="A40" s="167" t="s">
        <v>116</v>
      </c>
      <c r="B40" s="168"/>
      <c r="C40" s="168"/>
      <c r="D40" s="168"/>
      <c r="E40" s="168"/>
      <c r="F40" s="168"/>
      <c r="G40" s="168"/>
      <c r="H40" s="168"/>
      <c r="I40" s="169"/>
      <c r="J40" s="169"/>
    </row>
    <row r="41" spans="1:10">
      <c r="A41" s="167" t="s">
        <v>117</v>
      </c>
      <c r="B41" s="168"/>
      <c r="C41" s="168"/>
      <c r="D41" s="168"/>
      <c r="E41" s="168"/>
      <c r="F41" s="168"/>
      <c r="G41" s="168"/>
      <c r="H41" s="168"/>
      <c r="I41" s="168"/>
      <c r="J41" s="168"/>
    </row>
  </sheetData>
  <mergeCells count="4">
    <mergeCell ref="J8:J9"/>
    <mergeCell ref="A1:B1"/>
    <mergeCell ref="B28:C28"/>
    <mergeCell ref="B29:C29"/>
  </mergeCells>
  <printOptions horizontalCentered="1"/>
  <pageMargins left="0.1" right="0.1" top="0.28999999999999998" bottom="0.82677165354330695" header="0.3" footer="0.23622047244094499"/>
  <pageSetup paperSize="8" scale="85" orientation="landscape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pane xSplit="2" topLeftCell="C1" activePane="topRight" state="frozen"/>
      <selection pane="topRight" activeCell="I39" sqref="I39"/>
    </sheetView>
  </sheetViews>
  <sheetFormatPr defaultColWidth="9.140625" defaultRowHeight="15"/>
  <cols>
    <col min="1" max="1" width="3.85546875" customWidth="1"/>
    <col min="2" max="2" width="51.140625" customWidth="1"/>
    <col min="3" max="3" width="23.5703125" customWidth="1"/>
    <col min="4" max="4" width="10.7109375" customWidth="1"/>
    <col min="5" max="5" width="10.28515625" customWidth="1"/>
    <col min="6" max="6" width="5" customWidth="1"/>
    <col min="7" max="7" width="11.28515625" customWidth="1"/>
    <col min="8" max="8" width="13.28515625" customWidth="1"/>
    <col min="9" max="9" width="15.7109375" customWidth="1"/>
    <col min="10" max="10" width="44.42578125" customWidth="1"/>
  </cols>
  <sheetData>
    <row r="1" spans="1:10" ht="17.25">
      <c r="A1" s="256" t="s">
        <v>8</v>
      </c>
      <c r="B1" s="256"/>
    </row>
    <row r="2" spans="1:10" ht="17.25">
      <c r="A2" s="21" t="s">
        <v>37</v>
      </c>
      <c r="B2" s="20"/>
    </row>
    <row r="3" spans="1:10" ht="17.25">
      <c r="A3" s="21" t="s">
        <v>38</v>
      </c>
      <c r="B3" s="20"/>
      <c r="D3" s="127" t="s">
        <v>127</v>
      </c>
    </row>
    <row r="5" spans="1:10" ht="30" customHeight="1">
      <c r="A5" s="2" t="s">
        <v>9</v>
      </c>
      <c r="B5" s="17" t="s">
        <v>18</v>
      </c>
      <c r="C5" s="2" t="s">
        <v>2</v>
      </c>
      <c r="D5" s="83"/>
      <c r="E5" s="83" t="s">
        <v>35</v>
      </c>
      <c r="F5" s="83" t="s">
        <v>3</v>
      </c>
      <c r="G5" s="84" t="s">
        <v>16</v>
      </c>
      <c r="H5" s="85" t="s">
        <v>56</v>
      </c>
      <c r="I5" s="83" t="s">
        <v>78</v>
      </c>
      <c r="J5" s="83" t="s">
        <v>96</v>
      </c>
    </row>
    <row r="6" spans="1:10">
      <c r="A6" s="2" t="s">
        <v>7</v>
      </c>
      <c r="B6" s="1" t="s">
        <v>4</v>
      </c>
      <c r="C6" s="3"/>
      <c r="D6" s="44"/>
      <c r="E6" s="44"/>
      <c r="F6" s="44"/>
      <c r="G6" s="46"/>
      <c r="H6" s="44"/>
      <c r="I6" s="44"/>
      <c r="J6" s="44"/>
    </row>
    <row r="7" spans="1:10">
      <c r="A7" s="42">
        <v>1</v>
      </c>
      <c r="B7" s="43" t="s">
        <v>10</v>
      </c>
      <c r="C7" s="44"/>
      <c r="D7" s="44"/>
      <c r="E7" s="172">
        <f>248.5-13+69.2+33.4+24.2+60+3.3</f>
        <v>425.59999999999997</v>
      </c>
      <c r="F7" s="45" t="s">
        <v>81</v>
      </c>
      <c r="G7" s="46"/>
      <c r="H7" s="165">
        <v>4500</v>
      </c>
      <c r="I7" s="53">
        <f>E7*H7</f>
        <v>1915199.9999999998</v>
      </c>
      <c r="J7" s="155" t="s">
        <v>110</v>
      </c>
    </row>
    <row r="8" spans="1:10" ht="15" customHeight="1">
      <c r="A8" s="4">
        <v>2</v>
      </c>
      <c r="B8" s="37" t="s">
        <v>11</v>
      </c>
      <c r="C8" s="3"/>
      <c r="D8" s="44"/>
      <c r="E8" s="223">
        <v>213</v>
      </c>
      <c r="F8" s="45" t="s">
        <v>80</v>
      </c>
      <c r="G8" s="46"/>
      <c r="H8" s="165">
        <v>25000</v>
      </c>
      <c r="I8" s="53">
        <f>E8*H8</f>
        <v>5325000</v>
      </c>
      <c r="J8" s="254" t="s">
        <v>113</v>
      </c>
    </row>
    <row r="9" spans="1:10">
      <c r="A9" s="4">
        <v>3</v>
      </c>
      <c r="B9" s="37" t="s">
        <v>90</v>
      </c>
      <c r="C9" s="3"/>
      <c r="D9" s="44"/>
      <c r="E9" s="172">
        <f>E7</f>
        <v>425.59999999999997</v>
      </c>
      <c r="F9" s="45" t="s">
        <v>81</v>
      </c>
      <c r="G9" s="46"/>
      <c r="H9" s="47">
        <v>12500</v>
      </c>
      <c r="I9" s="53">
        <f>E9*H9</f>
        <v>5320000</v>
      </c>
      <c r="J9" s="255"/>
    </row>
    <row r="10" spans="1:10">
      <c r="A10" s="4">
        <v>4</v>
      </c>
      <c r="B10" s="25" t="s">
        <v>12</v>
      </c>
      <c r="C10" s="3"/>
      <c r="D10" s="44"/>
      <c r="E10" s="217">
        <v>95</v>
      </c>
      <c r="F10" s="45" t="s">
        <v>82</v>
      </c>
      <c r="G10" s="86"/>
      <c r="H10" s="165">
        <v>25000</v>
      </c>
      <c r="I10" s="53">
        <f t="shared" ref="I10:I11" si="0">E10*H10</f>
        <v>2375000</v>
      </c>
      <c r="J10" s="155" t="s">
        <v>110</v>
      </c>
    </row>
    <row r="11" spans="1:10">
      <c r="A11" s="4">
        <v>5</v>
      </c>
      <c r="B11" s="25" t="s">
        <v>13</v>
      </c>
      <c r="C11" s="3"/>
      <c r="D11" s="44"/>
      <c r="E11" s="217">
        <v>25</v>
      </c>
      <c r="F11" s="45" t="s">
        <v>83</v>
      </c>
      <c r="G11" s="86"/>
      <c r="H11" s="165">
        <v>20000</v>
      </c>
      <c r="I11" s="53">
        <f t="shared" si="0"/>
        <v>500000</v>
      </c>
      <c r="J11" s="155" t="s">
        <v>110</v>
      </c>
    </row>
    <row r="12" spans="1:10" ht="15" customHeight="1">
      <c r="A12" s="13"/>
      <c r="B12" s="12" t="s">
        <v>14</v>
      </c>
      <c r="C12" s="26"/>
      <c r="D12" s="129"/>
      <c r="E12" s="87"/>
      <c r="F12" s="87"/>
      <c r="G12" s="88"/>
      <c r="H12" s="87"/>
      <c r="I12" s="114">
        <f>SUM(I7:I11)</f>
        <v>15435200</v>
      </c>
      <c r="J12" s="114"/>
    </row>
    <row r="13" spans="1:10">
      <c r="A13" s="2" t="s">
        <v>5</v>
      </c>
      <c r="B13" s="5" t="s">
        <v>6</v>
      </c>
      <c r="C13" s="3"/>
      <c r="D13" s="44"/>
      <c r="E13" s="44"/>
      <c r="F13" s="44"/>
      <c r="G13" s="46"/>
      <c r="H13" s="44"/>
      <c r="I13" s="44"/>
      <c r="J13" s="44"/>
    </row>
    <row r="14" spans="1:10">
      <c r="A14" s="17" t="s">
        <v>26</v>
      </c>
      <c r="B14" s="16" t="s">
        <v>27</v>
      </c>
      <c r="C14" s="3"/>
      <c r="D14" s="44"/>
      <c r="E14" s="44"/>
      <c r="F14" s="44"/>
      <c r="G14" s="46"/>
      <c r="H14" s="44"/>
      <c r="I14" s="44"/>
      <c r="J14" s="44"/>
    </row>
    <row r="15" spans="1:10" ht="30">
      <c r="A15" s="2" t="s">
        <v>0</v>
      </c>
      <c r="B15" s="2" t="s">
        <v>1</v>
      </c>
      <c r="C15" s="2" t="s">
        <v>2</v>
      </c>
      <c r="D15" s="83"/>
      <c r="E15" s="83" t="s">
        <v>35</v>
      </c>
      <c r="F15" s="83" t="s">
        <v>3</v>
      </c>
      <c r="G15" s="84" t="s">
        <v>34</v>
      </c>
      <c r="H15" s="85" t="s">
        <v>56</v>
      </c>
      <c r="I15" s="83" t="s">
        <v>78</v>
      </c>
      <c r="J15" s="83"/>
    </row>
    <row r="16" spans="1:10">
      <c r="A16" s="54">
        <v>1</v>
      </c>
      <c r="B16" s="55" t="s">
        <v>40</v>
      </c>
      <c r="C16" s="224" t="s">
        <v>136</v>
      </c>
      <c r="D16" s="49"/>
      <c r="E16" s="57">
        <v>4</v>
      </c>
      <c r="F16" s="42" t="s">
        <v>36</v>
      </c>
      <c r="G16" s="58"/>
      <c r="H16" s="59">
        <v>250000</v>
      </c>
      <c r="I16" s="48">
        <f t="shared" ref="I16:I17" si="1">E16*H16</f>
        <v>1000000</v>
      </c>
      <c r="J16" s="164" t="s">
        <v>119</v>
      </c>
    </row>
    <row r="17" spans="1:10">
      <c r="A17" s="18">
        <v>2</v>
      </c>
      <c r="B17" s="35" t="s">
        <v>68</v>
      </c>
      <c r="C17" s="225" t="s">
        <v>137</v>
      </c>
      <c r="D17" s="119"/>
      <c r="E17" s="226">
        <v>21</v>
      </c>
      <c r="F17" s="91" t="s">
        <v>36</v>
      </c>
      <c r="G17" s="90"/>
      <c r="H17" s="47">
        <v>900000</v>
      </c>
      <c r="I17" s="48">
        <f t="shared" si="1"/>
        <v>18900000</v>
      </c>
      <c r="J17" s="164" t="s">
        <v>118</v>
      </c>
    </row>
    <row r="18" spans="1:10" ht="15" customHeight="1">
      <c r="A18" s="13"/>
      <c r="B18" s="12" t="s">
        <v>31</v>
      </c>
      <c r="C18" s="14"/>
      <c r="D18" s="93"/>
      <c r="E18" s="83">
        <f>SUM(E16:E17)</f>
        <v>25</v>
      </c>
      <c r="F18" s="84"/>
      <c r="G18" s="93"/>
      <c r="H18" s="83"/>
      <c r="I18" s="89">
        <f>SUM(I16:I17)</f>
        <v>19900000</v>
      </c>
      <c r="J18" s="89"/>
    </row>
    <row r="19" spans="1:10">
      <c r="A19" s="17" t="s">
        <v>30</v>
      </c>
      <c r="B19" s="16" t="s">
        <v>28</v>
      </c>
      <c r="C19" s="30"/>
      <c r="D19" s="131"/>
      <c r="E19" s="44"/>
      <c r="F19" s="44"/>
      <c r="G19" s="46"/>
      <c r="H19" s="44"/>
      <c r="I19" s="44"/>
      <c r="J19" s="44"/>
    </row>
    <row r="20" spans="1:10" ht="30">
      <c r="A20" s="2" t="s">
        <v>0</v>
      </c>
      <c r="B20" s="2" t="s">
        <v>1</v>
      </c>
      <c r="C20" s="31" t="s">
        <v>2</v>
      </c>
      <c r="D20" s="132" t="s">
        <v>84</v>
      </c>
      <c r="E20" s="83" t="s">
        <v>35</v>
      </c>
      <c r="F20" s="83" t="s">
        <v>3</v>
      </c>
      <c r="G20" s="84" t="s">
        <v>34</v>
      </c>
      <c r="H20" s="85" t="s">
        <v>56</v>
      </c>
      <c r="I20" s="83" t="s">
        <v>78</v>
      </c>
      <c r="J20" s="83"/>
    </row>
    <row r="21" spans="1:10" ht="15" customHeight="1">
      <c r="A21" s="4">
        <v>1</v>
      </c>
      <c r="B21" s="3" t="s">
        <v>41</v>
      </c>
      <c r="C21" s="71" t="s">
        <v>102</v>
      </c>
      <c r="D21" s="227">
        <v>19.760000000000002</v>
      </c>
      <c r="E21" s="95">
        <v>16</v>
      </c>
      <c r="F21" s="60" t="s">
        <v>15</v>
      </c>
      <c r="G21" s="165">
        <f>D21*E21</f>
        <v>316.16000000000003</v>
      </c>
      <c r="H21" s="171">
        <v>15000</v>
      </c>
      <c r="I21" s="48">
        <f>G21*H21</f>
        <v>4742400</v>
      </c>
      <c r="J21" s="164" t="s">
        <v>120</v>
      </c>
    </row>
    <row r="22" spans="1:10" ht="15" customHeight="1">
      <c r="A22" s="4">
        <v>2</v>
      </c>
      <c r="B22" s="19" t="s">
        <v>44</v>
      </c>
      <c r="C22" s="73" t="s">
        <v>72</v>
      </c>
      <c r="D22" s="227">
        <v>107.82</v>
      </c>
      <c r="E22" s="95">
        <f>1942/77.7</f>
        <v>24.993564993564991</v>
      </c>
      <c r="F22" s="60" t="s">
        <v>15</v>
      </c>
      <c r="G22" s="165">
        <f t="shared" ref="G22:G29" si="2">D22*E22</f>
        <v>2694.8061776061772</v>
      </c>
      <c r="H22" s="171">
        <v>15000</v>
      </c>
      <c r="I22" s="48">
        <f t="shared" ref="I22:I26" si="3">G22*H22</f>
        <v>40422092.66409266</v>
      </c>
      <c r="J22" s="153" t="s">
        <v>110</v>
      </c>
    </row>
    <row r="23" spans="1:10" ht="15" customHeight="1">
      <c r="A23" s="18">
        <v>3</v>
      </c>
      <c r="B23" s="35" t="s">
        <v>94</v>
      </c>
      <c r="C23" s="36" t="s">
        <v>79</v>
      </c>
      <c r="D23" s="227">
        <v>24.03</v>
      </c>
      <c r="E23" s="133">
        <v>25</v>
      </c>
      <c r="F23" s="60" t="s">
        <v>15</v>
      </c>
      <c r="G23" s="165">
        <f t="shared" si="2"/>
        <v>600.75</v>
      </c>
      <c r="H23" s="171">
        <v>15000</v>
      </c>
      <c r="I23" s="48">
        <f t="shared" si="3"/>
        <v>9011250</v>
      </c>
      <c r="J23" s="164" t="s">
        <v>120</v>
      </c>
    </row>
    <row r="24" spans="1:10" ht="15" customHeight="1">
      <c r="A24" s="4">
        <v>4</v>
      </c>
      <c r="B24" s="19" t="s">
        <v>47</v>
      </c>
      <c r="C24" s="19" t="s">
        <v>43</v>
      </c>
      <c r="D24" s="227">
        <v>22.6</v>
      </c>
      <c r="E24" s="95">
        <v>36</v>
      </c>
      <c r="F24" s="60" t="s">
        <v>15</v>
      </c>
      <c r="G24" s="165">
        <f>D24*E24</f>
        <v>813.6</v>
      </c>
      <c r="H24" s="171">
        <v>9000</v>
      </c>
      <c r="I24" s="48">
        <f>G24*H24</f>
        <v>7322400</v>
      </c>
      <c r="J24" s="164" t="s">
        <v>120</v>
      </c>
    </row>
    <row r="25" spans="1:10" ht="15" customHeight="1">
      <c r="A25" s="4">
        <v>5</v>
      </c>
      <c r="B25" s="24" t="s">
        <v>48</v>
      </c>
      <c r="C25" s="19" t="s">
        <v>49</v>
      </c>
      <c r="D25" s="227">
        <v>33.380000000000003</v>
      </c>
      <c r="E25" s="95">
        <f>270/29.99</f>
        <v>9.0030010003334446</v>
      </c>
      <c r="F25" s="60" t="s">
        <v>15</v>
      </c>
      <c r="G25" s="165">
        <f t="shared" si="2"/>
        <v>300.52017339113041</v>
      </c>
      <c r="H25" s="190">
        <v>50000</v>
      </c>
      <c r="I25" s="48">
        <f t="shared" si="3"/>
        <v>15026008.669556521</v>
      </c>
      <c r="J25" s="164" t="s">
        <v>120</v>
      </c>
    </row>
    <row r="26" spans="1:10" ht="15" customHeight="1">
      <c r="A26" s="18">
        <v>6</v>
      </c>
      <c r="B26" s="34" t="s">
        <v>101</v>
      </c>
      <c r="C26" s="19" t="s">
        <v>50</v>
      </c>
      <c r="D26" s="227">
        <v>87.11</v>
      </c>
      <c r="E26" s="95">
        <v>49</v>
      </c>
      <c r="F26" s="60" t="s">
        <v>15</v>
      </c>
      <c r="G26" s="165">
        <f t="shared" si="2"/>
        <v>4268.3900000000003</v>
      </c>
      <c r="H26" s="171">
        <v>6000</v>
      </c>
      <c r="I26" s="48">
        <f t="shared" si="3"/>
        <v>25610340.000000004</v>
      </c>
      <c r="J26" s="164" t="s">
        <v>120</v>
      </c>
    </row>
    <row r="27" spans="1:10" ht="15" customHeight="1">
      <c r="A27" s="18">
        <v>7</v>
      </c>
      <c r="B27" s="35" t="s">
        <v>146</v>
      </c>
      <c r="C27" s="40" t="s">
        <v>72</v>
      </c>
      <c r="D27" s="227">
        <v>34.24</v>
      </c>
      <c r="E27" s="230">
        <v>20</v>
      </c>
      <c r="F27" s="60" t="s">
        <v>15</v>
      </c>
      <c r="G27" s="165">
        <f t="shared" si="2"/>
        <v>684.80000000000007</v>
      </c>
      <c r="H27" s="171">
        <v>60000</v>
      </c>
      <c r="I27" s="48">
        <f>G27*H27</f>
        <v>41088000.000000007</v>
      </c>
      <c r="J27" s="164" t="s">
        <v>120</v>
      </c>
    </row>
    <row r="28" spans="1:10" ht="15" customHeight="1">
      <c r="A28" s="4">
        <v>8</v>
      </c>
      <c r="B28" s="19" t="s">
        <v>51</v>
      </c>
      <c r="C28" s="183" t="s">
        <v>72</v>
      </c>
      <c r="D28" s="228">
        <v>7.7</v>
      </c>
      <c r="E28" s="230">
        <v>36</v>
      </c>
      <c r="F28" s="60" t="s">
        <v>15</v>
      </c>
      <c r="G28" s="165">
        <f t="shared" si="2"/>
        <v>277.2</v>
      </c>
      <c r="H28" s="191">
        <v>12500</v>
      </c>
      <c r="I28" s="48">
        <f>G28*H28</f>
        <v>3465000</v>
      </c>
      <c r="J28" s="164" t="s">
        <v>120</v>
      </c>
    </row>
    <row r="29" spans="1:10" ht="15" customHeight="1">
      <c r="A29" s="18">
        <v>9</v>
      </c>
      <c r="B29" s="34" t="s">
        <v>53</v>
      </c>
      <c r="C29" s="19" t="s">
        <v>54</v>
      </c>
      <c r="D29" s="229">
        <v>57.29</v>
      </c>
      <c r="E29" s="134">
        <v>120</v>
      </c>
      <c r="F29" s="60" t="s">
        <v>15</v>
      </c>
      <c r="G29" s="165">
        <f t="shared" si="2"/>
        <v>6874.8</v>
      </c>
      <c r="H29" s="189">
        <v>3500</v>
      </c>
      <c r="I29" s="48">
        <f>G29*H29</f>
        <v>24061800</v>
      </c>
      <c r="J29" s="164" t="s">
        <v>120</v>
      </c>
    </row>
    <row r="30" spans="1:10" ht="15" customHeight="1">
      <c r="A30" s="138">
        <v>10</v>
      </c>
      <c r="B30" s="24" t="s">
        <v>65</v>
      </c>
      <c r="C30" s="139"/>
      <c r="D30" s="250">
        <f>E7-(SUM(D21:D29))</f>
        <v>31.669999999999959</v>
      </c>
      <c r="E30" s="134">
        <v>1</v>
      </c>
      <c r="F30" s="60" t="s">
        <v>15</v>
      </c>
      <c r="G30" s="170">
        <f>D30*E30</f>
        <v>31.669999999999959</v>
      </c>
      <c r="H30" s="171">
        <v>32500</v>
      </c>
      <c r="I30" s="48">
        <f>G30*H30</f>
        <v>1029274.9999999987</v>
      </c>
      <c r="J30" s="164" t="s">
        <v>120</v>
      </c>
    </row>
    <row r="31" spans="1:10" ht="15" customHeight="1">
      <c r="A31" s="13"/>
      <c r="B31" s="253" t="s">
        <v>29</v>
      </c>
      <c r="C31" s="253"/>
      <c r="D31" s="240">
        <f>SUM(D21:D30)</f>
        <v>425.59999999999997</v>
      </c>
      <c r="E31" s="135"/>
      <c r="F31" s="83"/>
      <c r="G31" s="83"/>
      <c r="H31" s="84"/>
      <c r="I31" s="89">
        <f>SUM(I21:I29)</f>
        <v>170749291.33364919</v>
      </c>
      <c r="J31" s="89"/>
    </row>
    <row r="32" spans="1:10" ht="15" customHeight="1">
      <c r="A32" s="13"/>
      <c r="B32" s="253" t="s">
        <v>17</v>
      </c>
      <c r="C32" s="253"/>
      <c r="D32" s="188"/>
      <c r="E32" s="83"/>
      <c r="F32" s="83"/>
      <c r="G32" s="83"/>
      <c r="H32" s="84"/>
      <c r="I32" s="89">
        <f>I18+I31</f>
        <v>190649291.33364919</v>
      </c>
      <c r="J32" s="89"/>
    </row>
    <row r="33" spans="1:10">
      <c r="A33" s="2" t="s">
        <v>19</v>
      </c>
      <c r="B33" s="5" t="s">
        <v>20</v>
      </c>
      <c r="C33" s="3"/>
      <c r="D33" s="44"/>
      <c r="E33" s="44"/>
      <c r="F33" s="44"/>
      <c r="G33" s="46"/>
      <c r="H33" s="44"/>
      <c r="I33" s="44"/>
      <c r="J33" s="44"/>
    </row>
    <row r="34" spans="1:10">
      <c r="A34" s="6"/>
      <c r="B34" s="8" t="s">
        <v>21</v>
      </c>
      <c r="C34" s="10"/>
      <c r="D34" s="124"/>
      <c r="E34" s="97"/>
      <c r="F34" s="97"/>
      <c r="G34" s="98"/>
      <c r="H34" s="97"/>
      <c r="I34" s="97"/>
      <c r="J34" s="44"/>
    </row>
    <row r="35" spans="1:10">
      <c r="A35" s="7"/>
      <c r="B35" s="9" t="s">
        <v>33</v>
      </c>
      <c r="C35" s="11"/>
      <c r="D35" s="125"/>
      <c r="E35" s="99">
        <v>3</v>
      </c>
      <c r="F35" s="100" t="s">
        <v>24</v>
      </c>
      <c r="G35" s="101"/>
      <c r="H35" s="99"/>
      <c r="I35" s="136">
        <f>I32*10%</f>
        <v>19064929.13336492</v>
      </c>
      <c r="J35" s="53"/>
    </row>
    <row r="36" spans="1:10" ht="15" customHeight="1">
      <c r="A36" s="13"/>
      <c r="B36" s="14" t="s">
        <v>22</v>
      </c>
      <c r="C36" s="82"/>
      <c r="D36" s="83"/>
      <c r="E36" s="83"/>
      <c r="F36" s="83"/>
      <c r="G36" s="83"/>
      <c r="H36" s="83"/>
      <c r="I36" s="103">
        <f>I35</f>
        <v>19064929.13336492</v>
      </c>
      <c r="J36" s="89"/>
    </row>
    <row r="37" spans="1:10" ht="15" customHeight="1">
      <c r="A37" s="13"/>
      <c r="B37" s="14" t="s">
        <v>23</v>
      </c>
      <c r="C37" s="82"/>
      <c r="D37" s="83"/>
      <c r="E37" s="83"/>
      <c r="F37" s="83"/>
      <c r="G37" s="83"/>
      <c r="H37" s="83"/>
      <c r="I37" s="103">
        <f>I12+I32+I36</f>
        <v>225149420.4670141</v>
      </c>
      <c r="J37" s="89"/>
    </row>
    <row r="38" spans="1:10" ht="15" customHeight="1">
      <c r="A38" s="13"/>
      <c r="B38" s="14" t="s">
        <v>32</v>
      </c>
      <c r="C38" s="82"/>
      <c r="D38" s="83"/>
      <c r="E38" s="83"/>
      <c r="F38" s="83"/>
      <c r="G38" s="83"/>
      <c r="H38" s="83"/>
      <c r="I38" s="105">
        <f>I37*10%</f>
        <v>22514942.046701413</v>
      </c>
      <c r="J38" s="114"/>
    </row>
    <row r="39" spans="1:10" ht="15" customHeight="1">
      <c r="A39" s="13"/>
      <c r="B39" s="14" t="s">
        <v>106</v>
      </c>
      <c r="C39" s="82"/>
      <c r="D39" s="83"/>
      <c r="E39" s="83"/>
      <c r="F39" s="83"/>
      <c r="G39" s="83"/>
      <c r="H39" s="83"/>
      <c r="I39" s="103">
        <f>SUM(I37:I38)</f>
        <v>247664362.51371551</v>
      </c>
      <c r="J39" s="89"/>
    </row>
    <row r="40" spans="1:10">
      <c r="A40" s="80"/>
      <c r="B40" s="81" t="s">
        <v>105</v>
      </c>
      <c r="C40" s="81"/>
      <c r="D40" s="104"/>
      <c r="E40" s="104"/>
      <c r="F40" s="104"/>
      <c r="G40" s="104"/>
      <c r="H40" s="104"/>
      <c r="I40" s="105">
        <v>0</v>
      </c>
      <c r="J40" s="114" t="s">
        <v>111</v>
      </c>
    </row>
    <row r="41" spans="1:10">
      <c r="A41" s="80"/>
      <c r="B41" s="14" t="s">
        <v>25</v>
      </c>
      <c r="C41" s="81"/>
      <c r="D41" s="104"/>
      <c r="E41" s="104"/>
      <c r="F41" s="104"/>
      <c r="G41" s="104"/>
      <c r="H41" s="104"/>
      <c r="I41" s="103">
        <f>I39+I40</f>
        <v>247664362.51371551</v>
      </c>
      <c r="J41" s="89"/>
    </row>
    <row r="42" spans="1:10">
      <c r="A42" s="69"/>
      <c r="B42" s="137"/>
      <c r="C42" s="69"/>
      <c r="D42" s="69"/>
      <c r="E42" s="69"/>
      <c r="F42" s="69"/>
      <c r="G42" s="69"/>
      <c r="H42" s="69"/>
      <c r="I42" s="69"/>
      <c r="J42" s="69"/>
    </row>
    <row r="43" spans="1:10">
      <c r="A43" s="69"/>
      <c r="B43" s="69"/>
      <c r="C43" s="69"/>
      <c r="D43" s="69"/>
      <c r="E43" s="69"/>
      <c r="F43" s="69"/>
      <c r="G43" s="69"/>
      <c r="H43" s="69"/>
      <c r="I43" s="69"/>
      <c r="J43" s="69"/>
    </row>
    <row r="44" spans="1:10">
      <c r="I44" s="32"/>
      <c r="J44" s="32"/>
    </row>
  </sheetData>
  <mergeCells count="4">
    <mergeCell ref="A1:B1"/>
    <mergeCell ref="B31:C31"/>
    <mergeCell ref="B32:C32"/>
    <mergeCell ref="J8:J9"/>
  </mergeCells>
  <printOptions horizontalCentered="1"/>
  <pageMargins left="0.1" right="0.1" top="0.196850393700787" bottom="0.43307086614173201" header="0.196850393700787" footer="0.23622047244094499"/>
  <pageSetup paperSize="8" scale="85" orientation="landscape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opLeftCell="A31" workbookViewId="0">
      <pane xSplit="2" topLeftCell="C1" activePane="topRight" state="frozen"/>
      <selection pane="topRight" activeCell="G41" sqref="G41"/>
    </sheetView>
  </sheetViews>
  <sheetFormatPr defaultColWidth="9.140625" defaultRowHeight="15"/>
  <cols>
    <col min="1" max="1" width="3.85546875" customWidth="1"/>
    <col min="2" max="2" width="52" customWidth="1"/>
    <col min="3" max="3" width="29.5703125" customWidth="1"/>
    <col min="4" max="4" width="11.28515625" customWidth="1"/>
    <col min="5" max="5" width="9.7109375" customWidth="1"/>
    <col min="6" max="6" width="5" customWidth="1"/>
    <col min="7" max="7" width="7.85546875" customWidth="1"/>
    <col min="8" max="8" width="13.42578125" customWidth="1"/>
    <col min="9" max="9" width="16" customWidth="1"/>
    <col min="10" max="10" width="43.140625" customWidth="1"/>
  </cols>
  <sheetData>
    <row r="1" spans="1:10" ht="17.25">
      <c r="A1" s="256" t="s">
        <v>8</v>
      </c>
      <c r="B1" s="256"/>
    </row>
    <row r="2" spans="1:10" ht="17.25">
      <c r="A2" s="29" t="s">
        <v>37</v>
      </c>
      <c r="B2" s="29"/>
    </row>
    <row r="3" spans="1:10" ht="17.25">
      <c r="A3" s="29" t="s">
        <v>66</v>
      </c>
      <c r="B3" s="29"/>
      <c r="D3" s="127" t="s">
        <v>127</v>
      </c>
    </row>
    <row r="5" spans="1:10" ht="30" customHeight="1">
      <c r="A5" s="2" t="s">
        <v>9</v>
      </c>
      <c r="B5" s="17" t="s">
        <v>18</v>
      </c>
      <c r="C5" s="2" t="s">
        <v>2</v>
      </c>
      <c r="D5" s="83"/>
      <c r="E5" s="83" t="s">
        <v>35</v>
      </c>
      <c r="F5" s="83" t="s">
        <v>3</v>
      </c>
      <c r="G5" s="84" t="s">
        <v>16</v>
      </c>
      <c r="H5" s="85" t="s">
        <v>56</v>
      </c>
      <c r="I5" s="83" t="s">
        <v>78</v>
      </c>
      <c r="J5" s="83" t="s">
        <v>96</v>
      </c>
    </row>
    <row r="6" spans="1:10">
      <c r="A6" s="2" t="s">
        <v>7</v>
      </c>
      <c r="B6" s="1" t="s">
        <v>4</v>
      </c>
      <c r="C6" s="3"/>
      <c r="D6" s="44"/>
      <c r="E6" s="44"/>
      <c r="F6" s="44"/>
      <c r="G6" s="46"/>
      <c r="H6" s="44"/>
      <c r="I6" s="44"/>
      <c r="J6" s="44"/>
    </row>
    <row r="7" spans="1:10">
      <c r="A7" s="4">
        <v>1</v>
      </c>
      <c r="B7" s="25" t="s">
        <v>10</v>
      </c>
      <c r="C7" s="3"/>
      <c r="D7" s="44"/>
      <c r="E7" s="217">
        <v>36.5</v>
      </c>
      <c r="F7" s="45" t="s">
        <v>81</v>
      </c>
      <c r="G7" s="46"/>
      <c r="H7" s="165">
        <v>4500</v>
      </c>
      <c r="I7" s="48">
        <f>E7*H7</f>
        <v>164250</v>
      </c>
      <c r="J7" s="115" t="s">
        <v>108</v>
      </c>
    </row>
    <row r="8" spans="1:10" ht="15" customHeight="1">
      <c r="A8" s="4">
        <v>2</v>
      </c>
      <c r="B8" s="25" t="s">
        <v>11</v>
      </c>
      <c r="C8" s="3"/>
      <c r="D8" s="44"/>
      <c r="E8" s="194">
        <v>18.25</v>
      </c>
      <c r="F8" s="45" t="s">
        <v>80</v>
      </c>
      <c r="G8" s="46"/>
      <c r="H8" s="165">
        <v>25000</v>
      </c>
      <c r="I8" s="48">
        <f t="shared" ref="I8:I11" si="0">E8*H8</f>
        <v>456250</v>
      </c>
      <c r="J8" s="254" t="s">
        <v>113</v>
      </c>
    </row>
    <row r="9" spans="1:10">
      <c r="A9" s="4">
        <v>3</v>
      </c>
      <c r="B9" s="37" t="s">
        <v>90</v>
      </c>
      <c r="C9" s="3"/>
      <c r="D9" s="44"/>
      <c r="E9" s="194">
        <v>55</v>
      </c>
      <c r="F9" s="45" t="s">
        <v>81</v>
      </c>
      <c r="G9" s="46"/>
      <c r="H9" s="47">
        <v>12500</v>
      </c>
      <c r="I9" s="48">
        <f t="shared" si="0"/>
        <v>687500</v>
      </c>
      <c r="J9" s="255"/>
    </row>
    <row r="10" spans="1:10">
      <c r="A10" s="4">
        <v>4</v>
      </c>
      <c r="B10" s="25" t="s">
        <v>12</v>
      </c>
      <c r="C10" s="3"/>
      <c r="D10" s="44"/>
      <c r="E10" s="194">
        <v>11</v>
      </c>
      <c r="F10" s="45" t="s">
        <v>82</v>
      </c>
      <c r="G10" s="86"/>
      <c r="H10" s="165">
        <v>25000</v>
      </c>
      <c r="I10" s="48">
        <f t="shared" si="0"/>
        <v>275000</v>
      </c>
      <c r="J10" s="153" t="s">
        <v>110</v>
      </c>
    </row>
    <row r="11" spans="1:10">
      <c r="A11" s="4">
        <v>5</v>
      </c>
      <c r="B11" s="25" t="s">
        <v>13</v>
      </c>
      <c r="C11" s="3"/>
      <c r="D11" s="44"/>
      <c r="E11" s="61">
        <f>E19</f>
        <v>10</v>
      </c>
      <c r="F11" s="45" t="s">
        <v>83</v>
      </c>
      <c r="G11" s="86"/>
      <c r="H11" s="165">
        <v>20000</v>
      </c>
      <c r="I11" s="48">
        <f t="shared" si="0"/>
        <v>200000</v>
      </c>
      <c r="J11" s="153" t="s">
        <v>110</v>
      </c>
    </row>
    <row r="12" spans="1:10" ht="15" customHeight="1">
      <c r="A12" s="13"/>
      <c r="B12" s="12" t="s">
        <v>14</v>
      </c>
      <c r="C12" s="26"/>
      <c r="D12" s="118"/>
      <c r="E12" s="87"/>
      <c r="F12" s="87"/>
      <c r="G12" s="88"/>
      <c r="H12" s="44"/>
      <c r="I12" s="89">
        <f>SUM(I7:I11)</f>
        <v>1783000</v>
      </c>
      <c r="J12" s="89"/>
    </row>
    <row r="13" spans="1:10">
      <c r="A13" s="2" t="s">
        <v>5</v>
      </c>
      <c r="B13" s="5" t="s">
        <v>6</v>
      </c>
      <c r="C13" s="3"/>
      <c r="D13" s="44"/>
      <c r="E13" s="44"/>
      <c r="F13" s="44"/>
      <c r="G13" s="46"/>
      <c r="H13" s="44"/>
      <c r="I13" s="44"/>
      <c r="J13" s="44"/>
    </row>
    <row r="14" spans="1:10">
      <c r="A14" s="17" t="s">
        <v>26</v>
      </c>
      <c r="B14" s="16" t="s">
        <v>27</v>
      </c>
      <c r="C14" s="106"/>
      <c r="D14" s="44"/>
      <c r="E14" s="44"/>
      <c r="F14" s="44"/>
      <c r="G14" s="46"/>
      <c r="H14" s="44"/>
      <c r="I14" s="44"/>
      <c r="J14" s="44"/>
    </row>
    <row r="15" spans="1:10" ht="30">
      <c r="A15" s="2" t="s">
        <v>0</v>
      </c>
      <c r="B15" s="2" t="s">
        <v>1</v>
      </c>
      <c r="C15" s="17" t="s">
        <v>2</v>
      </c>
      <c r="D15" s="83"/>
      <c r="E15" s="83" t="s">
        <v>35</v>
      </c>
      <c r="F15" s="83" t="s">
        <v>3</v>
      </c>
      <c r="G15" s="84" t="s">
        <v>34</v>
      </c>
      <c r="H15" s="85" t="s">
        <v>56</v>
      </c>
      <c r="I15" s="83" t="s">
        <v>78</v>
      </c>
      <c r="J15" s="83"/>
    </row>
    <row r="16" spans="1:10">
      <c r="A16" s="4">
        <v>1</v>
      </c>
      <c r="B16" s="19" t="s">
        <v>67</v>
      </c>
      <c r="C16" s="241" t="s">
        <v>87</v>
      </c>
      <c r="D16" s="50"/>
      <c r="E16" s="64">
        <v>2</v>
      </c>
      <c r="F16" s="42" t="s">
        <v>36</v>
      </c>
      <c r="G16" s="52"/>
      <c r="H16" s="165">
        <v>2500000</v>
      </c>
      <c r="I16" s="48">
        <f>E16*H16</f>
        <v>5000000</v>
      </c>
      <c r="J16" s="48"/>
    </row>
    <row r="17" spans="1:10" s="69" customFormat="1">
      <c r="A17" s="67">
        <v>2</v>
      </c>
      <c r="B17" s="68" t="s">
        <v>98</v>
      </c>
      <c r="C17" s="242" t="s">
        <v>129</v>
      </c>
      <c r="D17" s="119"/>
      <c r="E17" s="173">
        <v>2</v>
      </c>
      <c r="F17" s="42" t="s">
        <v>36</v>
      </c>
      <c r="G17" s="90"/>
      <c r="H17" s="165">
        <v>3750000</v>
      </c>
      <c r="I17" s="48">
        <f t="shared" ref="I17:I18" si="1">E17*H17</f>
        <v>7500000</v>
      </c>
      <c r="J17" s="164" t="s">
        <v>121</v>
      </c>
    </row>
    <row r="18" spans="1:10">
      <c r="A18" s="18">
        <v>3</v>
      </c>
      <c r="B18" s="35" t="s">
        <v>68</v>
      </c>
      <c r="C18" s="193" t="s">
        <v>132</v>
      </c>
      <c r="D18" s="119"/>
      <c r="E18" s="173">
        <v>6</v>
      </c>
      <c r="F18" s="91" t="s">
        <v>36</v>
      </c>
      <c r="G18" s="90"/>
      <c r="H18" s="165">
        <v>900000</v>
      </c>
      <c r="I18" s="48">
        <f t="shared" si="1"/>
        <v>5400000</v>
      </c>
      <c r="J18" s="115" t="s">
        <v>109</v>
      </c>
    </row>
    <row r="19" spans="1:10" ht="15" customHeight="1">
      <c r="A19" s="13"/>
      <c r="B19" s="12" t="s">
        <v>31</v>
      </c>
      <c r="C19" s="14"/>
      <c r="D19" s="83"/>
      <c r="E19" s="92">
        <f>SUM(E16:E18)</f>
        <v>10</v>
      </c>
      <c r="F19" s="84"/>
      <c r="G19" s="93"/>
      <c r="H19" s="44"/>
      <c r="I19" s="89">
        <f>SUM(I16:I18)</f>
        <v>17900000</v>
      </c>
      <c r="J19" s="89"/>
    </row>
    <row r="20" spans="1:10">
      <c r="A20" s="17" t="s">
        <v>30</v>
      </c>
      <c r="B20" s="16" t="s">
        <v>28</v>
      </c>
      <c r="C20" s="106"/>
      <c r="D20" s="44"/>
      <c r="E20" s="44"/>
      <c r="F20" s="44"/>
      <c r="G20" s="46"/>
      <c r="H20" s="48"/>
      <c r="I20" s="44"/>
      <c r="J20" s="44"/>
    </row>
    <row r="21" spans="1:10" ht="30">
      <c r="A21" s="2" t="s">
        <v>0</v>
      </c>
      <c r="B21" s="2" t="s">
        <v>1</v>
      </c>
      <c r="C21" s="17" t="s">
        <v>2</v>
      </c>
      <c r="D21" s="85" t="s">
        <v>84</v>
      </c>
      <c r="E21" s="83" t="s">
        <v>35</v>
      </c>
      <c r="F21" s="83" t="s">
        <v>3</v>
      </c>
      <c r="G21" s="84" t="s">
        <v>34</v>
      </c>
      <c r="H21" s="85" t="s">
        <v>56</v>
      </c>
      <c r="I21" s="83" t="s">
        <v>78</v>
      </c>
      <c r="J21" s="83"/>
    </row>
    <row r="22" spans="1:10" ht="17.25">
      <c r="A22" s="4">
        <v>1</v>
      </c>
      <c r="B22" s="3" t="s">
        <v>69</v>
      </c>
      <c r="C22" s="106" t="s">
        <v>95</v>
      </c>
      <c r="D22" s="213">
        <f xml:space="preserve">    0.6558+1.289</f>
        <v>1.9447999999999999</v>
      </c>
      <c r="E22" s="94">
        <f>18/2.05</f>
        <v>8.7804878048780495</v>
      </c>
      <c r="F22" s="60" t="s">
        <v>15</v>
      </c>
      <c r="G22" s="53">
        <f>D22*E22</f>
        <v>17.07629268292683</v>
      </c>
      <c r="H22" s="166">
        <v>50000</v>
      </c>
      <c r="I22" s="48">
        <f>G22*H22</f>
        <v>853814.63414634147</v>
      </c>
      <c r="J22" s="157"/>
    </row>
    <row r="23" spans="1:10" ht="15" customHeight="1">
      <c r="A23" s="4">
        <v>2</v>
      </c>
      <c r="B23" s="39" t="s">
        <v>104</v>
      </c>
      <c r="C23" s="243" t="s">
        <v>43</v>
      </c>
      <c r="D23" s="231">
        <f xml:space="preserve"> 2.2369+ 0.9401</f>
        <v>3.177</v>
      </c>
      <c r="E23" s="94">
        <v>25</v>
      </c>
      <c r="F23" s="60" t="s">
        <v>15</v>
      </c>
      <c r="G23" s="53">
        <f>D23*E23</f>
        <v>79.424999999999997</v>
      </c>
      <c r="H23" s="166">
        <v>15000</v>
      </c>
      <c r="I23" s="48">
        <f t="shared" ref="I23:I28" si="2">G23*H23</f>
        <v>1191375</v>
      </c>
      <c r="J23" s="159" t="s">
        <v>110</v>
      </c>
    </row>
    <row r="24" spans="1:10" ht="15" customHeight="1">
      <c r="A24" s="4">
        <v>3</v>
      </c>
      <c r="B24" s="19" t="s">
        <v>52</v>
      </c>
      <c r="C24" s="193" t="s">
        <v>130</v>
      </c>
      <c r="D24" s="231">
        <f xml:space="preserve"> 0.9401+  1.1979</f>
        <v>2.1379999999999999</v>
      </c>
      <c r="E24" s="95">
        <v>49</v>
      </c>
      <c r="F24" s="60" t="s">
        <v>15</v>
      </c>
      <c r="G24" s="53">
        <f t="shared" ref="G24:G30" si="3">D24*E24</f>
        <v>104.762</v>
      </c>
      <c r="H24" s="166">
        <v>7000</v>
      </c>
      <c r="I24" s="48">
        <f t="shared" si="2"/>
        <v>733334</v>
      </c>
      <c r="J24" s="159" t="s">
        <v>110</v>
      </c>
    </row>
    <row r="25" spans="1:10" ht="17.25">
      <c r="A25" s="4">
        <v>4</v>
      </c>
      <c r="B25" s="24" t="s">
        <v>44</v>
      </c>
      <c r="C25" s="106" t="s">
        <v>72</v>
      </c>
      <c r="D25" s="213">
        <v>0.79159999999999997</v>
      </c>
      <c r="E25" s="95">
        <f>45/1.8</f>
        <v>25</v>
      </c>
      <c r="F25" s="60" t="s">
        <v>15</v>
      </c>
      <c r="G25" s="53">
        <f t="shared" si="3"/>
        <v>19.79</v>
      </c>
      <c r="H25" s="166">
        <v>15000</v>
      </c>
      <c r="I25" s="48">
        <f t="shared" si="2"/>
        <v>296850</v>
      </c>
      <c r="J25" s="159" t="s">
        <v>110</v>
      </c>
    </row>
    <row r="26" spans="1:10" s="66" customFormat="1" ht="15" customHeight="1">
      <c r="A26" s="18">
        <v>5</v>
      </c>
      <c r="B26" s="35" t="s">
        <v>99</v>
      </c>
      <c r="C26" s="243" t="s">
        <v>45</v>
      </c>
      <c r="D26" s="214">
        <f>0.8816+0.8816+ 1.3004-  0.7562</f>
        <v>2.3074000000000003</v>
      </c>
      <c r="E26" s="121">
        <v>75</v>
      </c>
      <c r="F26" s="57" t="s">
        <v>100</v>
      </c>
      <c r="G26" s="53">
        <f t="shared" si="3"/>
        <v>173.05500000000004</v>
      </c>
      <c r="H26" s="166">
        <v>3000</v>
      </c>
      <c r="I26" s="122">
        <f t="shared" si="2"/>
        <v>519165.00000000012</v>
      </c>
      <c r="J26" s="158"/>
    </row>
    <row r="27" spans="1:10" ht="17.25">
      <c r="A27" s="4">
        <v>6</v>
      </c>
      <c r="B27" s="246" t="s">
        <v>147</v>
      </c>
      <c r="C27" s="183" t="s">
        <v>72</v>
      </c>
      <c r="D27" s="231">
        <f>1.0684+0.4716-0.4716</f>
        <v>1.0684</v>
      </c>
      <c r="E27" s="230">
        <v>36</v>
      </c>
      <c r="F27" s="60" t="s">
        <v>15</v>
      </c>
      <c r="G27" s="53">
        <f>D27*E27</f>
        <v>38.462400000000002</v>
      </c>
      <c r="H27" s="166">
        <v>12500</v>
      </c>
      <c r="I27" s="48">
        <f t="shared" si="2"/>
        <v>480780.00000000006</v>
      </c>
      <c r="J27" s="158"/>
    </row>
    <row r="28" spans="1:10" ht="15" customHeight="1">
      <c r="A28" s="22">
        <v>7</v>
      </c>
      <c r="B28" s="19" t="s">
        <v>70</v>
      </c>
      <c r="C28" s="241" t="s">
        <v>97</v>
      </c>
      <c r="D28" s="231">
        <f xml:space="preserve">  1.3872+ 0.9699</f>
        <v>2.3571</v>
      </c>
      <c r="E28" s="95">
        <v>36</v>
      </c>
      <c r="F28" s="60" t="s">
        <v>15</v>
      </c>
      <c r="G28" s="53">
        <f t="shared" si="3"/>
        <v>84.855599999999995</v>
      </c>
      <c r="H28" s="166">
        <v>17500</v>
      </c>
      <c r="I28" s="48">
        <f t="shared" si="2"/>
        <v>1484973</v>
      </c>
      <c r="J28" s="159" t="s">
        <v>112</v>
      </c>
    </row>
    <row r="29" spans="1:10" ht="15" customHeight="1">
      <c r="A29" s="4">
        <v>8</v>
      </c>
      <c r="B29" s="24" t="s">
        <v>71</v>
      </c>
      <c r="C29" s="206" t="s">
        <v>130</v>
      </c>
      <c r="D29" s="231">
        <f xml:space="preserve"> 1.2158+0.8582</f>
        <v>2.0739999999999998</v>
      </c>
      <c r="E29" s="95">
        <f>36/1</f>
        <v>36</v>
      </c>
      <c r="F29" s="60" t="s">
        <v>15</v>
      </c>
      <c r="G29" s="53">
        <f>D29*E29</f>
        <v>74.663999999999987</v>
      </c>
      <c r="H29" s="166">
        <v>7500</v>
      </c>
      <c r="I29" s="48">
        <f>G29*H29</f>
        <v>559979.99999999988</v>
      </c>
      <c r="J29" s="159" t="s">
        <v>112</v>
      </c>
    </row>
    <row r="30" spans="1:10" ht="15" customHeight="1">
      <c r="A30" s="22">
        <v>9</v>
      </c>
      <c r="B30" s="24" t="s">
        <v>65</v>
      </c>
      <c r="C30" s="106"/>
      <c r="D30" s="232">
        <f xml:space="preserve"> 9.3618+8.7663+(  0.7562+0.4716)+1.29</f>
        <v>20.645899999999997</v>
      </c>
      <c r="E30" s="96">
        <v>1</v>
      </c>
      <c r="F30" s="60" t="s">
        <v>15</v>
      </c>
      <c r="G30" s="53">
        <f t="shared" si="3"/>
        <v>20.645899999999997</v>
      </c>
      <c r="H30" s="166">
        <v>32500</v>
      </c>
      <c r="I30" s="48">
        <f>G30*H30</f>
        <v>670991.74999999988</v>
      </c>
      <c r="J30" s="158"/>
    </row>
    <row r="31" spans="1:10" ht="15" customHeight="1">
      <c r="A31" s="13"/>
      <c r="B31" s="253" t="s">
        <v>29</v>
      </c>
      <c r="C31" s="253"/>
      <c r="D31" s="120">
        <f>SUM(D22:D30)</f>
        <v>36.504199999999997</v>
      </c>
      <c r="E31" s="83"/>
      <c r="F31" s="83"/>
      <c r="G31" s="83"/>
      <c r="H31" s="44"/>
      <c r="I31" s="89">
        <f>SUM(I22:I30)</f>
        <v>6791263.3841463421</v>
      </c>
      <c r="J31" s="89"/>
    </row>
    <row r="32" spans="1:10">
      <c r="A32" s="13"/>
      <c r="B32" s="253" t="s">
        <v>17</v>
      </c>
      <c r="C32" s="253"/>
      <c r="D32" s="188"/>
      <c r="E32" s="83"/>
      <c r="F32" s="83"/>
      <c r="G32" s="83"/>
      <c r="H32" s="44"/>
      <c r="I32" s="89">
        <f>I19+I31</f>
        <v>24691263.38414634</v>
      </c>
      <c r="J32" s="89"/>
    </row>
    <row r="33" spans="1:10">
      <c r="A33" s="2" t="s">
        <v>19</v>
      </c>
      <c r="B33" s="5" t="s">
        <v>20</v>
      </c>
      <c r="C33" s="106"/>
      <c r="D33" s="44"/>
      <c r="E33" s="44"/>
      <c r="F33" s="44"/>
      <c r="G33" s="46"/>
      <c r="H33" s="44"/>
      <c r="I33" s="44"/>
      <c r="J33" s="44"/>
    </row>
    <row r="34" spans="1:10">
      <c r="A34" s="6"/>
      <c r="B34" s="8" t="s">
        <v>21</v>
      </c>
      <c r="C34" s="10"/>
      <c r="D34" s="97"/>
      <c r="E34" s="97"/>
      <c r="F34" s="97"/>
      <c r="G34" s="98"/>
      <c r="H34" s="97"/>
      <c r="I34" s="97"/>
      <c r="J34" s="44"/>
    </row>
    <row r="35" spans="1:10">
      <c r="A35" s="7"/>
      <c r="B35" s="9" t="s">
        <v>33</v>
      </c>
      <c r="C35" s="11"/>
      <c r="D35" s="99"/>
      <c r="E35" s="99">
        <v>3</v>
      </c>
      <c r="F35" s="100" t="s">
        <v>24</v>
      </c>
      <c r="G35" s="101"/>
      <c r="H35" s="99"/>
      <c r="I35" s="102">
        <f>I32*10%</f>
        <v>2469126.3384146341</v>
      </c>
      <c r="J35" s="47"/>
    </row>
    <row r="36" spans="1:10">
      <c r="A36" s="13"/>
      <c r="B36" s="14" t="s">
        <v>22</v>
      </c>
      <c r="C36" s="82"/>
      <c r="D36" s="83"/>
      <c r="E36" s="83"/>
      <c r="F36" s="83"/>
      <c r="G36" s="93"/>
      <c r="H36" s="44"/>
      <c r="I36" s="89">
        <f>I35</f>
        <v>2469126.3384146341</v>
      </c>
      <c r="J36" s="89"/>
    </row>
    <row r="37" spans="1:10">
      <c r="A37" s="13"/>
      <c r="B37" s="14" t="s">
        <v>23</v>
      </c>
      <c r="C37" s="82"/>
      <c r="D37" s="83"/>
      <c r="E37" s="83"/>
      <c r="F37" s="83"/>
      <c r="G37" s="93"/>
      <c r="H37" s="44"/>
      <c r="I37" s="89">
        <f>I12+I32+I36</f>
        <v>28943389.722560976</v>
      </c>
      <c r="J37" s="89"/>
    </row>
    <row r="38" spans="1:10">
      <c r="A38" s="13"/>
      <c r="B38" s="14" t="s">
        <v>32</v>
      </c>
      <c r="C38" s="82"/>
      <c r="D38" s="83"/>
      <c r="E38" s="83"/>
      <c r="F38" s="83"/>
      <c r="G38" s="93"/>
      <c r="H38" s="44"/>
      <c r="I38" s="89">
        <f>I37*10%</f>
        <v>2894338.9722560979</v>
      </c>
      <c r="J38" s="89"/>
    </row>
    <row r="39" spans="1:10">
      <c r="A39" s="13"/>
      <c r="B39" s="14" t="s">
        <v>106</v>
      </c>
      <c r="C39" s="82"/>
      <c r="D39" s="83"/>
      <c r="E39" s="83"/>
      <c r="F39" s="83"/>
      <c r="G39" s="93"/>
      <c r="H39" s="44"/>
      <c r="I39" s="89">
        <f>I37+I38</f>
        <v>31837728.694817074</v>
      </c>
      <c r="J39" s="89"/>
    </row>
    <row r="40" spans="1:10">
      <c r="A40" s="80"/>
      <c r="B40" s="76" t="s">
        <v>105</v>
      </c>
      <c r="C40" s="80"/>
      <c r="D40" s="104"/>
      <c r="E40" s="104"/>
      <c r="F40" s="104"/>
      <c r="G40" s="104"/>
      <c r="H40" s="104"/>
      <c r="I40" s="114">
        <v>0</v>
      </c>
      <c r="J40" s="114" t="s">
        <v>111</v>
      </c>
    </row>
    <row r="41" spans="1:10">
      <c r="A41" s="80"/>
      <c r="B41" s="15" t="s">
        <v>25</v>
      </c>
      <c r="C41" s="80"/>
      <c r="D41" s="104"/>
      <c r="E41" s="104"/>
      <c r="F41" s="104"/>
      <c r="G41" s="104"/>
      <c r="H41" s="104"/>
      <c r="I41" s="89">
        <f>I39+I40</f>
        <v>31837728.694817074</v>
      </c>
      <c r="J41" s="89"/>
    </row>
    <row r="43" spans="1:10">
      <c r="A43" s="69"/>
      <c r="B43" s="69"/>
      <c r="C43" s="69"/>
      <c r="D43" s="69"/>
      <c r="E43" s="69"/>
      <c r="F43" s="69"/>
      <c r="G43" s="69"/>
      <c r="H43" s="69"/>
      <c r="I43" s="69"/>
      <c r="J43" s="69"/>
    </row>
    <row r="44" spans="1:10">
      <c r="A44" s="69"/>
      <c r="B44" s="69"/>
      <c r="C44" s="69"/>
      <c r="D44" s="69"/>
      <c r="E44" s="69"/>
      <c r="F44" s="69"/>
      <c r="G44" s="69"/>
      <c r="H44" s="69"/>
      <c r="I44" s="69"/>
      <c r="J44" s="69"/>
    </row>
    <row r="45" spans="1:10">
      <c r="A45" s="69"/>
      <c r="B45" s="69"/>
      <c r="C45" s="69"/>
      <c r="D45" s="69"/>
      <c r="E45" s="69"/>
      <c r="F45" s="69"/>
      <c r="G45" s="69"/>
      <c r="H45" s="69"/>
      <c r="I45" s="128"/>
      <c r="J45" s="128"/>
    </row>
  </sheetData>
  <mergeCells count="4">
    <mergeCell ref="A1:B1"/>
    <mergeCell ref="B31:C31"/>
    <mergeCell ref="B32:C32"/>
    <mergeCell ref="J8:J9"/>
  </mergeCells>
  <printOptions horizontalCentered="1"/>
  <pageMargins left="0.1" right="0.1" top="0.31496062992126" bottom="0.82677165354330695" header="0.27559055118110198" footer="0.23622047244094499"/>
  <pageSetup paperSize="8" scale="85" orientation="landscape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opLeftCell="A41" workbookViewId="0">
      <pane xSplit="2" topLeftCell="C1" activePane="topRight" state="frozen"/>
      <selection pane="topRight" activeCell="G41" sqref="G41"/>
    </sheetView>
  </sheetViews>
  <sheetFormatPr defaultColWidth="9.140625" defaultRowHeight="15"/>
  <cols>
    <col min="1" max="1" width="3.85546875" customWidth="1"/>
    <col min="2" max="2" width="57.140625" customWidth="1"/>
    <col min="3" max="3" width="22.85546875" customWidth="1"/>
    <col min="4" max="4" width="11" style="113" customWidth="1"/>
    <col min="5" max="5" width="6.42578125" customWidth="1"/>
    <col min="6" max="6" width="5" customWidth="1"/>
    <col min="7" max="7" width="7.85546875" customWidth="1"/>
    <col min="8" max="9" width="13.42578125" customWidth="1"/>
    <col min="10" max="10" width="37.140625" customWidth="1"/>
  </cols>
  <sheetData>
    <row r="1" spans="1:10" ht="17.25">
      <c r="A1" s="256" t="s">
        <v>8</v>
      </c>
      <c r="B1" s="256"/>
    </row>
    <row r="2" spans="1:10" ht="17.25">
      <c r="A2" s="29" t="s">
        <v>37</v>
      </c>
      <c r="B2" s="29"/>
    </row>
    <row r="3" spans="1:10" ht="17.25">
      <c r="A3" s="29" t="s">
        <v>73</v>
      </c>
      <c r="B3" s="29"/>
      <c r="D3" s="127" t="s">
        <v>127</v>
      </c>
    </row>
    <row r="5" spans="1:10" ht="30" customHeight="1">
      <c r="A5" s="2" t="s">
        <v>9</v>
      </c>
      <c r="B5" s="74" t="s">
        <v>18</v>
      </c>
      <c r="C5" s="2" t="s">
        <v>2</v>
      </c>
      <c r="D5" s="84"/>
      <c r="E5" s="84" t="s">
        <v>35</v>
      </c>
      <c r="F5" s="83" t="s">
        <v>3</v>
      </c>
      <c r="G5" s="84" t="s">
        <v>16</v>
      </c>
      <c r="H5" s="85" t="s">
        <v>56</v>
      </c>
      <c r="I5" s="83" t="s">
        <v>78</v>
      </c>
      <c r="J5" s="83" t="s">
        <v>96</v>
      </c>
    </row>
    <row r="6" spans="1:10">
      <c r="A6" s="2" t="s">
        <v>7</v>
      </c>
      <c r="B6" s="1" t="s">
        <v>4</v>
      </c>
      <c r="C6" s="3"/>
      <c r="D6" s="46"/>
      <c r="E6" s="46"/>
      <c r="F6" s="44"/>
      <c r="G6" s="46"/>
      <c r="H6" s="44"/>
      <c r="I6" s="44"/>
      <c r="J6" s="44"/>
    </row>
    <row r="7" spans="1:10">
      <c r="A7" s="4">
        <v>1</v>
      </c>
      <c r="B7" s="25" t="s">
        <v>10</v>
      </c>
      <c r="C7" s="3"/>
      <c r="D7" s="126"/>
      <c r="E7" s="235">
        <f>16.8687+63.05+19.3245</f>
        <v>99.243200000000002</v>
      </c>
      <c r="F7" s="45" t="s">
        <v>81</v>
      </c>
      <c r="G7" s="46"/>
      <c r="H7" s="165">
        <v>4500</v>
      </c>
      <c r="I7" s="48">
        <f>E7*H7</f>
        <v>446594.4</v>
      </c>
      <c r="J7" s="164" t="s">
        <v>122</v>
      </c>
    </row>
    <row r="8" spans="1:10" ht="15" customHeight="1">
      <c r="A8" s="4">
        <v>2</v>
      </c>
      <c r="B8" s="25" t="s">
        <v>11</v>
      </c>
      <c r="C8" s="3"/>
      <c r="D8" s="126"/>
      <c r="E8" s="194">
        <f>E7*0.6</f>
        <v>59.545919999999995</v>
      </c>
      <c r="F8" s="45" t="s">
        <v>80</v>
      </c>
      <c r="G8" s="46"/>
      <c r="H8" s="165">
        <v>25000</v>
      </c>
      <c r="I8" s="48">
        <f>E8*H8</f>
        <v>1488647.9999999998</v>
      </c>
      <c r="J8" s="254" t="s">
        <v>113</v>
      </c>
    </row>
    <row r="9" spans="1:10">
      <c r="A9" s="4">
        <v>3</v>
      </c>
      <c r="B9" s="37" t="s">
        <v>91</v>
      </c>
      <c r="C9" s="3"/>
      <c r="D9" s="126"/>
      <c r="E9" s="194">
        <v>105</v>
      </c>
      <c r="F9" s="45" t="s">
        <v>81</v>
      </c>
      <c r="G9" s="46"/>
      <c r="H9" s="47">
        <v>12500</v>
      </c>
      <c r="I9" s="48">
        <f>E9*H9</f>
        <v>1312500</v>
      </c>
      <c r="J9" s="255"/>
    </row>
    <row r="10" spans="1:10">
      <c r="A10" s="4">
        <v>4</v>
      </c>
      <c r="B10" s="25" t="s">
        <v>12</v>
      </c>
      <c r="C10" s="3"/>
      <c r="D10" s="126"/>
      <c r="E10" s="194">
        <f>10+4</f>
        <v>14</v>
      </c>
      <c r="F10" s="45" t="s">
        <v>82</v>
      </c>
      <c r="G10" s="86"/>
      <c r="H10" s="174">
        <v>25000</v>
      </c>
      <c r="I10" s="48">
        <f>E10*H10</f>
        <v>350000</v>
      </c>
      <c r="J10" s="153" t="s">
        <v>110</v>
      </c>
    </row>
    <row r="11" spans="1:10">
      <c r="A11" s="4">
        <v>5</v>
      </c>
      <c r="B11" s="25" t="s">
        <v>13</v>
      </c>
      <c r="C11" s="3"/>
      <c r="D11" s="126"/>
      <c r="E11" s="194">
        <f>E21</f>
        <v>25</v>
      </c>
      <c r="F11" s="45" t="s">
        <v>83</v>
      </c>
      <c r="G11" s="86"/>
      <c r="H11" s="174">
        <v>20000</v>
      </c>
      <c r="I11" s="48">
        <f t="shared" ref="I11" si="0">E11*H11</f>
        <v>500000</v>
      </c>
      <c r="J11" s="153" t="s">
        <v>110</v>
      </c>
    </row>
    <row r="12" spans="1:10" ht="15" customHeight="1">
      <c r="A12" s="13"/>
      <c r="B12" s="12" t="s">
        <v>14</v>
      </c>
      <c r="C12" s="26"/>
      <c r="D12" s="103"/>
      <c r="E12" s="107"/>
      <c r="F12" s="87"/>
      <c r="G12" s="88"/>
      <c r="H12" s="44"/>
      <c r="I12" s="89">
        <f>SUM(I7:I11)</f>
        <v>4097742.4</v>
      </c>
      <c r="J12" s="89"/>
    </row>
    <row r="13" spans="1:10">
      <c r="A13" s="2" t="s">
        <v>5</v>
      </c>
      <c r="B13" s="5" t="s">
        <v>6</v>
      </c>
      <c r="C13" s="3"/>
      <c r="D13" s="46"/>
      <c r="E13" s="46"/>
      <c r="F13" s="44"/>
      <c r="G13" s="46"/>
      <c r="H13" s="44"/>
      <c r="I13" s="44"/>
      <c r="J13" s="44"/>
    </row>
    <row r="14" spans="1:10">
      <c r="A14" s="17" t="s">
        <v>26</v>
      </c>
      <c r="B14" s="16" t="s">
        <v>27</v>
      </c>
      <c r="C14" s="3"/>
      <c r="D14" s="46"/>
      <c r="E14" s="46"/>
      <c r="F14" s="44"/>
      <c r="G14" s="46"/>
      <c r="H14" s="44"/>
      <c r="I14" s="44"/>
      <c r="J14" s="44"/>
    </row>
    <row r="15" spans="1:10" ht="30">
      <c r="A15" s="2" t="s">
        <v>0</v>
      </c>
      <c r="B15" s="2" t="s">
        <v>1</v>
      </c>
      <c r="C15" s="2" t="s">
        <v>2</v>
      </c>
      <c r="D15" s="84"/>
      <c r="E15" s="84" t="s">
        <v>35</v>
      </c>
      <c r="F15" s="83" t="s">
        <v>3</v>
      </c>
      <c r="G15" s="84" t="s">
        <v>34</v>
      </c>
      <c r="H15" s="85" t="s">
        <v>56</v>
      </c>
      <c r="I15" s="83" t="s">
        <v>78</v>
      </c>
      <c r="J15" s="83"/>
    </row>
    <row r="16" spans="1:10">
      <c r="A16" s="4">
        <v>1</v>
      </c>
      <c r="B16" s="19" t="s">
        <v>74</v>
      </c>
      <c r="C16" s="36" t="s">
        <v>86</v>
      </c>
      <c r="D16" s="126"/>
      <c r="E16" s="236">
        <v>1</v>
      </c>
      <c r="F16" s="42" t="s">
        <v>36</v>
      </c>
      <c r="G16" s="52"/>
      <c r="H16" s="48">
        <v>6000000</v>
      </c>
      <c r="I16" s="48">
        <f>E16*H16</f>
        <v>6000000</v>
      </c>
      <c r="J16" s="115"/>
    </row>
    <row r="17" spans="1:10">
      <c r="A17" s="4">
        <v>2</v>
      </c>
      <c r="B17" s="24" t="s">
        <v>39</v>
      </c>
      <c r="C17" s="36" t="s">
        <v>87</v>
      </c>
      <c r="D17" s="126"/>
      <c r="E17" s="237">
        <v>2</v>
      </c>
      <c r="F17" s="42" t="s">
        <v>36</v>
      </c>
      <c r="G17" s="90"/>
      <c r="H17" s="48">
        <v>5000000</v>
      </c>
      <c r="I17" s="48">
        <f t="shared" ref="I17" si="1">E17*H17</f>
        <v>10000000</v>
      </c>
      <c r="J17" s="48"/>
    </row>
    <row r="18" spans="1:10">
      <c r="A18" s="4">
        <v>3</v>
      </c>
      <c r="B18" s="24" t="s">
        <v>75</v>
      </c>
      <c r="C18" s="36" t="s">
        <v>89</v>
      </c>
      <c r="D18" s="126"/>
      <c r="E18" s="237">
        <v>6</v>
      </c>
      <c r="F18" s="91" t="s">
        <v>36</v>
      </c>
      <c r="G18" s="90"/>
      <c r="H18" s="48">
        <v>5500000</v>
      </c>
      <c r="I18" s="48">
        <f>E18*H18</f>
        <v>33000000</v>
      </c>
      <c r="J18" s="115"/>
    </row>
    <row r="19" spans="1:10">
      <c r="A19" s="4">
        <v>4</v>
      </c>
      <c r="B19" s="24" t="s">
        <v>68</v>
      </c>
      <c r="C19" s="36" t="s">
        <v>88</v>
      </c>
      <c r="D19" s="126"/>
      <c r="E19" s="237">
        <v>11</v>
      </c>
      <c r="F19" s="42" t="s">
        <v>36</v>
      </c>
      <c r="G19" s="90"/>
      <c r="H19" s="48">
        <v>900000</v>
      </c>
      <c r="I19" s="48">
        <f t="shared" ref="I19:I20" si="2">E19*H19</f>
        <v>9900000</v>
      </c>
      <c r="J19" s="48"/>
    </row>
    <row r="20" spans="1:10" s="69" customFormat="1">
      <c r="A20" s="18">
        <v>5</v>
      </c>
      <c r="B20" s="72" t="s">
        <v>98</v>
      </c>
      <c r="C20" s="70" t="s">
        <v>92</v>
      </c>
      <c r="D20" s="126"/>
      <c r="E20" s="237">
        <v>5</v>
      </c>
      <c r="F20" s="42" t="s">
        <v>36</v>
      </c>
      <c r="G20" s="90"/>
      <c r="H20" s="62">
        <v>3750000</v>
      </c>
      <c r="I20" s="48">
        <f t="shared" si="2"/>
        <v>18750000</v>
      </c>
      <c r="J20" s="115"/>
    </row>
    <row r="21" spans="1:10" ht="15" customHeight="1">
      <c r="A21" s="13"/>
      <c r="B21" s="12" t="s">
        <v>31</v>
      </c>
      <c r="C21" s="14"/>
      <c r="D21" s="103"/>
      <c r="E21" s="108">
        <f>SUM(E16:E20)</f>
        <v>25</v>
      </c>
      <c r="F21" s="84"/>
      <c r="G21" s="93"/>
      <c r="H21" s="44"/>
      <c r="I21" s="89">
        <f>SUM(I16:I20)</f>
        <v>77650000</v>
      </c>
      <c r="J21" s="89"/>
    </row>
    <row r="22" spans="1:10">
      <c r="A22" s="17" t="s">
        <v>30</v>
      </c>
      <c r="B22" s="16" t="s">
        <v>28</v>
      </c>
      <c r="C22" s="3"/>
      <c r="D22" s="46"/>
      <c r="E22" s="46"/>
      <c r="F22" s="44"/>
      <c r="G22" s="46"/>
      <c r="H22" s="48"/>
      <c r="I22" s="44"/>
      <c r="J22" s="44"/>
    </row>
    <row r="23" spans="1:10" ht="30">
      <c r="A23" s="2" t="s">
        <v>0</v>
      </c>
      <c r="B23" s="2" t="s">
        <v>1</v>
      </c>
      <c r="C23" s="2" t="s">
        <v>2</v>
      </c>
      <c r="D23" s="85" t="s">
        <v>84</v>
      </c>
      <c r="E23" s="84" t="s">
        <v>35</v>
      </c>
      <c r="F23" s="83" t="s">
        <v>3</v>
      </c>
      <c r="G23" s="84" t="s">
        <v>34</v>
      </c>
      <c r="H23" s="85" t="s">
        <v>56</v>
      </c>
      <c r="I23" s="83" t="s">
        <v>78</v>
      </c>
      <c r="J23" s="83"/>
    </row>
    <row r="24" spans="1:10" ht="17.25" customHeight="1">
      <c r="A24" s="4">
        <v>1</v>
      </c>
      <c r="B24" s="3" t="s">
        <v>69</v>
      </c>
      <c r="C24" s="3" t="s">
        <v>95</v>
      </c>
      <c r="D24" s="233">
        <v>2.85</v>
      </c>
      <c r="E24" s="109">
        <f>26/2.92</f>
        <v>8.9041095890410968</v>
      </c>
      <c r="F24" s="60" t="s">
        <v>15</v>
      </c>
      <c r="G24" s="116">
        <f t="shared" ref="G24:G35" si="3">D24*E24</f>
        <v>25.376712328767127</v>
      </c>
      <c r="H24" s="174">
        <v>50000</v>
      </c>
      <c r="I24" s="48">
        <f>G24*H24</f>
        <v>1268835.6164383562</v>
      </c>
      <c r="J24" s="177" t="s">
        <v>124</v>
      </c>
    </row>
    <row r="25" spans="1:10" ht="15" customHeight="1">
      <c r="A25" s="4">
        <v>2</v>
      </c>
      <c r="B25" s="19" t="s">
        <v>70</v>
      </c>
      <c r="C25" s="40" t="s">
        <v>97</v>
      </c>
      <c r="D25" s="233">
        <v>4.82</v>
      </c>
      <c r="E25" s="109">
        <v>36</v>
      </c>
      <c r="F25" s="60" t="s">
        <v>15</v>
      </c>
      <c r="G25" s="116">
        <f t="shared" si="3"/>
        <v>173.52</v>
      </c>
      <c r="H25" s="174">
        <v>17500</v>
      </c>
      <c r="I25" s="48">
        <f t="shared" ref="I25" si="4">G25*H25</f>
        <v>3036600</v>
      </c>
      <c r="J25" s="177" t="s">
        <v>125</v>
      </c>
    </row>
    <row r="26" spans="1:10" s="69" customFormat="1" ht="15" customHeight="1">
      <c r="A26" s="67">
        <v>3</v>
      </c>
      <c r="B26" s="183" t="s">
        <v>76</v>
      </c>
      <c r="C26" s="70" t="s">
        <v>97</v>
      </c>
      <c r="D26" s="234">
        <v>5.48</v>
      </c>
      <c r="E26" s="110">
        <f>112/3.1</f>
        <v>36.129032258064512</v>
      </c>
      <c r="F26" s="60" t="s">
        <v>15</v>
      </c>
      <c r="G26" s="116">
        <f t="shared" si="3"/>
        <v>197.98709677419353</v>
      </c>
      <c r="H26" s="122">
        <v>9000</v>
      </c>
      <c r="I26" s="48">
        <f>G26*H26</f>
        <v>1781883.8709677418</v>
      </c>
      <c r="J26" s="199"/>
    </row>
    <row r="27" spans="1:10" ht="17.25">
      <c r="A27" s="4">
        <v>4</v>
      </c>
      <c r="B27" s="24" t="s">
        <v>77</v>
      </c>
      <c r="C27" s="19" t="s">
        <v>43</v>
      </c>
      <c r="D27" s="233">
        <v>4.92</v>
      </c>
      <c r="E27" s="110">
        <f>53/3.3</f>
        <v>16.060606060606062</v>
      </c>
      <c r="F27" s="60" t="s">
        <v>15</v>
      </c>
      <c r="G27" s="116">
        <f t="shared" si="3"/>
        <v>79.01818181818183</v>
      </c>
      <c r="H27" s="174">
        <v>30000</v>
      </c>
      <c r="I27" s="48">
        <f t="shared" ref="I27:I28" si="5">G27*H27</f>
        <v>2370545.4545454551</v>
      </c>
      <c r="J27" s="177" t="s">
        <v>125</v>
      </c>
    </row>
    <row r="28" spans="1:10" ht="17.25">
      <c r="A28" s="67">
        <v>5</v>
      </c>
      <c r="B28" s="196" t="s">
        <v>52</v>
      </c>
      <c r="C28" s="193" t="s">
        <v>130</v>
      </c>
      <c r="D28" s="249">
        <v>3.34</v>
      </c>
      <c r="E28" s="110">
        <v>49</v>
      </c>
      <c r="F28" s="60" t="s">
        <v>15</v>
      </c>
      <c r="G28" s="116">
        <f t="shared" si="3"/>
        <v>163.66</v>
      </c>
      <c r="H28" s="48">
        <v>7000</v>
      </c>
      <c r="I28" s="48">
        <f t="shared" si="5"/>
        <v>1145620</v>
      </c>
      <c r="J28" s="200" t="s">
        <v>110</v>
      </c>
    </row>
    <row r="29" spans="1:10" ht="17.25">
      <c r="A29" s="67">
        <v>6</v>
      </c>
      <c r="B29" s="196" t="s">
        <v>41</v>
      </c>
      <c r="C29" s="197" t="s">
        <v>102</v>
      </c>
      <c r="D29" s="234">
        <v>2.65</v>
      </c>
      <c r="E29" s="110">
        <v>16</v>
      </c>
      <c r="F29" s="60" t="s">
        <v>15</v>
      </c>
      <c r="G29" s="116">
        <f t="shared" si="3"/>
        <v>42.4</v>
      </c>
      <c r="H29" s="122">
        <v>15000</v>
      </c>
      <c r="I29" s="48">
        <f>G29*H29</f>
        <v>636000</v>
      </c>
      <c r="J29" s="200" t="s">
        <v>110</v>
      </c>
    </row>
    <row r="30" spans="1:10" ht="15" customHeight="1">
      <c r="A30" s="67">
        <v>7</v>
      </c>
      <c r="B30" s="183" t="s">
        <v>44</v>
      </c>
      <c r="C30" s="198" t="s">
        <v>72</v>
      </c>
      <c r="D30" s="233">
        <v>4.6100000000000003</v>
      </c>
      <c r="E30" s="110">
        <v>25</v>
      </c>
      <c r="F30" s="60" t="s">
        <v>15</v>
      </c>
      <c r="G30" s="116">
        <f t="shared" si="3"/>
        <v>115.25000000000001</v>
      </c>
      <c r="H30" s="174">
        <v>15000</v>
      </c>
      <c r="I30" s="48">
        <f t="shared" ref="I30:I35" si="6">G30*H30</f>
        <v>1728750.0000000002</v>
      </c>
      <c r="J30" s="177" t="s">
        <v>126</v>
      </c>
    </row>
    <row r="31" spans="1:10" ht="15" customHeight="1">
      <c r="A31" s="67">
        <v>8</v>
      </c>
      <c r="B31" s="252" t="s">
        <v>146</v>
      </c>
      <c r="C31" s="70" t="s">
        <v>72</v>
      </c>
      <c r="D31" s="233">
        <v>8.67</v>
      </c>
      <c r="E31" s="110">
        <v>20</v>
      </c>
      <c r="F31" s="60" t="s">
        <v>15</v>
      </c>
      <c r="G31" s="116">
        <f t="shared" si="3"/>
        <v>173.4</v>
      </c>
      <c r="H31" s="174">
        <v>60000</v>
      </c>
      <c r="I31" s="48">
        <f t="shared" si="6"/>
        <v>10404000</v>
      </c>
      <c r="J31" s="177" t="s">
        <v>124</v>
      </c>
    </row>
    <row r="32" spans="1:10" s="69" customFormat="1" ht="15" customHeight="1">
      <c r="A32" s="67">
        <v>9</v>
      </c>
      <c r="B32" s="196" t="s">
        <v>51</v>
      </c>
      <c r="C32" s="183" t="s">
        <v>72</v>
      </c>
      <c r="D32" s="234">
        <v>8.92</v>
      </c>
      <c r="E32" s="215">
        <v>36</v>
      </c>
      <c r="F32" s="60" t="s">
        <v>15</v>
      </c>
      <c r="G32" s="116">
        <f t="shared" si="3"/>
        <v>321.12</v>
      </c>
      <c r="H32" s="122">
        <v>12500</v>
      </c>
      <c r="I32" s="48">
        <f t="shared" si="6"/>
        <v>4014000</v>
      </c>
      <c r="J32" s="199"/>
    </row>
    <row r="33" spans="1:10" ht="15" customHeight="1">
      <c r="A33" s="4">
        <v>10</v>
      </c>
      <c r="B33" s="24" t="s">
        <v>71</v>
      </c>
      <c r="C33" s="206" t="s">
        <v>130</v>
      </c>
      <c r="D33" s="249">
        <v>2.4300000000000002</v>
      </c>
      <c r="E33" s="110">
        <v>36</v>
      </c>
      <c r="F33" s="60" t="s">
        <v>15</v>
      </c>
      <c r="G33" s="116">
        <f t="shared" si="3"/>
        <v>87.48</v>
      </c>
      <c r="H33" s="174">
        <v>7500</v>
      </c>
      <c r="I33" s="48">
        <f t="shared" si="6"/>
        <v>656100</v>
      </c>
      <c r="J33" s="160" t="s">
        <v>112</v>
      </c>
    </row>
    <row r="34" spans="1:10" ht="15" customHeight="1">
      <c r="A34" s="4">
        <v>11</v>
      </c>
      <c r="B34" s="246" t="s">
        <v>107</v>
      </c>
      <c r="C34" s="40" t="s">
        <v>45</v>
      </c>
      <c r="D34" s="233">
        <v>0.93</v>
      </c>
      <c r="E34" s="110">
        <v>75</v>
      </c>
      <c r="F34" s="60" t="s">
        <v>15</v>
      </c>
      <c r="G34" s="116">
        <f t="shared" si="3"/>
        <v>69.75</v>
      </c>
      <c r="H34" s="174">
        <v>3000</v>
      </c>
      <c r="I34" s="48">
        <f t="shared" si="6"/>
        <v>209250</v>
      </c>
      <c r="J34" s="177" t="s">
        <v>124</v>
      </c>
    </row>
    <row r="35" spans="1:10" ht="15" customHeight="1">
      <c r="A35" s="4">
        <v>12</v>
      </c>
      <c r="B35" s="24" t="s">
        <v>65</v>
      </c>
      <c r="C35" s="3"/>
      <c r="D35" s="233">
        <v>49.6</v>
      </c>
      <c r="E35" s="111">
        <v>1</v>
      </c>
      <c r="F35" s="60" t="s">
        <v>15</v>
      </c>
      <c r="G35" s="116">
        <f t="shared" si="3"/>
        <v>49.6</v>
      </c>
      <c r="H35" s="174">
        <v>32500</v>
      </c>
      <c r="I35" s="48">
        <f t="shared" si="6"/>
        <v>1612000</v>
      </c>
      <c r="J35" s="177" t="s">
        <v>124</v>
      </c>
    </row>
    <row r="36" spans="1:10" ht="15" customHeight="1">
      <c r="A36" s="13"/>
      <c r="B36" s="253" t="s">
        <v>29</v>
      </c>
      <c r="C36" s="253"/>
      <c r="D36" s="251">
        <f>SUM(D24:D35)</f>
        <v>99.22</v>
      </c>
      <c r="E36" s="84"/>
      <c r="F36" s="83"/>
      <c r="G36" s="117"/>
      <c r="H36" s="44"/>
      <c r="I36" s="89">
        <f>SUM(I24:I35)</f>
        <v>28863584.941951554</v>
      </c>
      <c r="J36" s="89"/>
    </row>
    <row r="37" spans="1:10">
      <c r="A37" s="13"/>
      <c r="B37" s="253" t="s">
        <v>17</v>
      </c>
      <c r="C37" s="253"/>
      <c r="D37" s="89"/>
      <c r="E37" s="84"/>
      <c r="F37" s="83"/>
      <c r="G37" s="83"/>
      <c r="H37" s="44"/>
      <c r="I37" s="89">
        <f>I21+I36</f>
        <v>106513584.94195156</v>
      </c>
      <c r="J37" s="89"/>
    </row>
    <row r="38" spans="1:10">
      <c r="A38" s="2" t="s">
        <v>19</v>
      </c>
      <c r="B38" s="5" t="s">
        <v>20</v>
      </c>
      <c r="C38" s="106"/>
      <c r="D38" s="44"/>
      <c r="E38" s="46"/>
      <c r="F38" s="44"/>
      <c r="G38" s="46"/>
      <c r="H38" s="44"/>
      <c r="I38" s="44"/>
      <c r="J38" s="44"/>
    </row>
    <row r="39" spans="1:10">
      <c r="A39" s="6"/>
      <c r="B39" s="8" t="s">
        <v>21</v>
      </c>
      <c r="C39" s="10"/>
      <c r="D39" s="44"/>
      <c r="E39" s="98"/>
      <c r="F39" s="97"/>
      <c r="G39" s="98"/>
      <c r="H39" s="97"/>
      <c r="I39" s="97"/>
      <c r="J39" s="44"/>
    </row>
    <row r="40" spans="1:10">
      <c r="A40" s="7"/>
      <c r="B40" s="9" t="s">
        <v>33</v>
      </c>
      <c r="C40" s="11"/>
      <c r="D40" s="47"/>
      <c r="E40" s="101">
        <v>3</v>
      </c>
      <c r="F40" s="100" t="s">
        <v>24</v>
      </c>
      <c r="G40" s="101"/>
      <c r="H40" s="99"/>
      <c r="I40" s="102">
        <f>I37*10%</f>
        <v>10651358.494195156</v>
      </c>
      <c r="J40" s="47"/>
    </row>
    <row r="41" spans="1:10">
      <c r="A41" s="13"/>
      <c r="B41" s="14" t="s">
        <v>22</v>
      </c>
      <c r="C41" s="82"/>
      <c r="D41" s="103"/>
      <c r="E41" s="84"/>
      <c r="F41" s="83"/>
      <c r="G41" s="83"/>
      <c r="H41" s="44"/>
      <c r="I41" s="103">
        <f>I40</f>
        <v>10651358.494195156</v>
      </c>
      <c r="J41" s="89"/>
    </row>
    <row r="42" spans="1:10">
      <c r="A42" s="13"/>
      <c r="B42" s="14" t="s">
        <v>23</v>
      </c>
      <c r="C42" s="82"/>
      <c r="D42" s="103"/>
      <c r="E42" s="84"/>
      <c r="F42" s="83"/>
      <c r="G42" s="83"/>
      <c r="H42" s="44"/>
      <c r="I42" s="103">
        <f>I12+I37+I41</f>
        <v>121262685.83614671</v>
      </c>
      <c r="J42" s="89"/>
    </row>
    <row r="43" spans="1:10">
      <c r="A43" s="13"/>
      <c r="B43" s="14" t="s">
        <v>32</v>
      </c>
      <c r="C43" s="82"/>
      <c r="D43" s="103"/>
      <c r="E43" s="84"/>
      <c r="F43" s="83"/>
      <c r="G43" s="83"/>
      <c r="H43" s="44"/>
      <c r="I43" s="103">
        <f>I42*10%</f>
        <v>12126268.583614672</v>
      </c>
      <c r="J43" s="89"/>
    </row>
    <row r="44" spans="1:10">
      <c r="A44" s="13"/>
      <c r="B44" s="14" t="s">
        <v>106</v>
      </c>
      <c r="C44" s="82"/>
      <c r="D44" s="103"/>
      <c r="E44" s="84"/>
      <c r="F44" s="83"/>
      <c r="G44" s="83"/>
      <c r="H44" s="44"/>
      <c r="I44" s="103">
        <f>I42+I43</f>
        <v>133388954.41976139</v>
      </c>
      <c r="J44" s="89"/>
    </row>
    <row r="45" spans="1:10">
      <c r="A45" s="80"/>
      <c r="B45" s="81" t="s">
        <v>105</v>
      </c>
      <c r="C45" s="81"/>
      <c r="D45" s="105"/>
      <c r="E45" s="112"/>
      <c r="F45" s="104"/>
      <c r="G45" s="104"/>
      <c r="H45" s="104"/>
      <c r="I45" s="105">
        <v>0</v>
      </c>
      <c r="J45" s="114" t="s">
        <v>111</v>
      </c>
    </row>
    <row r="46" spans="1:10">
      <c r="A46" s="80"/>
      <c r="B46" s="14" t="s">
        <v>25</v>
      </c>
      <c r="C46" s="81"/>
      <c r="D46" s="103"/>
      <c r="E46" s="112"/>
      <c r="F46" s="104"/>
      <c r="G46" s="104"/>
      <c r="H46" s="104"/>
      <c r="I46" s="103">
        <f>I44+I45</f>
        <v>133388954.41976139</v>
      </c>
      <c r="J46" s="89"/>
    </row>
    <row r="47" spans="1:10">
      <c r="A47" s="69"/>
      <c r="B47" s="69"/>
      <c r="C47" s="69"/>
      <c r="E47" s="69"/>
      <c r="F47" s="69"/>
      <c r="G47" s="69"/>
      <c r="H47" s="69"/>
      <c r="I47" s="69"/>
      <c r="J47" s="69"/>
    </row>
    <row r="48" spans="1:10">
      <c r="A48" s="167" t="s">
        <v>96</v>
      </c>
      <c r="B48" s="168"/>
      <c r="C48" s="168"/>
      <c r="D48" s="175"/>
      <c r="E48" s="168"/>
      <c r="F48" s="168"/>
      <c r="G48" s="168"/>
      <c r="H48" s="168"/>
      <c r="I48" s="168"/>
      <c r="J48" s="144"/>
    </row>
    <row r="49" spans="1:10">
      <c r="A49" s="167" t="s">
        <v>123</v>
      </c>
      <c r="B49" s="168"/>
      <c r="C49" s="168"/>
      <c r="D49" s="176"/>
      <c r="E49" s="168"/>
      <c r="F49" s="168"/>
      <c r="G49" s="168"/>
      <c r="H49" s="168"/>
      <c r="I49" s="144"/>
      <c r="J49" s="144"/>
    </row>
  </sheetData>
  <mergeCells count="4">
    <mergeCell ref="A1:B1"/>
    <mergeCell ref="B36:C36"/>
    <mergeCell ref="B37:C37"/>
    <mergeCell ref="J8:J9"/>
  </mergeCells>
  <printOptions horizontalCentered="1"/>
  <pageMargins left="0.1" right="0.1" top="0.31496062992126" bottom="0.43" header="0.27559055118110198" footer="0.23622047244094499"/>
  <pageSetup paperSize="8" scale="85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ENTRANCE R1</vt:lpstr>
      <vt:lpstr>SCUPTURE AREA R1</vt:lpstr>
      <vt:lpstr>BERM&amp;MEDIAN R1</vt:lpstr>
      <vt:lpstr>MO R1</vt:lpstr>
      <vt:lpstr>L8 (1 lantai) R1</vt:lpstr>
      <vt:lpstr>L10 (2 lantai) R1</vt:lpstr>
      <vt:lpstr>'BERM&amp;MEDIAN R1'!Print_Area</vt:lpstr>
      <vt:lpstr>'ENTRANCE R1'!Print_Area</vt:lpstr>
      <vt:lpstr>'L10 (2 lantai) R1'!Print_Area</vt:lpstr>
      <vt:lpstr>'L8 (1 lantai) R1'!Print_Area</vt:lpstr>
      <vt:lpstr>'MO R1'!Print_Area</vt:lpstr>
      <vt:lpstr>'SCUPTURE AREA R1'!Print_Area</vt:lpstr>
      <vt:lpstr>'BERM&amp;MEDIAN R1'!Print_Titles</vt:lpstr>
      <vt:lpstr>'ENTRANCE R1'!Print_Titles</vt:lpstr>
      <vt:lpstr>'L10 (2 lantai) R1'!Print_Titles</vt:lpstr>
      <vt:lpstr>'L8 (1 lantai) R1'!Print_Titles</vt:lpstr>
      <vt:lpstr>'MO R1'!Print_Titles</vt:lpstr>
      <vt:lpstr>'SCUPTURE AREA R1'!Print_Titles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</dc:creator>
  <cp:lastModifiedBy>Supramono</cp:lastModifiedBy>
  <cp:lastPrinted>2016-10-13T04:03:54Z</cp:lastPrinted>
  <dcterms:created xsi:type="dcterms:W3CDTF">2016-07-20T02:08:28Z</dcterms:created>
  <dcterms:modified xsi:type="dcterms:W3CDTF">2016-11-15T09:56:33Z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</Properties>
</file>