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Z:\QS\Dudih\BUKIT MELIA\OE Pagar Panel Bukit Melia\"/>
    </mc:Choice>
  </mc:AlternateContent>
  <xr:revisionPtr revIDLastSave="0" documentId="13_ncr:1_{CFE8A6F1-FEF5-4213-B7BB-1D6A720D9555}" xr6:coauthVersionLast="45" xr6:coauthVersionMax="45" xr10:uidLastSave="{00000000-0000-0000-0000-000000000000}"/>
  <bookViews>
    <workbookView xWindow="-120" yWindow="-120" windowWidth="15600" windowHeight="11160" xr2:uid="{00000000-000D-0000-FFFF-FFFF00000000}"/>
  </bookViews>
  <sheets>
    <sheet name="Sheet1" sheetId="1" r:id="rId1"/>
    <sheet name="Volume" sheetId="2" r:id="rId2"/>
  </sheets>
  <definedNames>
    <definedName name="_xlnm.Print_Area" localSheetId="0">Sheet1!$A$1:$G$44</definedName>
    <definedName name="_xlnm.Print_Area" localSheetId="1">Volume!$A$1:$K$20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2" l="1"/>
  <c r="A9" i="2" l="1"/>
  <c r="A8" i="2"/>
  <c r="A2" i="2"/>
  <c r="A3" i="2"/>
  <c r="A4" i="2"/>
  <c r="A1" i="2"/>
  <c r="G16" i="1" l="1"/>
  <c r="G17" i="1"/>
  <c r="G18" i="1"/>
  <c r="G19" i="1" l="1"/>
  <c r="G33" i="1" s="1"/>
  <c r="J16" i="2" l="1"/>
  <c r="I16" i="2"/>
  <c r="D18" i="2" l="1"/>
  <c r="K17" i="2" l="1"/>
  <c r="G24" i="1" s="1"/>
  <c r="D17" i="2" l="1"/>
  <c r="D16" i="2"/>
  <c r="D15" i="2"/>
  <c r="L24" i="1"/>
  <c r="K24" i="1"/>
  <c r="H15" i="2" l="1"/>
  <c r="H18" i="2" s="1"/>
  <c r="K18" i="2" s="1"/>
  <c r="R27" i="1"/>
  <c r="N41" i="1" s="1"/>
  <c r="P40" i="1"/>
  <c r="P38" i="1"/>
  <c r="P37" i="1"/>
  <c r="N35" i="1"/>
  <c r="O36" i="1"/>
  <c r="N36" i="1"/>
  <c r="K15" i="2" l="1"/>
  <c r="G22" i="1" s="1"/>
  <c r="K16" i="2"/>
  <c r="P43" i="1"/>
  <c r="P42" i="1"/>
  <c r="O41" i="1"/>
  <c r="P41" i="1"/>
  <c r="Q34" i="1"/>
  <c r="P34" i="1"/>
  <c r="G23" i="1" l="1"/>
  <c r="G25" i="1" s="1"/>
  <c r="G34" i="1" s="1"/>
  <c r="G37" i="1" s="1"/>
  <c r="K20" i="2"/>
  <c r="P36" i="1"/>
  <c r="G38" i="1" l="1"/>
  <c r="G40" i="1"/>
  <c r="G41" i="1" s="1"/>
  <c r="G42" i="1" s="1"/>
  <c r="G44" i="1" s="1"/>
  <c r="B34" i="1"/>
  <c r="A34" i="1"/>
  <c r="D24" i="1"/>
  <c r="D23" i="1"/>
  <c r="D22" i="1"/>
  <c r="D16" i="1"/>
  <c r="K25" i="1" l="1"/>
  <c r="H16" i="1" l="1"/>
  <c r="H17" i="1"/>
  <c r="H18" i="1"/>
  <c r="H22" i="1"/>
  <c r="H23" i="1"/>
  <c r="H24" i="1"/>
  <c r="G45" i="1"/>
  <c r="G47" i="1"/>
  <c r="B52" i="1" s="1"/>
  <c r="B53" i="1" s="1"/>
  <c r="H25" i="1" l="1"/>
  <c r="H19" i="1"/>
  <c r="H33" i="1" l="1"/>
</calcChain>
</file>

<file path=xl/sharedStrings.xml><?xml version="1.0" encoding="utf-8"?>
<sst xmlns="http://schemas.openxmlformats.org/spreadsheetml/2006/main" count="77" uniqueCount="58">
  <si>
    <t>BAGIAN QUANTITY SURVEYOR</t>
  </si>
  <si>
    <t>RENCANA ANGGARAN BIAYA</t>
  </si>
  <si>
    <t>NO</t>
  </si>
  <si>
    <t>U R A I A N</t>
  </si>
  <si>
    <t>SAT</t>
  </si>
  <si>
    <t>VOLUME</t>
  </si>
  <si>
    <t xml:space="preserve">HARSAT </t>
  </si>
  <si>
    <t>JUMLAH</t>
  </si>
  <si>
    <t>KETERANGAN</t>
  </si>
  <si>
    <t xml:space="preserve">A </t>
  </si>
  <si>
    <t>PEKERJAAN PERSIAPAN</t>
  </si>
  <si>
    <t>m'</t>
  </si>
  <si>
    <t>Sub Total A</t>
  </si>
  <si>
    <t xml:space="preserve"> </t>
  </si>
  <si>
    <t>B</t>
  </si>
  <si>
    <t>Sub Total B</t>
  </si>
  <si>
    <t>R E K A P I T U L A S I</t>
  </si>
  <si>
    <t>Sub total 1</t>
  </si>
  <si>
    <t>Fee Kontraktor</t>
  </si>
  <si>
    <t>Sub total 2</t>
  </si>
  <si>
    <t>DIBULATKAN</t>
  </si>
  <si>
    <t>PPn  10 %</t>
  </si>
  <si>
    <t>TOTAL</t>
  </si>
  <si>
    <t>PEMBULATAN</t>
  </si>
  <si>
    <t>HARGA SATUAN PER M'</t>
  </si>
  <si>
    <t>( Excl PPn )</t>
  </si>
  <si>
    <t>Catatan :  harga satuan repeat order B. Aster</t>
  </si>
  <si>
    <t>Panjang</t>
  </si>
  <si>
    <t>Ring Balok</t>
  </si>
  <si>
    <t>Tinggi Pondasi strouss</t>
  </si>
  <si>
    <t>Tinggi Kolom</t>
  </si>
  <si>
    <t>Diameter Pondasi strouss</t>
  </si>
  <si>
    <t>Tinggi Pasangangan Batako</t>
  </si>
  <si>
    <t>Tinggi Pondasi Batu kali</t>
  </si>
  <si>
    <t>Lebar Atas Pondasi Batu Kali</t>
  </si>
  <si>
    <t>Lebar Bawah Pondasi Batu Kali</t>
  </si>
  <si>
    <t>BOBOT</t>
  </si>
  <si>
    <t>PERUMAHAN CITRA INDAH CITY</t>
  </si>
  <si>
    <t>KOTA NUANSA ALAM - TIMUR CIBUBUR</t>
  </si>
  <si>
    <t xml:space="preserve">Mobilisasi dan Demobilisasi </t>
  </si>
  <si>
    <t xml:space="preserve">Pengukuran </t>
  </si>
  <si>
    <t>Langsiran</t>
  </si>
  <si>
    <t>PEKERJAAN PAGAR PANEL BETON</t>
  </si>
  <si>
    <t>Pondasi Batu Kali</t>
  </si>
  <si>
    <r>
      <t>m</t>
    </r>
    <r>
      <rPr>
        <sz val="11"/>
        <rFont val="Arial"/>
        <family val="2"/>
      </rPr>
      <t>³</t>
    </r>
  </si>
  <si>
    <t>Lebar</t>
  </si>
  <si>
    <t>Tinggi</t>
  </si>
  <si>
    <t>Volume</t>
  </si>
  <si>
    <t>Qty</t>
  </si>
  <si>
    <t>Kolom Pagar dalam Pondasi</t>
  </si>
  <si>
    <t>Luas Atas</t>
  </si>
  <si>
    <t>Luas Bawah</t>
  </si>
  <si>
    <t>Galian Pondasi 100 x 50 x 50</t>
  </si>
  <si>
    <t xml:space="preserve">PEKERJAAN    :  PEKERJAAN PAGAR PANEL BETON </t>
  </si>
  <si>
    <t>Pondasi Batu Kali 100 x 50 x 30</t>
  </si>
  <si>
    <t>Pagar Panel, t = 2,40 m</t>
  </si>
  <si>
    <t>PT. CIPUTRA INDAH</t>
  </si>
  <si>
    <t>LOKASI             :  BUKIT MELIA - CITRA INDAH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</si>
</sst>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_(* #,##0.000_);_(* \(#,##0.000\);_(* &quot;-&quot;??_);_(@_)"/>
    <numFmt numFmtId="167" formatCode="_(* #,##0_);_(* \(#,##0\);_(* &quot;-&quot;??_);_(@_)"/>
    <numFmt numFmtId="168" formatCode="_(* #,##0.00_);_(* \(#,##0.00\);_(* &quot;-&quot;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i/>
      <u/>
      <sz val="12"/>
      <name val="Arial"/>
      <family val="2"/>
    </font>
    <font>
      <b/>
      <i/>
      <u/>
      <sz val="18"/>
      <name val="Arial"/>
      <family val="2"/>
    </font>
    <font>
      <b/>
      <i/>
      <u/>
      <sz val="14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0"/>
      <color rgb="FF0070C0"/>
      <name val="Arial"/>
      <family val="2"/>
    </font>
    <font>
      <sz val="11"/>
      <color rgb="FF0070C0"/>
      <name val="Calibri"/>
      <family val="2"/>
      <scheme val="minor"/>
    </font>
    <font>
      <b/>
      <i/>
      <sz val="16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149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6" fontId="1" fillId="0" borderId="0" xfId="1" applyNumberFormat="1"/>
    <xf numFmtId="15" fontId="0" fillId="0" borderId="0" xfId="0" applyNumberFormat="1"/>
    <xf numFmtId="0" fontId="0" fillId="0" borderId="5" xfId="0" applyBorder="1" applyAlignment="1">
      <alignment horizontal="center"/>
    </xf>
    <xf numFmtId="0" fontId="3" fillId="0" borderId="1" xfId="0" applyFont="1" applyBorder="1"/>
    <xf numFmtId="0" fontId="5" fillId="0" borderId="2" xfId="0" applyFont="1" applyBorder="1"/>
    <xf numFmtId="0" fontId="0" fillId="0" borderId="6" xfId="0" applyBorder="1" applyAlignment="1">
      <alignment horizontal="center"/>
    </xf>
    <xf numFmtId="166" fontId="1" fillId="0" borderId="2" xfId="1" applyNumberFormat="1" applyBorder="1"/>
    <xf numFmtId="0" fontId="0" fillId="0" borderId="7" xfId="0" applyBorder="1"/>
    <xf numFmtId="166" fontId="1" fillId="0" borderId="6" xfId="1" applyNumberFormat="1" applyBorder="1"/>
    <xf numFmtId="166" fontId="6" fillId="0" borderId="6" xfId="1" applyNumberFormat="1" applyFont="1" applyBorder="1"/>
    <xf numFmtId="0" fontId="10" fillId="0" borderId="6" xfId="0" applyFont="1" applyBorder="1"/>
    <xf numFmtId="0" fontId="0" fillId="0" borderId="10" xfId="0" applyBorder="1"/>
    <xf numFmtId="0" fontId="0" fillId="0" borderId="4" xfId="0" applyBorder="1" applyAlignment="1">
      <alignment horizontal="center"/>
    </xf>
    <xf numFmtId="166" fontId="1" fillId="0" borderId="4" xfId="1" applyNumberFormat="1" applyBorder="1"/>
    <xf numFmtId="166" fontId="6" fillId="0" borderId="4" xfId="1" applyNumberFormat="1" applyFont="1" applyBorder="1"/>
    <xf numFmtId="0" fontId="0" fillId="0" borderId="11" xfId="0" applyBorder="1"/>
    <xf numFmtId="0" fontId="6" fillId="0" borderId="0" xfId="0" applyFont="1"/>
    <xf numFmtId="0" fontId="7" fillId="0" borderId="0" xfId="0" applyFont="1"/>
    <xf numFmtId="0" fontId="11" fillId="0" borderId="0" xfId="0" applyFont="1"/>
    <xf numFmtId="0" fontId="12" fillId="0" borderId="0" xfId="0" applyFont="1"/>
    <xf numFmtId="166" fontId="4" fillId="0" borderId="0" xfId="1" applyNumberFormat="1" applyFont="1" applyFill="1" applyBorder="1"/>
    <xf numFmtId="166" fontId="1" fillId="0" borderId="0" xfId="1" applyNumberFormat="1" applyFill="1" applyBorder="1"/>
    <xf numFmtId="0" fontId="3" fillId="0" borderId="0" xfId="0" applyFont="1" applyBorder="1"/>
    <xf numFmtId="0" fontId="6" fillId="0" borderId="0" xfId="0" applyFont="1" applyBorder="1"/>
    <xf numFmtId="0" fontId="13" fillId="0" borderId="0" xfId="0" applyFont="1"/>
    <xf numFmtId="166" fontId="1" fillId="0" borderId="12" xfId="1" applyNumberFormat="1" applyFill="1" applyBorder="1"/>
    <xf numFmtId="164" fontId="14" fillId="0" borderId="0" xfId="0" applyNumberFormat="1" applyFont="1"/>
    <xf numFmtId="0" fontId="9" fillId="0" borderId="0" xfId="0" applyFont="1" applyAlignment="1">
      <alignment horizontal="center"/>
    </xf>
    <xf numFmtId="166" fontId="9" fillId="0" borderId="0" xfId="1" applyNumberFormat="1" applyFont="1" applyFill="1" applyBorder="1"/>
    <xf numFmtId="164" fontId="0" fillId="0" borderId="0" xfId="0" applyNumberFormat="1"/>
    <xf numFmtId="0" fontId="0" fillId="0" borderId="0" xfId="0" applyBorder="1" applyAlignment="1">
      <alignment horizontal="center"/>
    </xf>
    <xf numFmtId="166" fontId="1" fillId="0" borderId="0" xfId="1" applyNumberFormat="1" applyBorder="1"/>
    <xf numFmtId="164" fontId="16" fillId="0" borderId="0" xfId="0" applyNumberFormat="1" applyFont="1"/>
    <xf numFmtId="0" fontId="8" fillId="0" borderId="0" xfId="0" applyFont="1"/>
    <xf numFmtId="0" fontId="7" fillId="0" borderId="0" xfId="0" applyFont="1" applyBorder="1" applyAlignment="1">
      <alignment horizontal="center"/>
    </xf>
    <xf numFmtId="166" fontId="7" fillId="0" borderId="0" xfId="1" applyNumberFormat="1" applyFont="1" applyBorder="1"/>
    <xf numFmtId="164" fontId="8" fillId="0" borderId="0" xfId="0" applyNumberFormat="1" applyFont="1"/>
    <xf numFmtId="165" fontId="0" fillId="0" borderId="0" xfId="0" applyNumberFormat="1"/>
    <xf numFmtId="0" fontId="17" fillId="0" borderId="0" xfId="0" applyFont="1" applyBorder="1"/>
    <xf numFmtId="0" fontId="0" fillId="0" borderId="0" xfId="0" applyBorder="1"/>
    <xf numFmtId="0" fontId="18" fillId="0" borderId="0" xfId="0" applyFont="1"/>
    <xf numFmtId="0" fontId="3" fillId="3" borderId="0" xfId="0" applyFont="1" applyFill="1"/>
    <xf numFmtId="0" fontId="19" fillId="3" borderId="0" xfId="0" applyFont="1" applyFill="1"/>
    <xf numFmtId="2" fontId="19" fillId="3" borderId="0" xfId="0" applyNumberFormat="1" applyFont="1" applyFill="1"/>
    <xf numFmtId="0" fontId="20" fillId="3" borderId="0" xfId="0" applyFont="1" applyFill="1"/>
    <xf numFmtId="0" fontId="20" fillId="0" borderId="0" xfId="0" applyFont="1"/>
    <xf numFmtId="0" fontId="2" fillId="3" borderId="0" xfId="0" applyFont="1" applyFill="1"/>
    <xf numFmtId="0" fontId="2" fillId="0" borderId="0" xfId="0" applyFont="1"/>
    <xf numFmtId="166" fontId="14" fillId="0" borderId="6" xfId="1" applyNumberFormat="1" applyFont="1" applyBorder="1"/>
    <xf numFmtId="166" fontId="1" fillId="0" borderId="6" xfId="1" applyNumberFormat="1" applyFont="1" applyBorder="1"/>
    <xf numFmtId="166" fontId="14" fillId="0" borderId="4" xfId="1" applyNumberFormat="1" applyFont="1" applyBorder="1"/>
    <xf numFmtId="166" fontId="1" fillId="0" borderId="4" xfId="1" applyNumberFormat="1" applyFont="1" applyBorder="1"/>
    <xf numFmtId="0" fontId="14" fillId="0" borderId="0" xfId="0" applyFont="1"/>
    <xf numFmtId="0" fontId="1" fillId="0" borderId="0" xfId="0" applyFont="1"/>
    <xf numFmtId="167" fontId="14" fillId="0" borderId="0" xfId="0" applyNumberFormat="1" applyFont="1"/>
    <xf numFmtId="0" fontId="14" fillId="0" borderId="0" xfId="0" applyFont="1" applyBorder="1"/>
    <xf numFmtId="164" fontId="14" fillId="0" borderId="0" xfId="0" applyNumberFormat="1" applyFont="1" applyBorder="1"/>
    <xf numFmtId="0" fontId="1" fillId="0" borderId="0" xfId="0" applyFont="1" applyBorder="1"/>
    <xf numFmtId="164" fontId="1" fillId="0" borderId="0" xfId="2" applyFont="1"/>
    <xf numFmtId="164" fontId="16" fillId="0" borderId="0" xfId="3" applyNumberFormat="1" applyFont="1" applyAlignment="1" applyProtection="1"/>
    <xf numFmtId="0" fontId="14" fillId="0" borderId="11" xfId="0" applyFont="1" applyBorder="1"/>
    <xf numFmtId="168" fontId="16" fillId="0" borderId="0" xfId="2" applyNumberFormat="1" applyFont="1"/>
    <xf numFmtId="0" fontId="0" fillId="0" borderId="13" xfId="0" applyBorder="1"/>
    <xf numFmtId="10" fontId="16" fillId="0" borderId="0" xfId="0" applyNumberFormat="1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13" fillId="0" borderId="7" xfId="0" applyFont="1" applyBorder="1"/>
    <xf numFmtId="0" fontId="22" fillId="0" borderId="8" xfId="0" applyFont="1" applyBorder="1"/>
    <xf numFmtId="0" fontId="0" fillId="0" borderId="8" xfId="0" applyFont="1" applyBorder="1" applyAlignment="1">
      <alignment horizontal="center"/>
    </xf>
    <xf numFmtId="166" fontId="0" fillId="0" borderId="8" xfId="1" applyNumberFormat="1" applyFont="1" applyBorder="1"/>
    <xf numFmtId="166" fontId="23" fillId="0" borderId="8" xfId="1" applyNumberFormat="1" applyFont="1" applyBorder="1"/>
    <xf numFmtId="0" fontId="0" fillId="0" borderId="0" xfId="0" applyFont="1"/>
    <xf numFmtId="0" fontId="23" fillId="0" borderId="7" xfId="0" applyFont="1" applyBorder="1"/>
    <xf numFmtId="167" fontId="24" fillId="0" borderId="8" xfId="1" applyNumberFormat="1" applyFont="1" applyBorder="1"/>
    <xf numFmtId="166" fontId="24" fillId="0" borderId="8" xfId="1" applyNumberFormat="1" applyFont="1" applyBorder="1"/>
    <xf numFmtId="0" fontId="13" fillId="2" borderId="9" xfId="0" applyFont="1" applyFill="1" applyBorder="1"/>
    <xf numFmtId="0" fontId="0" fillId="0" borderId="7" xfId="0" applyFont="1" applyBorder="1"/>
    <xf numFmtId="0" fontId="0" fillId="0" borderId="6" xfId="0" applyFont="1" applyBorder="1" applyAlignment="1">
      <alignment horizontal="center"/>
    </xf>
    <xf numFmtId="166" fontId="0" fillId="0" borderId="6" xfId="1" applyNumberFormat="1" applyFont="1" applyBorder="1"/>
    <xf numFmtId="166" fontId="23" fillId="0" borderId="6" xfId="1" applyNumberFormat="1" applyFont="1" applyFill="1" applyBorder="1"/>
    <xf numFmtId="166" fontId="24" fillId="0" borderId="6" xfId="1" applyNumberFormat="1" applyFont="1" applyBorder="1"/>
    <xf numFmtId="0" fontId="13" fillId="3" borderId="0" xfId="0" applyFont="1" applyFill="1"/>
    <xf numFmtId="0" fontId="26" fillId="3" borderId="0" xfId="0" applyFont="1" applyFill="1"/>
    <xf numFmtId="2" fontId="26" fillId="3" borderId="0" xfId="0" applyNumberFormat="1" applyFont="1" applyFill="1"/>
    <xf numFmtId="0" fontId="24" fillId="0" borderId="0" xfId="0" applyFont="1"/>
    <xf numFmtId="0" fontId="23" fillId="0" borderId="0" xfId="0" applyFont="1"/>
    <xf numFmtId="0" fontId="24" fillId="0" borderId="7" xfId="0" applyFont="1" applyBorder="1"/>
    <xf numFmtId="165" fontId="0" fillId="0" borderId="0" xfId="0" applyNumberFormat="1" applyFont="1"/>
    <xf numFmtId="0" fontId="23" fillId="0" borderId="8" xfId="0" applyFont="1" applyFill="1" applyBorder="1"/>
    <xf numFmtId="0" fontId="24" fillId="0" borderId="8" xfId="0" applyFont="1" applyFill="1" applyBorder="1" applyAlignment="1">
      <alignment horizontal="center"/>
    </xf>
    <xf numFmtId="165" fontId="0" fillId="0" borderId="8" xfId="1" applyNumberFormat="1" applyFont="1" applyFill="1" applyBorder="1"/>
    <xf numFmtId="0" fontId="13" fillId="0" borderId="9" xfId="0" applyFont="1" applyFill="1" applyBorder="1"/>
    <xf numFmtId="0" fontId="22" fillId="0" borderId="8" xfId="0" applyFont="1" applyFill="1" applyBorder="1"/>
    <xf numFmtId="0" fontId="24" fillId="0" borderId="8" xfId="0" applyFont="1" applyFill="1" applyBorder="1"/>
    <xf numFmtId="166" fontId="0" fillId="0" borderId="8" xfId="1" applyNumberFormat="1" applyFont="1" applyFill="1" applyBorder="1"/>
    <xf numFmtId="165" fontId="0" fillId="0" borderId="0" xfId="1" applyFont="1"/>
    <xf numFmtId="165" fontId="1" fillId="0" borderId="2" xfId="1" applyBorder="1"/>
    <xf numFmtId="165" fontId="23" fillId="0" borderId="8" xfId="1" applyFont="1" applyFill="1" applyBorder="1"/>
    <xf numFmtId="165" fontId="24" fillId="0" borderId="8" xfId="1" applyFont="1" applyBorder="1"/>
    <xf numFmtId="165" fontId="6" fillId="0" borderId="4" xfId="1" applyFont="1" applyBorder="1"/>
    <xf numFmtId="165" fontId="14" fillId="0" borderId="4" xfId="1" applyFont="1" applyBorder="1"/>
    <xf numFmtId="165" fontId="6" fillId="0" borderId="0" xfId="1" applyFont="1"/>
    <xf numFmtId="165" fontId="14" fillId="0" borderId="0" xfId="1" applyFont="1"/>
    <xf numFmtId="0" fontId="0" fillId="0" borderId="16" xfId="0" applyBorder="1"/>
    <xf numFmtId="165" fontId="0" fillId="0" borderId="0" xfId="1" applyFont="1" applyBorder="1"/>
    <xf numFmtId="165" fontId="1" fillId="0" borderId="14" xfId="1" applyBorder="1"/>
    <xf numFmtId="0" fontId="0" fillId="0" borderId="4" xfId="0" applyBorder="1"/>
    <xf numFmtId="165" fontId="14" fillId="0" borderId="15" xfId="1" applyFont="1" applyBorder="1"/>
    <xf numFmtId="166" fontId="1" fillId="0" borderId="19" xfId="1" applyNumberFormat="1" applyBorder="1"/>
    <xf numFmtId="166" fontId="23" fillId="0" borderId="17" xfId="1" applyNumberFormat="1" applyFont="1" applyBorder="1"/>
    <xf numFmtId="10" fontId="24" fillId="0" borderId="17" xfId="1" applyNumberFormat="1" applyFont="1" applyBorder="1" applyAlignment="1">
      <alignment horizontal="center"/>
    </xf>
    <xf numFmtId="10" fontId="25" fillId="2" borderId="17" xfId="0" applyNumberFormat="1" applyFont="1" applyFill="1" applyBorder="1" applyAlignment="1">
      <alignment horizontal="center"/>
    </xf>
    <xf numFmtId="166" fontId="24" fillId="0" borderId="17" xfId="1" applyNumberFormat="1" applyFont="1" applyBorder="1"/>
    <xf numFmtId="166" fontId="14" fillId="0" borderId="17" xfId="1" applyNumberFormat="1" applyFont="1" applyBorder="1"/>
    <xf numFmtId="166" fontId="14" fillId="0" borderId="20" xfId="1" applyNumberFormat="1" applyFont="1" applyBorder="1"/>
    <xf numFmtId="0" fontId="0" fillId="0" borderId="17" xfId="0" applyBorder="1"/>
    <xf numFmtId="166" fontId="1" fillId="0" borderId="14" xfId="1" applyNumberFormat="1" applyBorder="1"/>
    <xf numFmtId="167" fontId="24" fillId="0" borderId="17" xfId="1" applyNumberFormat="1" applyFont="1" applyBorder="1"/>
    <xf numFmtId="167" fontId="25" fillId="2" borderId="21" xfId="0" applyNumberFormat="1" applyFont="1" applyFill="1" applyBorder="1"/>
    <xf numFmtId="166" fontId="14" fillId="0" borderId="18" xfId="1" applyNumberFormat="1" applyFont="1" applyBorder="1"/>
    <xf numFmtId="166" fontId="14" fillId="0" borderId="15" xfId="1" applyNumberFormat="1" applyFont="1" applyBorder="1"/>
    <xf numFmtId="165" fontId="1" fillId="0" borderId="22" xfId="1" applyBorder="1"/>
    <xf numFmtId="165" fontId="24" fillId="0" borderId="0" xfId="1" applyFont="1" applyBorder="1"/>
    <xf numFmtId="165" fontId="14" fillId="0" borderId="23" xfId="1" applyFont="1" applyBorder="1"/>
    <xf numFmtId="165" fontId="0" fillId="0" borderId="6" xfId="1" applyFont="1" applyBorder="1"/>
    <xf numFmtId="165" fontId="0" fillId="0" borderId="18" xfId="1" applyFont="1" applyBorder="1"/>
    <xf numFmtId="165" fontId="24" fillId="0" borderId="6" xfId="1" applyFont="1" applyBorder="1"/>
    <xf numFmtId="165" fontId="24" fillId="0" borderId="18" xfId="1" applyFont="1" applyBorder="1"/>
    <xf numFmtId="165" fontId="23" fillId="0" borderId="8" xfId="1" applyNumberFormat="1" applyFont="1" applyFill="1" applyBorder="1"/>
    <xf numFmtId="166" fontId="3" fillId="2" borderId="14" xfId="1" applyNumberFormat="1" applyFont="1" applyFill="1" applyBorder="1" applyAlignment="1">
      <alignment horizontal="center" vertical="center"/>
    </xf>
    <xf numFmtId="166" fontId="3" fillId="2" borderId="15" xfId="1" applyNumberFormat="1" applyFont="1" applyFill="1" applyBorder="1" applyAlignment="1">
      <alignment horizontal="center" vertical="center"/>
    </xf>
    <xf numFmtId="166" fontId="3" fillId="2" borderId="2" xfId="1" applyNumberFormat="1" applyFont="1" applyFill="1" applyBorder="1" applyAlignment="1">
      <alignment horizontal="center" vertical="center"/>
    </xf>
    <xf numFmtId="166" fontId="3" fillId="2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6" fontId="3" fillId="2" borderId="19" xfId="1" applyNumberFormat="1" applyFont="1" applyFill="1" applyBorder="1" applyAlignment="1">
      <alignment horizontal="center" vertical="center"/>
    </xf>
    <xf numFmtId="166" fontId="3" fillId="2" borderId="20" xfId="1" applyNumberFormat="1" applyFont="1" applyFill="1" applyBorder="1" applyAlignment="1">
      <alignment horizontal="center" vertical="center"/>
    </xf>
    <xf numFmtId="165" fontId="3" fillId="2" borderId="14" xfId="1" applyFont="1" applyFill="1" applyBorder="1" applyAlignment="1">
      <alignment horizontal="center" vertical="center"/>
    </xf>
    <xf numFmtId="165" fontId="3" fillId="2" borderId="15" xfId="1" applyFont="1" applyFill="1" applyBorder="1" applyAlignment="1">
      <alignment horizontal="center" vertical="center"/>
    </xf>
    <xf numFmtId="165" fontId="3" fillId="2" borderId="2" xfId="1" applyFont="1" applyFill="1" applyBorder="1" applyAlignment="1">
      <alignment horizontal="center" vertical="center"/>
    </xf>
    <xf numFmtId="165" fontId="3" fillId="2" borderId="4" xfId="1" applyFont="1" applyFill="1" applyBorder="1" applyAlignment="1">
      <alignment horizontal="center" vertical="center"/>
    </xf>
    <xf numFmtId="165" fontId="3" fillId="2" borderId="22" xfId="1" applyFont="1" applyFill="1" applyBorder="1" applyAlignment="1">
      <alignment horizontal="center" vertical="center"/>
    </xf>
    <xf numFmtId="165" fontId="3" fillId="2" borderId="23" xfId="1" applyFont="1" applyFill="1" applyBorder="1" applyAlignment="1">
      <alignment horizontal="center" vertical="center"/>
    </xf>
    <xf numFmtId="165" fontId="3" fillId="2" borderId="2" xfId="1" applyFont="1" applyFill="1" applyBorder="1" applyAlignment="1">
      <alignment horizontal="center" vertical="center" wrapText="1"/>
    </xf>
    <xf numFmtId="165" fontId="3" fillId="2" borderId="4" xfId="1" applyFont="1" applyFill="1" applyBorder="1" applyAlignment="1">
      <alignment horizontal="center" vertical="center" wrapText="1"/>
    </xf>
  </cellXfs>
  <cellStyles count="4">
    <cellStyle name="Comma" xfId="1" builtinId="3"/>
    <cellStyle name="Comma [0]" xfId="2" builtinId="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=@round(F44;-3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"/>
  <sheetViews>
    <sheetView tabSelected="1" view="pageBreakPreview" topLeftCell="A4" zoomScale="84" zoomScaleNormal="100" zoomScaleSheetLayoutView="84" workbookViewId="0">
      <selection activeCell="F16" sqref="F16:F24"/>
    </sheetView>
  </sheetViews>
  <sheetFormatPr defaultRowHeight="15" x14ac:dyDescent="0.25"/>
  <cols>
    <col min="1" max="1" width="5" customWidth="1"/>
    <col min="2" max="2" width="37.5703125" customWidth="1"/>
    <col min="3" max="3" width="5.140625" style="2" customWidth="1"/>
    <col min="4" max="4" width="11.140625" style="3" hidden="1" customWidth="1"/>
    <col min="5" max="5" width="10.85546875" customWidth="1"/>
    <col min="6" max="6" width="13.5703125" customWidth="1"/>
    <col min="7" max="7" width="16.42578125" customWidth="1"/>
    <col min="8" max="8" width="14" customWidth="1"/>
    <col min="9" max="9" width="15.5703125" customWidth="1"/>
    <col min="10" max="10" width="1.140625" customWidth="1"/>
    <col min="11" max="11" width="13.28515625" bestFit="1" customWidth="1"/>
    <col min="14" max="14" width="31.28515625" customWidth="1"/>
    <col min="15" max="16" width="9.140625" style="43"/>
    <col min="17" max="17" width="19.5703125" style="43" customWidth="1"/>
    <col min="18" max="19" width="9.140625" style="43"/>
  </cols>
  <sheetData>
    <row r="1" spans="1:19" x14ac:dyDescent="0.25">
      <c r="A1" s="27" t="s">
        <v>56</v>
      </c>
    </row>
    <row r="2" spans="1:19" x14ac:dyDescent="0.25">
      <c r="A2" s="27" t="s">
        <v>37</v>
      </c>
    </row>
    <row r="3" spans="1:19" x14ac:dyDescent="0.25">
      <c r="A3" s="27" t="s">
        <v>38</v>
      </c>
    </row>
    <row r="4" spans="1:19" x14ac:dyDescent="0.25">
      <c r="A4" s="27" t="s">
        <v>0</v>
      </c>
    </row>
    <row r="5" spans="1:19" x14ac:dyDescent="0.25">
      <c r="A5" s="1"/>
    </row>
    <row r="6" spans="1:19" ht="20.25" x14ac:dyDescent="0.25">
      <c r="A6" s="67" t="s">
        <v>1</v>
      </c>
    </row>
    <row r="7" spans="1:19" x14ac:dyDescent="0.25">
      <c r="A7" s="1"/>
    </row>
    <row r="8" spans="1:19" x14ac:dyDescent="0.25">
      <c r="A8" s="27" t="s">
        <v>53</v>
      </c>
    </row>
    <row r="9" spans="1:19" x14ac:dyDescent="0.25">
      <c r="A9" s="27" t="s">
        <v>57</v>
      </c>
    </row>
    <row r="10" spans="1:19" ht="15.75" thickBot="1" x14ac:dyDescent="0.3">
      <c r="G10" s="4"/>
      <c r="I10" s="4">
        <v>42186</v>
      </c>
    </row>
    <row r="11" spans="1:19" s="86" customFormat="1" thickTop="1" x14ac:dyDescent="0.2">
      <c r="A11" s="135" t="s">
        <v>2</v>
      </c>
      <c r="B11" s="137" t="s">
        <v>3</v>
      </c>
      <c r="C11" s="137" t="s">
        <v>4</v>
      </c>
      <c r="D11" s="133" t="s">
        <v>5</v>
      </c>
      <c r="E11" s="133" t="s">
        <v>5</v>
      </c>
      <c r="F11" s="133" t="s">
        <v>6</v>
      </c>
      <c r="G11" s="131" t="s">
        <v>7</v>
      </c>
      <c r="H11" s="139" t="s">
        <v>36</v>
      </c>
      <c r="I11" s="133" t="s">
        <v>8</v>
      </c>
      <c r="O11" s="87"/>
      <c r="P11" s="87"/>
      <c r="Q11" s="87"/>
      <c r="R11" s="87"/>
      <c r="S11" s="87"/>
    </row>
    <row r="12" spans="1:19" s="86" customFormat="1" thickBot="1" x14ac:dyDescent="0.25">
      <c r="A12" s="136"/>
      <c r="B12" s="138"/>
      <c r="C12" s="138"/>
      <c r="D12" s="134"/>
      <c r="E12" s="134"/>
      <c r="F12" s="134"/>
      <c r="G12" s="132"/>
      <c r="H12" s="140"/>
      <c r="I12" s="134"/>
      <c r="O12" s="87"/>
      <c r="P12" s="87"/>
      <c r="Q12" s="87"/>
      <c r="R12" s="87"/>
      <c r="S12" s="87"/>
    </row>
    <row r="13" spans="1:19" ht="12.75" customHeight="1" thickTop="1" thickBot="1" x14ac:dyDescent="0.3">
      <c r="A13" s="105"/>
      <c r="B13" s="42"/>
      <c r="C13" s="5"/>
      <c r="D13" s="34"/>
      <c r="E13" s="42"/>
      <c r="F13" s="42"/>
      <c r="G13" s="117"/>
      <c r="H13" s="65"/>
    </row>
    <row r="14" spans="1:19" ht="15.75" thickTop="1" x14ac:dyDescent="0.25">
      <c r="A14" s="6"/>
      <c r="B14" s="7"/>
      <c r="C14" s="8"/>
      <c r="D14" s="9"/>
      <c r="E14" s="9"/>
      <c r="F14" s="9"/>
      <c r="G14" s="118"/>
      <c r="H14" s="110"/>
      <c r="I14" s="9"/>
    </row>
    <row r="15" spans="1:19" s="73" customFormat="1" x14ac:dyDescent="0.25">
      <c r="A15" s="68" t="s">
        <v>9</v>
      </c>
      <c r="B15" s="69" t="s">
        <v>10</v>
      </c>
      <c r="C15" s="70"/>
      <c r="D15" s="71"/>
      <c r="E15" s="72"/>
      <c r="F15" s="72"/>
      <c r="G15" s="111"/>
      <c r="H15" s="111"/>
      <c r="I15" s="71"/>
      <c r="O15" s="43"/>
      <c r="P15" s="43"/>
      <c r="Q15" s="43"/>
      <c r="R15" s="43"/>
      <c r="S15" s="43"/>
    </row>
    <row r="16" spans="1:19" s="73" customFormat="1" x14ac:dyDescent="0.25">
      <c r="A16" s="74">
        <v>1</v>
      </c>
      <c r="B16" s="90" t="s">
        <v>39</v>
      </c>
      <c r="C16" s="91" t="s">
        <v>11</v>
      </c>
      <c r="D16" s="92" t="e">
        <f>#REF!</f>
        <v>#REF!</v>
      </c>
      <c r="E16" s="130">
        <v>864.63</v>
      </c>
      <c r="F16" s="75"/>
      <c r="G16" s="119">
        <f>E16*F16</f>
        <v>0</v>
      </c>
      <c r="H16" s="112" t="e">
        <f>(G16/G37)</f>
        <v>#DIV/0!</v>
      </c>
      <c r="I16" s="76"/>
      <c r="O16" s="43"/>
      <c r="P16" s="43"/>
      <c r="Q16" s="43"/>
      <c r="R16" s="43"/>
      <c r="S16" s="43"/>
    </row>
    <row r="17" spans="1:19" s="73" customFormat="1" x14ac:dyDescent="0.25">
      <c r="A17" s="74">
        <v>2</v>
      </c>
      <c r="B17" s="90" t="s">
        <v>40</v>
      </c>
      <c r="C17" s="91" t="s">
        <v>11</v>
      </c>
      <c r="D17" s="92">
        <v>1</v>
      </c>
      <c r="E17" s="130">
        <v>864.63</v>
      </c>
      <c r="F17" s="75"/>
      <c r="G17" s="119">
        <f>E17*F17</f>
        <v>0</v>
      </c>
      <c r="H17" s="112" t="e">
        <f>(G17/G37)</f>
        <v>#DIV/0!</v>
      </c>
      <c r="I17" s="76"/>
      <c r="O17" s="43"/>
      <c r="P17" s="43"/>
      <c r="Q17" s="43"/>
      <c r="R17" s="43"/>
      <c r="S17" s="43"/>
    </row>
    <row r="18" spans="1:19" s="73" customFormat="1" ht="15.75" thickBot="1" x14ac:dyDescent="0.3">
      <c r="A18" s="74">
        <v>3</v>
      </c>
      <c r="B18" s="90" t="s">
        <v>41</v>
      </c>
      <c r="C18" s="91" t="s">
        <v>11</v>
      </c>
      <c r="D18" s="92">
        <v>1</v>
      </c>
      <c r="E18" s="130">
        <v>864.63</v>
      </c>
      <c r="F18" s="75"/>
      <c r="G18" s="119">
        <f>E18*F18</f>
        <v>0</v>
      </c>
      <c r="H18" s="112" t="e">
        <f>(G18/G37)</f>
        <v>#DIV/0!</v>
      </c>
      <c r="I18" s="71"/>
      <c r="O18" s="43"/>
      <c r="P18" s="43"/>
      <c r="Q18" s="43"/>
      <c r="R18" s="43"/>
      <c r="S18" s="43"/>
    </row>
    <row r="19" spans="1:19" s="73" customFormat="1" ht="15.75" thickBot="1" x14ac:dyDescent="0.3">
      <c r="A19" s="68"/>
      <c r="B19" s="93" t="s">
        <v>12</v>
      </c>
      <c r="C19" s="91"/>
      <c r="D19" s="92"/>
      <c r="E19" s="130"/>
      <c r="F19" s="75"/>
      <c r="G19" s="120">
        <f>SUM(G16:G18)</f>
        <v>0</v>
      </c>
      <c r="H19" s="113" t="e">
        <f>SUM(H16:H18)</f>
        <v>#DIV/0!</v>
      </c>
      <c r="I19" s="71"/>
      <c r="O19" s="43"/>
      <c r="P19" s="43"/>
      <c r="Q19" s="43"/>
      <c r="R19" s="43"/>
      <c r="S19" s="43"/>
    </row>
    <row r="20" spans="1:19" s="73" customFormat="1" x14ac:dyDescent="0.25">
      <c r="A20" s="68"/>
      <c r="B20" s="94"/>
      <c r="C20" s="91"/>
      <c r="D20" s="92"/>
      <c r="E20" s="130" t="s">
        <v>13</v>
      </c>
      <c r="F20" s="75"/>
      <c r="G20" s="114"/>
      <c r="H20" s="114"/>
      <c r="I20" s="71"/>
      <c r="O20" s="43"/>
      <c r="P20" s="43"/>
      <c r="Q20" s="43"/>
      <c r="R20" s="43"/>
      <c r="S20" s="43"/>
    </row>
    <row r="21" spans="1:19" s="73" customFormat="1" x14ac:dyDescent="0.25">
      <c r="A21" s="68" t="s">
        <v>14</v>
      </c>
      <c r="B21" s="94" t="s">
        <v>42</v>
      </c>
      <c r="C21" s="91"/>
      <c r="D21" s="92"/>
      <c r="E21" s="130"/>
      <c r="F21" s="75"/>
      <c r="G21" s="114"/>
      <c r="H21" s="114"/>
      <c r="I21" s="71"/>
      <c r="O21" s="43"/>
      <c r="P21" s="43"/>
      <c r="Q21" s="43"/>
      <c r="R21" s="43"/>
      <c r="S21" s="43"/>
    </row>
    <row r="22" spans="1:19" s="73" customFormat="1" x14ac:dyDescent="0.25">
      <c r="A22" s="88">
        <v>1</v>
      </c>
      <c r="B22" s="95" t="s">
        <v>52</v>
      </c>
      <c r="C22" s="91" t="s">
        <v>44</v>
      </c>
      <c r="D22" s="96" t="e">
        <f>(1/4*#REF!*(L25^2))*#REF!*#REF!</f>
        <v>#REF!</v>
      </c>
      <c r="E22" s="130">
        <v>86.5</v>
      </c>
      <c r="F22" s="75"/>
      <c r="G22" s="119">
        <f t="shared" ref="G22:G24" si="0">E22*F22</f>
        <v>0</v>
      </c>
      <c r="H22" s="112" t="e">
        <f>(G22/G37)</f>
        <v>#DIV/0!</v>
      </c>
      <c r="I22" s="76"/>
      <c r="O22" s="43"/>
      <c r="P22" s="43"/>
      <c r="Q22" s="43"/>
      <c r="R22" s="43"/>
      <c r="S22" s="43"/>
    </row>
    <row r="23" spans="1:19" s="73" customFormat="1" x14ac:dyDescent="0.25">
      <c r="A23" s="88">
        <v>2</v>
      </c>
      <c r="B23" s="95" t="s">
        <v>54</v>
      </c>
      <c r="C23" s="91" t="s">
        <v>44</v>
      </c>
      <c r="D23" s="92" t="e">
        <f>L28*L26*#REF!</f>
        <v>#REF!</v>
      </c>
      <c r="E23" s="130">
        <v>46.28</v>
      </c>
      <c r="F23" s="75"/>
      <c r="G23" s="119">
        <f t="shared" si="0"/>
        <v>0</v>
      </c>
      <c r="H23" s="112" t="e">
        <f>(G23/G37)</f>
        <v>#DIV/0!</v>
      </c>
      <c r="I23" s="71"/>
      <c r="O23" s="43"/>
      <c r="P23" s="43"/>
      <c r="Q23" s="43"/>
      <c r="R23" s="43"/>
      <c r="S23" s="43"/>
    </row>
    <row r="24" spans="1:19" s="73" customFormat="1" ht="15.75" thickBot="1" x14ac:dyDescent="0.3">
      <c r="A24" s="88">
        <v>3</v>
      </c>
      <c r="B24" s="95" t="s">
        <v>55</v>
      </c>
      <c r="C24" s="91" t="s">
        <v>11</v>
      </c>
      <c r="D24" s="92" t="e">
        <f>(1/4*#REF!*(L25^2))*(#REF!+L26)*#REF!</f>
        <v>#REF!</v>
      </c>
      <c r="E24" s="130">
        <v>864.63</v>
      </c>
      <c r="F24" s="75"/>
      <c r="G24" s="119">
        <f t="shared" si="0"/>
        <v>0</v>
      </c>
      <c r="H24" s="112" t="e">
        <f>(G24/G37)</f>
        <v>#DIV/0!</v>
      </c>
      <c r="I24" s="71"/>
      <c r="K24" s="89">
        <f>E24/2.5</f>
        <v>345.85199999999998</v>
      </c>
      <c r="L24" s="73">
        <f>364*0.15*0.15</f>
        <v>8.19</v>
      </c>
      <c r="O24" s="43"/>
      <c r="P24" s="43"/>
      <c r="Q24" s="43"/>
      <c r="R24" s="43"/>
      <c r="S24" s="43"/>
    </row>
    <row r="25" spans="1:19" s="73" customFormat="1" ht="15.75" thickBot="1" x14ac:dyDescent="0.3">
      <c r="A25" s="78"/>
      <c r="B25" s="77" t="s">
        <v>15</v>
      </c>
      <c r="C25" s="79"/>
      <c r="D25" s="80"/>
      <c r="E25" s="81"/>
      <c r="F25" s="82"/>
      <c r="G25" s="120">
        <f>SUM(G22:G24)</f>
        <v>0</v>
      </c>
      <c r="H25" s="113" t="e">
        <f>SUM(H22:H24)</f>
        <v>#DIV/0!</v>
      </c>
      <c r="I25" s="80"/>
      <c r="K25" s="89">
        <f>G25/697.5</f>
        <v>0</v>
      </c>
      <c r="N25" s="83" t="s">
        <v>27</v>
      </c>
      <c r="O25" s="84">
        <v>222.5</v>
      </c>
      <c r="P25" s="43"/>
      <c r="Q25" s="83" t="s">
        <v>28</v>
      </c>
      <c r="R25" s="84">
        <v>0.13</v>
      </c>
      <c r="S25" s="85">
        <v>0.13</v>
      </c>
    </row>
    <row r="26" spans="1:19" ht="15.75" x14ac:dyDescent="0.25">
      <c r="A26" s="10"/>
      <c r="B26" s="13"/>
      <c r="C26" s="8"/>
      <c r="D26" s="11"/>
      <c r="E26" s="12"/>
      <c r="F26" s="51"/>
      <c r="G26" s="121"/>
      <c r="H26" s="115"/>
      <c r="I26" s="52"/>
      <c r="N26" s="44" t="s">
        <v>29</v>
      </c>
      <c r="O26" s="45">
        <v>1.6</v>
      </c>
      <c r="Q26" s="44" t="s">
        <v>30</v>
      </c>
      <c r="R26" s="45">
        <v>1.7</v>
      </c>
      <c r="S26" s="44"/>
    </row>
    <row r="27" spans="1:19" ht="15.75" thickBot="1" x14ac:dyDescent="0.3">
      <c r="A27" s="14"/>
      <c r="B27" s="108"/>
      <c r="C27" s="15"/>
      <c r="D27" s="16"/>
      <c r="E27" s="17"/>
      <c r="F27" s="53"/>
      <c r="G27" s="122"/>
      <c r="H27" s="116"/>
      <c r="I27" s="54"/>
      <c r="N27" s="44" t="s">
        <v>31</v>
      </c>
      <c r="O27" s="45">
        <v>0.25</v>
      </c>
      <c r="Q27" s="44" t="s">
        <v>32</v>
      </c>
      <c r="R27" s="46">
        <f>R26-S25</f>
        <v>1.5699999999999998</v>
      </c>
      <c r="S27" s="44"/>
    </row>
    <row r="28" spans="1:19" ht="15.75" thickTop="1" x14ac:dyDescent="0.25">
      <c r="B28" s="18"/>
      <c r="E28" s="19"/>
      <c r="F28" s="55"/>
      <c r="G28" s="55"/>
      <c r="H28" s="55"/>
      <c r="I28" s="56"/>
      <c r="N28" s="44" t="s">
        <v>33</v>
      </c>
      <c r="O28" s="45">
        <v>0.5</v>
      </c>
    </row>
    <row r="29" spans="1:19" x14ac:dyDescent="0.25">
      <c r="E29" s="19"/>
      <c r="F29" s="55"/>
      <c r="G29" s="55"/>
      <c r="H29" s="55"/>
      <c r="I29" s="56"/>
      <c r="N29" s="44" t="s">
        <v>34</v>
      </c>
      <c r="O29" s="45">
        <v>0.25</v>
      </c>
      <c r="Q29" s="43">
        <v>396.6</v>
      </c>
    </row>
    <row r="30" spans="1:19" ht="23.25" x14ac:dyDescent="0.35">
      <c r="A30" s="21" t="s">
        <v>16</v>
      </c>
      <c r="E30" s="19"/>
      <c r="F30" s="55"/>
      <c r="G30" s="55"/>
      <c r="H30" s="55"/>
      <c r="I30" s="56"/>
      <c r="N30" s="44" t="s">
        <v>35</v>
      </c>
      <c r="O30" s="45">
        <v>0.5</v>
      </c>
    </row>
    <row r="31" spans="1:19" ht="18.75" x14ac:dyDescent="0.3">
      <c r="B31" s="22"/>
      <c r="D31" s="23"/>
      <c r="E31" s="19"/>
      <c r="F31" s="55"/>
      <c r="G31" s="55"/>
      <c r="H31" s="55"/>
      <c r="I31" s="56"/>
    </row>
    <row r="32" spans="1:19" ht="23.25" x14ac:dyDescent="0.35">
      <c r="A32" s="21"/>
      <c r="D32" s="24"/>
      <c r="E32" s="19"/>
      <c r="F32" s="55"/>
      <c r="G32" s="55"/>
      <c r="H32" s="55"/>
      <c r="I32" s="56"/>
    </row>
    <row r="33" spans="1:17" x14ac:dyDescent="0.25">
      <c r="A33" s="25" t="s">
        <v>9</v>
      </c>
      <c r="B33" s="25" t="s">
        <v>10</v>
      </c>
      <c r="D33" s="24"/>
      <c r="E33" s="19"/>
      <c r="F33" s="55"/>
      <c r="G33" s="57">
        <f>+G19</f>
        <v>0</v>
      </c>
      <c r="H33" s="66" t="e">
        <f>H19+H25</f>
        <v>#DIV/0!</v>
      </c>
      <c r="I33" s="56"/>
    </row>
    <row r="34" spans="1:17" ht="15.75" thickBot="1" x14ac:dyDescent="0.3">
      <c r="A34" s="25" t="str">
        <f>A21</f>
        <v>B</v>
      </c>
      <c r="B34" s="25" t="str">
        <f>B21</f>
        <v>PEKERJAAN PAGAR PANEL BETON</v>
      </c>
      <c r="C34" s="26"/>
      <c r="D34" s="26"/>
      <c r="E34" s="26"/>
      <c r="F34" s="58"/>
      <c r="G34" s="59">
        <f>+G25</f>
        <v>0</v>
      </c>
      <c r="H34" s="59"/>
      <c r="I34" s="58"/>
      <c r="P34" s="47" t="e">
        <f>((0.25*#REF!*(0.25^2))*1.1*#REF!)</f>
        <v>#REF!</v>
      </c>
      <c r="Q34" s="43">
        <f>0.4*0.4*O25</f>
        <v>35.600000000000009</v>
      </c>
    </row>
    <row r="35" spans="1:17" ht="3.75" customHeight="1" thickTop="1" thickBot="1" x14ac:dyDescent="0.3">
      <c r="A35" s="27"/>
      <c r="B35" s="1"/>
      <c r="D35" s="28"/>
      <c r="E35" s="26"/>
      <c r="F35" s="58"/>
      <c r="G35" s="63"/>
      <c r="H35" s="58"/>
      <c r="I35" s="60"/>
      <c r="N35" s="50" t="e">
        <f>((0.25*#REF!*(0.25^2))*O26)*#REF!</f>
        <v>#REF!</v>
      </c>
    </row>
    <row r="36" spans="1:17" ht="9" customHeight="1" x14ac:dyDescent="0.25">
      <c r="A36" s="27"/>
      <c r="B36" s="1"/>
      <c r="D36" s="24"/>
      <c r="E36" s="26"/>
      <c r="F36" s="58"/>
      <c r="G36" s="58"/>
      <c r="H36" s="58"/>
      <c r="I36" s="60"/>
      <c r="N36">
        <f>(((O29+O30)/2)*O28)*O25</f>
        <v>41.71875</v>
      </c>
      <c r="O36" s="43" t="e">
        <f>(0.25*3.14*(0.25^2))*O28*#REF!</f>
        <v>#REF!</v>
      </c>
      <c r="P36" s="49" t="e">
        <f>N36-O36</f>
        <v>#REF!</v>
      </c>
    </row>
    <row r="37" spans="1:17" x14ac:dyDescent="0.25">
      <c r="A37" s="27"/>
      <c r="B37" s="1" t="s">
        <v>17</v>
      </c>
      <c r="D37" s="24"/>
      <c r="E37" s="19"/>
      <c r="F37" s="55"/>
      <c r="G37" s="29">
        <f>+G34+G33</f>
        <v>0</v>
      </c>
      <c r="H37" s="29"/>
      <c r="I37" s="61"/>
      <c r="P37" s="50" t="e">
        <f>#REF!*#REF!*O25</f>
        <v>#REF!</v>
      </c>
    </row>
    <row r="38" spans="1:17" ht="16.5" thickBot="1" x14ac:dyDescent="0.3">
      <c r="A38" s="27"/>
      <c r="B38" s="1" t="s">
        <v>18</v>
      </c>
      <c r="C38" s="30"/>
      <c r="D38" s="31"/>
      <c r="E38" s="19"/>
      <c r="F38" s="55"/>
      <c r="G38" s="29">
        <f>+G37*0.1</f>
        <v>0</v>
      </c>
      <c r="H38" s="29"/>
      <c r="I38" s="61"/>
      <c r="P38" s="50" t="e">
        <f>(#REF!*#REF!*R26)*#REF!</f>
        <v>#REF!</v>
      </c>
    </row>
    <row r="39" spans="1:17" ht="8.25" customHeight="1" thickTop="1" x14ac:dyDescent="0.25">
      <c r="A39" s="27"/>
      <c r="B39" s="1"/>
      <c r="D39" s="24"/>
      <c r="E39" s="19"/>
      <c r="F39" s="55"/>
      <c r="G39" s="63"/>
      <c r="H39" s="58"/>
      <c r="I39" s="56"/>
      <c r="P39" s="48"/>
    </row>
    <row r="40" spans="1:17" x14ac:dyDescent="0.25">
      <c r="A40" s="27"/>
      <c r="B40" s="1" t="s">
        <v>19</v>
      </c>
      <c r="E40" s="19"/>
      <c r="F40" s="55"/>
      <c r="G40" s="29">
        <f>SUM(G37:G39)</f>
        <v>0</v>
      </c>
      <c r="H40" s="29"/>
      <c r="I40" s="56"/>
      <c r="P40" s="50">
        <f>R25*S25*O25</f>
        <v>3.7602500000000005</v>
      </c>
    </row>
    <row r="41" spans="1:17" x14ac:dyDescent="0.25">
      <c r="A41" s="27"/>
      <c r="B41" s="1" t="s">
        <v>20</v>
      </c>
      <c r="E41" s="19"/>
      <c r="F41" s="55"/>
      <c r="G41" s="62">
        <f>FLOOR(G40,1000)</f>
        <v>0</v>
      </c>
      <c r="H41" s="62"/>
      <c r="I41" s="56"/>
      <c r="J41" s="32"/>
      <c r="N41">
        <f>O25*R27</f>
        <v>349.32499999999999</v>
      </c>
      <c r="O41" s="43" t="e">
        <f>(#REF!*R27)*#REF!</f>
        <v>#REF!</v>
      </c>
      <c r="P41" s="50" t="e">
        <f>N41-O41</f>
        <v>#REF!</v>
      </c>
    </row>
    <row r="42" spans="1:17" ht="15.75" thickBot="1" x14ac:dyDescent="0.3">
      <c r="B42" s="1" t="s">
        <v>21</v>
      </c>
      <c r="E42" s="19"/>
      <c r="F42" s="55"/>
      <c r="G42" s="57">
        <f>+G41*0.1</f>
        <v>0</v>
      </c>
      <c r="H42" s="57"/>
      <c r="I42" s="56"/>
      <c r="P42" s="47" t="e">
        <f>O25-(#REF!*#REF!)</f>
        <v>#REF!</v>
      </c>
    </row>
    <row r="43" spans="1:17" ht="9.75" customHeight="1" thickTop="1" x14ac:dyDescent="0.25">
      <c r="B43" s="1"/>
      <c r="C43" s="33"/>
      <c r="D43" s="34"/>
      <c r="E43" s="19"/>
      <c r="F43" s="55"/>
      <c r="G43" s="63"/>
      <c r="H43" s="58"/>
      <c r="I43" s="56"/>
      <c r="P43" s="48" t="e">
        <f>R26*#REF!</f>
        <v>#REF!</v>
      </c>
    </row>
    <row r="44" spans="1:17" x14ac:dyDescent="0.25">
      <c r="B44" s="1" t="s">
        <v>22</v>
      </c>
      <c r="C44" s="33"/>
      <c r="D44" s="34"/>
      <c r="E44" s="19"/>
      <c r="F44" s="55"/>
      <c r="G44" s="35">
        <f>+G41+G42</f>
        <v>0</v>
      </c>
      <c r="H44" s="35"/>
      <c r="I44" s="56"/>
    </row>
    <row r="45" spans="1:17" x14ac:dyDescent="0.25">
      <c r="B45" s="36" t="s">
        <v>23</v>
      </c>
      <c r="C45" s="37"/>
      <c r="D45" s="38"/>
      <c r="E45" s="20"/>
      <c r="F45" s="20"/>
      <c r="G45" s="39">
        <f>FLOOR(G44,1000)</f>
        <v>0</v>
      </c>
      <c r="H45" s="39"/>
    </row>
    <row r="46" spans="1:17" ht="7.5" customHeight="1" x14ac:dyDescent="0.25">
      <c r="B46" s="1"/>
      <c r="C46" s="33"/>
      <c r="D46" s="34"/>
      <c r="E46" s="19"/>
      <c r="F46" s="20"/>
      <c r="G46" s="39"/>
      <c r="H46" s="39"/>
    </row>
    <row r="47" spans="1:17" x14ac:dyDescent="0.25">
      <c r="B47" s="1"/>
      <c r="C47" s="1" t="s">
        <v>24</v>
      </c>
      <c r="D47" s="34"/>
      <c r="E47" s="19"/>
      <c r="F47" s="20"/>
      <c r="G47" s="64">
        <f>G40/E16</f>
        <v>0</v>
      </c>
      <c r="H47" s="64"/>
      <c r="I47" t="s">
        <v>25</v>
      </c>
    </row>
    <row r="48" spans="1:17" x14ac:dyDescent="0.25">
      <c r="B48" s="1"/>
      <c r="C48" s="33"/>
      <c r="D48" s="34"/>
    </row>
    <row r="49" spans="2:9" x14ac:dyDescent="0.25">
      <c r="B49" s="25"/>
      <c r="C49" s="33"/>
      <c r="D49" s="34"/>
    </row>
    <row r="50" spans="2:9" x14ac:dyDescent="0.25">
      <c r="B50" s="25" t="s">
        <v>26</v>
      </c>
      <c r="C50" s="33"/>
      <c r="D50" s="34"/>
    </row>
    <row r="51" spans="2:9" x14ac:dyDescent="0.25">
      <c r="B51" s="25"/>
      <c r="C51" s="33"/>
      <c r="D51" s="34"/>
      <c r="G51" s="40"/>
      <c r="H51" s="40"/>
      <c r="I51" s="40"/>
    </row>
    <row r="52" spans="2:9" x14ac:dyDescent="0.25">
      <c r="B52" s="25">
        <f>+G47*60</f>
        <v>0</v>
      </c>
      <c r="C52" s="33"/>
      <c r="D52" s="34"/>
    </row>
    <row r="53" spans="2:9" x14ac:dyDescent="0.25">
      <c r="B53" s="25">
        <f>+B52/1.21</f>
        <v>0</v>
      </c>
      <c r="C53" s="33"/>
      <c r="D53" s="34"/>
    </row>
    <row r="54" spans="2:9" x14ac:dyDescent="0.25">
      <c r="B54" s="25"/>
      <c r="C54" s="33"/>
      <c r="D54" s="34"/>
    </row>
    <row r="55" spans="2:9" x14ac:dyDescent="0.25">
      <c r="B55" s="25"/>
      <c r="C55" s="33"/>
      <c r="D55" s="34"/>
    </row>
    <row r="56" spans="2:9" x14ac:dyDescent="0.25">
      <c r="B56" s="25"/>
      <c r="C56" s="33"/>
      <c r="D56" s="34"/>
    </row>
    <row r="57" spans="2:9" ht="15.75" x14ac:dyDescent="0.25">
      <c r="B57" s="41"/>
      <c r="C57" s="33"/>
      <c r="D57" s="34"/>
    </row>
    <row r="58" spans="2:9" x14ac:dyDescent="0.25">
      <c r="B58" s="42"/>
      <c r="C58" s="33"/>
      <c r="D58" s="34"/>
    </row>
    <row r="59" spans="2:9" x14ac:dyDescent="0.25">
      <c r="B59" s="42"/>
      <c r="C59" s="33"/>
      <c r="D59" s="34"/>
    </row>
    <row r="60" spans="2:9" x14ac:dyDescent="0.25">
      <c r="B60" s="42"/>
      <c r="C60" s="33"/>
      <c r="D60" s="34"/>
    </row>
    <row r="61" spans="2:9" x14ac:dyDescent="0.25">
      <c r="B61" s="42"/>
      <c r="C61" s="33"/>
      <c r="D61" s="34"/>
    </row>
    <row r="62" spans="2:9" x14ac:dyDescent="0.25">
      <c r="B62" s="42"/>
      <c r="C62" s="33"/>
      <c r="D62" s="34"/>
    </row>
    <row r="63" spans="2:9" x14ac:dyDescent="0.25">
      <c r="B63" s="42"/>
      <c r="C63" s="33"/>
      <c r="D63" s="34"/>
    </row>
    <row r="64" spans="2:9" x14ac:dyDescent="0.25">
      <c r="B64" s="42"/>
      <c r="C64" s="33"/>
      <c r="D64" s="34"/>
    </row>
    <row r="65" spans="2:4" x14ac:dyDescent="0.25">
      <c r="B65" s="42"/>
      <c r="C65" s="33"/>
      <c r="D65" s="34"/>
    </row>
    <row r="66" spans="2:4" x14ac:dyDescent="0.25">
      <c r="B66" s="42"/>
      <c r="C66" s="33"/>
      <c r="D66" s="34"/>
    </row>
    <row r="67" spans="2:4" x14ac:dyDescent="0.25">
      <c r="B67" s="42"/>
      <c r="C67" s="33"/>
      <c r="D67" s="34"/>
    </row>
    <row r="68" spans="2:4" x14ac:dyDescent="0.25">
      <c r="B68" s="42"/>
      <c r="C68" s="33"/>
      <c r="D68" s="34"/>
    </row>
    <row r="69" spans="2:4" x14ac:dyDescent="0.25">
      <c r="B69" s="42"/>
      <c r="C69" s="33"/>
      <c r="D69" s="34"/>
    </row>
  </sheetData>
  <mergeCells count="9">
    <mergeCell ref="G11:G12"/>
    <mergeCell ref="I11:I12"/>
    <mergeCell ref="A11:A12"/>
    <mergeCell ref="B11:B12"/>
    <mergeCell ref="C11:C12"/>
    <mergeCell ref="D11:D12"/>
    <mergeCell ref="E11:E12"/>
    <mergeCell ref="F11:F12"/>
    <mergeCell ref="H11:H12"/>
  </mergeCells>
  <hyperlinks>
    <hyperlink ref="G41" r:id="rId1" display="=@round(F44;-3)" xr:uid="{00000000-0004-0000-0000-000000000000}"/>
  </hyperlinks>
  <pageMargins left="0.7" right="0.5" top="0.75" bottom="0.75" header="0.3" footer="0.3"/>
  <pageSetup paperSize="9" scale="95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37"/>
  <sheetViews>
    <sheetView topLeftCell="C4" zoomScaleNormal="100" zoomScaleSheetLayoutView="84" workbookViewId="0">
      <selection activeCell="K15" sqref="K15"/>
    </sheetView>
  </sheetViews>
  <sheetFormatPr defaultRowHeight="15" x14ac:dyDescent="0.25"/>
  <cols>
    <col min="1" max="1" width="5" customWidth="1"/>
    <col min="2" max="2" width="37.5703125" customWidth="1"/>
    <col min="3" max="3" width="5.140625" style="2" customWidth="1"/>
    <col min="4" max="4" width="11.140625" style="3" hidden="1" customWidth="1"/>
    <col min="5" max="5" width="10.85546875" style="97" customWidth="1"/>
    <col min="6" max="10" width="13.5703125" style="97" customWidth="1"/>
    <col min="11" max="11" width="16.42578125" style="97" customWidth="1"/>
  </cols>
  <sheetData>
    <row r="1" spans="1:11" x14ac:dyDescent="0.25">
      <c r="A1" s="27" t="str">
        <f>Sheet1!A1</f>
        <v>PT. CIPUTRA INDAH</v>
      </c>
    </row>
    <row r="2" spans="1:11" x14ac:dyDescent="0.25">
      <c r="A2" s="27" t="str">
        <f>Sheet1!A2</f>
        <v>PERUMAHAN CITRA INDAH CITY</v>
      </c>
    </row>
    <row r="3" spans="1:11" x14ac:dyDescent="0.25">
      <c r="A3" s="27" t="str">
        <f>Sheet1!A3</f>
        <v>KOTA NUANSA ALAM - TIMUR CIBUBUR</v>
      </c>
    </row>
    <row r="4" spans="1:11" x14ac:dyDescent="0.25">
      <c r="A4" s="27" t="str">
        <f>Sheet1!A4</f>
        <v>BAGIAN QUANTITY SURVEYOR</v>
      </c>
    </row>
    <row r="5" spans="1:11" x14ac:dyDescent="0.25">
      <c r="A5" s="1"/>
    </row>
    <row r="6" spans="1:11" ht="20.25" x14ac:dyDescent="0.25">
      <c r="A6" s="67" t="s">
        <v>1</v>
      </c>
    </row>
    <row r="7" spans="1:11" x14ac:dyDescent="0.25">
      <c r="A7" s="1"/>
    </row>
    <row r="8" spans="1:11" x14ac:dyDescent="0.25">
      <c r="A8" s="27" t="str">
        <f>Sheet1!A8</f>
        <v xml:space="preserve">PEKERJAAN    :  PEKERJAAN PAGAR PANEL BETON </v>
      </c>
    </row>
    <row r="9" spans="1:11" x14ac:dyDescent="0.25">
      <c r="A9" s="27" t="str">
        <f>Sheet1!A9</f>
        <v>LOKASI             :  BUKIT MELIA - CITRA INDAH CITY</v>
      </c>
    </row>
    <row r="10" spans="1:11" ht="15.75" thickBot="1" x14ac:dyDescent="0.3"/>
    <row r="11" spans="1:11" s="86" customFormat="1" thickTop="1" x14ac:dyDescent="0.2">
      <c r="A11" s="135" t="s">
        <v>2</v>
      </c>
      <c r="B11" s="137" t="s">
        <v>3</v>
      </c>
      <c r="C11" s="137" t="s">
        <v>4</v>
      </c>
      <c r="D11" s="133" t="s">
        <v>5</v>
      </c>
      <c r="E11" s="143" t="s">
        <v>27</v>
      </c>
      <c r="F11" s="143" t="s">
        <v>45</v>
      </c>
      <c r="G11" s="143" t="s">
        <v>46</v>
      </c>
      <c r="H11" s="145" t="s">
        <v>48</v>
      </c>
      <c r="I11" s="147" t="s">
        <v>50</v>
      </c>
      <c r="J11" s="147" t="s">
        <v>51</v>
      </c>
      <c r="K11" s="141" t="s">
        <v>47</v>
      </c>
    </row>
    <row r="12" spans="1:11" s="86" customFormat="1" ht="15.75" customHeight="1" thickBot="1" x14ac:dyDescent="0.25">
      <c r="A12" s="136"/>
      <c r="B12" s="138"/>
      <c r="C12" s="138"/>
      <c r="D12" s="134"/>
      <c r="E12" s="144"/>
      <c r="F12" s="144"/>
      <c r="G12" s="144"/>
      <c r="H12" s="146"/>
      <c r="I12" s="148"/>
      <c r="J12" s="148"/>
      <c r="K12" s="142"/>
    </row>
    <row r="13" spans="1:11" ht="12.75" customHeight="1" thickTop="1" thickBot="1" x14ac:dyDescent="0.3">
      <c r="A13" s="105"/>
      <c r="B13" s="42"/>
      <c r="C13" s="5"/>
      <c r="D13" s="34"/>
      <c r="E13" s="106"/>
      <c r="F13" s="106"/>
      <c r="G13" s="106"/>
      <c r="H13" s="106"/>
      <c r="I13" s="126"/>
      <c r="J13" s="126"/>
      <c r="K13" s="127"/>
    </row>
    <row r="14" spans="1:11" ht="15.75" thickTop="1" x14ac:dyDescent="0.25">
      <c r="A14" s="6"/>
      <c r="B14" s="7"/>
      <c r="C14" s="8"/>
      <c r="D14" s="9"/>
      <c r="E14" s="98"/>
      <c r="F14" s="98"/>
      <c r="G14" s="98"/>
      <c r="H14" s="123"/>
      <c r="I14" s="98"/>
      <c r="J14" s="98"/>
      <c r="K14" s="107"/>
    </row>
    <row r="15" spans="1:11" s="73" customFormat="1" x14ac:dyDescent="0.25">
      <c r="A15" s="88">
        <v>1</v>
      </c>
      <c r="B15" s="95" t="s">
        <v>52</v>
      </c>
      <c r="C15" s="91" t="s">
        <v>44</v>
      </c>
      <c r="D15" s="96" t="e">
        <f>(1/4*#REF!*(#REF!^2))*#REF!*#REF!</f>
        <v>#REF!</v>
      </c>
      <c r="E15" s="99">
        <v>0.5</v>
      </c>
      <c r="F15" s="100">
        <v>0.5</v>
      </c>
      <c r="G15" s="100">
        <v>1</v>
      </c>
      <c r="H15" s="124">
        <f>_xlfn.FLOOR.MATH(($E$17/2.5),1)+1</f>
        <v>346</v>
      </c>
      <c r="I15" s="128"/>
      <c r="J15" s="128"/>
      <c r="K15" s="129">
        <f>E15*F15*G15*H15</f>
        <v>86.5</v>
      </c>
    </row>
    <row r="16" spans="1:11" s="73" customFormat="1" x14ac:dyDescent="0.25">
      <c r="A16" s="88">
        <v>2</v>
      </c>
      <c r="B16" s="95" t="s">
        <v>43</v>
      </c>
      <c r="C16" s="91" t="s">
        <v>44</v>
      </c>
      <c r="D16" s="92" t="e">
        <f>#REF!*#REF!*#REF!</f>
        <v>#REF!</v>
      </c>
      <c r="E16" s="99"/>
      <c r="F16" s="100"/>
      <c r="G16" s="100"/>
      <c r="H16" s="124"/>
      <c r="I16" s="128">
        <f>0.25*0.25</f>
        <v>6.25E-2</v>
      </c>
      <c r="J16" s="128">
        <f>0.5*0.5</f>
        <v>0.25</v>
      </c>
      <c r="K16" s="129">
        <f>(I16+J16)/2*H15</f>
        <v>54.0625</v>
      </c>
    </row>
    <row r="17" spans="1:11" s="73" customFormat="1" x14ac:dyDescent="0.25">
      <c r="A17" s="88">
        <v>3</v>
      </c>
      <c r="B17" s="95" t="s">
        <v>55</v>
      </c>
      <c r="C17" s="91" t="s">
        <v>11</v>
      </c>
      <c r="D17" s="92" t="e">
        <f>(1/4*#REF!*(#REF!^2))*(#REF!+#REF!)*#REF!</f>
        <v>#REF!</v>
      </c>
      <c r="E17" s="99">
        <f>980.43-115.8</f>
        <v>864.63</v>
      </c>
      <c r="F17" s="100">
        <v>1</v>
      </c>
      <c r="G17" s="100">
        <v>1</v>
      </c>
      <c r="H17" s="124">
        <v>1</v>
      </c>
      <c r="I17" s="128"/>
      <c r="J17" s="128"/>
      <c r="K17" s="129">
        <f t="shared" ref="K17" si="0">E17*F17*G17*H17</f>
        <v>864.63</v>
      </c>
    </row>
    <row r="18" spans="1:11" s="73" customFormat="1" x14ac:dyDescent="0.25">
      <c r="A18" s="88">
        <v>4</v>
      </c>
      <c r="B18" s="95" t="s">
        <v>49</v>
      </c>
      <c r="C18" s="91" t="s">
        <v>44</v>
      </c>
      <c r="D18" s="92" t="e">
        <f>(1/4*#REF!*(#REF!^2))*(#REF!+#REF!)*#REF!</f>
        <v>#REF!</v>
      </c>
      <c r="E18" s="99">
        <v>0.15</v>
      </c>
      <c r="F18" s="100">
        <v>0.15</v>
      </c>
      <c r="G18" s="100">
        <v>1</v>
      </c>
      <c r="H18" s="124">
        <f>H15</f>
        <v>346</v>
      </c>
      <c r="I18" s="128"/>
      <c r="J18" s="128"/>
      <c r="K18" s="129">
        <f t="shared" ref="K18" si="1">E18*F18*G18*H18</f>
        <v>7.7850000000000001</v>
      </c>
    </row>
    <row r="19" spans="1:11" ht="15.75" thickBot="1" x14ac:dyDescent="0.3">
      <c r="A19" s="14"/>
      <c r="B19" s="108"/>
      <c r="C19" s="15"/>
      <c r="D19" s="16"/>
      <c r="E19" s="101"/>
      <c r="F19" s="102"/>
      <c r="G19" s="102"/>
      <c r="H19" s="125"/>
      <c r="I19" s="102"/>
      <c r="J19" s="102"/>
      <c r="K19" s="109"/>
    </row>
    <row r="20" spans="1:11" ht="15.75" thickTop="1" x14ac:dyDescent="0.25">
      <c r="B20" s="18"/>
      <c r="E20" s="103"/>
      <c r="F20" s="104"/>
      <c r="G20" s="104"/>
      <c r="H20" s="104"/>
      <c r="I20" s="104"/>
      <c r="J20" s="104"/>
      <c r="K20" s="104">
        <f>K16-K18</f>
        <v>46.277500000000003</v>
      </c>
    </row>
    <row r="21" spans="1:11" x14ac:dyDescent="0.25">
      <c r="E21" s="103"/>
      <c r="F21" s="104"/>
      <c r="G21" s="104"/>
      <c r="H21" s="104"/>
      <c r="I21" s="104"/>
      <c r="J21" s="104"/>
      <c r="K21" s="104"/>
    </row>
    <row r="22" spans="1:11" x14ac:dyDescent="0.25">
      <c r="B22" s="25"/>
      <c r="C22" s="33"/>
      <c r="D22" s="34"/>
    </row>
    <row r="23" spans="1:11" x14ac:dyDescent="0.25">
      <c r="B23" s="25"/>
      <c r="C23" s="33"/>
      <c r="D23" s="34"/>
    </row>
    <row r="24" spans="1:11" x14ac:dyDescent="0.25">
      <c r="B24" s="25"/>
      <c r="C24" s="33"/>
      <c r="D24" s="34"/>
    </row>
    <row r="25" spans="1:11" ht="15.75" x14ac:dyDescent="0.25">
      <c r="B25" s="41"/>
      <c r="C25" s="33"/>
      <c r="D25" s="34"/>
    </row>
    <row r="26" spans="1:11" x14ac:dyDescent="0.25">
      <c r="B26" s="42"/>
      <c r="C26" s="33"/>
      <c r="D26" s="34"/>
    </row>
    <row r="27" spans="1:11" x14ac:dyDescent="0.25">
      <c r="B27" s="42"/>
      <c r="C27" s="33"/>
      <c r="D27" s="34"/>
    </row>
    <row r="28" spans="1:11" x14ac:dyDescent="0.25">
      <c r="B28" s="42"/>
      <c r="C28" s="33"/>
      <c r="D28" s="34"/>
    </row>
    <row r="29" spans="1:11" x14ac:dyDescent="0.25">
      <c r="B29" s="42"/>
      <c r="C29" s="33"/>
      <c r="D29" s="34"/>
    </row>
    <row r="30" spans="1:11" x14ac:dyDescent="0.25">
      <c r="B30" s="42"/>
      <c r="C30" s="33"/>
      <c r="D30" s="34"/>
    </row>
    <row r="31" spans="1:11" x14ac:dyDescent="0.25">
      <c r="B31" s="42"/>
      <c r="C31" s="33"/>
      <c r="D31" s="34"/>
    </row>
    <row r="32" spans="1:11" x14ac:dyDescent="0.25">
      <c r="B32" s="42"/>
      <c r="C32" s="33"/>
      <c r="D32" s="34"/>
    </row>
    <row r="33" spans="2:4" x14ac:dyDescent="0.25">
      <c r="B33" s="42"/>
      <c r="C33" s="33"/>
      <c r="D33" s="34"/>
    </row>
    <row r="34" spans="2:4" x14ac:dyDescent="0.25">
      <c r="B34" s="42"/>
      <c r="C34" s="33"/>
      <c r="D34" s="34"/>
    </row>
    <row r="35" spans="2:4" x14ac:dyDescent="0.25">
      <c r="B35" s="42"/>
      <c r="C35" s="33"/>
      <c r="D35" s="34"/>
    </row>
    <row r="36" spans="2:4" x14ac:dyDescent="0.25">
      <c r="B36" s="42"/>
      <c r="C36" s="33"/>
      <c r="D36" s="34"/>
    </row>
    <row r="37" spans="2:4" x14ac:dyDescent="0.25">
      <c r="B37" s="42"/>
      <c r="C37" s="33"/>
      <c r="D37" s="34"/>
    </row>
  </sheetData>
  <mergeCells count="11">
    <mergeCell ref="K11:K12"/>
    <mergeCell ref="G11:G12"/>
    <mergeCell ref="H11:H12"/>
    <mergeCell ref="A11:A12"/>
    <mergeCell ref="B11:B12"/>
    <mergeCell ref="C11:C12"/>
    <mergeCell ref="D11:D12"/>
    <mergeCell ref="E11:E12"/>
    <mergeCell ref="F11:F12"/>
    <mergeCell ref="J11:J12"/>
    <mergeCell ref="I11:I12"/>
  </mergeCells>
  <pageMargins left="0.7" right="0.5" top="0.75" bottom="0.75" header="0.3" footer="0.3"/>
  <pageSetup paperSize="9"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Volume</vt:lpstr>
      <vt:lpstr>Sheet1!Print_Area</vt:lpstr>
      <vt:lpstr>Volume!Print_Area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Meizy</dc:creator>
  <cp:lastModifiedBy>Dudih-NB</cp:lastModifiedBy>
  <cp:lastPrinted>2019-11-06T10:00:52Z</cp:lastPrinted>
  <dcterms:created xsi:type="dcterms:W3CDTF">2015-07-03T01:17:17Z</dcterms:created>
  <dcterms:modified xsi:type="dcterms:W3CDTF">2019-11-13T02:40:51Z</dcterms:modified>
</cp:coreProperties>
</file>