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HENDHY\Desktop\"/>
    </mc:Choice>
  </mc:AlternateContent>
  <bookViews>
    <workbookView xWindow="0" yWindow="0" windowWidth="20490" windowHeight="7305" activeTab="2"/>
  </bookViews>
  <sheets>
    <sheet name="Htgan Volume" sheetId="1" r:id="rId1"/>
    <sheet name="NEW LIVISTONA 1 34-60" sheetId="3" r:id="rId2"/>
    <sheet name="Sheet1" sheetId="4" r:id="rId3"/>
  </sheets>
  <definedNames>
    <definedName name="_xlnm.Print_Area" localSheetId="1">'NEW LIVISTONA 1 34-60'!$B$1:$G$208</definedName>
  </definedNames>
  <calcPr calcId="152511"/>
</workbook>
</file>

<file path=xl/calcChain.xml><?xml version="1.0" encoding="utf-8"?>
<calcChain xmlns="http://schemas.openxmlformats.org/spreadsheetml/2006/main">
  <c r="F39" i="3" l="1"/>
  <c r="F48" i="3"/>
  <c r="F61" i="3"/>
  <c r="G75" i="3"/>
  <c r="G77" i="3"/>
  <c r="G78" i="3"/>
  <c r="G79" i="3"/>
  <c r="G80" i="3"/>
  <c r="G81" i="3"/>
  <c r="G76" i="3"/>
  <c r="G98" i="3"/>
  <c r="AA72" i="1" l="1"/>
  <c r="G144" i="4" l="1"/>
  <c r="G145" i="4"/>
  <c r="G144" i="3"/>
  <c r="G145" i="3"/>
  <c r="C173" i="4" l="1"/>
  <c r="C172" i="4"/>
  <c r="C171" i="4"/>
  <c r="G152" i="4"/>
  <c r="E151" i="4"/>
  <c r="G151" i="4" s="1"/>
  <c r="E150" i="4"/>
  <c r="G150" i="4" s="1"/>
  <c r="E149" i="4"/>
  <c r="G149" i="4" s="1"/>
  <c r="E143" i="4"/>
  <c r="G143" i="4" s="1"/>
  <c r="E142" i="4"/>
  <c r="G142" i="4" s="1"/>
  <c r="E140" i="4"/>
  <c r="G140" i="4" s="1"/>
  <c r="G137" i="4"/>
  <c r="E136" i="4"/>
  <c r="G136" i="4" s="1"/>
  <c r="E133" i="4"/>
  <c r="G133" i="4" s="1"/>
  <c r="E132" i="4"/>
  <c r="G132" i="4" s="1"/>
  <c r="E131" i="4"/>
  <c r="G131" i="4" s="1"/>
  <c r="E130" i="4"/>
  <c r="G130" i="4" s="1"/>
  <c r="E129" i="4"/>
  <c r="G129" i="4" s="1"/>
  <c r="E128" i="4"/>
  <c r="G128" i="4" s="1"/>
  <c r="E127" i="4"/>
  <c r="G127" i="4" s="1"/>
  <c r="E126" i="4"/>
  <c r="G126" i="4" s="1"/>
  <c r="E125" i="4"/>
  <c r="G125" i="4" s="1"/>
  <c r="E124" i="4"/>
  <c r="G124" i="4" s="1"/>
  <c r="E123" i="4"/>
  <c r="G123" i="4" s="1"/>
  <c r="E122" i="4"/>
  <c r="G122" i="4" s="1"/>
  <c r="E121" i="4"/>
  <c r="G121" i="4" s="1"/>
  <c r="E120" i="4"/>
  <c r="G120" i="4" s="1"/>
  <c r="G118" i="4"/>
  <c r="G116" i="4"/>
  <c r="E115" i="4"/>
  <c r="G115" i="4" s="1"/>
  <c r="E114" i="4"/>
  <c r="G114" i="4" s="1"/>
  <c r="E113" i="4"/>
  <c r="G113" i="4" s="1"/>
  <c r="E112" i="4"/>
  <c r="G112" i="4" s="1"/>
  <c r="G111" i="4"/>
  <c r="E110" i="4"/>
  <c r="G110" i="4" s="1"/>
  <c r="E109" i="4"/>
  <c r="G109" i="4" s="1"/>
  <c r="G108" i="4"/>
  <c r="E107" i="4"/>
  <c r="G107" i="4" s="1"/>
  <c r="E106" i="4"/>
  <c r="G106" i="4" s="1"/>
  <c r="E105" i="4"/>
  <c r="G105" i="4" s="1"/>
  <c r="E104" i="4"/>
  <c r="G104" i="4" s="1"/>
  <c r="E103" i="4"/>
  <c r="G103" i="4" s="1"/>
  <c r="G102" i="4"/>
  <c r="E101" i="4"/>
  <c r="G101" i="4" s="1"/>
  <c r="E100" i="4"/>
  <c r="G100" i="4" s="1"/>
  <c r="E99" i="4"/>
  <c r="G99" i="4" s="1"/>
  <c r="E98" i="4"/>
  <c r="E97" i="4"/>
  <c r="G97" i="4" s="1"/>
  <c r="E96" i="4"/>
  <c r="G96" i="4" s="1"/>
  <c r="G95" i="4"/>
  <c r="G94" i="4"/>
  <c r="E92" i="4"/>
  <c r="G92" i="4" s="1"/>
  <c r="E91" i="4"/>
  <c r="G91" i="4" s="1"/>
  <c r="E90" i="4"/>
  <c r="G90" i="4" s="1"/>
  <c r="E89" i="4"/>
  <c r="G89" i="4" s="1"/>
  <c r="E88" i="4"/>
  <c r="G88" i="4" s="1"/>
  <c r="G87" i="4"/>
  <c r="E85" i="4"/>
  <c r="G85" i="4" s="1"/>
  <c r="E84" i="4"/>
  <c r="G84" i="4" s="1"/>
  <c r="E83" i="4"/>
  <c r="G83" i="4" s="1"/>
  <c r="G82" i="4"/>
  <c r="E81" i="4"/>
  <c r="E80" i="4"/>
  <c r="E79" i="4"/>
  <c r="E78" i="4"/>
  <c r="E77" i="4"/>
  <c r="E76" i="4"/>
  <c r="E74" i="4"/>
  <c r="G74" i="4" s="1"/>
  <c r="E73" i="4"/>
  <c r="G73" i="4" s="1"/>
  <c r="G72" i="4"/>
  <c r="G71" i="4"/>
  <c r="E69" i="4"/>
  <c r="G69" i="4" s="1"/>
  <c r="E68" i="4"/>
  <c r="G68" i="4" s="1"/>
  <c r="E67" i="4"/>
  <c r="G67" i="4" s="1"/>
  <c r="E66" i="4"/>
  <c r="G66" i="4" s="1"/>
  <c r="E65" i="4"/>
  <c r="G65" i="4" s="1"/>
  <c r="E64" i="4"/>
  <c r="G64" i="4" s="1"/>
  <c r="G63" i="4"/>
  <c r="E61" i="4"/>
  <c r="G61" i="4" s="1"/>
  <c r="E60" i="4"/>
  <c r="G60" i="4" s="1"/>
  <c r="E59" i="4"/>
  <c r="G59" i="4" s="1"/>
  <c r="G58" i="4"/>
  <c r="E56" i="4"/>
  <c r="G56" i="4" s="1"/>
  <c r="E55" i="4"/>
  <c r="G55" i="4" s="1"/>
  <c r="E54" i="4"/>
  <c r="G54" i="4" s="1"/>
  <c r="E53" i="4"/>
  <c r="G53" i="4" s="1"/>
  <c r="G52" i="4"/>
  <c r="E49" i="4"/>
  <c r="G49" i="4" s="1"/>
  <c r="E48" i="4"/>
  <c r="G48" i="4" s="1"/>
  <c r="G47" i="4"/>
  <c r="G46" i="4"/>
  <c r="E44" i="4"/>
  <c r="G44" i="4" s="1"/>
  <c r="E43" i="4"/>
  <c r="G43" i="4" s="1"/>
  <c r="E42" i="4"/>
  <c r="G42" i="4" s="1"/>
  <c r="E41" i="4"/>
  <c r="G41" i="4" s="1"/>
  <c r="F39" i="4"/>
  <c r="E39" i="4"/>
  <c r="E38" i="4"/>
  <c r="G38" i="4" s="1"/>
  <c r="G37" i="4"/>
  <c r="E34" i="4"/>
  <c r="G34" i="4" s="1"/>
  <c r="E33" i="4"/>
  <c r="G33" i="4" s="1"/>
  <c r="E32" i="4"/>
  <c r="G32" i="4" s="1"/>
  <c r="E31" i="4"/>
  <c r="G31" i="4" s="1"/>
  <c r="E30" i="4"/>
  <c r="G30" i="4" s="1"/>
  <c r="E29" i="4"/>
  <c r="G29" i="4" s="1"/>
  <c r="E28" i="4"/>
  <c r="G28" i="4" s="1"/>
  <c r="E24" i="4"/>
  <c r="G24" i="4" s="1"/>
  <c r="E23" i="4"/>
  <c r="G23" i="4" s="1"/>
  <c r="G22" i="4"/>
  <c r="E20" i="4"/>
  <c r="G20" i="4" s="1"/>
  <c r="E19" i="4"/>
  <c r="G19" i="4" s="1"/>
  <c r="E18" i="4"/>
  <c r="G18" i="4" s="1"/>
  <c r="E17" i="4"/>
  <c r="G17" i="4" s="1"/>
  <c r="G16" i="4"/>
  <c r="E14" i="4"/>
  <c r="G14" i="4" s="1"/>
  <c r="E13" i="4"/>
  <c r="G13" i="4" s="1"/>
  <c r="E12" i="4"/>
  <c r="G12" i="4" s="1"/>
  <c r="E11" i="4"/>
  <c r="G11" i="4" s="1"/>
  <c r="E10" i="4"/>
  <c r="G10" i="4" s="1"/>
  <c r="E9" i="4"/>
  <c r="G9" i="4" s="1"/>
  <c r="G146" i="4" l="1"/>
  <c r="G39" i="4"/>
  <c r="G45" i="4" s="1"/>
  <c r="G162" i="4" s="1"/>
  <c r="G172" i="4"/>
  <c r="G134" i="4"/>
  <c r="G170" i="4" s="1"/>
  <c r="G93" i="4"/>
  <c r="G168" i="4" s="1"/>
  <c r="G62" i="4"/>
  <c r="G165" i="4" s="1"/>
  <c r="G25" i="4"/>
  <c r="G160" i="4" s="1"/>
  <c r="G21" i="4"/>
  <c r="G159" i="4" s="1"/>
  <c r="G15" i="4"/>
  <c r="G158" i="4" s="1"/>
  <c r="G117" i="4"/>
  <c r="G169" i="4" s="1"/>
  <c r="G153" i="4"/>
  <c r="G173" i="4" s="1"/>
  <c r="G57" i="4"/>
  <c r="G164" i="4" s="1"/>
  <c r="G86" i="4"/>
  <c r="G167" i="4" s="1"/>
  <c r="G70" i="4"/>
  <c r="G166" i="4" s="1"/>
  <c r="G138" i="4"/>
  <c r="G171" i="4" s="1"/>
  <c r="CX8" i="1" l="1"/>
  <c r="CX15" i="1"/>
  <c r="DF21" i="1"/>
  <c r="DF15" i="1"/>
  <c r="DF8" i="1"/>
  <c r="BZ21" i="1"/>
  <c r="BZ43" i="1"/>
  <c r="BZ32" i="1"/>
  <c r="BZ34" i="1"/>
  <c r="BZ33" i="1"/>
  <c r="BZ10" i="1"/>
  <c r="BZ9" i="1"/>
  <c r="BZ8" i="1"/>
  <c r="BZ7" i="1"/>
  <c r="BJ28" i="1"/>
  <c r="BJ19" i="1"/>
  <c r="BJ18" i="1"/>
  <c r="BJ10" i="1" l="1"/>
  <c r="BJ9" i="1"/>
  <c r="BC22" i="1" l="1"/>
  <c r="BC18" i="1"/>
  <c r="BC17" i="1"/>
  <c r="BC16" i="1"/>
  <c r="BC15" i="1"/>
  <c r="BC7" i="1" l="1"/>
  <c r="AV30" i="1"/>
  <c r="AV31" i="1"/>
  <c r="AV41" i="1"/>
  <c r="AV22" i="1"/>
  <c r="AV21" i="1"/>
  <c r="AV20" i="1"/>
  <c r="AV19" i="1"/>
  <c r="AV8" i="1"/>
  <c r="AV11" i="1"/>
  <c r="AV10" i="1"/>
  <c r="AV9" i="1"/>
  <c r="AO8" i="1" l="1"/>
  <c r="AH50" i="1"/>
  <c r="AH43" i="1"/>
  <c r="AH35" i="1"/>
  <c r="AH26" i="1"/>
  <c r="AH25" i="1"/>
  <c r="AH24" i="1"/>
  <c r="AH23" i="1"/>
  <c r="AH15" i="1"/>
  <c r="AH8" i="1"/>
  <c r="AA63" i="1"/>
  <c r="AA54" i="1"/>
  <c r="AA17" i="1"/>
  <c r="N9" i="1"/>
  <c r="N8" i="1"/>
  <c r="N7" i="1"/>
  <c r="D47" i="1"/>
  <c r="D43" i="1"/>
  <c r="D46" i="1"/>
  <c r="D44" i="1"/>
  <c r="D42" i="1"/>
  <c r="D45" i="1" l="1"/>
  <c r="J41" i="1"/>
  <c r="J42" i="1" s="1"/>
  <c r="J46" i="1" s="1"/>
  <c r="J45" i="1"/>
  <c r="T7" i="1"/>
  <c r="T8" i="1"/>
  <c r="AB37" i="1"/>
  <c r="AB35" i="1"/>
  <c r="AB34" i="1"/>
  <c r="AB45" i="1"/>
  <c r="AB46" i="1"/>
  <c r="AA19" i="1"/>
  <c r="AA9" i="1"/>
  <c r="AA25" i="1" s="1"/>
  <c r="AA27" i="1" s="1"/>
  <c r="E30" i="3" s="1"/>
  <c r="G30" i="3" s="1"/>
  <c r="BZ20" i="1"/>
  <c r="BZ19" i="1"/>
  <c r="BZ22" i="1"/>
  <c r="BZ68" i="1"/>
  <c r="BZ67" i="1"/>
  <c r="BZ45" i="1"/>
  <c r="BZ44" i="1"/>
  <c r="BZ42" i="1"/>
  <c r="BZ47" i="1" s="1"/>
  <c r="E91" i="3" s="1"/>
  <c r="G91" i="3" s="1"/>
  <c r="BZ31" i="1"/>
  <c r="BZ24" i="1"/>
  <c r="E89" i="3" s="1"/>
  <c r="G89" i="3" s="1"/>
  <c r="BR43" i="1"/>
  <c r="BJ47" i="1"/>
  <c r="BJ46" i="1"/>
  <c r="BC21" i="1"/>
  <c r="BF19" i="1"/>
  <c r="BF20" i="1"/>
  <c r="BC20" i="1"/>
  <c r="BC19" i="1"/>
  <c r="BC24" i="1"/>
  <c r="E60" i="3" s="1"/>
  <c r="G60" i="3" s="1"/>
  <c r="BC9" i="1"/>
  <c r="AO28" i="1"/>
  <c r="E50" i="4" s="1"/>
  <c r="G50" i="4" s="1"/>
  <c r="G51" i="4" s="1"/>
  <c r="G163" i="4" s="1"/>
  <c r="E50" i="3"/>
  <c r="G50" i="3" s="1"/>
  <c r="AO21" i="1"/>
  <c r="E44" i="3"/>
  <c r="G44" i="3" s="1"/>
  <c r="AH28" i="1"/>
  <c r="E41" i="3" s="1"/>
  <c r="G41" i="3" s="1"/>
  <c r="E149" i="3"/>
  <c r="G149" i="3" s="1"/>
  <c r="E150" i="3"/>
  <c r="G150" i="3" s="1"/>
  <c r="BR38" i="1"/>
  <c r="E85" i="3"/>
  <c r="G85" i="3" s="1"/>
  <c r="E151" i="3"/>
  <c r="G151" i="3" s="1"/>
  <c r="G47" i="3"/>
  <c r="E142" i="3"/>
  <c r="G142" i="3" s="1"/>
  <c r="E140" i="3"/>
  <c r="G140" i="3" s="1"/>
  <c r="E143" i="3"/>
  <c r="G143" i="3" s="1"/>
  <c r="E136" i="3"/>
  <c r="G136" i="3" s="1"/>
  <c r="E133" i="3"/>
  <c r="G133" i="3" s="1"/>
  <c r="E132" i="3"/>
  <c r="G132" i="3"/>
  <c r="E131" i="3"/>
  <c r="G131" i="3" s="1"/>
  <c r="E129" i="3"/>
  <c r="G129" i="3" s="1"/>
  <c r="E128" i="3"/>
  <c r="G128" i="3" s="1"/>
  <c r="E127" i="3"/>
  <c r="G127" i="3" s="1"/>
  <c r="E126" i="3"/>
  <c r="G126" i="3" s="1"/>
  <c r="E125" i="3"/>
  <c r="E124" i="3"/>
  <c r="G124" i="3" s="1"/>
  <c r="E123" i="3"/>
  <c r="G123" i="3" s="1"/>
  <c r="E122" i="3"/>
  <c r="G122" i="3" s="1"/>
  <c r="E121" i="3"/>
  <c r="G121" i="3" s="1"/>
  <c r="E120" i="3"/>
  <c r="G120" i="3" s="1"/>
  <c r="E115" i="3"/>
  <c r="G115" i="3" s="1"/>
  <c r="E114" i="3"/>
  <c r="G114" i="3" s="1"/>
  <c r="E113" i="3"/>
  <c r="G113" i="3" s="1"/>
  <c r="E112" i="3"/>
  <c r="G112" i="3" s="1"/>
  <c r="E110" i="3"/>
  <c r="G110" i="3" s="1"/>
  <c r="E109" i="3"/>
  <c r="G109" i="3" s="1"/>
  <c r="E107" i="3"/>
  <c r="G107" i="3" s="1"/>
  <c r="E106" i="3"/>
  <c r="G106" i="3" s="1"/>
  <c r="E105" i="3"/>
  <c r="G105" i="3" s="1"/>
  <c r="E104" i="3"/>
  <c r="G104" i="3" s="1"/>
  <c r="E103" i="3"/>
  <c r="G103" i="3" s="1"/>
  <c r="E99" i="3"/>
  <c r="G99" i="3" s="1"/>
  <c r="E100" i="3"/>
  <c r="G100" i="3" s="1"/>
  <c r="E101" i="3"/>
  <c r="G101" i="3" s="1"/>
  <c r="E98" i="3"/>
  <c r="E97" i="3"/>
  <c r="G97" i="3" s="1"/>
  <c r="E96" i="3"/>
  <c r="G96" i="3" s="1"/>
  <c r="BZ61" i="1"/>
  <c r="E84" i="3"/>
  <c r="G84" i="3" s="1"/>
  <c r="E83" i="3"/>
  <c r="G83" i="3" s="1"/>
  <c r="E80" i="3"/>
  <c r="E81" i="3"/>
  <c r="E79" i="3"/>
  <c r="E78" i="3"/>
  <c r="E77" i="3"/>
  <c r="E76" i="3"/>
  <c r="E74" i="3"/>
  <c r="G74" i="3" s="1"/>
  <c r="E73" i="3"/>
  <c r="G73" i="3" s="1"/>
  <c r="E68" i="3"/>
  <c r="G68" i="3" s="1"/>
  <c r="E67" i="3"/>
  <c r="G67" i="3" s="1"/>
  <c r="BJ21" i="1"/>
  <c r="E65" i="3" s="1"/>
  <c r="G65" i="3" s="1"/>
  <c r="E69" i="3"/>
  <c r="G69" i="3" s="1"/>
  <c r="E66" i="3"/>
  <c r="G66" i="3" s="1"/>
  <c r="BJ12" i="1"/>
  <c r="E64" i="3" s="1"/>
  <c r="G64" i="3" s="1"/>
  <c r="AV24" i="1"/>
  <c r="E54" i="3" s="1"/>
  <c r="G54" i="3" s="1"/>
  <c r="E49" i="3"/>
  <c r="G49" i="3" s="1"/>
  <c r="E48" i="3"/>
  <c r="G48" i="3" s="1"/>
  <c r="AO14" i="1"/>
  <c r="E12" i="3"/>
  <c r="G12" i="3" s="1"/>
  <c r="E11" i="3"/>
  <c r="G11" i="3" s="1"/>
  <c r="E10" i="3"/>
  <c r="G10" i="3" s="1"/>
  <c r="E39" i="3"/>
  <c r="G39" i="3" s="1"/>
  <c r="E38" i="3"/>
  <c r="G38" i="3" s="1"/>
  <c r="AA75" i="1"/>
  <c r="E35" i="4" s="1"/>
  <c r="G35" i="4" s="1"/>
  <c r="G36" i="4" s="1"/>
  <c r="G161" i="4" s="1"/>
  <c r="AA57" i="1"/>
  <c r="E33" i="3" s="1"/>
  <c r="G33" i="3" s="1"/>
  <c r="C195" i="3"/>
  <c r="C194" i="3"/>
  <c r="C193" i="3"/>
  <c r="G152" i="3"/>
  <c r="G137" i="3"/>
  <c r="G125" i="3"/>
  <c r="G118" i="3"/>
  <c r="G116" i="3"/>
  <c r="G111" i="3"/>
  <c r="G108" i="3"/>
  <c r="G102" i="3"/>
  <c r="G95" i="3"/>
  <c r="G94" i="3"/>
  <c r="G87" i="3"/>
  <c r="G82" i="3"/>
  <c r="G72" i="3"/>
  <c r="G71" i="3"/>
  <c r="G63" i="3"/>
  <c r="G58" i="3"/>
  <c r="G52" i="3"/>
  <c r="G46" i="3"/>
  <c r="G37" i="3"/>
  <c r="G22" i="3"/>
  <c r="G16" i="3"/>
  <c r="E130" i="3"/>
  <c r="G130" i="3" s="1"/>
  <c r="K7" i="1"/>
  <c r="K8" i="1"/>
  <c r="K9" i="1"/>
  <c r="T9" i="1"/>
  <c r="D10" i="1"/>
  <c r="E9" i="3"/>
  <c r="G9" i="3" s="1"/>
  <c r="K10" i="1"/>
  <c r="T17" i="1"/>
  <c r="E24" i="3" s="1"/>
  <c r="G24" i="3" s="1"/>
  <c r="E29" i="3"/>
  <c r="G29" i="3" s="1"/>
  <c r="AB36" i="1"/>
  <c r="AA66" i="1"/>
  <c r="E34" i="3" s="1"/>
  <c r="G34" i="3" s="1"/>
  <c r="BZ53" i="1"/>
  <c r="E92" i="3" s="1"/>
  <c r="G92" i="3" s="1"/>
  <c r="E43" i="3"/>
  <c r="G43" i="3" s="1"/>
  <c r="AH37" i="1"/>
  <c r="E42" i="3" s="1"/>
  <c r="G42" i="3" s="1"/>
  <c r="AV13" i="1"/>
  <c r="E53" i="3" s="1"/>
  <c r="G53" i="3" s="1"/>
  <c r="AV33" i="1"/>
  <c r="E55" i="3" s="1"/>
  <c r="G55" i="3" s="1"/>
  <c r="AB48" i="1"/>
  <c r="E32" i="3"/>
  <c r="G32" i="3" s="1"/>
  <c r="BZ70" i="1"/>
  <c r="BZ12" i="1"/>
  <c r="E88" i="3" s="1"/>
  <c r="G88" i="3" s="1"/>
  <c r="BZ36" i="1"/>
  <c r="E90" i="3" s="1"/>
  <c r="G90" i="3" s="1"/>
  <c r="E59" i="3"/>
  <c r="G59" i="3" s="1"/>
  <c r="BC30" i="1"/>
  <c r="G146" i="3" l="1"/>
  <c r="G194" i="3" s="1"/>
  <c r="E35" i="3"/>
  <c r="G35" i="3" s="1"/>
  <c r="G176" i="4"/>
  <c r="F163" i="4" s="1"/>
  <c r="G138" i="3"/>
  <c r="G193" i="3" s="1"/>
  <c r="G153" i="3"/>
  <c r="G195" i="3" s="1"/>
  <c r="G117" i="3"/>
  <c r="G191" i="3" s="1"/>
  <c r="G134" i="3"/>
  <c r="G192" i="3" s="1"/>
  <c r="G86" i="3"/>
  <c r="G189" i="3" s="1"/>
  <c r="G93" i="3"/>
  <c r="G190" i="3" s="1"/>
  <c r="G70" i="3"/>
  <c r="G188" i="3" s="1"/>
  <c r="BC31" i="1"/>
  <c r="BC33" i="1"/>
  <c r="E61" i="3" s="1"/>
  <c r="G61" i="3" s="1"/>
  <c r="G62" i="3" s="1"/>
  <c r="G187" i="3" s="1"/>
  <c r="G51" i="3"/>
  <c r="G185" i="3" s="1"/>
  <c r="G45" i="3"/>
  <c r="G184" i="3" s="1"/>
  <c r="AB39" i="1"/>
  <c r="E31" i="3" s="1"/>
  <c r="G31" i="3" s="1"/>
  <c r="AA11" i="1"/>
  <c r="E28" i="3" s="1"/>
  <c r="G28" i="3" s="1"/>
  <c r="T11" i="1"/>
  <c r="E23" i="3" s="1"/>
  <c r="G23" i="3" s="1"/>
  <c r="G25" i="3" s="1"/>
  <c r="G182" i="3" s="1"/>
  <c r="K12" i="1"/>
  <c r="E17" i="3" s="1"/>
  <c r="G17" i="3" s="1"/>
  <c r="D48" i="1"/>
  <c r="K24" i="1" s="1"/>
  <c r="K27" i="1" s="1"/>
  <c r="E19" i="3" s="1"/>
  <c r="G19" i="3" s="1"/>
  <c r="AV42" i="1"/>
  <c r="AV44" i="1" s="1"/>
  <c r="E56" i="3" s="1"/>
  <c r="G56" i="3" s="1"/>
  <c r="G57" i="3" s="1"/>
  <c r="G186" i="3" s="1"/>
  <c r="G177" i="4" l="1"/>
  <c r="F164" i="4"/>
  <c r="F168" i="4"/>
  <c r="F171" i="4"/>
  <c r="F158" i="4"/>
  <c r="F165" i="4"/>
  <c r="F160" i="4"/>
  <c r="F159" i="4"/>
  <c r="F169" i="4"/>
  <c r="F173" i="4"/>
  <c r="F167" i="4"/>
  <c r="F170" i="4"/>
  <c r="F172" i="4"/>
  <c r="F166" i="4"/>
  <c r="F162" i="4"/>
  <c r="F161" i="4"/>
  <c r="G36" i="3"/>
  <c r="G183" i="3" s="1"/>
  <c r="K18" i="1"/>
  <c r="E18" i="3" s="1"/>
  <c r="G18" i="3" s="1"/>
  <c r="K33" i="1"/>
  <c r="E20" i="3" s="1"/>
  <c r="G20" i="3" s="1"/>
  <c r="E14" i="3"/>
  <c r="G14" i="3" s="1"/>
  <c r="D38" i="1"/>
  <c r="E13" i="3" s="1"/>
  <c r="G13" i="3" s="1"/>
  <c r="F174" i="4" l="1"/>
  <c r="G185" i="4"/>
  <c r="C4" i="4" s="1"/>
  <c r="G178" i="4"/>
  <c r="G179" i="4" s="1"/>
  <c r="G181" i="4" s="1"/>
  <c r="G15" i="3"/>
  <c r="G180" i="3" s="1"/>
  <c r="G21" i="3"/>
  <c r="G181" i="3" s="1"/>
  <c r="G198" i="3" l="1"/>
  <c r="F185" i="3" s="1"/>
  <c r="F189" i="3"/>
  <c r="G199" i="3" l="1"/>
  <c r="G200" i="3" s="1"/>
  <c r="G208" i="3" s="1"/>
  <c r="C4" i="3" s="1"/>
  <c r="F195" i="3"/>
  <c r="F184" i="3"/>
  <c r="F187" i="3"/>
  <c r="F192" i="3"/>
  <c r="F190" i="3"/>
  <c r="F183" i="3"/>
  <c r="F194" i="3"/>
  <c r="F191" i="3"/>
  <c r="F188" i="3"/>
  <c r="F182" i="3"/>
  <c r="F180" i="3"/>
  <c r="F186" i="3"/>
  <c r="F181" i="3"/>
  <c r="F193" i="3"/>
  <c r="G201" i="3"/>
  <c r="G202" i="3" s="1"/>
  <c r="G204" i="3" s="1"/>
  <c r="F196" i="3" l="1"/>
</calcChain>
</file>

<file path=xl/sharedStrings.xml><?xml version="1.0" encoding="utf-8"?>
<sst xmlns="http://schemas.openxmlformats.org/spreadsheetml/2006/main" count="1195" uniqueCount="293">
  <si>
    <t>RENCANA  ANGGARAN  BIAYA</t>
  </si>
  <si>
    <t>NO</t>
  </si>
  <si>
    <t>URAIAN  PEKERJAAN</t>
  </si>
  <si>
    <t>SAT.</t>
  </si>
  <si>
    <t>Volume</t>
  </si>
  <si>
    <t xml:space="preserve">Harga </t>
  </si>
  <si>
    <t>Jumlah</t>
  </si>
  <si>
    <t>I</t>
  </si>
  <si>
    <t>PEKERJAAN PERSIAPAN</t>
  </si>
  <si>
    <t>Pas.Bouwplank</t>
  </si>
  <si>
    <t>M'</t>
  </si>
  <si>
    <t>Air dan Listrik kerja</t>
  </si>
  <si>
    <t>LS</t>
  </si>
  <si>
    <t>Gudang/Direksi Keet</t>
  </si>
  <si>
    <t>Keamanan + Kebersihan</t>
  </si>
  <si>
    <t>Anti Rayap Rumah - Tanah</t>
  </si>
  <si>
    <t>M2</t>
  </si>
  <si>
    <t xml:space="preserve">                               - Bangunan</t>
  </si>
  <si>
    <t>II</t>
  </si>
  <si>
    <t>PEKERJAAN GALIAN DAN URUGAN</t>
  </si>
  <si>
    <t>Galian Tanah</t>
  </si>
  <si>
    <t>M3</t>
  </si>
  <si>
    <t>Urugan Tanah Kembali</t>
  </si>
  <si>
    <t>Urugan pasir bawah lantai t. 5cm dan Pondasi</t>
  </si>
  <si>
    <t xml:space="preserve">Floor lantai dasar 4 cm </t>
  </si>
  <si>
    <t>m2</t>
  </si>
  <si>
    <t>III</t>
  </si>
  <si>
    <t>PEKERJAAN PONDASI</t>
  </si>
  <si>
    <t>Pondasi Batu Kali</t>
  </si>
  <si>
    <t>Rollag Bata</t>
  </si>
  <si>
    <t>m3</t>
  </si>
  <si>
    <t>IV</t>
  </si>
  <si>
    <t>PEKERJAAN STRUKTUR BETON</t>
  </si>
  <si>
    <t xml:space="preserve"> - Beton K175</t>
  </si>
  <si>
    <t>Sloof tul. 4 dia 10 sk. Dia 8-25</t>
  </si>
  <si>
    <t>Ring Balok dan balok latai</t>
  </si>
  <si>
    <t>Plat Canopy</t>
  </si>
  <si>
    <t xml:space="preserve">Dak beton Talang t. 12 cm </t>
  </si>
  <si>
    <t>Meja Dapur</t>
  </si>
  <si>
    <t>V</t>
  </si>
  <si>
    <t>PEKERJAAN  FINISHING LANTAI</t>
  </si>
  <si>
    <t>Lantai keramik Roman 33X33  R. Teras Depan</t>
  </si>
  <si>
    <t xml:space="preserve">Lantai keramik Roman 33 x 33  R. Teras Belakang </t>
  </si>
  <si>
    <t>Plin 10x60 cm</t>
  </si>
  <si>
    <t>VI</t>
  </si>
  <si>
    <t>Keramik Dinding</t>
  </si>
  <si>
    <t>VII</t>
  </si>
  <si>
    <t>Plafond Gypsum t. 9mm + rangka hollow</t>
  </si>
  <si>
    <t>Cornice   Luar 4x4 cm</t>
  </si>
  <si>
    <t>Plafond Calsiboard t. 4mm rk. Hollow (plafond KM/WC + plafond luar)</t>
  </si>
  <si>
    <t>VIII</t>
  </si>
  <si>
    <t>PEKERJAAN PASANGAN BATA &amp; PLASTERAN</t>
  </si>
  <si>
    <t>Pas.Bata Trasraam 1:2</t>
  </si>
  <si>
    <t>Pas.Bata 1:5</t>
  </si>
  <si>
    <t>Plester dan Acian Dinding</t>
  </si>
  <si>
    <t>IX</t>
  </si>
  <si>
    <t>Konst. Atap  Bangunan Utama (baja ringan fin. Galvanised) + almn. Foil</t>
  </si>
  <si>
    <t>Pasangan Atap Genteng beton</t>
  </si>
  <si>
    <t>Pek. Lisplang  teras belakang, atas dan muka</t>
  </si>
  <si>
    <t>Flashing</t>
  </si>
  <si>
    <t>Genteng Nok</t>
  </si>
  <si>
    <t>Genting tepi</t>
  </si>
  <si>
    <t>X</t>
  </si>
  <si>
    <t>PEKERJAAN PINTU DAN JENDELA</t>
  </si>
  <si>
    <t>-</t>
  </si>
  <si>
    <t>BH</t>
  </si>
  <si>
    <t>bh</t>
  </si>
  <si>
    <t>Unit</t>
  </si>
  <si>
    <t>Kunci dan Engsel</t>
  </si>
  <si>
    <t>Engsel Daun Pintu</t>
  </si>
  <si>
    <t>XI</t>
  </si>
  <si>
    <t>Cat Dinding Luar ex. ICI wheathershield</t>
  </si>
  <si>
    <t>Cat Listplank Kayu + grc</t>
  </si>
  <si>
    <t>Cat genting nok</t>
  </si>
  <si>
    <t>Cat Kusen Kayu</t>
  </si>
  <si>
    <t>Cat Daun Pintu dan daun  Jendela</t>
  </si>
  <si>
    <t>XII</t>
  </si>
  <si>
    <t>KM/WC:</t>
  </si>
  <si>
    <t xml:space="preserve">Closet Monoblok terpasang lengkap + accs </t>
  </si>
  <si>
    <t xml:space="preserve">Wastafel terpasang lengkap + accs (kaca cermin) </t>
  </si>
  <si>
    <t xml:space="preserve">Kran Wastafel </t>
  </si>
  <si>
    <t xml:space="preserve"> Shower set</t>
  </si>
  <si>
    <t>Tempat Sabun</t>
  </si>
  <si>
    <t>Jet Spray u/ closet</t>
  </si>
  <si>
    <t>Dapur</t>
  </si>
  <si>
    <t>Kran sink + accs.</t>
  </si>
  <si>
    <t>Kicthen Sink + accs</t>
  </si>
  <si>
    <t>Kran Taman (Carport)</t>
  </si>
  <si>
    <t>Floor Drain (stainless lokal)</t>
  </si>
  <si>
    <t>Roof Drain Dak talang</t>
  </si>
  <si>
    <t>Instalasi Air Bersih:</t>
  </si>
  <si>
    <t>1/2"</t>
  </si>
  <si>
    <t>3/4"</t>
  </si>
  <si>
    <t>Instalasi Air Kotor: dan air hujan</t>
  </si>
  <si>
    <t>3"</t>
  </si>
  <si>
    <t>4"   (buangan s/d saluran kota)</t>
  </si>
  <si>
    <t>Bak Kontrol</t>
  </si>
  <si>
    <t>Bak Meter air</t>
  </si>
  <si>
    <t>Septictank dan rembesan</t>
  </si>
  <si>
    <t>unit</t>
  </si>
  <si>
    <t>Pekerjaan Resapan ukr. 100x100x250cm (sesuai gbr + accs)</t>
  </si>
  <si>
    <t>XIII</t>
  </si>
  <si>
    <t>PEKERJAAN INSTALASI LISTRIK</t>
  </si>
  <si>
    <t xml:space="preserve"> - accs. Listrik ex. Clipsal</t>
  </si>
  <si>
    <t>Instalasi Titik Lampu (incld. Fiting)</t>
  </si>
  <si>
    <t>TTK</t>
  </si>
  <si>
    <t>Instalasi Stop Kontak</t>
  </si>
  <si>
    <t>Lampu Taman</t>
  </si>
  <si>
    <t>Instalasi Telepon incld outlet telp.</t>
  </si>
  <si>
    <t>Instalasi TV (incl. Outlet, + accs)</t>
  </si>
  <si>
    <t>Instalasi water heater  (incl. Outlet, + accs)</t>
  </si>
  <si>
    <t>Instalasi Stop Kontak AC</t>
  </si>
  <si>
    <t>Instalasi Exhoust Fan (incld. Unit Exhoust + accs)</t>
  </si>
  <si>
    <t>Saklar Single eks. Clipsal</t>
  </si>
  <si>
    <t>Saklar Ganda eks. Clipsal</t>
  </si>
  <si>
    <t>Stop Kontak Biasa eks. Clipsal</t>
  </si>
  <si>
    <t>Sparing SR Listrik dan telp dari Jar Kota ke Box MCB</t>
  </si>
  <si>
    <t>lot</t>
  </si>
  <si>
    <t>Grounding Kabel BC 6mm</t>
  </si>
  <si>
    <t>Lot</t>
  </si>
  <si>
    <t>Box Panel (incld. kabel tufur + MCB)</t>
  </si>
  <si>
    <t>XIV</t>
  </si>
  <si>
    <t>PEKERJAAN LAIN-LAIN DAN TAMPAK MUKA</t>
  </si>
  <si>
    <t>Water Proofing type Coating pada dak talang</t>
  </si>
  <si>
    <t>Sub. Total</t>
  </si>
  <si>
    <t>XV</t>
  </si>
  <si>
    <t>PEKERJAAN PLESTER DINDING SAMPING</t>
  </si>
  <si>
    <t>Plester dinding samping kiri (plester aci + aquaproof)</t>
  </si>
  <si>
    <t>Plester dinding belakang  (pagar)</t>
  </si>
  <si>
    <t xml:space="preserve">Total </t>
  </si>
  <si>
    <t>Sub Total</t>
  </si>
  <si>
    <t>PPN 10 %</t>
  </si>
  <si>
    <t>GrandTotal</t>
  </si>
  <si>
    <t>Y</t>
  </si>
  <si>
    <t>m</t>
  </si>
  <si>
    <t>m'</t>
  </si>
  <si>
    <t>P =</t>
  </si>
  <si>
    <t>Pas. Bouwplank</t>
  </si>
  <si>
    <t>Air dan Listrik Kerja</t>
  </si>
  <si>
    <t>L =</t>
  </si>
  <si>
    <t>Gudang dan Direksi Keet</t>
  </si>
  <si>
    <t># TANAH</t>
  </si>
  <si>
    <t># RUMAH</t>
  </si>
  <si>
    <t>R. Tidur Utama</t>
  </si>
  <si>
    <t>R. Tidur 1</t>
  </si>
  <si>
    <t>KM/WC 1</t>
  </si>
  <si>
    <t>R. Tamu</t>
  </si>
  <si>
    <t>R. Makan</t>
  </si>
  <si>
    <t>Teras Depan</t>
  </si>
  <si>
    <t>Teras Belakang</t>
  </si>
  <si>
    <t>P. L50</t>
  </si>
  <si>
    <t>P. L40</t>
  </si>
  <si>
    <t>P. L60</t>
  </si>
  <si>
    <t>Panjang</t>
  </si>
  <si>
    <t>V =</t>
  </si>
  <si>
    <t>Bangunan</t>
  </si>
  <si>
    <t>Pondasi</t>
  </si>
  <si>
    <t>P. E65</t>
  </si>
  <si>
    <t>P. E55</t>
  </si>
  <si>
    <t>P. E45</t>
  </si>
  <si>
    <t>P. RL-E40</t>
  </si>
  <si>
    <t>K. EL 6.95</t>
  </si>
  <si>
    <t>K. EL 6.64</t>
  </si>
  <si>
    <t>K. EL 4.35</t>
  </si>
  <si>
    <t>n</t>
  </si>
  <si>
    <t>K. EL 3.75</t>
  </si>
  <si>
    <t>KP. EL 3.75</t>
  </si>
  <si>
    <t>KP. EL 2.00</t>
  </si>
  <si>
    <t>v</t>
  </si>
  <si>
    <t>Luas =</t>
  </si>
  <si>
    <t>Tebal =</t>
  </si>
  <si>
    <t xml:space="preserve">I </t>
  </si>
  <si>
    <t>CARPORT-1</t>
  </si>
  <si>
    <t>PEKERJAAN  FINISHING DINDING</t>
  </si>
  <si>
    <t>PEKERJAAN  PLAFOND</t>
  </si>
  <si>
    <t>Luar</t>
  </si>
  <si>
    <t>Gw1</t>
  </si>
  <si>
    <t>Gw2</t>
  </si>
  <si>
    <t>Gw3</t>
  </si>
  <si>
    <t>Pas 1:2</t>
  </si>
  <si>
    <t>Pas 1:5</t>
  </si>
  <si>
    <t>K1</t>
  </si>
  <si>
    <t>K2</t>
  </si>
  <si>
    <t>Genteng Tepi</t>
  </si>
  <si>
    <t>Dinding Blkg</t>
  </si>
  <si>
    <t>Depan</t>
  </si>
  <si>
    <t>Belakang</t>
  </si>
  <si>
    <t>Listplank</t>
  </si>
  <si>
    <t>Pintu =</t>
  </si>
  <si>
    <t>jendela =</t>
  </si>
  <si>
    <t>KM/WC</t>
  </si>
  <si>
    <t>Instalasi Air Kotor dan air hujan</t>
  </si>
  <si>
    <t>Jumlah =</t>
  </si>
  <si>
    <t>4"</t>
  </si>
  <si>
    <t>BANGUNAN RUMAH TINGGAL BLOK MONTEVERDE</t>
  </si>
  <si>
    <t>PERUMAHAN CITRA LAND CIBUBUR</t>
  </si>
  <si>
    <t>54/102</t>
  </si>
  <si>
    <t>Satuan</t>
  </si>
  <si>
    <t>PEK. GALIAN</t>
  </si>
  <si>
    <t>Urugan Tanah Kembali + buang (perataan)</t>
  </si>
  <si>
    <t xml:space="preserve">Floor lantai dasar 4cm </t>
  </si>
  <si>
    <t>PEK.PONDASI:</t>
  </si>
  <si>
    <t>PEK.STRUKTUR:</t>
  </si>
  <si>
    <t>Sloof</t>
  </si>
  <si>
    <t>Balok Lantai 1</t>
  </si>
  <si>
    <t>Kolom Beton type   K1 dan K2</t>
  </si>
  <si>
    <t>PEK. FINISHING LANTAI</t>
  </si>
  <si>
    <t>Lantai keramik  KM /WC Lantai Dasar</t>
  </si>
  <si>
    <t>Rabat beton + Koral sikat pd carport incld. kansteen pembatas Carport</t>
  </si>
  <si>
    <t>PEK. FINISHING DINDING:</t>
  </si>
  <si>
    <t>KM / WC Lt. Dasar ukr. 20x25 tinggi 200 cm.</t>
  </si>
  <si>
    <t>List Keramik ukr. 6x25</t>
  </si>
  <si>
    <t>KM / WC R. Service ukr. 33x33cm</t>
  </si>
  <si>
    <t>Ruang Dapur dan meja dapur ukr. 20x20</t>
  </si>
  <si>
    <t>PEK. PLAFOND:</t>
  </si>
  <si>
    <t>Cornice Coakan bagian dalam</t>
  </si>
  <si>
    <t>PEK. PASANGAN BATA &amp; PLASTERAN</t>
  </si>
  <si>
    <t>PEK.ATAP:</t>
  </si>
  <si>
    <t xml:space="preserve">Kusen Pintu Kayu </t>
  </si>
  <si>
    <t>Kusen Kayu 6x15 oven</t>
  </si>
  <si>
    <t>Daun Pintu dalam P1 (laminated)</t>
  </si>
  <si>
    <t>Daun jendela bv  diatas pintu R. Pembantu dan jendela</t>
  </si>
  <si>
    <t>Daun Pintu utama doubel teak wood rangka singkil (seperti gbr + accs)</t>
  </si>
  <si>
    <t>Kusen Upvc</t>
  </si>
  <si>
    <t>Kusen +dn jendela  (2 daun) + kaca + accs (PJ1)</t>
  </si>
  <si>
    <t>Kusen +2 dn jendela kaca + BV + accs (PJ2)</t>
  </si>
  <si>
    <t>Kusen + 2 dn jendela  + kaca +  accs R. tidur belakang (W5)</t>
  </si>
  <si>
    <t>Kusen +dn jendela  t. 5mm + accs R. tidur depan dan R. Tamu (W1&amp;W4)</t>
  </si>
  <si>
    <t>Kusen + kaca mati t. 6mm pada bagian atas  (type W6)</t>
  </si>
  <si>
    <t>Kusen + kaca mati t. 5mm pada bagian T. Muka  type W2, W3</t>
  </si>
  <si>
    <t>Kunci Pintu PJ1, Pintu dalam &amp; Km/wc dalam  + accs</t>
  </si>
  <si>
    <t>Engsel Daun Jendela dan Bv</t>
  </si>
  <si>
    <t>Casement Bv</t>
  </si>
  <si>
    <t>Springknip  jendela</t>
  </si>
  <si>
    <t xml:space="preserve">kaca </t>
  </si>
  <si>
    <t>PEK.PENGECATAN:</t>
  </si>
  <si>
    <t>Cat Dinding Dalam  ex. Catylac</t>
  </si>
  <si>
    <t>Cat Plafond (incld. Cat cornice)</t>
  </si>
  <si>
    <t>PEK. SANITASI DAN SALURAN</t>
  </si>
  <si>
    <t>PEK.INSTALASI LISTRIK:</t>
  </si>
  <si>
    <t xml:space="preserve"> - accs. Listrik ex. Broco Gratio</t>
  </si>
  <si>
    <t>Saklar Single</t>
  </si>
  <si>
    <t>Saklar Ganda</t>
  </si>
  <si>
    <t>Stop Kontak Biasa</t>
  </si>
  <si>
    <t>PEK. LAIN - LAIN</t>
  </si>
  <si>
    <t>PEK. PERUBAHAN BENTUK TAMPAK MUKA</t>
  </si>
  <si>
    <t xml:space="preserve">Ornamen besi hollow fin. Cat Coklat ukr. 30x60 + accs </t>
  </si>
  <si>
    <t xml:space="preserve">Nat Tali air tegak cat warna Abu - abu </t>
  </si>
  <si>
    <t>Finishing Kolom kotak pada teras Depan</t>
  </si>
  <si>
    <t>Plester dinding samping kanan (plester aci + aquaproof)</t>
  </si>
  <si>
    <t>REKAPITULASI</t>
  </si>
  <si>
    <t xml:space="preserve"> </t>
  </si>
  <si>
    <t>Prosentasi</t>
  </si>
  <si>
    <t>,</t>
  </si>
  <si>
    <t>XVI</t>
  </si>
  <si>
    <t>jasa 10 %</t>
  </si>
  <si>
    <t>pembulatan</t>
  </si>
  <si>
    <t>Luas ( m2) konst</t>
  </si>
  <si>
    <t>Harga /m2 ( Excl PPN)</t>
  </si>
  <si>
    <t>Harga per m2 excld ppn</t>
  </si>
  <si>
    <t>Lantai keramik 60X60  R. Tamu,r. tidur, r. Keluarga,r. Makan dan dapur (keramik Hercules motif Xenon series)</t>
  </si>
  <si>
    <t xml:space="preserve">Kolom Beton type  K1 &amp;  K2 </t>
  </si>
  <si>
    <t>Kolom Praktis KP</t>
  </si>
  <si>
    <t>PEKERJAAN ATAP</t>
  </si>
  <si>
    <t>DP dalam P1 (laminated)</t>
  </si>
  <si>
    <t>PSG</t>
  </si>
  <si>
    <t>PEK.PENGECATAN</t>
  </si>
  <si>
    <t>PEKERJAAN  SANITASI DAN SALURAN</t>
  </si>
  <si>
    <t>(PONDASI)</t>
  </si>
  <si>
    <t>1/2 batu</t>
  </si>
  <si>
    <t>L</t>
  </si>
  <si>
    <t>1 batu</t>
  </si>
  <si>
    <t>New Livistona 1 34/60</t>
  </si>
  <si>
    <t>Kunci Pintu PU</t>
  </si>
  <si>
    <t>Plor aci dag talang &amp; canopy</t>
  </si>
  <si>
    <t>Opening lubang pintu &amp; jendela</t>
  </si>
  <si>
    <t>harga Rp. ,- (excld PPn)</t>
  </si>
  <si>
    <t>incld</t>
  </si>
  <si>
    <t>Pasangan type Arcilla ukr. 30x60 cm (matrial saja harga Rp. 180.000,- (excld PPn)</t>
  </si>
  <si>
    <t>Pasangan Type Arcilla eks. Flexitile  ukr. 30x60 cm (matrial saja</t>
  </si>
  <si>
    <t>Kolom Praktis</t>
  </si>
  <si>
    <t>Lantai keramik 50x50  R. Teras Depan</t>
  </si>
  <si>
    <t xml:space="preserve">Lantai keramik 50x50  R. Teras Belakang </t>
  </si>
  <si>
    <t>Lantai Granite 60x60 R. Tamu,r. tidur, r. Keluarga,r. Makan dan dapur</t>
  </si>
  <si>
    <t xml:space="preserve">eks. Sandi Mas  type Lotus White... </t>
  </si>
  <si>
    <t>Plin 10x40 cm (tanpa Plint hanya Nat)</t>
  </si>
  <si>
    <t>KM / WC Lt. Dasar ukr. 25x50 tinggi 200 cm.</t>
  </si>
  <si>
    <t>KM / WC R. Service ukr. 40x40cm</t>
  </si>
  <si>
    <t>Daun pintu Utama, Dalam dan KM/WC incld. Finished terpasang</t>
  </si>
  <si>
    <t>Kusen Almn eks.</t>
  </si>
  <si>
    <t>CKP</t>
  </si>
  <si>
    <t>MGRM</t>
  </si>
  <si>
    <t>T. 34/60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</si>
</sst>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0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Monotype Corsiva"/>
      <family val="4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8"/>
      <name val="Bookman Old Style"/>
      <family val="1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0" fontId="6" fillId="0" borderId="0"/>
    <xf numFmtId="0" fontId="6" fillId="0" borderId="0"/>
  </cellStyleXfs>
  <cellXfs count="149">
    <xf numFmtId="0" fontId="0" fillId="0" borderId="0" xfId="0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4" borderId="0" xfId="0" applyFill="1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/>
    <xf numFmtId="0" fontId="0" fillId="5" borderId="0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right"/>
    </xf>
    <xf numFmtId="0" fontId="13" fillId="0" borderId="8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13" fillId="3" borderId="0" xfId="0" applyFont="1" applyFill="1"/>
    <xf numFmtId="0" fontId="13" fillId="3" borderId="0" xfId="0" applyFont="1" applyFill="1" applyAlignment="1">
      <alignment horizontal="center"/>
    </xf>
    <xf numFmtId="0" fontId="0" fillId="5" borderId="0" xfId="0" applyFill="1" applyBorder="1" applyAlignment="1">
      <alignment wrapText="1"/>
    </xf>
    <xf numFmtId="0" fontId="0" fillId="0" borderId="0" xfId="0" applyFill="1" applyBorder="1" applyAlignment="1">
      <alignment horizontal="left" wrapText="1"/>
    </xf>
    <xf numFmtId="0" fontId="0" fillId="5" borderId="0" xfId="0" applyFill="1" applyBorder="1" applyAlignment="1">
      <alignment horizontal="left"/>
    </xf>
    <xf numFmtId="0" fontId="0" fillId="5" borderId="0" xfId="0" applyFill="1" applyBorder="1" applyAlignment="1"/>
    <xf numFmtId="0" fontId="0" fillId="0" borderId="0" xfId="0" applyFill="1" applyBorder="1" applyAlignment="1">
      <alignment wrapText="1"/>
    </xf>
    <xf numFmtId="0" fontId="14" fillId="3" borderId="0" xfId="0" applyFont="1" applyFill="1" applyAlignment="1">
      <alignment horizontal="center"/>
    </xf>
    <xf numFmtId="0" fontId="15" fillId="3" borderId="0" xfId="0" applyFont="1" applyFill="1"/>
    <xf numFmtId="0" fontId="0" fillId="0" borderId="0" xfId="0" applyFill="1" applyBorder="1" applyAlignment="1"/>
    <xf numFmtId="0" fontId="13" fillId="6" borderId="8" xfId="0" applyFont="1" applyFill="1" applyBorder="1" applyAlignment="1">
      <alignment horizontal="left"/>
    </xf>
    <xf numFmtId="166" fontId="0" fillId="0" borderId="0" xfId="0" applyNumberFormat="1" applyBorder="1"/>
    <xf numFmtId="0" fontId="15" fillId="0" borderId="0" xfId="0" applyFont="1" applyFill="1"/>
    <xf numFmtId="0" fontId="13" fillId="0" borderId="8" xfId="0" applyFont="1" applyFill="1" applyBorder="1" applyAlignment="1">
      <alignment horizontal="left"/>
    </xf>
    <xf numFmtId="0" fontId="0" fillId="0" borderId="4" xfId="0" applyFill="1" applyBorder="1"/>
    <xf numFmtId="0" fontId="0" fillId="0" borderId="6" xfId="0" applyFill="1" applyBorder="1" applyAlignment="1">
      <alignment horizontal="right"/>
    </xf>
    <xf numFmtId="0" fontId="0" fillId="0" borderId="6" xfId="0" applyFill="1" applyBorder="1"/>
    <xf numFmtId="0" fontId="0" fillId="0" borderId="1" xfId="0" applyFill="1" applyBorder="1" applyAlignment="1">
      <alignment horizontal="right"/>
    </xf>
    <xf numFmtId="0" fontId="0" fillId="0" borderId="1" xfId="0" applyFill="1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wrapText="1"/>
    </xf>
    <xf numFmtId="0" fontId="0" fillId="0" borderId="0" xfId="0" applyAlignment="1">
      <alignment horizontal="right"/>
    </xf>
    <xf numFmtId="0" fontId="13" fillId="0" borderId="0" xfId="0" applyFont="1"/>
    <xf numFmtId="0" fontId="12" fillId="0" borderId="0" xfId="4" applyFont="1"/>
    <xf numFmtId="0" fontId="2" fillId="0" borderId="0" xfId="4" applyFont="1"/>
    <xf numFmtId="0" fontId="6" fillId="0" borderId="0" xfId="4"/>
    <xf numFmtId="43" fontId="6" fillId="0" borderId="0" xfId="2"/>
    <xf numFmtId="43" fontId="6" fillId="0" borderId="0" xfId="2" applyFont="1"/>
    <xf numFmtId="164" fontId="2" fillId="0" borderId="0" xfId="4" applyNumberFormat="1" applyFont="1"/>
    <xf numFmtId="43" fontId="4" fillId="0" borderId="0" xfId="2" applyFont="1"/>
    <xf numFmtId="43" fontId="3" fillId="0" borderId="0" xfId="2" applyFont="1" applyAlignment="1">
      <alignment horizontal="right"/>
    </xf>
    <xf numFmtId="43" fontId="2" fillId="0" borderId="9" xfId="2" applyFont="1" applyFill="1" applyBorder="1" applyAlignment="1">
      <alignment horizontal="center" vertical="center"/>
    </xf>
    <xf numFmtId="43" fontId="2" fillId="0" borderId="10" xfId="2" applyFont="1" applyFill="1" applyBorder="1" applyAlignment="1">
      <alignment horizontal="center" vertical="center"/>
    </xf>
    <xf numFmtId="43" fontId="2" fillId="0" borderId="11" xfId="2" applyFont="1" applyFill="1" applyBorder="1" applyAlignment="1">
      <alignment horizontal="center" vertical="center"/>
    </xf>
    <xf numFmtId="0" fontId="5" fillId="2" borderId="12" xfId="4" applyFont="1" applyFill="1" applyBorder="1" applyAlignment="1">
      <alignment horizontal="center" vertical="center"/>
    </xf>
    <xf numFmtId="0" fontId="5" fillId="2" borderId="12" xfId="4" applyFont="1" applyFill="1" applyBorder="1" applyAlignment="1">
      <alignment horizontal="left" vertical="center"/>
    </xf>
    <xf numFmtId="0" fontId="6" fillId="2" borderId="12" xfId="4" applyFont="1" applyFill="1" applyBorder="1" applyAlignment="1">
      <alignment horizontal="center" vertical="center"/>
    </xf>
    <xf numFmtId="43" fontId="6" fillId="2" borderId="12" xfId="2" applyFont="1" applyFill="1" applyBorder="1" applyAlignment="1">
      <alignment horizontal="center" vertical="center"/>
    </xf>
    <xf numFmtId="0" fontId="7" fillId="2" borderId="13" xfId="4" applyFont="1" applyFill="1" applyBorder="1" applyAlignment="1">
      <alignment horizontal="center" vertical="center"/>
    </xf>
    <xf numFmtId="0" fontId="7" fillId="2" borderId="13" xfId="4" applyFont="1" applyFill="1" applyBorder="1" applyAlignment="1">
      <alignment horizontal="left" vertical="center"/>
    </xf>
    <xf numFmtId="0" fontId="6" fillId="2" borderId="13" xfId="4" applyFont="1" applyFill="1" applyBorder="1" applyAlignment="1">
      <alignment horizontal="center" vertical="center"/>
    </xf>
    <xf numFmtId="43" fontId="6" fillId="2" borderId="13" xfId="2" applyFont="1" applyFill="1" applyBorder="1" applyAlignment="1">
      <alignment horizontal="right" vertical="center"/>
    </xf>
    <xf numFmtId="0" fontId="4" fillId="0" borderId="13" xfId="4" applyFont="1" applyBorder="1" applyAlignment="1">
      <alignment horizontal="right"/>
    </xf>
    <xf numFmtId="0" fontId="4" fillId="0" borderId="13" xfId="4" applyFont="1" applyBorder="1"/>
    <xf numFmtId="0" fontId="4" fillId="0" borderId="13" xfId="4" applyFont="1" applyBorder="1" applyAlignment="1">
      <alignment horizontal="center"/>
    </xf>
    <xf numFmtId="43" fontId="4" fillId="0" borderId="13" xfId="2" applyFont="1" applyFill="1" applyBorder="1" applyAlignment="1">
      <alignment horizontal="right"/>
    </xf>
    <xf numFmtId="43" fontId="4" fillId="2" borderId="13" xfId="2" applyFont="1" applyFill="1" applyBorder="1" applyAlignment="1">
      <alignment horizontal="right"/>
    </xf>
    <xf numFmtId="43" fontId="4" fillId="0" borderId="9" xfId="2" applyFont="1" applyFill="1" applyBorder="1" applyAlignment="1">
      <alignment horizontal="right"/>
    </xf>
    <xf numFmtId="43" fontId="7" fillId="2" borderId="14" xfId="2" applyFont="1" applyFill="1" applyBorder="1" applyAlignment="1">
      <alignment horizontal="right"/>
    </xf>
    <xf numFmtId="0" fontId="7" fillId="0" borderId="13" xfId="4" applyFont="1" applyBorder="1" applyAlignment="1">
      <alignment horizontal="right"/>
    </xf>
    <xf numFmtId="0" fontId="7" fillId="0" borderId="13" xfId="4" applyFont="1" applyBorder="1"/>
    <xf numFmtId="43" fontId="8" fillId="0" borderId="13" xfId="2" applyFont="1" applyFill="1" applyBorder="1" applyAlignment="1">
      <alignment horizontal="right"/>
    </xf>
    <xf numFmtId="43" fontId="8" fillId="0" borderId="12" xfId="2" applyFont="1" applyFill="1" applyBorder="1" applyAlignment="1">
      <alignment horizontal="right"/>
    </xf>
    <xf numFmtId="43" fontId="9" fillId="0" borderId="15" xfId="2" applyFont="1" applyFill="1" applyBorder="1"/>
    <xf numFmtId="43" fontId="4" fillId="0" borderId="13" xfId="2" applyFont="1" applyBorder="1" applyAlignment="1">
      <alignment horizontal="right"/>
    </xf>
    <xf numFmtId="43" fontId="6" fillId="0" borderId="0" xfId="4" applyNumberFormat="1"/>
    <xf numFmtId="43" fontId="7" fillId="2" borderId="13" xfId="2" applyFont="1" applyFill="1" applyBorder="1" applyAlignment="1">
      <alignment horizontal="right"/>
    </xf>
    <xf numFmtId="13" fontId="8" fillId="0" borderId="13" xfId="2" applyNumberFormat="1" applyFont="1" applyFill="1" applyBorder="1" applyAlignment="1">
      <alignment horizontal="right"/>
    </xf>
    <xf numFmtId="0" fontId="7" fillId="0" borderId="13" xfId="5" applyFont="1" applyBorder="1" applyAlignment="1">
      <alignment horizontal="right"/>
    </xf>
    <xf numFmtId="0" fontId="7" fillId="0" borderId="13" xfId="5" applyFont="1" applyBorder="1"/>
    <xf numFmtId="0" fontId="4" fillId="0" borderId="12" xfId="5" applyFont="1" applyBorder="1" applyAlignment="1">
      <alignment horizontal="center"/>
    </xf>
    <xf numFmtId="43" fontId="4" fillId="0" borderId="12" xfId="2" applyFont="1" applyFill="1" applyBorder="1"/>
    <xf numFmtId="43" fontId="4" fillId="0" borderId="16" xfId="2" applyFont="1" applyFill="1" applyBorder="1"/>
    <xf numFmtId="0" fontId="4" fillId="0" borderId="13" xfId="5" applyFont="1" applyBorder="1" applyAlignment="1">
      <alignment horizontal="center"/>
    </xf>
    <xf numFmtId="43" fontId="4" fillId="0" borderId="13" xfId="2" applyFont="1" applyFill="1" applyBorder="1"/>
    <xf numFmtId="0" fontId="4" fillId="0" borderId="16" xfId="5" applyFont="1" applyBorder="1" applyAlignment="1">
      <alignment horizontal="center"/>
    </xf>
    <xf numFmtId="0" fontId="4" fillId="0" borderId="16" xfId="5" applyFont="1" applyBorder="1"/>
    <xf numFmtId="0" fontId="4" fillId="0" borderId="0" xfId="4" applyFont="1" applyBorder="1" applyAlignment="1">
      <alignment horizontal="right"/>
    </xf>
    <xf numFmtId="0" fontId="4" fillId="0" borderId="0" xfId="4" applyFont="1" applyBorder="1"/>
    <xf numFmtId="0" fontId="4" fillId="0" borderId="0" xfId="4" applyFont="1" applyBorder="1" applyAlignment="1">
      <alignment horizontal="center"/>
    </xf>
    <xf numFmtId="43" fontId="4" fillId="0" borderId="17" xfId="2" applyFont="1" applyFill="1" applyBorder="1"/>
    <xf numFmtId="43" fontId="4" fillId="2" borderId="0" xfId="2" applyFont="1" applyFill="1" applyBorder="1" applyAlignment="1">
      <alignment horizontal="right"/>
    </xf>
    <xf numFmtId="43" fontId="8" fillId="0" borderId="0" xfId="2" applyFont="1" applyFill="1" applyBorder="1"/>
    <xf numFmtId="43" fontId="4" fillId="0" borderId="0" xfId="2" applyFont="1" applyFill="1" applyBorder="1"/>
    <xf numFmtId="43" fontId="6" fillId="0" borderId="0" xfId="2" applyFill="1"/>
    <xf numFmtId="43" fontId="6" fillId="2" borderId="0" xfId="2" applyFont="1" applyFill="1"/>
    <xf numFmtId="0" fontId="4" fillId="2" borderId="13" xfId="4" applyFont="1" applyFill="1" applyBorder="1" applyAlignment="1">
      <alignment horizontal="right" vertical="center"/>
    </xf>
    <xf numFmtId="0" fontId="6" fillId="0" borderId="10" xfId="4" applyFont="1" applyBorder="1"/>
    <xf numFmtId="43" fontId="6" fillId="0" borderId="10" xfId="2" applyFont="1" applyFill="1" applyBorder="1" applyAlignment="1">
      <alignment horizontal="center"/>
    </xf>
    <xf numFmtId="43" fontId="7" fillId="2" borderId="10" xfId="2" applyFont="1" applyFill="1" applyBorder="1" applyAlignment="1">
      <alignment horizontal="center"/>
    </xf>
    <xf numFmtId="43" fontId="6" fillId="2" borderId="10" xfId="2" applyFont="1" applyFill="1" applyBorder="1" applyAlignment="1">
      <alignment horizontal="center"/>
    </xf>
    <xf numFmtId="0" fontId="7" fillId="2" borderId="13" xfId="4" applyFont="1" applyFill="1" applyBorder="1" applyAlignment="1">
      <alignment horizontal="right" vertical="center"/>
    </xf>
    <xf numFmtId="0" fontId="6" fillId="0" borderId="13" xfId="4" applyBorder="1"/>
    <xf numFmtId="43" fontId="4" fillId="2" borderId="13" xfId="2" applyFont="1" applyFill="1" applyBorder="1"/>
    <xf numFmtId="43" fontId="7" fillId="2" borderId="13" xfId="2" applyFont="1" applyFill="1" applyBorder="1"/>
    <xf numFmtId="0" fontId="7" fillId="0" borderId="0" xfId="4" applyFont="1" applyBorder="1" applyAlignment="1">
      <alignment horizontal="right"/>
    </xf>
    <xf numFmtId="0" fontId="7" fillId="0" borderId="0" xfId="4" applyFont="1" applyBorder="1"/>
    <xf numFmtId="0" fontId="6" fillId="0" borderId="0" xfId="4" applyBorder="1"/>
    <xf numFmtId="43" fontId="4" fillId="2" borderId="0" xfId="2" applyFont="1" applyFill="1"/>
    <xf numFmtId="43" fontId="7" fillId="2" borderId="0" xfId="2" applyFont="1" applyFill="1" applyBorder="1"/>
    <xf numFmtId="43" fontId="2" fillId="0" borderId="0" xfId="2" applyFont="1" applyAlignment="1">
      <alignment horizontal="left"/>
    </xf>
    <xf numFmtId="41" fontId="2" fillId="2" borderId="0" xfId="2" applyNumberFormat="1" applyFont="1" applyFill="1"/>
    <xf numFmtId="43" fontId="2" fillId="0" borderId="0" xfId="2" applyFont="1"/>
    <xf numFmtId="165" fontId="6" fillId="2" borderId="0" xfId="2" applyNumberFormat="1" applyFont="1" applyFill="1"/>
    <xf numFmtId="41" fontId="6" fillId="2" borderId="0" xfId="2" applyNumberFormat="1" applyFont="1" applyFill="1"/>
    <xf numFmtId="43" fontId="2" fillId="0" borderId="0" xfId="2" applyFont="1" applyAlignment="1">
      <alignment horizontal="right"/>
    </xf>
    <xf numFmtId="165" fontId="2" fillId="2" borderId="0" xfId="2" applyNumberFormat="1" applyFont="1" applyFill="1"/>
    <xf numFmtId="0" fontId="11" fillId="0" borderId="0" xfId="4" applyFont="1"/>
    <xf numFmtId="164" fontId="2" fillId="0" borderId="0" xfId="2" applyNumberFormat="1" applyFont="1"/>
    <xf numFmtId="165" fontId="6" fillId="0" borderId="0" xfId="2" applyNumberFormat="1" applyFont="1"/>
    <xf numFmtId="0" fontId="13" fillId="0" borderId="0" xfId="0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0" fillId="0" borderId="0" xfId="0" applyBorder="1" applyAlignment="1">
      <alignment horizontal="right" wrapText="1"/>
    </xf>
    <xf numFmtId="43" fontId="4" fillId="0" borderId="0" xfId="2" applyFont="1" applyFill="1"/>
    <xf numFmtId="43" fontId="6" fillId="0" borderId="12" xfId="2" applyFont="1" applyFill="1" applyBorder="1" applyAlignment="1">
      <alignment horizontal="center" vertical="center"/>
    </xf>
    <xf numFmtId="43" fontId="6" fillId="0" borderId="13" xfId="2" applyFont="1" applyFill="1" applyBorder="1" applyAlignment="1">
      <alignment horizontal="right" vertical="center"/>
    </xf>
    <xf numFmtId="43" fontId="10" fillId="0" borderId="0" xfId="2" applyFont="1" applyFill="1"/>
    <xf numFmtId="43" fontId="6" fillId="0" borderId="0" xfId="2" applyFont="1" applyFill="1"/>
    <xf numFmtId="43" fontId="2" fillId="0" borderId="0" xfId="2" applyFont="1" applyFill="1"/>
    <xf numFmtId="43" fontId="2" fillId="0" borderId="13" xfId="2" applyFont="1" applyFill="1" applyBorder="1" applyAlignment="1">
      <alignment horizontal="center" vertical="center"/>
    </xf>
    <xf numFmtId="0" fontId="4" fillId="0" borderId="13" xfId="5" applyFont="1" applyBorder="1"/>
    <xf numFmtId="43" fontId="4" fillId="0" borderId="14" xfId="2" applyFont="1" applyFill="1" applyBorder="1"/>
    <xf numFmtId="0" fontId="4" fillId="0" borderId="14" xfId="5" applyFont="1" applyBorder="1" applyAlignment="1">
      <alignment horizontal="center"/>
    </xf>
    <xf numFmtId="0" fontId="4" fillId="0" borderId="14" xfId="5" applyFont="1" applyBorder="1"/>
    <xf numFmtId="0" fontId="4" fillId="0" borderId="14" xfId="5" applyFont="1" applyFill="1" applyBorder="1" applyAlignment="1">
      <alignment horizontal="center"/>
    </xf>
    <xf numFmtId="0" fontId="4" fillId="0" borderId="13" xfId="5" applyFont="1" applyFill="1" applyBorder="1"/>
    <xf numFmtId="0" fontId="4" fillId="0" borderId="13" xfId="5" applyFont="1" applyFill="1" applyBorder="1" applyAlignment="1">
      <alignment horizontal="center"/>
    </xf>
    <xf numFmtId="0" fontId="4" fillId="0" borderId="12" xfId="5" applyFont="1" applyFill="1" applyBorder="1"/>
    <xf numFmtId="165" fontId="4" fillId="0" borderId="13" xfId="2" applyNumberFormat="1" applyFont="1" applyFill="1" applyBorder="1" applyAlignment="1">
      <alignment horizontal="right"/>
    </xf>
    <xf numFmtId="165" fontId="4" fillId="0" borderId="13" xfId="2" applyNumberFormat="1" applyFont="1" applyFill="1" applyBorder="1"/>
    <xf numFmtId="165" fontId="4" fillId="0" borderId="14" xfId="2" applyNumberFormat="1" applyFont="1" applyFill="1" applyBorder="1"/>
    <xf numFmtId="165" fontId="4" fillId="0" borderId="16" xfId="2" applyNumberFormat="1" applyFont="1" applyFill="1" applyBorder="1"/>
    <xf numFmtId="165" fontId="4" fillId="0" borderId="12" xfId="2" applyNumberFormat="1" applyFont="1" applyFill="1" applyBorder="1"/>
    <xf numFmtId="0" fontId="4" fillId="0" borderId="13" xfId="4" applyFont="1" applyFill="1" applyBorder="1"/>
    <xf numFmtId="0" fontId="16" fillId="0" borderId="0" xfId="0" applyFont="1" applyAlignment="1">
      <alignment horizontal="center" wrapText="1"/>
    </xf>
    <xf numFmtId="0" fontId="2" fillId="0" borderId="0" xfId="4" applyFont="1" applyAlignment="1">
      <alignment horizontal="center" wrapText="1"/>
    </xf>
    <xf numFmtId="0" fontId="0" fillId="5" borderId="0" xfId="0" applyFill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2" fillId="0" borderId="10" xfId="4" applyFont="1" applyFill="1" applyBorder="1" applyAlignment="1">
      <alignment horizontal="center" vertical="center"/>
    </xf>
    <xf numFmtId="0" fontId="2" fillId="0" borderId="11" xfId="4" applyFont="1" applyFill="1" applyBorder="1" applyAlignment="1">
      <alignment horizontal="center" vertical="center"/>
    </xf>
  </cellXfs>
  <cellStyles count="6">
    <cellStyle name="Comma 2" xfId="1"/>
    <cellStyle name="Comma 3" xfId="2"/>
    <cellStyle name="Normal" xfId="0" builtinId="0"/>
    <cellStyle name="Normal 2" xfId="3"/>
    <cellStyle name="Normal 3" xfId="4"/>
    <cellStyle name="Normal_Vignola_100_120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I110"/>
  <sheetViews>
    <sheetView topLeftCell="P55" zoomScale="85" zoomScaleNormal="85" workbookViewId="0">
      <selection activeCell="AA73" sqref="AA73"/>
    </sheetView>
  </sheetViews>
  <sheetFormatPr defaultRowHeight="15" x14ac:dyDescent="0.25"/>
  <cols>
    <col min="1" max="1" width="3" customWidth="1"/>
  </cols>
  <sheetData>
    <row r="2" spans="2:113" x14ac:dyDescent="0.25">
      <c r="B2" s="20" t="s">
        <v>171</v>
      </c>
      <c r="C2" s="19" t="s">
        <v>8</v>
      </c>
      <c r="D2" s="1"/>
      <c r="E2" s="1"/>
      <c r="I2" s="20" t="s">
        <v>18</v>
      </c>
      <c r="J2" s="1" t="s">
        <v>19</v>
      </c>
      <c r="K2" s="1"/>
      <c r="L2" s="1"/>
      <c r="M2" s="1"/>
      <c r="R2" s="20" t="s">
        <v>26</v>
      </c>
      <c r="S2" s="1" t="s">
        <v>27</v>
      </c>
      <c r="T2" s="1"/>
      <c r="U2" s="1"/>
      <c r="Y2" s="20" t="s">
        <v>31</v>
      </c>
      <c r="Z2" s="1" t="s">
        <v>32</v>
      </c>
      <c r="AA2" s="1"/>
      <c r="AB2" s="1"/>
      <c r="AF2" s="20" t="s">
        <v>39</v>
      </c>
      <c r="AG2" s="1" t="s">
        <v>40</v>
      </c>
      <c r="AH2" s="1"/>
      <c r="AI2" s="1"/>
      <c r="AM2" s="20" t="s">
        <v>44</v>
      </c>
      <c r="AN2" s="1" t="s">
        <v>173</v>
      </c>
      <c r="AO2" s="1"/>
      <c r="AP2" s="1"/>
      <c r="AQ2" s="1"/>
      <c r="AT2" s="20" t="s">
        <v>46</v>
      </c>
      <c r="AU2" s="1" t="s">
        <v>174</v>
      </c>
      <c r="AV2" s="1"/>
      <c r="AW2" s="1"/>
      <c r="AX2" s="11"/>
      <c r="BA2" s="26" t="s">
        <v>50</v>
      </c>
      <c r="BB2" s="27" t="s">
        <v>51</v>
      </c>
      <c r="BC2" s="27"/>
      <c r="BD2" s="27"/>
      <c r="BE2" s="27"/>
      <c r="BF2" s="27"/>
      <c r="BH2" s="26" t="s">
        <v>55</v>
      </c>
      <c r="BI2" s="27" t="s">
        <v>263</v>
      </c>
      <c r="BJ2" s="27"/>
      <c r="BK2" s="27"/>
      <c r="BL2" s="31"/>
      <c r="BM2" s="31"/>
      <c r="BO2" s="26" t="s">
        <v>62</v>
      </c>
      <c r="BP2" s="1" t="s">
        <v>63</v>
      </c>
      <c r="BQ2" s="1"/>
      <c r="BR2" s="1"/>
      <c r="BS2" s="1"/>
      <c r="BX2" s="26" t="s">
        <v>70</v>
      </c>
      <c r="BY2" s="1" t="s">
        <v>266</v>
      </c>
      <c r="BZ2" s="1"/>
      <c r="CA2" s="1"/>
      <c r="CB2" s="1"/>
      <c r="CF2" s="26" t="s">
        <v>76</v>
      </c>
      <c r="CG2" s="1" t="s">
        <v>267</v>
      </c>
      <c r="CH2" s="1"/>
      <c r="CI2" s="1"/>
      <c r="CJ2" s="1"/>
      <c r="CK2" s="1"/>
      <c r="CO2" s="26" t="s">
        <v>101</v>
      </c>
      <c r="CP2" s="1" t="s">
        <v>102</v>
      </c>
      <c r="CQ2" s="1"/>
      <c r="CR2" s="1"/>
      <c r="CS2" s="11"/>
      <c r="CT2" s="11"/>
      <c r="CV2" s="26" t="s">
        <v>121</v>
      </c>
      <c r="CW2" s="1" t="s">
        <v>122</v>
      </c>
      <c r="CX2" s="1"/>
      <c r="CY2" s="1"/>
      <c r="CZ2" s="1"/>
      <c r="DA2" s="1"/>
      <c r="DD2" s="26" t="s">
        <v>125</v>
      </c>
      <c r="DE2" s="1" t="s">
        <v>126</v>
      </c>
      <c r="DF2" s="1"/>
      <c r="DG2" s="1"/>
      <c r="DH2" s="1"/>
      <c r="DI2" s="11"/>
    </row>
    <row r="3" spans="2:113" ht="15.75" thickBot="1" x14ac:dyDescent="0.3">
      <c r="Y3" s="119"/>
      <c r="Z3" s="11"/>
      <c r="AA3" s="11"/>
      <c r="AB3" s="11"/>
    </row>
    <row r="4" spans="2:113" x14ac:dyDescent="0.25">
      <c r="B4" s="17">
        <v>1</v>
      </c>
      <c r="C4" s="2"/>
      <c r="D4" s="2"/>
      <c r="E4" s="2"/>
      <c r="F4" s="3"/>
      <c r="G4" s="6"/>
      <c r="I4" s="17">
        <v>1</v>
      </c>
      <c r="J4" s="2"/>
      <c r="K4" s="2"/>
      <c r="L4" s="2"/>
      <c r="M4" s="2"/>
      <c r="N4" s="2"/>
      <c r="O4" s="3"/>
      <c r="R4" s="17">
        <v>1</v>
      </c>
      <c r="S4" s="2"/>
      <c r="T4" s="2"/>
      <c r="U4" s="2"/>
      <c r="V4" s="3"/>
      <c r="Y4" s="120" t="s">
        <v>33</v>
      </c>
      <c r="Z4" s="11"/>
      <c r="AA4" s="11"/>
      <c r="AB4" s="11"/>
      <c r="AF4" s="17">
        <v>1</v>
      </c>
      <c r="AG4" s="2"/>
      <c r="AH4" s="2"/>
      <c r="AI4" s="2"/>
      <c r="AJ4" s="3"/>
      <c r="AM4" s="17">
        <v>1</v>
      </c>
      <c r="AN4" s="2"/>
      <c r="AO4" s="2"/>
      <c r="AP4" s="2"/>
      <c r="AQ4" s="3"/>
      <c r="AT4" s="17">
        <v>1</v>
      </c>
      <c r="AU4" s="2"/>
      <c r="AV4" s="2"/>
      <c r="AW4" s="2"/>
      <c r="AX4" s="3"/>
      <c r="BA4" s="17">
        <v>1</v>
      </c>
      <c r="BB4" s="2"/>
      <c r="BC4" s="2"/>
      <c r="BD4" s="2"/>
      <c r="BE4" s="3"/>
      <c r="BH4" s="17">
        <v>1</v>
      </c>
      <c r="BI4" s="2"/>
      <c r="BJ4" s="2"/>
      <c r="BK4" s="2"/>
      <c r="BL4" s="3"/>
      <c r="BO4" s="17">
        <v>1</v>
      </c>
      <c r="BP4" s="2"/>
      <c r="BQ4" s="2"/>
      <c r="BR4" s="2"/>
      <c r="BS4" s="2"/>
      <c r="BT4" s="3"/>
      <c r="BX4" s="17">
        <v>1</v>
      </c>
      <c r="BY4" s="2"/>
      <c r="BZ4" s="2"/>
      <c r="CA4" s="2"/>
      <c r="CB4" s="3"/>
      <c r="CF4" s="17">
        <v>1</v>
      </c>
      <c r="CG4" s="2"/>
      <c r="CH4" s="2"/>
      <c r="CI4" s="2"/>
      <c r="CJ4" s="2"/>
      <c r="CK4" s="2"/>
      <c r="CL4" s="3"/>
      <c r="CO4" s="41" t="s">
        <v>103</v>
      </c>
      <c r="CV4" s="17">
        <v>1</v>
      </c>
      <c r="CW4" s="2"/>
      <c r="CX4" s="2"/>
      <c r="CY4" s="2"/>
      <c r="CZ4" s="2"/>
      <c r="DA4" s="3"/>
      <c r="DD4" s="17">
        <v>1</v>
      </c>
      <c r="DE4" s="2"/>
      <c r="DF4" s="2"/>
      <c r="DG4" s="2"/>
      <c r="DH4" s="2"/>
      <c r="DI4" s="3"/>
    </row>
    <row r="5" spans="2:113" ht="15" customHeight="1" thickBot="1" x14ac:dyDescent="0.3">
      <c r="B5" s="4"/>
      <c r="C5" s="12" t="s">
        <v>137</v>
      </c>
      <c r="D5" s="12"/>
      <c r="E5" s="13"/>
      <c r="F5" s="5"/>
      <c r="G5" s="6"/>
      <c r="I5" s="4"/>
      <c r="J5" s="12" t="s">
        <v>20</v>
      </c>
      <c r="K5" s="12"/>
      <c r="L5" s="13"/>
      <c r="M5" s="6"/>
      <c r="N5" s="6"/>
      <c r="O5" s="5"/>
      <c r="R5" s="4"/>
      <c r="S5" s="12" t="s">
        <v>28</v>
      </c>
      <c r="T5" s="12"/>
      <c r="U5" s="6"/>
      <c r="V5" s="5"/>
      <c r="AF5" s="4"/>
      <c r="AG5" s="145" t="s">
        <v>41</v>
      </c>
      <c r="AH5" s="145"/>
      <c r="AI5" s="145"/>
      <c r="AJ5" s="5"/>
      <c r="AM5" s="4"/>
      <c r="AN5" s="145" t="s">
        <v>210</v>
      </c>
      <c r="AO5" s="145"/>
      <c r="AP5" s="145"/>
      <c r="AQ5" s="5"/>
      <c r="AT5" s="4"/>
      <c r="AU5" s="145" t="s">
        <v>47</v>
      </c>
      <c r="AV5" s="145"/>
      <c r="AW5" s="145"/>
      <c r="AX5" s="5"/>
      <c r="BA5" s="4"/>
      <c r="BB5" s="24" t="s">
        <v>52</v>
      </c>
      <c r="BC5" s="24"/>
      <c r="BD5" s="24"/>
      <c r="BE5" s="5"/>
      <c r="BH5" s="4"/>
      <c r="BI5" s="145" t="s">
        <v>56</v>
      </c>
      <c r="BJ5" s="145"/>
      <c r="BK5" s="145"/>
      <c r="BL5" s="5"/>
      <c r="BO5" s="4"/>
      <c r="BP5" s="12" t="s">
        <v>218</v>
      </c>
      <c r="BQ5" s="12"/>
      <c r="BR5" s="6"/>
      <c r="BS5" s="6"/>
      <c r="BT5" s="5"/>
      <c r="BX5" s="4"/>
      <c r="BY5" s="12" t="s">
        <v>236</v>
      </c>
      <c r="BZ5" s="12"/>
      <c r="CA5" s="12"/>
      <c r="CB5" s="5"/>
      <c r="CF5" s="4"/>
      <c r="CG5" s="12" t="s">
        <v>190</v>
      </c>
      <c r="CH5" s="6"/>
      <c r="CI5" s="6"/>
      <c r="CJ5" s="6"/>
      <c r="CK5" s="6"/>
      <c r="CL5" s="5"/>
      <c r="CV5" s="4"/>
      <c r="CW5" s="145" t="s">
        <v>278</v>
      </c>
      <c r="CX5" s="145"/>
      <c r="CY5" s="145"/>
      <c r="CZ5" s="145"/>
      <c r="DA5" s="5"/>
      <c r="DD5" s="4"/>
      <c r="DE5" s="145" t="s">
        <v>249</v>
      </c>
      <c r="DF5" s="145"/>
      <c r="DG5" s="145"/>
      <c r="DH5" s="145"/>
      <c r="DI5" s="5"/>
    </row>
    <row r="6" spans="2:113" x14ac:dyDescent="0.25">
      <c r="B6" s="4"/>
      <c r="C6" s="6"/>
      <c r="D6" s="6"/>
      <c r="E6" s="6"/>
      <c r="F6" s="5"/>
      <c r="G6" s="6"/>
      <c r="I6" s="4"/>
      <c r="J6" s="6"/>
      <c r="K6" s="6"/>
      <c r="L6" s="6"/>
      <c r="M6" s="6"/>
      <c r="N6" s="6"/>
      <c r="O6" s="5"/>
      <c r="R6" s="4"/>
      <c r="S6" s="6"/>
      <c r="T6" s="6"/>
      <c r="U6" s="6"/>
      <c r="V6" s="5"/>
      <c r="Y6" s="17">
        <v>1</v>
      </c>
      <c r="Z6" s="2"/>
      <c r="AA6" s="2"/>
      <c r="AB6" s="2"/>
      <c r="AC6" s="3"/>
      <c r="AF6" s="4"/>
      <c r="AG6" s="145"/>
      <c r="AH6" s="145"/>
      <c r="AI6" s="145"/>
      <c r="AJ6" s="5"/>
      <c r="AM6" s="4"/>
      <c r="AN6" s="145"/>
      <c r="AO6" s="145"/>
      <c r="AP6" s="145"/>
      <c r="AQ6" s="5"/>
      <c r="AT6" s="4"/>
      <c r="AU6" s="145"/>
      <c r="AV6" s="145"/>
      <c r="AW6" s="145"/>
      <c r="AX6" s="5"/>
      <c r="BA6" s="4"/>
      <c r="BB6" s="6"/>
      <c r="BC6" s="6"/>
      <c r="BD6" s="6"/>
      <c r="BE6" s="5"/>
      <c r="BH6" s="4"/>
      <c r="BI6" s="145"/>
      <c r="BJ6" s="145"/>
      <c r="BK6" s="145"/>
      <c r="BL6" s="5"/>
      <c r="BO6" s="4"/>
      <c r="BP6" s="6"/>
      <c r="BQ6" s="6"/>
      <c r="BR6" s="6"/>
      <c r="BS6" s="6"/>
      <c r="BT6" s="5"/>
      <c r="BX6" s="4"/>
      <c r="BY6" s="6"/>
      <c r="BZ6" s="6"/>
      <c r="CA6" s="6"/>
      <c r="CB6" s="5"/>
      <c r="CF6" s="4"/>
      <c r="CG6" s="6"/>
      <c r="CH6" s="6"/>
      <c r="CI6" s="6"/>
      <c r="CJ6" s="6"/>
      <c r="CK6" s="6"/>
      <c r="CL6" s="5"/>
      <c r="CO6" s="17">
        <v>1</v>
      </c>
      <c r="CP6" s="2"/>
      <c r="CQ6" s="2"/>
      <c r="CR6" s="2"/>
      <c r="CS6" s="3"/>
      <c r="CV6" s="4"/>
      <c r="CW6" s="145"/>
      <c r="CX6" s="145"/>
      <c r="CY6" s="145"/>
      <c r="CZ6" s="145"/>
      <c r="DA6" s="5"/>
      <c r="DD6" s="4"/>
      <c r="DE6" s="145"/>
      <c r="DF6" s="145"/>
      <c r="DG6" s="145"/>
      <c r="DH6" s="145"/>
      <c r="DI6" s="5"/>
    </row>
    <row r="7" spans="2:113" ht="15" customHeight="1" x14ac:dyDescent="0.25">
      <c r="B7" s="4"/>
      <c r="C7" s="6" t="s">
        <v>62</v>
      </c>
      <c r="D7" s="6">
        <v>5</v>
      </c>
      <c r="E7" s="6" t="s">
        <v>134</v>
      </c>
      <c r="F7" s="5"/>
      <c r="G7" s="6"/>
      <c r="I7" s="4"/>
      <c r="J7" s="6" t="s">
        <v>157</v>
      </c>
      <c r="K7" s="6">
        <f>(0.65*0.65)*N7</f>
        <v>8.6189999999999998</v>
      </c>
      <c r="L7" s="6" t="s">
        <v>21</v>
      </c>
      <c r="M7" s="16" t="s">
        <v>153</v>
      </c>
      <c r="N7" s="6">
        <f>2+2+3.25+3+2.5+2.5+2.65+2.5</f>
        <v>20.399999999999999</v>
      </c>
      <c r="O7" s="5" t="s">
        <v>134</v>
      </c>
      <c r="R7" s="4"/>
      <c r="S7" s="6" t="s">
        <v>152</v>
      </c>
      <c r="T7" s="6">
        <f>(((0.3+0.5)/2)*0.5)*N7</f>
        <v>4.08</v>
      </c>
      <c r="U7" s="6" t="s">
        <v>21</v>
      </c>
      <c r="V7" s="5"/>
      <c r="Y7" s="4"/>
      <c r="Z7" s="12" t="s">
        <v>34</v>
      </c>
      <c r="AA7" s="12"/>
      <c r="AB7" s="12"/>
      <c r="AC7" s="5"/>
      <c r="AF7" s="4"/>
      <c r="AG7" s="6"/>
      <c r="AH7" s="6"/>
      <c r="AI7" s="6"/>
      <c r="AJ7" s="5"/>
      <c r="AM7" s="4"/>
      <c r="AN7" s="6"/>
      <c r="AO7" s="6"/>
      <c r="AP7" s="6"/>
      <c r="AQ7" s="5"/>
      <c r="AT7" s="4"/>
      <c r="AU7" s="22"/>
      <c r="AV7" s="22"/>
      <c r="AW7" s="22"/>
      <c r="AX7" s="5"/>
      <c r="BA7" s="4"/>
      <c r="BB7" s="14" t="s">
        <v>145</v>
      </c>
      <c r="BC7" s="6">
        <f>(((1.6+1.825)*2)*4.05)-(0.8*2.5)</f>
        <v>25.742499999999996</v>
      </c>
      <c r="BD7" s="6" t="s">
        <v>16</v>
      </c>
      <c r="BE7" s="5"/>
      <c r="BH7" s="4"/>
      <c r="BI7" s="145"/>
      <c r="BJ7" s="145"/>
      <c r="BK7" s="145"/>
      <c r="BL7" s="5"/>
      <c r="BO7" s="4"/>
      <c r="BQ7" s="16" t="s">
        <v>219</v>
      </c>
      <c r="BR7">
        <v>0</v>
      </c>
      <c r="BS7" s="6" t="s">
        <v>21</v>
      </c>
      <c r="BT7" s="5"/>
      <c r="BX7" s="4"/>
      <c r="BY7" s="16" t="s">
        <v>143</v>
      </c>
      <c r="BZ7" s="6">
        <f>(((3.25+3)*2)*4.05)-(0.9*2.5)-(2*4.05)-(1.5*2.5)</f>
        <v>36.524999999999999</v>
      </c>
      <c r="CA7" s="6" t="s">
        <v>16</v>
      </c>
      <c r="CB7" s="5"/>
      <c r="CF7" s="4"/>
      <c r="CG7" s="146" t="s">
        <v>78</v>
      </c>
      <c r="CH7" s="146"/>
      <c r="CI7" s="146"/>
      <c r="CJ7" s="6"/>
      <c r="CK7" s="6"/>
      <c r="CL7" s="5"/>
      <c r="CO7" s="4"/>
      <c r="CP7" s="145" t="s">
        <v>104</v>
      </c>
      <c r="CQ7" s="145"/>
      <c r="CR7" s="145"/>
      <c r="CS7" s="5"/>
      <c r="CV7" s="4"/>
      <c r="CW7" s="6"/>
      <c r="CX7" s="6"/>
      <c r="CY7" s="6"/>
      <c r="CZ7" s="6"/>
      <c r="DA7" s="5"/>
      <c r="DD7" s="4"/>
      <c r="DE7" s="6"/>
      <c r="DF7" s="6"/>
      <c r="DG7" s="6"/>
      <c r="DH7" s="6"/>
      <c r="DI7" s="5"/>
    </row>
    <row r="8" spans="2:113" x14ac:dyDescent="0.25">
      <c r="B8" s="4"/>
      <c r="C8" s="6" t="s">
        <v>133</v>
      </c>
      <c r="D8" s="6">
        <v>12</v>
      </c>
      <c r="E8" s="6" t="s">
        <v>134</v>
      </c>
      <c r="F8" s="5"/>
      <c r="G8" s="6"/>
      <c r="I8" s="4"/>
      <c r="J8" s="6" t="s">
        <v>158</v>
      </c>
      <c r="K8" s="6">
        <f>(0.55*0.55)*N8</f>
        <v>5.3693750000000007</v>
      </c>
      <c r="L8" s="6" t="s">
        <v>21</v>
      </c>
      <c r="M8" s="16" t="s">
        <v>153</v>
      </c>
      <c r="N8" s="6">
        <f>3+7.9+6.85</f>
        <v>17.75</v>
      </c>
      <c r="O8" s="5" t="s">
        <v>134</v>
      </c>
      <c r="R8" s="4"/>
      <c r="S8" s="6" t="s">
        <v>150</v>
      </c>
      <c r="T8" s="6">
        <f>(((0.2+0.4)/2)*0.4)*N8</f>
        <v>2.1300000000000003</v>
      </c>
      <c r="U8" s="6" t="s">
        <v>21</v>
      </c>
      <c r="V8" s="5"/>
      <c r="Y8" s="4"/>
      <c r="Z8" s="6"/>
      <c r="AA8" s="6"/>
      <c r="AB8" s="6"/>
      <c r="AC8" s="5"/>
      <c r="AF8" s="4"/>
      <c r="AG8" s="14" t="s">
        <v>148</v>
      </c>
      <c r="AH8" s="6">
        <f>1*2</f>
        <v>2</v>
      </c>
      <c r="AI8" s="6" t="s">
        <v>16</v>
      </c>
      <c r="AJ8" s="5"/>
      <c r="AM8" s="4"/>
      <c r="AN8" s="14" t="s">
        <v>145</v>
      </c>
      <c r="AO8" s="6">
        <f>((1.35+2.6)*2)*2</f>
        <v>15.8</v>
      </c>
      <c r="AP8" s="6" t="s">
        <v>16</v>
      </c>
      <c r="AQ8" s="5"/>
      <c r="AT8" s="4"/>
      <c r="AU8" s="16" t="s">
        <v>143</v>
      </c>
      <c r="AV8" s="6">
        <f>3.25*3</f>
        <v>9.75</v>
      </c>
      <c r="AW8" s="6" t="s">
        <v>16</v>
      </c>
      <c r="AX8" s="5"/>
      <c r="BA8" s="4"/>
      <c r="BB8" s="6"/>
      <c r="BC8" s="6"/>
      <c r="BD8" s="6"/>
      <c r="BE8" s="5"/>
      <c r="BH8" s="4"/>
      <c r="BI8" s="6"/>
      <c r="BJ8" s="6"/>
      <c r="BK8" s="6"/>
      <c r="BL8" s="5"/>
      <c r="BO8" s="4"/>
      <c r="BQ8" s="16" t="s">
        <v>264</v>
      </c>
      <c r="BR8">
        <v>4</v>
      </c>
      <c r="BS8" s="6" t="s">
        <v>65</v>
      </c>
      <c r="BT8" s="5"/>
      <c r="BX8" s="4"/>
      <c r="BY8" s="16" t="s">
        <v>144</v>
      </c>
      <c r="BZ8" s="6">
        <f>(((2.5+2.65)*2)*4.05)-(0.9*2.5)-(1.5*2.5)-(2*2.5)</f>
        <v>30.715000000000003</v>
      </c>
      <c r="CA8" s="6" t="s">
        <v>16</v>
      </c>
      <c r="CB8" s="5"/>
      <c r="CF8" s="4"/>
      <c r="CG8" s="146"/>
      <c r="CH8" s="146"/>
      <c r="CI8" s="146"/>
      <c r="CJ8" s="6">
        <v>1</v>
      </c>
      <c r="CK8" s="6" t="s">
        <v>65</v>
      </c>
      <c r="CL8" s="5"/>
      <c r="CO8" s="4"/>
      <c r="CP8" s="145"/>
      <c r="CQ8" s="145"/>
      <c r="CR8" s="145"/>
      <c r="CS8" s="5"/>
      <c r="CV8" s="4"/>
      <c r="CW8" s="7" t="s">
        <v>139</v>
      </c>
      <c r="CX8" s="6">
        <f>(2*1)+(3.5*1.5)</f>
        <v>7.25</v>
      </c>
      <c r="CY8" s="6" t="s">
        <v>16</v>
      </c>
      <c r="CZ8" s="6"/>
      <c r="DA8" s="5"/>
      <c r="DD8" s="4"/>
      <c r="DE8" s="7" t="s">
        <v>139</v>
      </c>
      <c r="DF8" s="6">
        <f>(7.5*1)</f>
        <v>7.5</v>
      </c>
      <c r="DG8" s="6" t="s">
        <v>16</v>
      </c>
      <c r="DH8" s="6"/>
      <c r="DI8" s="5"/>
    </row>
    <row r="9" spans="2:113" ht="15.75" customHeight="1" thickBot="1" x14ac:dyDescent="0.3">
      <c r="B9" s="4"/>
      <c r="C9" s="6"/>
      <c r="D9" s="6"/>
      <c r="E9" s="6"/>
      <c r="F9" s="5"/>
      <c r="G9" s="6"/>
      <c r="I9" s="4"/>
      <c r="J9" s="13" t="s">
        <v>159</v>
      </c>
      <c r="K9" s="6">
        <f>(0.45*0.45)*N9</f>
        <v>0.73912500000000003</v>
      </c>
      <c r="L9" s="6" t="s">
        <v>21</v>
      </c>
      <c r="M9" s="16" t="s">
        <v>153</v>
      </c>
      <c r="N9" s="6">
        <f>1.65+2</f>
        <v>3.65</v>
      </c>
      <c r="O9" s="5" t="s">
        <v>134</v>
      </c>
      <c r="R9" s="4"/>
      <c r="S9" s="13" t="s">
        <v>151</v>
      </c>
      <c r="T9" s="6">
        <f>(((0.2+0.4)/2)*0.4)*N9</f>
        <v>0.43800000000000006</v>
      </c>
      <c r="U9" s="6" t="s">
        <v>21</v>
      </c>
      <c r="V9" s="5"/>
      <c r="Y9" s="4"/>
      <c r="Z9" s="16" t="s">
        <v>136</v>
      </c>
      <c r="AA9" s="6">
        <f>SUM(N7:N9)+9.75</f>
        <v>51.55</v>
      </c>
      <c r="AB9" s="6" t="s">
        <v>134</v>
      </c>
      <c r="AC9" s="5"/>
      <c r="AF9" s="8"/>
      <c r="AG9" s="9"/>
      <c r="AH9" s="9"/>
      <c r="AI9" s="9"/>
      <c r="AJ9" s="10"/>
      <c r="AM9" s="8"/>
      <c r="AN9" s="9"/>
      <c r="AO9" s="9"/>
      <c r="AP9" s="9"/>
      <c r="AQ9" s="10"/>
      <c r="AT9" s="4"/>
      <c r="AU9" s="16" t="s">
        <v>144</v>
      </c>
      <c r="AV9" s="6">
        <f>2.5*2.65</f>
        <v>6.625</v>
      </c>
      <c r="AW9" s="6" t="s">
        <v>16</v>
      </c>
      <c r="AX9" s="5"/>
      <c r="BA9" s="4"/>
      <c r="BB9" s="7" t="s">
        <v>139</v>
      </c>
      <c r="BC9" s="6">
        <f>SUM(BC7:BC7)</f>
        <v>25.742499999999996</v>
      </c>
      <c r="BD9" s="6" t="s">
        <v>16</v>
      </c>
      <c r="BE9" s="5"/>
      <c r="BH9" s="4"/>
      <c r="BI9" s="14" t="s">
        <v>181</v>
      </c>
      <c r="BJ9" s="6">
        <f>7.25*3</f>
        <v>21.75</v>
      </c>
      <c r="BK9" s="6" t="s">
        <v>16</v>
      </c>
      <c r="BL9" s="5"/>
      <c r="BO9" s="4"/>
      <c r="BP9" s="146" t="s">
        <v>221</v>
      </c>
      <c r="BQ9" s="146"/>
      <c r="BR9" s="38"/>
      <c r="BS9" s="6"/>
      <c r="BT9" s="5"/>
      <c r="BX9" s="4"/>
      <c r="BY9" s="14" t="s">
        <v>146</v>
      </c>
      <c r="BZ9" s="6">
        <f>((2.65+2.5+2.65)*4.05)-(2*2.5)</f>
        <v>26.59</v>
      </c>
      <c r="CA9" s="6" t="s">
        <v>16</v>
      </c>
      <c r="CB9" s="5"/>
      <c r="CF9" s="4"/>
      <c r="CG9" s="146" t="s">
        <v>79</v>
      </c>
      <c r="CH9" s="146"/>
      <c r="CI9" s="146"/>
      <c r="CJ9" s="6"/>
      <c r="CK9" s="6"/>
      <c r="CL9" s="5"/>
      <c r="CO9" s="4"/>
      <c r="CP9" s="6"/>
      <c r="CQ9" s="6"/>
      <c r="CR9" s="6"/>
      <c r="CS9" s="5"/>
      <c r="CV9" s="8"/>
      <c r="CW9" s="9"/>
      <c r="CX9" s="9"/>
      <c r="CY9" s="9"/>
      <c r="CZ9" s="9"/>
      <c r="DA9" s="10"/>
      <c r="DD9" s="8"/>
      <c r="DE9" s="9"/>
      <c r="DF9" s="9"/>
      <c r="DG9" s="9"/>
      <c r="DH9" s="9"/>
      <c r="DI9" s="10"/>
    </row>
    <row r="10" spans="2:113" ht="15.75" thickBot="1" x14ac:dyDescent="0.3">
      <c r="B10" s="4"/>
      <c r="C10" s="7" t="s">
        <v>136</v>
      </c>
      <c r="D10" s="6">
        <f>(D7+D8)*2</f>
        <v>34</v>
      </c>
      <c r="E10" s="6" t="s">
        <v>135</v>
      </c>
      <c r="F10" s="5"/>
      <c r="G10" s="6"/>
      <c r="I10" s="4"/>
      <c r="J10" s="15" t="s">
        <v>160</v>
      </c>
      <c r="K10" s="6">
        <f>(0.35*0.4)*N10</f>
        <v>2.1069999999999998</v>
      </c>
      <c r="L10" s="6" t="s">
        <v>21</v>
      </c>
      <c r="M10" s="16" t="s">
        <v>153</v>
      </c>
      <c r="N10" s="6">
        <v>15.05</v>
      </c>
      <c r="O10" s="5" t="s">
        <v>134</v>
      </c>
      <c r="R10" s="4"/>
      <c r="S10" s="6"/>
      <c r="T10" s="6"/>
      <c r="U10" s="6"/>
      <c r="V10" s="5"/>
      <c r="Y10" s="4"/>
      <c r="Z10" s="6"/>
      <c r="AA10" s="6"/>
      <c r="AB10" s="6"/>
      <c r="AC10" s="5"/>
      <c r="AM10" s="6"/>
      <c r="AN10" s="6"/>
      <c r="AO10" s="6"/>
      <c r="AP10" s="6"/>
      <c r="AQ10" s="6"/>
      <c r="AT10" s="4"/>
      <c r="AU10" s="14" t="s">
        <v>146</v>
      </c>
      <c r="AV10" s="6">
        <f>2.65*2.5</f>
        <v>6.625</v>
      </c>
      <c r="AW10" s="6" t="s">
        <v>16</v>
      </c>
      <c r="AX10" s="5"/>
      <c r="BA10" s="8"/>
      <c r="BB10" s="9"/>
      <c r="BC10" s="9"/>
      <c r="BD10" s="9"/>
      <c r="BE10" s="10"/>
      <c r="BH10" s="4"/>
      <c r="BI10" s="14" t="s">
        <v>182</v>
      </c>
      <c r="BJ10" s="6">
        <f>6.25*3</f>
        <v>18.75</v>
      </c>
      <c r="BK10" s="6" t="s">
        <v>16</v>
      </c>
      <c r="BL10" s="5"/>
      <c r="BO10" s="4"/>
      <c r="BP10" s="146"/>
      <c r="BQ10" s="146"/>
      <c r="BR10" s="38">
        <v>0</v>
      </c>
      <c r="BS10" s="6" t="s">
        <v>65</v>
      </c>
      <c r="BT10" s="5"/>
      <c r="BX10" s="4"/>
      <c r="BY10" s="14" t="s">
        <v>147</v>
      </c>
      <c r="BZ10" s="6">
        <f>((1.6+2.5+1.6)*4.35)-(0.9*2.5)-(0.9*2.5)</f>
        <v>20.294999999999995</v>
      </c>
      <c r="CA10" s="6" t="s">
        <v>16</v>
      </c>
      <c r="CB10" s="5"/>
      <c r="CF10" s="4"/>
      <c r="CG10" s="146"/>
      <c r="CH10" s="146"/>
      <c r="CI10" s="146"/>
      <c r="CJ10" s="6">
        <v>1</v>
      </c>
      <c r="CK10" s="6" t="s">
        <v>65</v>
      </c>
      <c r="CL10" s="5"/>
      <c r="CO10" s="4"/>
      <c r="CP10" s="16" t="s">
        <v>6</v>
      </c>
      <c r="CQ10" s="6">
        <v>7</v>
      </c>
      <c r="CR10" s="6" t="s">
        <v>105</v>
      </c>
      <c r="CS10" s="5"/>
    </row>
    <row r="11" spans="2:113" ht="15.75" customHeight="1" thickBot="1" x14ac:dyDescent="0.3">
      <c r="B11" s="8"/>
      <c r="C11" s="9"/>
      <c r="D11" s="9"/>
      <c r="E11" s="9"/>
      <c r="F11" s="10"/>
      <c r="G11" s="6"/>
      <c r="I11" s="4"/>
      <c r="J11" s="6"/>
      <c r="K11" s="6"/>
      <c r="L11" s="6"/>
      <c r="M11" s="6"/>
      <c r="N11" s="6"/>
      <c r="O11" s="5"/>
      <c r="R11" s="4"/>
      <c r="S11" s="7" t="s">
        <v>154</v>
      </c>
      <c r="T11" s="6">
        <f>SUM(T7:T9)</f>
        <v>6.6480000000000006</v>
      </c>
      <c r="U11" s="6" t="s">
        <v>21</v>
      </c>
      <c r="V11" s="5"/>
      <c r="Y11" s="4"/>
      <c r="Z11" s="7" t="s">
        <v>154</v>
      </c>
      <c r="AA11" s="6">
        <f>(0.15*0.2)*AA9</f>
        <v>1.5464999999999998</v>
      </c>
      <c r="AB11" s="6" t="s">
        <v>21</v>
      </c>
      <c r="AC11" s="5"/>
      <c r="AF11" s="17">
        <v>2</v>
      </c>
      <c r="AG11" s="2"/>
      <c r="AH11" s="2"/>
      <c r="AI11" s="2"/>
      <c r="AJ11" s="3"/>
      <c r="AM11" s="17">
        <v>2</v>
      </c>
      <c r="AN11" s="2"/>
      <c r="AO11" s="2"/>
      <c r="AP11" s="2"/>
      <c r="AQ11" s="3"/>
      <c r="AT11" s="4"/>
      <c r="AU11" s="14" t="s">
        <v>147</v>
      </c>
      <c r="AV11" s="6">
        <f>1.6*3.175</f>
        <v>5.08</v>
      </c>
      <c r="AW11" s="6" t="s">
        <v>16</v>
      </c>
      <c r="AX11" s="5"/>
      <c r="BH11" s="4"/>
      <c r="BI11" s="6"/>
      <c r="BJ11" s="6"/>
      <c r="BK11" s="6"/>
      <c r="BL11" s="5"/>
      <c r="BO11" s="4"/>
      <c r="BP11" s="146" t="s">
        <v>222</v>
      </c>
      <c r="BQ11" s="146"/>
      <c r="BR11" s="38"/>
      <c r="BS11" s="6"/>
      <c r="BT11" s="5"/>
      <c r="BX11" s="4"/>
      <c r="BY11" s="6"/>
      <c r="BZ11" s="6"/>
      <c r="CA11" s="6"/>
      <c r="CB11" s="5"/>
      <c r="CF11" s="4"/>
      <c r="CG11" s="6"/>
      <c r="CH11" s="6"/>
      <c r="CI11" s="16" t="s">
        <v>80</v>
      </c>
      <c r="CJ11" s="6">
        <v>1</v>
      </c>
      <c r="CK11" s="6" t="s">
        <v>65</v>
      </c>
      <c r="CL11" s="5"/>
      <c r="CO11" s="8"/>
      <c r="CP11" s="9"/>
      <c r="CQ11" s="9"/>
      <c r="CR11" s="9"/>
      <c r="CS11" s="10"/>
      <c r="CV11" s="17">
        <v>2</v>
      </c>
      <c r="CW11" s="2"/>
      <c r="CX11" s="2"/>
      <c r="CY11" s="2"/>
      <c r="CZ11" s="2"/>
      <c r="DA11" s="3"/>
      <c r="DD11" s="17">
        <v>2</v>
      </c>
      <c r="DE11" s="2"/>
      <c r="DF11" s="2"/>
      <c r="DG11" s="2"/>
      <c r="DH11" s="2"/>
      <c r="DI11" s="3"/>
    </row>
    <row r="12" spans="2:113" ht="15.75" customHeight="1" thickBot="1" x14ac:dyDescent="0.3">
      <c r="I12" s="4"/>
      <c r="J12" s="7" t="s">
        <v>154</v>
      </c>
      <c r="K12" s="6">
        <f>SUM(K7:K10)</f>
        <v>16.834500000000002</v>
      </c>
      <c r="L12" s="6" t="s">
        <v>21</v>
      </c>
      <c r="M12" s="6"/>
      <c r="N12" s="6"/>
      <c r="O12" s="5"/>
      <c r="R12" s="8"/>
      <c r="S12" s="9"/>
      <c r="T12" s="9"/>
      <c r="U12" s="9"/>
      <c r="V12" s="10"/>
      <c r="Y12" s="8"/>
      <c r="Z12" s="9"/>
      <c r="AA12" s="9"/>
      <c r="AB12" s="9"/>
      <c r="AC12" s="10"/>
      <c r="AF12" s="4"/>
      <c r="AG12" s="145" t="s">
        <v>42</v>
      </c>
      <c r="AH12" s="145"/>
      <c r="AI12" s="145"/>
      <c r="AJ12" s="5"/>
      <c r="AM12" s="4"/>
      <c r="AN12" s="24" t="s">
        <v>211</v>
      </c>
      <c r="AO12" s="24"/>
      <c r="AP12" s="24"/>
      <c r="AQ12" s="5"/>
      <c r="AT12" s="4"/>
      <c r="AU12" s="22"/>
      <c r="AV12" s="22"/>
      <c r="AW12" s="22"/>
      <c r="AX12" s="5"/>
      <c r="BA12" s="17">
        <v>2</v>
      </c>
      <c r="BB12" s="2"/>
      <c r="BC12" s="2"/>
      <c r="BD12" s="2"/>
      <c r="BE12" s="3"/>
      <c r="BH12" s="4"/>
      <c r="BI12" s="7" t="s">
        <v>139</v>
      </c>
      <c r="BJ12" s="6">
        <f>SUM(BJ9:BJ10)</f>
        <v>40.5</v>
      </c>
      <c r="BK12" s="6" t="s">
        <v>16</v>
      </c>
      <c r="BL12" s="5"/>
      <c r="BO12" s="4"/>
      <c r="BP12" s="146"/>
      <c r="BQ12" s="146"/>
      <c r="BR12" s="38">
        <v>1</v>
      </c>
      <c r="BS12" s="6" t="s">
        <v>65</v>
      </c>
      <c r="BT12" s="5"/>
      <c r="BX12" s="4"/>
      <c r="BY12" s="7" t="s">
        <v>139</v>
      </c>
      <c r="BZ12" s="6">
        <f>SUM(BZ7:BZ10)</f>
        <v>114.125</v>
      </c>
      <c r="CA12" s="6" t="s">
        <v>16</v>
      </c>
      <c r="CB12" s="5"/>
      <c r="CF12" s="4"/>
      <c r="CG12" s="6"/>
      <c r="CH12" s="6"/>
      <c r="CI12" s="16" t="s">
        <v>81</v>
      </c>
      <c r="CJ12" s="13">
        <v>1</v>
      </c>
      <c r="CK12" s="13" t="s">
        <v>65</v>
      </c>
      <c r="CL12" s="5"/>
      <c r="CV12" s="4"/>
      <c r="CW12" s="145" t="s">
        <v>123</v>
      </c>
      <c r="CX12" s="145"/>
      <c r="CY12" s="145"/>
      <c r="CZ12" s="145"/>
      <c r="DA12" s="5"/>
      <c r="DD12" s="4"/>
      <c r="DE12" s="145" t="s">
        <v>127</v>
      </c>
      <c r="DF12" s="145"/>
      <c r="DG12" s="145"/>
      <c r="DH12" s="145"/>
      <c r="DI12" s="5"/>
    </row>
    <row r="13" spans="2:113" ht="15.75" customHeight="1" thickBot="1" x14ac:dyDescent="0.3">
      <c r="B13" s="17">
        <v>2</v>
      </c>
      <c r="C13" s="2"/>
      <c r="D13" s="2"/>
      <c r="E13" s="2"/>
      <c r="F13" s="3"/>
      <c r="G13" s="6"/>
      <c r="I13" s="8"/>
      <c r="J13" s="9"/>
      <c r="K13" s="9"/>
      <c r="L13" s="9"/>
      <c r="M13" s="9"/>
      <c r="N13" s="9"/>
      <c r="O13" s="10"/>
      <c r="Z13" s="6"/>
      <c r="AF13" s="4"/>
      <c r="AG13" s="145"/>
      <c r="AH13" s="145"/>
      <c r="AI13" s="145"/>
      <c r="AJ13" s="5"/>
      <c r="AM13" s="4"/>
      <c r="AN13" s="6"/>
      <c r="AO13" s="6"/>
      <c r="AP13" s="6"/>
      <c r="AQ13" s="5"/>
      <c r="AT13" s="4"/>
      <c r="AU13" s="7" t="s">
        <v>139</v>
      </c>
      <c r="AV13" s="6">
        <f>SUM(AV8:AV11)</f>
        <v>28.08</v>
      </c>
      <c r="AW13" s="6" t="s">
        <v>16</v>
      </c>
      <c r="AX13" s="5"/>
      <c r="BA13" s="4"/>
      <c r="BB13" s="24" t="s">
        <v>53</v>
      </c>
      <c r="BC13" s="24"/>
      <c r="BD13" s="28"/>
      <c r="BE13" s="5"/>
      <c r="BH13" s="8"/>
      <c r="BI13" s="9"/>
      <c r="BJ13" s="9"/>
      <c r="BK13" s="9"/>
      <c r="BL13" s="10"/>
      <c r="BO13" s="8"/>
      <c r="BP13" s="9"/>
      <c r="BQ13" s="9"/>
      <c r="BR13" s="9"/>
      <c r="BS13" s="9"/>
      <c r="BT13" s="10"/>
      <c r="BX13" s="8"/>
      <c r="BY13" s="9"/>
      <c r="BZ13" s="9"/>
      <c r="CA13" s="9"/>
      <c r="CB13" s="10"/>
      <c r="CF13" s="4"/>
      <c r="CG13" s="6"/>
      <c r="CH13" s="6"/>
      <c r="CI13" s="16" t="s">
        <v>82</v>
      </c>
      <c r="CJ13" s="13">
        <v>1</v>
      </c>
      <c r="CK13" s="13" t="s">
        <v>65</v>
      </c>
      <c r="CL13" s="5"/>
      <c r="CO13" s="17">
        <v>2</v>
      </c>
      <c r="CP13" s="2"/>
      <c r="CQ13" s="2"/>
      <c r="CR13" s="2"/>
      <c r="CS13" s="3"/>
      <c r="CV13" s="4"/>
      <c r="CW13" s="145"/>
      <c r="CX13" s="145"/>
      <c r="CY13" s="145"/>
      <c r="CZ13" s="145"/>
      <c r="DA13" s="5"/>
      <c r="DD13" s="4"/>
      <c r="DE13" s="145"/>
      <c r="DF13" s="145"/>
      <c r="DG13" s="145"/>
      <c r="DH13" s="145"/>
      <c r="DI13" s="5"/>
    </row>
    <row r="14" spans="2:113" ht="15.75" customHeight="1" thickBot="1" x14ac:dyDescent="0.3">
      <c r="B14" s="4"/>
      <c r="C14" s="12" t="s">
        <v>138</v>
      </c>
      <c r="D14" s="12"/>
      <c r="E14" s="12"/>
      <c r="F14" s="5"/>
      <c r="G14" s="6"/>
      <c r="R14" s="17">
        <v>2</v>
      </c>
      <c r="S14" s="2"/>
      <c r="T14" s="2"/>
      <c r="U14" s="2"/>
      <c r="V14" s="3"/>
      <c r="Y14" s="17">
        <v>2</v>
      </c>
      <c r="Z14" s="2"/>
      <c r="AA14" s="2"/>
      <c r="AB14" s="2"/>
      <c r="AC14" s="3"/>
      <c r="AF14" s="4"/>
      <c r="AG14" s="6"/>
      <c r="AH14" s="6"/>
      <c r="AI14" s="6"/>
      <c r="AJ14" s="5"/>
      <c r="AM14" s="4"/>
      <c r="AN14" s="14" t="s">
        <v>145</v>
      </c>
      <c r="AO14" s="6">
        <f>AH43</f>
        <v>6.05</v>
      </c>
      <c r="AP14" s="6" t="s">
        <v>10</v>
      </c>
      <c r="AQ14" s="5"/>
      <c r="AT14" s="8"/>
      <c r="AU14" s="9"/>
      <c r="AV14" s="9"/>
      <c r="AW14" s="9"/>
      <c r="AX14" s="10"/>
      <c r="BA14" s="4"/>
      <c r="BB14" s="6"/>
      <c r="BC14" s="6"/>
      <c r="BD14" s="6"/>
      <c r="BE14" s="5"/>
      <c r="CF14" s="4"/>
      <c r="CG14" s="6"/>
      <c r="CH14" s="6"/>
      <c r="CI14" s="16" t="s">
        <v>83</v>
      </c>
      <c r="CJ14" s="13">
        <v>1</v>
      </c>
      <c r="CK14" s="13" t="s">
        <v>65</v>
      </c>
      <c r="CL14" s="5"/>
      <c r="CO14" s="4"/>
      <c r="CP14" s="24" t="s">
        <v>106</v>
      </c>
      <c r="CQ14" s="21"/>
      <c r="CR14" s="21"/>
      <c r="CS14" s="5"/>
      <c r="CV14" s="4"/>
      <c r="CW14" s="6"/>
      <c r="CX14" s="6"/>
      <c r="CY14" s="6"/>
      <c r="CZ14" s="6"/>
      <c r="DA14" s="5"/>
      <c r="DD14" s="4"/>
      <c r="DE14" s="6"/>
      <c r="DF14" s="6"/>
      <c r="DG14" s="6"/>
      <c r="DH14" s="6"/>
      <c r="DI14" s="5"/>
    </row>
    <row r="15" spans="2:113" ht="15.75" thickBot="1" x14ac:dyDescent="0.3">
      <c r="B15" s="4"/>
      <c r="C15" s="6"/>
      <c r="D15" s="6"/>
      <c r="E15" s="6"/>
      <c r="F15" s="5"/>
      <c r="G15" s="6"/>
      <c r="I15" s="17">
        <v>2</v>
      </c>
      <c r="J15" s="2"/>
      <c r="K15" s="2"/>
      <c r="L15" s="2"/>
      <c r="M15" s="3"/>
      <c r="R15" s="4"/>
      <c r="S15" s="12" t="s">
        <v>29</v>
      </c>
      <c r="T15" s="12"/>
      <c r="U15" s="6"/>
      <c r="V15" s="5"/>
      <c r="Y15" s="4"/>
      <c r="Z15" s="12" t="s">
        <v>204</v>
      </c>
      <c r="AA15" s="12"/>
      <c r="AB15" s="12"/>
      <c r="AC15" s="5"/>
      <c r="AF15" s="4"/>
      <c r="AG15" s="14" t="s">
        <v>149</v>
      </c>
      <c r="AH15" s="6">
        <f>1.6*2</f>
        <v>3.2</v>
      </c>
      <c r="AI15" s="6" t="s">
        <v>16</v>
      </c>
      <c r="AJ15" s="5"/>
      <c r="AM15" s="8"/>
      <c r="AN15" s="9"/>
      <c r="AO15" s="9"/>
      <c r="AP15" s="9"/>
      <c r="AQ15" s="10"/>
      <c r="BA15" s="4"/>
      <c r="BB15" s="16" t="s">
        <v>143</v>
      </c>
      <c r="BC15" s="6">
        <f>(((3.25+3)*2)*4.05)-(0.9*2.5)-(2*4.05)-(1.5*2.5)</f>
        <v>36.524999999999999</v>
      </c>
      <c r="BD15" s="6" t="s">
        <v>16</v>
      </c>
      <c r="BE15" s="5"/>
      <c r="BH15" s="17">
        <v>2</v>
      </c>
      <c r="BI15" s="2"/>
      <c r="BJ15" s="2"/>
      <c r="BK15" s="2"/>
      <c r="BL15" s="3"/>
      <c r="BO15" s="17">
        <v>2</v>
      </c>
      <c r="BP15" s="2"/>
      <c r="BQ15" s="2"/>
      <c r="BR15" s="2"/>
      <c r="BS15" s="2"/>
      <c r="BT15" s="2"/>
      <c r="BU15" s="3"/>
      <c r="BX15" s="17">
        <v>2</v>
      </c>
      <c r="BY15" s="2"/>
      <c r="BZ15" s="2"/>
      <c r="CA15" s="2"/>
      <c r="CB15" s="3"/>
      <c r="CF15" s="8"/>
      <c r="CG15" s="9"/>
      <c r="CH15" s="9"/>
      <c r="CI15" s="9"/>
      <c r="CJ15" s="9"/>
      <c r="CK15" s="9"/>
      <c r="CL15" s="10"/>
      <c r="CO15" s="4"/>
      <c r="CP15" s="6"/>
      <c r="CQ15" s="6"/>
      <c r="CR15" s="6"/>
      <c r="CS15" s="5"/>
      <c r="CV15" s="4"/>
      <c r="CW15" s="7" t="s">
        <v>139</v>
      </c>
      <c r="CX15" s="6">
        <f>(9.5*0.5)+(3.5*1)</f>
        <v>8.25</v>
      </c>
      <c r="CY15" s="6" t="s">
        <v>16</v>
      </c>
      <c r="CZ15" s="6"/>
      <c r="DA15" s="5"/>
      <c r="DD15" s="4"/>
      <c r="DE15" s="7" t="s">
        <v>139</v>
      </c>
      <c r="DF15" s="6">
        <f>(6.85*1)</f>
        <v>6.85</v>
      </c>
      <c r="DG15" s="6" t="s">
        <v>16</v>
      </c>
      <c r="DH15" s="6"/>
      <c r="DI15" s="5"/>
    </row>
    <row r="16" spans="2:113" ht="15.75" thickBot="1" x14ac:dyDescent="0.3">
      <c r="B16" s="4"/>
      <c r="C16" s="7" t="s">
        <v>139</v>
      </c>
      <c r="D16" s="6">
        <v>1</v>
      </c>
      <c r="E16" s="6" t="s">
        <v>12</v>
      </c>
      <c r="F16" s="5"/>
      <c r="G16" s="6"/>
      <c r="I16" s="4"/>
      <c r="J16" s="12" t="s">
        <v>22</v>
      </c>
      <c r="K16" s="12"/>
      <c r="L16" s="12"/>
      <c r="M16" s="5"/>
      <c r="R16" s="4"/>
      <c r="S16" s="6"/>
      <c r="T16" s="6"/>
      <c r="U16" s="6"/>
      <c r="V16" s="5"/>
      <c r="Y16" s="4"/>
      <c r="Z16" s="6"/>
      <c r="AA16" s="6"/>
      <c r="AB16" s="6"/>
      <c r="AC16" s="5"/>
      <c r="AF16" s="8"/>
      <c r="AG16" s="9"/>
      <c r="AH16" s="9"/>
      <c r="AI16" s="9"/>
      <c r="AJ16" s="10"/>
      <c r="AT16" s="17">
        <v>2</v>
      </c>
      <c r="AU16" s="2"/>
      <c r="AV16" s="2"/>
      <c r="AW16" s="2"/>
      <c r="AX16" s="3"/>
      <c r="BA16" s="4"/>
      <c r="BB16" s="16" t="s">
        <v>144</v>
      </c>
      <c r="BC16" s="6">
        <f>(((2.5+2.65)*2)*4.05)-(0.9*2.5)-(1.5*2.5)-(2*2.5)</f>
        <v>30.715000000000003</v>
      </c>
      <c r="BD16" s="6" t="s">
        <v>16</v>
      </c>
      <c r="BE16" s="5"/>
      <c r="BH16" s="4"/>
      <c r="BI16" s="24" t="s">
        <v>57</v>
      </c>
      <c r="BJ16" s="24"/>
      <c r="BK16" s="24"/>
      <c r="BL16" s="5"/>
      <c r="BO16" s="4"/>
      <c r="BP16" s="24" t="s">
        <v>223</v>
      </c>
      <c r="BQ16" s="24"/>
      <c r="BR16" s="24"/>
      <c r="BS16" s="24"/>
      <c r="BT16" s="24"/>
      <c r="BU16" s="5"/>
      <c r="BX16" s="4"/>
      <c r="BY16" s="145" t="s">
        <v>71</v>
      </c>
      <c r="BZ16" s="145"/>
      <c r="CA16" s="145"/>
      <c r="CB16" s="5"/>
      <c r="CO16" s="4"/>
      <c r="CP16" s="16" t="s">
        <v>6</v>
      </c>
      <c r="CQ16" s="6">
        <v>5</v>
      </c>
      <c r="CR16" s="6" t="s">
        <v>105</v>
      </c>
      <c r="CS16" s="5"/>
      <c r="CV16" s="8"/>
      <c r="CW16" s="9"/>
      <c r="CX16" s="9"/>
      <c r="CY16" s="9"/>
      <c r="CZ16" s="9"/>
      <c r="DA16" s="10"/>
      <c r="DD16" s="8"/>
      <c r="DE16" s="9"/>
      <c r="DF16" s="9"/>
      <c r="DG16" s="9"/>
      <c r="DH16" s="9"/>
      <c r="DI16" s="10"/>
    </row>
    <row r="17" spans="2:113" ht="15.75" thickBot="1" x14ac:dyDescent="0.3">
      <c r="B17" s="8"/>
      <c r="C17" s="9"/>
      <c r="D17" s="9"/>
      <c r="E17" s="9"/>
      <c r="F17" s="10"/>
      <c r="G17" s="6"/>
      <c r="I17" s="4"/>
      <c r="J17" s="6"/>
      <c r="K17" s="6"/>
      <c r="L17" s="6"/>
      <c r="M17" s="5"/>
      <c r="R17" s="4"/>
      <c r="S17" s="7" t="s">
        <v>154</v>
      </c>
      <c r="T17" s="6">
        <f>(0.3+0.4)*N10</f>
        <v>10.535</v>
      </c>
      <c r="U17" s="6" t="s">
        <v>21</v>
      </c>
      <c r="V17" s="5"/>
      <c r="Y17" s="4"/>
      <c r="Z17" s="16" t="s">
        <v>136</v>
      </c>
      <c r="AA17" s="6">
        <f>1+4.25+1.6+1.6+0.5+1.6+2.65+0.4+2.65+1.6+1.6+1.65</f>
        <v>21.1</v>
      </c>
      <c r="AB17" s="6" t="s">
        <v>134</v>
      </c>
      <c r="AC17" s="5"/>
      <c r="AM17" s="17">
        <v>3</v>
      </c>
      <c r="AN17" s="2"/>
      <c r="AO17" s="2"/>
      <c r="AP17" s="2"/>
      <c r="AQ17" s="3"/>
      <c r="AT17" s="4"/>
      <c r="AU17" s="24" t="s">
        <v>215</v>
      </c>
      <c r="AV17" s="21"/>
      <c r="AW17" s="21"/>
      <c r="AX17" s="5"/>
      <c r="BA17" s="4"/>
      <c r="BB17" s="14" t="s">
        <v>146</v>
      </c>
      <c r="BC17" s="6">
        <f>((2.65+2+2.65)*4.05)-(2*2.5)</f>
        <v>24.565000000000001</v>
      </c>
      <c r="BD17" s="6" t="s">
        <v>16</v>
      </c>
      <c r="BE17" s="5"/>
      <c r="BH17" s="4"/>
      <c r="BI17" s="6"/>
      <c r="BJ17" s="6"/>
      <c r="BK17" s="6"/>
      <c r="BL17" s="5"/>
      <c r="BO17" s="4"/>
      <c r="BP17" s="6"/>
      <c r="BQ17" s="6"/>
      <c r="BR17" s="6"/>
      <c r="BS17" s="6"/>
      <c r="BT17" s="6"/>
      <c r="BU17" s="5"/>
      <c r="BX17" s="4"/>
      <c r="BY17" s="145"/>
      <c r="BZ17" s="145"/>
      <c r="CA17" s="145"/>
      <c r="CB17" s="5"/>
      <c r="CF17" s="17">
        <v>2</v>
      </c>
      <c r="CG17" s="2"/>
      <c r="CH17" s="2"/>
      <c r="CI17" s="2"/>
      <c r="CJ17" s="2"/>
      <c r="CK17" s="3"/>
      <c r="CO17" s="8"/>
      <c r="CP17" s="9"/>
      <c r="CQ17" s="9"/>
      <c r="CR17" s="9"/>
      <c r="CS17" s="10"/>
    </row>
    <row r="18" spans="2:113" ht="15.75" customHeight="1" thickBot="1" x14ac:dyDescent="0.3">
      <c r="G18" s="6"/>
      <c r="I18" s="4"/>
      <c r="J18" s="7" t="s">
        <v>154</v>
      </c>
      <c r="K18" s="6">
        <f>K12/3</f>
        <v>5.6115000000000004</v>
      </c>
      <c r="L18" s="6" t="s">
        <v>21</v>
      </c>
      <c r="M18" s="5"/>
      <c r="R18" s="8"/>
      <c r="S18" s="9"/>
      <c r="T18" s="9"/>
      <c r="U18" s="9"/>
      <c r="V18" s="10"/>
      <c r="Y18" s="4"/>
      <c r="Z18" s="6"/>
      <c r="AA18" s="6"/>
      <c r="AB18" s="6"/>
      <c r="AC18" s="5"/>
      <c r="AF18" s="17">
        <v>3</v>
      </c>
      <c r="AG18" s="2"/>
      <c r="AH18" s="2"/>
      <c r="AI18" s="2"/>
      <c r="AJ18" s="3"/>
      <c r="AM18" s="4"/>
      <c r="AN18" s="145" t="s">
        <v>212</v>
      </c>
      <c r="AO18" s="145"/>
      <c r="AP18" s="145"/>
      <c r="AQ18" s="5"/>
      <c r="AT18" s="4"/>
      <c r="AU18" s="22"/>
      <c r="AV18" s="22"/>
      <c r="AW18" s="22"/>
      <c r="AX18" s="5"/>
      <c r="BA18" s="4"/>
      <c r="BB18" s="14" t="s">
        <v>147</v>
      </c>
      <c r="BC18" s="6">
        <f>((1.6+3+1.6)*4.35)-(0.9*2.5)-(0.9*2.5)</f>
        <v>22.469999999999995</v>
      </c>
      <c r="BD18" s="6" t="s">
        <v>16</v>
      </c>
      <c r="BE18" s="5"/>
      <c r="BH18" s="4"/>
      <c r="BI18" s="14" t="s">
        <v>181</v>
      </c>
      <c r="BJ18" s="6">
        <f>7.25*3</f>
        <v>21.75</v>
      </c>
      <c r="BK18" s="6" t="s">
        <v>16</v>
      </c>
      <c r="BL18" s="5"/>
      <c r="BO18" s="4"/>
      <c r="BP18" s="146" t="s">
        <v>224</v>
      </c>
      <c r="BQ18" s="146"/>
      <c r="BR18" s="146"/>
      <c r="BS18" s="6"/>
      <c r="BU18" s="5"/>
      <c r="BX18" s="4"/>
      <c r="BY18" s="6"/>
      <c r="BZ18" s="6"/>
      <c r="CA18" s="6"/>
      <c r="CB18" s="5"/>
      <c r="CF18" s="4"/>
      <c r="CG18" s="12" t="s">
        <v>84</v>
      </c>
      <c r="CH18" s="6"/>
      <c r="CI18" s="6"/>
      <c r="CJ18" s="6"/>
      <c r="CK18" s="5"/>
      <c r="CV18" s="17">
        <v>3</v>
      </c>
      <c r="CW18" s="2"/>
      <c r="CX18" s="2"/>
      <c r="CY18" s="2"/>
      <c r="CZ18" s="2"/>
      <c r="DA18" s="3"/>
      <c r="DD18" s="17">
        <v>3</v>
      </c>
      <c r="DE18" s="2"/>
      <c r="DF18" s="2"/>
      <c r="DG18" s="2"/>
      <c r="DH18" s="2"/>
      <c r="DI18" s="3"/>
    </row>
    <row r="19" spans="2:113" ht="15.75" customHeight="1" thickBot="1" x14ac:dyDescent="0.3">
      <c r="B19" s="17">
        <v>3</v>
      </c>
      <c r="C19" s="2"/>
      <c r="D19" s="2"/>
      <c r="E19" s="2"/>
      <c r="F19" s="3"/>
      <c r="G19" s="6"/>
      <c r="I19" s="8"/>
      <c r="J19" s="9"/>
      <c r="K19" s="9"/>
      <c r="L19" s="9"/>
      <c r="M19" s="10"/>
      <c r="Y19" s="4"/>
      <c r="Z19" s="7" t="s">
        <v>154</v>
      </c>
      <c r="AA19" s="6">
        <f>(0.15*0.2)*AA17</f>
        <v>0.63300000000000001</v>
      </c>
      <c r="AB19" s="6" t="s">
        <v>21</v>
      </c>
      <c r="AC19" s="5"/>
      <c r="AF19" s="4"/>
      <c r="AG19" s="145" t="s">
        <v>260</v>
      </c>
      <c r="AH19" s="145"/>
      <c r="AI19" s="145"/>
      <c r="AJ19" s="5"/>
      <c r="AM19" s="4"/>
      <c r="AN19" s="145"/>
      <c r="AO19" s="145"/>
      <c r="AP19" s="145"/>
      <c r="AQ19" s="5"/>
      <c r="AT19" s="4"/>
      <c r="AU19" s="16" t="s">
        <v>143</v>
      </c>
      <c r="AV19" s="6">
        <f>(3.25+3)*2</f>
        <v>12.5</v>
      </c>
      <c r="AW19" s="6" t="s">
        <v>10</v>
      </c>
      <c r="AX19" s="5"/>
      <c r="BA19" s="4"/>
      <c r="BB19" s="14" t="s">
        <v>176</v>
      </c>
      <c r="BC19" s="6">
        <f>(5.75*2.36)/2</f>
        <v>6.7849999999999993</v>
      </c>
      <c r="BD19" s="6" t="s">
        <v>16</v>
      </c>
      <c r="BE19" s="5"/>
      <c r="BF19">
        <f>(COS(0.610865))*5.75</f>
        <v>4.7101250402539891</v>
      </c>
      <c r="BH19" s="4"/>
      <c r="BI19" s="14" t="s">
        <v>182</v>
      </c>
      <c r="BJ19" s="6">
        <f>6.25*3</f>
        <v>18.75</v>
      </c>
      <c r="BK19" s="6" t="s">
        <v>16</v>
      </c>
      <c r="BL19" s="5"/>
      <c r="BO19" s="4"/>
      <c r="BP19" s="146"/>
      <c r="BQ19" s="146"/>
      <c r="BR19" s="146"/>
      <c r="BS19" s="6">
        <v>1</v>
      </c>
      <c r="BT19" s="6" t="s">
        <v>67</v>
      </c>
      <c r="BU19" s="5"/>
      <c r="BX19" s="4"/>
      <c r="BY19" s="16" t="s">
        <v>185</v>
      </c>
      <c r="BZ19" s="6">
        <f>(5*4.2)-(2*2.5)-(1.5*2.5)-(1*2.5)</f>
        <v>9.75</v>
      </c>
      <c r="CA19" s="6" t="s">
        <v>16</v>
      </c>
      <c r="CB19" s="5"/>
      <c r="CF19" s="4"/>
      <c r="CG19" s="6"/>
      <c r="CH19" s="6"/>
      <c r="CI19" s="6"/>
      <c r="CJ19" s="6"/>
      <c r="CK19" s="5"/>
      <c r="CO19" s="17">
        <v>3</v>
      </c>
      <c r="CP19" s="2"/>
      <c r="CQ19" s="2"/>
      <c r="CR19" s="2"/>
      <c r="CS19" s="3"/>
      <c r="CV19" s="4"/>
      <c r="CW19" s="145" t="s">
        <v>246</v>
      </c>
      <c r="CX19" s="145"/>
      <c r="CY19" s="145"/>
      <c r="CZ19" s="145"/>
      <c r="DA19" s="5"/>
      <c r="DD19" s="4"/>
      <c r="DE19" s="24" t="s">
        <v>128</v>
      </c>
      <c r="DF19" s="24"/>
      <c r="DG19" s="24"/>
      <c r="DH19" s="24"/>
      <c r="DI19" s="5"/>
    </row>
    <row r="20" spans="2:113" ht="15.75" customHeight="1" thickBot="1" x14ac:dyDescent="0.3">
      <c r="B20" s="4"/>
      <c r="C20" s="12" t="s">
        <v>140</v>
      </c>
      <c r="D20" s="12"/>
      <c r="E20" s="12"/>
      <c r="F20" s="5"/>
      <c r="G20" s="6"/>
      <c r="Y20" s="8"/>
      <c r="Z20" s="9"/>
      <c r="AA20" s="9"/>
      <c r="AB20" s="9"/>
      <c r="AC20" s="10"/>
      <c r="AF20" s="4"/>
      <c r="AG20" s="145"/>
      <c r="AH20" s="145"/>
      <c r="AI20" s="145"/>
      <c r="AJ20" s="5"/>
      <c r="AM20" s="4"/>
      <c r="AN20" s="6"/>
      <c r="AO20" s="6"/>
      <c r="AP20" s="6"/>
      <c r="AQ20" s="5"/>
      <c r="AT20" s="4"/>
      <c r="AU20" s="16" t="s">
        <v>144</v>
      </c>
      <c r="AV20" s="6">
        <f>(2.5+2.65)*2</f>
        <v>10.3</v>
      </c>
      <c r="AW20" s="6" t="s">
        <v>10</v>
      </c>
      <c r="AX20" s="5"/>
      <c r="BA20" s="4"/>
      <c r="BB20" s="14" t="s">
        <v>177</v>
      </c>
      <c r="BC20" s="6">
        <f>(5.75*2.05)/2</f>
        <v>5.8937499999999998</v>
      </c>
      <c r="BD20" s="6" t="s">
        <v>16</v>
      </c>
      <c r="BE20" s="5"/>
      <c r="BF20">
        <f>BF19/2</f>
        <v>2.3550625201269946</v>
      </c>
      <c r="BH20" s="4"/>
      <c r="BI20" s="6"/>
      <c r="BJ20" s="6"/>
      <c r="BK20" s="6"/>
      <c r="BL20" s="5"/>
      <c r="BO20" s="4"/>
      <c r="BP20" s="146" t="s">
        <v>225</v>
      </c>
      <c r="BQ20" s="146"/>
      <c r="BR20" s="146"/>
      <c r="BS20" s="6"/>
      <c r="BT20" s="6"/>
      <c r="BU20" s="5"/>
      <c r="BX20" s="4"/>
      <c r="BY20" s="14" t="s">
        <v>186</v>
      </c>
      <c r="BZ20" s="6">
        <f>(5*4.2)-((1.5*2.5)*2)-(0.9*2.5)</f>
        <v>11.25</v>
      </c>
      <c r="CA20" s="6" t="s">
        <v>16</v>
      </c>
      <c r="CB20" s="5"/>
      <c r="CF20" s="4"/>
      <c r="CG20" s="6"/>
      <c r="CH20" s="16" t="s">
        <v>85</v>
      </c>
      <c r="CI20" s="6">
        <v>1</v>
      </c>
      <c r="CJ20" s="6" t="s">
        <v>65</v>
      </c>
      <c r="CK20" s="5"/>
      <c r="CO20" s="4"/>
      <c r="CP20" s="24" t="s">
        <v>107</v>
      </c>
      <c r="CQ20" s="21"/>
      <c r="CR20" s="25"/>
      <c r="CS20" s="5"/>
      <c r="CV20" s="4"/>
      <c r="CW20" s="145"/>
      <c r="CX20" s="145"/>
      <c r="CY20" s="145"/>
      <c r="CZ20" s="145"/>
      <c r="DA20" s="5"/>
      <c r="DD20" s="4"/>
      <c r="DE20" s="6"/>
      <c r="DF20" s="6"/>
      <c r="DG20" s="6"/>
      <c r="DH20" s="6"/>
      <c r="DI20" s="5"/>
    </row>
    <row r="21" spans="2:113" ht="15.75" customHeight="1" thickBot="1" x14ac:dyDescent="0.3">
      <c r="B21" s="4"/>
      <c r="C21" s="6"/>
      <c r="D21" s="6"/>
      <c r="E21" s="6"/>
      <c r="F21" s="5"/>
      <c r="I21" s="17">
        <v>3</v>
      </c>
      <c r="J21" s="2"/>
      <c r="K21" s="2"/>
      <c r="L21" s="2"/>
      <c r="M21" s="2"/>
      <c r="N21" s="2"/>
      <c r="O21" s="3"/>
      <c r="AF21" s="4"/>
      <c r="AG21" s="145"/>
      <c r="AH21" s="145"/>
      <c r="AI21" s="145"/>
      <c r="AJ21" s="5"/>
      <c r="AM21" s="4"/>
      <c r="AN21" s="14" t="s">
        <v>84</v>
      </c>
      <c r="AO21" s="6">
        <f>2*0.7</f>
        <v>1.4</v>
      </c>
      <c r="AP21" s="6" t="s">
        <v>16</v>
      </c>
      <c r="AQ21" s="5"/>
      <c r="AT21" s="4"/>
      <c r="AU21" s="14" t="s">
        <v>146</v>
      </c>
      <c r="AV21" s="6">
        <f>(2.65+2.5+2.65)</f>
        <v>7.8000000000000007</v>
      </c>
      <c r="AW21" s="6" t="s">
        <v>10</v>
      </c>
      <c r="AX21" s="5"/>
      <c r="BA21" s="4"/>
      <c r="BB21" s="14" t="s">
        <v>178</v>
      </c>
      <c r="BC21" s="6">
        <f>(5.25*2.36)/2</f>
        <v>6.1949999999999994</v>
      </c>
      <c r="BD21" s="6" t="s">
        <v>16</v>
      </c>
      <c r="BE21" s="5"/>
      <c r="BH21" s="4"/>
      <c r="BI21" s="7" t="s">
        <v>139</v>
      </c>
      <c r="BJ21" s="6">
        <f>SUM(BJ18:BJ19)</f>
        <v>40.5</v>
      </c>
      <c r="BK21" s="6" t="s">
        <v>16</v>
      </c>
      <c r="BL21" s="5"/>
      <c r="BO21" s="4"/>
      <c r="BP21" s="146"/>
      <c r="BQ21" s="146"/>
      <c r="BR21" s="146"/>
      <c r="BS21" s="6">
        <v>1</v>
      </c>
      <c r="BT21" s="6" t="s">
        <v>67</v>
      </c>
      <c r="BU21" s="5"/>
      <c r="BX21" s="4"/>
      <c r="BY21" s="14" t="s">
        <v>177</v>
      </c>
      <c r="BZ21" s="6">
        <f>7.5+7.5+1.4</f>
        <v>16.399999999999999</v>
      </c>
      <c r="CA21" s="6" t="s">
        <v>16</v>
      </c>
      <c r="CB21" s="5"/>
      <c r="CF21" s="4"/>
      <c r="CG21" s="6"/>
      <c r="CH21" s="16" t="s">
        <v>86</v>
      </c>
      <c r="CI21" s="6">
        <v>1</v>
      </c>
      <c r="CJ21" s="13" t="s">
        <v>65</v>
      </c>
      <c r="CK21" s="5"/>
      <c r="CO21" s="4"/>
      <c r="CP21" s="6"/>
      <c r="CQ21" s="6"/>
      <c r="CR21" s="6"/>
      <c r="CS21" s="5"/>
      <c r="CV21" s="4"/>
      <c r="CW21" s="6"/>
      <c r="CX21" s="6"/>
      <c r="CY21" s="6"/>
      <c r="CZ21" s="6"/>
      <c r="DA21" s="5"/>
      <c r="DD21" s="4"/>
      <c r="DE21" s="7" t="s">
        <v>139</v>
      </c>
      <c r="DF21" s="30">
        <f>5</f>
        <v>5</v>
      </c>
      <c r="DG21" s="6" t="s">
        <v>16</v>
      </c>
      <c r="DH21" s="6"/>
      <c r="DI21" s="5"/>
    </row>
    <row r="22" spans="2:113" ht="15.75" customHeight="1" thickBot="1" x14ac:dyDescent="0.3">
      <c r="B22" s="4"/>
      <c r="C22" s="7" t="s">
        <v>139</v>
      </c>
      <c r="D22" s="6">
        <v>1</v>
      </c>
      <c r="E22" s="6" t="s">
        <v>12</v>
      </c>
      <c r="F22" s="5"/>
      <c r="G22" s="6"/>
      <c r="I22" s="4"/>
      <c r="J22" s="12" t="s">
        <v>23</v>
      </c>
      <c r="K22" s="12"/>
      <c r="L22" s="12"/>
      <c r="M22" s="12"/>
      <c r="N22" s="12"/>
      <c r="O22" s="5"/>
      <c r="Y22" s="17">
        <v>3</v>
      </c>
      <c r="Z22" s="2"/>
      <c r="AA22" s="2"/>
      <c r="AB22" s="2"/>
      <c r="AC22" s="3"/>
      <c r="AF22" s="4"/>
      <c r="AG22" s="22"/>
      <c r="AH22" s="22"/>
      <c r="AI22" s="22"/>
      <c r="AJ22" s="5"/>
      <c r="AM22" s="8"/>
      <c r="AN22" s="9"/>
      <c r="AO22" s="9"/>
      <c r="AP22" s="9"/>
      <c r="AQ22" s="10"/>
      <c r="AT22" s="4"/>
      <c r="AU22" s="14" t="s">
        <v>147</v>
      </c>
      <c r="AV22" s="6">
        <f>(1.6+3.175+1.6)</f>
        <v>6.375</v>
      </c>
      <c r="AW22" s="6" t="s">
        <v>10</v>
      </c>
      <c r="AX22" s="5"/>
      <c r="BA22" s="4"/>
      <c r="BB22" s="14" t="s">
        <v>184</v>
      </c>
      <c r="BC22" s="30">
        <f>2+1.65+1.6</f>
        <v>5.25</v>
      </c>
      <c r="BD22" s="6" t="s">
        <v>16</v>
      </c>
      <c r="BE22" s="5"/>
      <c r="BH22" s="8"/>
      <c r="BI22" s="9"/>
      <c r="BJ22" s="9"/>
      <c r="BK22" s="9"/>
      <c r="BL22" s="10"/>
      <c r="BO22" s="4"/>
      <c r="BP22" s="146" t="s">
        <v>226</v>
      </c>
      <c r="BQ22" s="146"/>
      <c r="BR22" s="146"/>
      <c r="BS22" s="6"/>
      <c r="BT22" s="6"/>
      <c r="BU22" s="5"/>
      <c r="BX22" s="4"/>
      <c r="BY22" s="14" t="s">
        <v>184</v>
      </c>
      <c r="BZ22" s="30">
        <f>BC22</f>
        <v>5.25</v>
      </c>
      <c r="CA22" s="6" t="s">
        <v>16</v>
      </c>
      <c r="CB22" s="5"/>
      <c r="CF22" s="8"/>
      <c r="CG22" s="9"/>
      <c r="CH22" s="9"/>
      <c r="CI22" s="9"/>
      <c r="CJ22" s="9"/>
      <c r="CK22" s="10"/>
      <c r="CO22" s="4"/>
      <c r="CP22" s="16" t="s">
        <v>6</v>
      </c>
      <c r="CQ22" s="6">
        <v>1</v>
      </c>
      <c r="CR22" s="6" t="s">
        <v>65</v>
      </c>
      <c r="CS22" s="5"/>
      <c r="CV22" s="4"/>
      <c r="CW22" s="7" t="s">
        <v>192</v>
      </c>
      <c r="CX22" s="6">
        <v>0</v>
      </c>
      <c r="CY22" s="6" t="s">
        <v>10</v>
      </c>
      <c r="CZ22" s="6"/>
      <c r="DA22" s="5"/>
      <c r="DD22" s="8"/>
      <c r="DE22" s="9"/>
      <c r="DF22" s="9"/>
      <c r="DG22" s="9"/>
      <c r="DH22" s="9"/>
      <c r="DI22" s="10"/>
    </row>
    <row r="23" spans="2:113" ht="15.75" customHeight="1" thickBot="1" x14ac:dyDescent="0.3">
      <c r="B23" s="8"/>
      <c r="C23" s="9"/>
      <c r="D23" s="9"/>
      <c r="E23" s="9"/>
      <c r="F23" s="10"/>
      <c r="G23" s="6"/>
      <c r="I23" s="4"/>
      <c r="J23" s="6"/>
      <c r="K23" s="6"/>
      <c r="L23" s="6"/>
      <c r="M23" s="6"/>
      <c r="N23" s="6"/>
      <c r="O23" s="5"/>
      <c r="Y23" s="4"/>
      <c r="Z23" s="12" t="s">
        <v>35</v>
      </c>
      <c r="AA23" s="12"/>
      <c r="AB23" s="12"/>
      <c r="AC23" s="5"/>
      <c r="AF23" s="4"/>
      <c r="AG23" s="16" t="s">
        <v>143</v>
      </c>
      <c r="AH23" s="6">
        <f>3.25*3</f>
        <v>9.75</v>
      </c>
      <c r="AI23" s="6" t="s">
        <v>16</v>
      </c>
      <c r="AJ23" s="5"/>
      <c r="AT23" s="4"/>
      <c r="AU23" s="22"/>
      <c r="AV23" s="22"/>
      <c r="AW23" s="22"/>
      <c r="AX23" s="5"/>
      <c r="BA23" s="4"/>
      <c r="BB23" s="6"/>
      <c r="BC23" s="6"/>
      <c r="BD23" s="6"/>
      <c r="BE23" s="5"/>
      <c r="BO23" s="4"/>
      <c r="BP23" s="146"/>
      <c r="BQ23" s="146"/>
      <c r="BR23" s="146"/>
      <c r="BS23" s="6">
        <v>1</v>
      </c>
      <c r="BT23" s="6" t="s">
        <v>67</v>
      </c>
      <c r="BU23" s="5"/>
      <c r="BX23" s="4"/>
      <c r="BY23" s="6"/>
      <c r="BZ23" s="6"/>
      <c r="CA23" s="6"/>
      <c r="CB23" s="5"/>
      <c r="CC23" s="14"/>
      <c r="CD23" s="6"/>
      <c r="CE23" s="6"/>
      <c r="CO23" s="8"/>
      <c r="CP23" s="9"/>
      <c r="CQ23" s="9"/>
      <c r="CR23" s="9"/>
      <c r="CS23" s="10"/>
      <c r="CV23" s="8"/>
      <c r="CW23" s="9"/>
      <c r="CX23" s="9"/>
      <c r="CY23" s="9"/>
      <c r="CZ23" s="9"/>
      <c r="DA23" s="10"/>
    </row>
    <row r="24" spans="2:113" ht="15.75" customHeight="1" thickBot="1" x14ac:dyDescent="0.3">
      <c r="G24" s="6"/>
      <c r="I24" s="4"/>
      <c r="J24" s="16" t="s">
        <v>155</v>
      </c>
      <c r="K24" s="6">
        <f>D48*0.05</f>
        <v>1.7560000000000002</v>
      </c>
      <c r="L24" s="6" t="s">
        <v>21</v>
      </c>
      <c r="M24" s="6"/>
      <c r="N24" s="6"/>
      <c r="O24" s="5"/>
      <c r="Y24" s="4"/>
      <c r="Z24" s="6"/>
      <c r="AA24" s="6"/>
      <c r="AB24" s="6"/>
      <c r="AC24" s="5"/>
      <c r="AF24" s="4"/>
      <c r="AG24" s="16" t="s">
        <v>144</v>
      </c>
      <c r="AH24" s="6">
        <f>2.5*2.65</f>
        <v>6.625</v>
      </c>
      <c r="AI24" s="6" t="s">
        <v>16</v>
      </c>
      <c r="AJ24" s="5"/>
      <c r="AM24" s="17">
        <v>3</v>
      </c>
      <c r="AN24" s="2"/>
      <c r="AO24" s="2"/>
      <c r="AP24" s="2"/>
      <c r="AQ24" s="3"/>
      <c r="AT24" s="4"/>
      <c r="AU24" s="7" t="s">
        <v>139</v>
      </c>
      <c r="AV24" s="6">
        <f>SUM(AV19:AV22)</f>
        <v>36.975000000000001</v>
      </c>
      <c r="AW24" s="6" t="s">
        <v>10</v>
      </c>
      <c r="AX24" s="5"/>
      <c r="BA24" s="4"/>
      <c r="BB24" s="7" t="s">
        <v>139</v>
      </c>
      <c r="BC24" s="6">
        <f>SUM(BC15:BC22)</f>
        <v>138.39875000000001</v>
      </c>
      <c r="BD24" s="6" t="s">
        <v>16</v>
      </c>
      <c r="BE24" s="5"/>
      <c r="BH24" s="17">
        <v>3</v>
      </c>
      <c r="BI24" s="2"/>
      <c r="BJ24" s="2"/>
      <c r="BK24" s="2"/>
      <c r="BL24" s="3"/>
      <c r="BO24" s="4"/>
      <c r="BP24" s="146" t="s">
        <v>227</v>
      </c>
      <c r="BQ24" s="146"/>
      <c r="BR24" s="146"/>
      <c r="BS24" s="6"/>
      <c r="BT24" s="6"/>
      <c r="BU24" s="5"/>
      <c r="BX24" s="4"/>
      <c r="BY24" s="7" t="s">
        <v>139</v>
      </c>
      <c r="BZ24" s="6">
        <f>SUM(BZ19:BZ22)</f>
        <v>42.65</v>
      </c>
      <c r="CA24" s="6" t="s">
        <v>16</v>
      </c>
      <c r="CB24" s="5"/>
      <c r="CF24" s="17">
        <v>3</v>
      </c>
      <c r="CG24" s="2"/>
      <c r="CH24" s="2"/>
      <c r="CI24" s="2"/>
      <c r="CJ24" s="3"/>
    </row>
    <row r="25" spans="2:113" ht="15.75" thickBot="1" x14ac:dyDescent="0.3">
      <c r="B25" s="17">
        <v>4</v>
      </c>
      <c r="C25" s="2"/>
      <c r="D25" s="2"/>
      <c r="E25" s="2"/>
      <c r="F25" s="3"/>
      <c r="G25" s="6"/>
      <c r="I25" s="4"/>
      <c r="J25" s="16" t="s">
        <v>156</v>
      </c>
      <c r="K25" s="6"/>
      <c r="L25" s="6" t="s">
        <v>21</v>
      </c>
      <c r="M25" s="6"/>
      <c r="N25" s="6"/>
      <c r="O25" s="5"/>
      <c r="U25" s="6"/>
      <c r="V25" s="6"/>
      <c r="Y25" s="4"/>
      <c r="Z25" s="16" t="s">
        <v>136</v>
      </c>
      <c r="AA25" s="6">
        <f>AA9+(3)</f>
        <v>54.55</v>
      </c>
      <c r="AB25" s="6" t="s">
        <v>134</v>
      </c>
      <c r="AC25" s="5"/>
      <c r="AF25" s="4"/>
      <c r="AG25" s="14" t="s">
        <v>146</v>
      </c>
      <c r="AH25" s="6">
        <f>2.65*2.5</f>
        <v>6.625</v>
      </c>
      <c r="AI25" s="6" t="s">
        <v>16</v>
      </c>
      <c r="AJ25" s="5"/>
      <c r="AM25" s="4"/>
      <c r="AN25" s="145" t="s">
        <v>213</v>
      </c>
      <c r="AO25" s="145"/>
      <c r="AP25" s="145"/>
      <c r="AQ25" s="5"/>
      <c r="AT25" s="8"/>
      <c r="AU25" s="9"/>
      <c r="AV25" s="9"/>
      <c r="AW25" s="9"/>
      <c r="AX25" s="10"/>
      <c r="BA25" s="8"/>
      <c r="BB25" s="9"/>
      <c r="BC25" s="9"/>
      <c r="BD25" s="9"/>
      <c r="BE25" s="10"/>
      <c r="BH25" s="4"/>
      <c r="BI25" s="145" t="s">
        <v>58</v>
      </c>
      <c r="BJ25" s="145"/>
      <c r="BK25" s="145"/>
      <c r="BL25" s="33"/>
      <c r="BM25" s="11"/>
      <c r="BO25" s="4"/>
      <c r="BP25" s="146"/>
      <c r="BQ25" s="146"/>
      <c r="BR25" s="146"/>
      <c r="BS25" s="6">
        <v>1</v>
      </c>
      <c r="BT25" s="6" t="s">
        <v>67</v>
      </c>
      <c r="BU25" s="5"/>
      <c r="BX25" s="8"/>
      <c r="BY25" s="9"/>
      <c r="BZ25" s="9"/>
      <c r="CA25" s="9"/>
      <c r="CB25" s="10"/>
      <c r="CF25" s="4"/>
      <c r="CG25" s="12" t="s">
        <v>87</v>
      </c>
      <c r="CH25" s="12"/>
      <c r="CI25" s="12"/>
      <c r="CJ25" s="5"/>
      <c r="CO25" s="17">
        <v>4</v>
      </c>
      <c r="CP25" s="2"/>
      <c r="CQ25" s="2"/>
      <c r="CR25" s="2"/>
      <c r="CS25" s="3"/>
      <c r="CV25" s="17">
        <v>4</v>
      </c>
      <c r="CW25" s="2"/>
      <c r="CX25" s="2"/>
      <c r="CY25" s="2"/>
      <c r="CZ25" s="3"/>
    </row>
    <row r="26" spans="2:113" ht="15.75" customHeight="1" thickBot="1" x14ac:dyDescent="0.3">
      <c r="B26" s="4"/>
      <c r="C26" s="12" t="s">
        <v>14</v>
      </c>
      <c r="D26" s="12"/>
      <c r="E26" s="12"/>
      <c r="F26" s="5"/>
      <c r="G26" s="6"/>
      <c r="I26" s="4"/>
      <c r="J26" s="6"/>
      <c r="K26" s="6"/>
      <c r="L26" s="6"/>
      <c r="M26" s="6"/>
      <c r="N26" s="6"/>
      <c r="O26" s="5"/>
      <c r="U26" s="6"/>
      <c r="V26" s="6"/>
      <c r="Y26" s="4"/>
      <c r="Z26" s="6"/>
      <c r="AA26" s="6"/>
      <c r="AB26" s="6"/>
      <c r="AC26" s="5"/>
      <c r="AF26" s="4"/>
      <c r="AG26" s="14" t="s">
        <v>147</v>
      </c>
      <c r="AH26" s="6">
        <f>1.6*3.175</f>
        <v>5.08</v>
      </c>
      <c r="AI26" s="6" t="s">
        <v>16</v>
      </c>
      <c r="AJ26" s="5"/>
      <c r="AM26" s="4"/>
      <c r="AN26" s="145"/>
      <c r="AO26" s="145"/>
      <c r="AP26" s="145"/>
      <c r="AQ26" s="5"/>
      <c r="BH26" s="4"/>
      <c r="BI26" s="145"/>
      <c r="BJ26" s="145"/>
      <c r="BK26" s="145"/>
      <c r="BL26" s="33"/>
      <c r="BM26" s="11"/>
      <c r="BO26" s="4"/>
      <c r="BP26" s="146" t="s">
        <v>228</v>
      </c>
      <c r="BQ26" s="146"/>
      <c r="BR26" s="146"/>
      <c r="BS26" s="6"/>
      <c r="BT26" s="6"/>
      <c r="BU26" s="5"/>
      <c r="CF26" s="4"/>
      <c r="CG26" s="6"/>
      <c r="CH26" s="6"/>
      <c r="CI26" s="6"/>
      <c r="CJ26" s="5"/>
      <c r="CO26" s="4"/>
      <c r="CP26" s="145" t="s">
        <v>108</v>
      </c>
      <c r="CQ26" s="145"/>
      <c r="CR26" s="145"/>
      <c r="CS26" s="5"/>
      <c r="CV26" s="4"/>
      <c r="CW26" s="145" t="s">
        <v>247</v>
      </c>
      <c r="CX26" s="145"/>
      <c r="CY26" s="145"/>
      <c r="CZ26" s="5"/>
    </row>
    <row r="27" spans="2:113" ht="15.75" customHeight="1" x14ac:dyDescent="0.25">
      <c r="B27" s="4"/>
      <c r="C27" s="6"/>
      <c r="D27" s="6"/>
      <c r="E27" s="6"/>
      <c r="F27" s="5"/>
      <c r="G27" s="6"/>
      <c r="I27" s="4"/>
      <c r="J27" s="7" t="s">
        <v>154</v>
      </c>
      <c r="K27" s="6">
        <f>SUM(K24:K25)</f>
        <v>1.7560000000000002</v>
      </c>
      <c r="L27" s="6" t="s">
        <v>21</v>
      </c>
      <c r="M27" s="6"/>
      <c r="N27" s="6"/>
      <c r="O27" s="5"/>
      <c r="U27" s="6"/>
      <c r="V27" s="6"/>
      <c r="Y27" s="4"/>
      <c r="Z27" s="7" t="s">
        <v>154</v>
      </c>
      <c r="AA27" s="6">
        <f>(0.15*0.2)*AA25</f>
        <v>1.6364999999999998</v>
      </c>
      <c r="AB27" s="6" t="s">
        <v>21</v>
      </c>
      <c r="AC27" s="5"/>
      <c r="AF27" s="4"/>
      <c r="AG27" s="14"/>
      <c r="AH27" s="6"/>
      <c r="AI27" s="6"/>
      <c r="AJ27" s="5"/>
      <c r="AM27" s="4"/>
      <c r="AN27" s="6"/>
      <c r="AO27" s="6"/>
      <c r="AP27" s="6"/>
      <c r="AQ27" s="5"/>
      <c r="AT27" s="17">
        <v>3</v>
      </c>
      <c r="AU27" s="2"/>
      <c r="AV27" s="2"/>
      <c r="AW27" s="2"/>
      <c r="AX27" s="3"/>
      <c r="BA27" s="17">
        <v>3</v>
      </c>
      <c r="BB27" s="2"/>
      <c r="BC27" s="2"/>
      <c r="BD27" s="2"/>
      <c r="BE27" s="3"/>
      <c r="BH27" s="4"/>
      <c r="BI27" s="6"/>
      <c r="BJ27" s="6"/>
      <c r="BK27" s="6"/>
      <c r="BL27" s="5"/>
      <c r="BO27" s="4"/>
      <c r="BP27" s="146"/>
      <c r="BQ27" s="146"/>
      <c r="BR27" s="146"/>
      <c r="BS27" s="6">
        <v>1</v>
      </c>
      <c r="BT27" s="6" t="s">
        <v>67</v>
      </c>
      <c r="BU27" s="5"/>
      <c r="BX27" s="17">
        <v>3</v>
      </c>
      <c r="BY27" s="2"/>
      <c r="BZ27" s="2"/>
      <c r="CA27" s="2"/>
      <c r="CB27" s="3"/>
      <c r="CF27" s="4"/>
      <c r="CG27" s="16" t="s">
        <v>6</v>
      </c>
      <c r="CH27" s="6">
        <v>1</v>
      </c>
      <c r="CI27" s="6" t="s">
        <v>65</v>
      </c>
      <c r="CJ27" s="5"/>
      <c r="CO27" s="4"/>
      <c r="CP27" s="145"/>
      <c r="CQ27" s="145"/>
      <c r="CR27" s="145"/>
      <c r="CS27" s="5"/>
      <c r="CV27" s="4"/>
      <c r="CW27" s="145"/>
      <c r="CX27" s="145"/>
      <c r="CY27" s="145"/>
      <c r="CZ27" s="5"/>
    </row>
    <row r="28" spans="2:113" ht="15.75" thickBot="1" x14ac:dyDescent="0.3">
      <c r="B28" s="4"/>
      <c r="C28" s="7" t="s">
        <v>139</v>
      </c>
      <c r="D28" s="6">
        <v>1</v>
      </c>
      <c r="E28" s="6" t="s">
        <v>12</v>
      </c>
      <c r="F28" s="5"/>
      <c r="G28" s="6"/>
      <c r="I28" s="8"/>
      <c r="J28" s="9"/>
      <c r="K28" s="9"/>
      <c r="L28" s="9"/>
      <c r="M28" s="9"/>
      <c r="N28" s="9"/>
      <c r="O28" s="10"/>
      <c r="U28" s="6"/>
      <c r="V28" s="6"/>
      <c r="Y28" s="8"/>
      <c r="Z28" s="9"/>
      <c r="AA28" s="9"/>
      <c r="AB28" s="9"/>
      <c r="AC28" s="10"/>
      <c r="AF28" s="4"/>
      <c r="AG28" s="7" t="s">
        <v>139</v>
      </c>
      <c r="AH28" s="6">
        <f>SUM(AH23:AH26)</f>
        <v>28.08</v>
      </c>
      <c r="AI28" s="6" t="s">
        <v>16</v>
      </c>
      <c r="AJ28" s="5"/>
      <c r="AM28" s="4"/>
      <c r="AN28" s="14" t="s">
        <v>84</v>
      </c>
      <c r="AO28" s="6">
        <f>AA72*2</f>
        <v>2.25</v>
      </c>
      <c r="AP28" s="6" t="s">
        <v>16</v>
      </c>
      <c r="AQ28" s="5"/>
      <c r="AT28" s="4"/>
      <c r="AU28" s="24" t="s">
        <v>48</v>
      </c>
      <c r="AV28" s="21"/>
      <c r="AW28" s="25"/>
      <c r="AX28" s="5"/>
      <c r="BA28" s="4"/>
      <c r="BB28" s="24" t="s">
        <v>54</v>
      </c>
      <c r="BC28" s="24"/>
      <c r="BD28" s="24"/>
      <c r="BE28" s="5"/>
      <c r="BH28" s="4"/>
      <c r="BI28" s="14" t="s">
        <v>175</v>
      </c>
      <c r="BJ28" s="6">
        <f>5+5+4.75+2</f>
        <v>16.75</v>
      </c>
      <c r="BK28" s="6" t="s">
        <v>10</v>
      </c>
      <c r="BL28" s="5"/>
      <c r="BO28" s="4"/>
      <c r="BP28" s="146" t="s">
        <v>229</v>
      </c>
      <c r="BQ28" s="146"/>
      <c r="BR28" s="146"/>
      <c r="BS28" s="6"/>
      <c r="BT28" s="6"/>
      <c r="BU28" s="5"/>
      <c r="BX28" s="4"/>
      <c r="BY28" s="145" t="s">
        <v>237</v>
      </c>
      <c r="BZ28" s="145"/>
      <c r="CA28" s="145"/>
      <c r="CB28" s="5"/>
      <c r="CF28" s="8"/>
      <c r="CG28" s="9"/>
      <c r="CH28" s="9"/>
      <c r="CI28" s="9"/>
      <c r="CJ28" s="10"/>
      <c r="CO28" s="4"/>
      <c r="CP28" s="6"/>
      <c r="CQ28" s="6"/>
      <c r="CR28" s="6"/>
      <c r="CS28" s="5"/>
      <c r="CV28" s="4"/>
      <c r="CW28" s="6"/>
      <c r="CX28" s="6"/>
      <c r="CY28" s="6"/>
      <c r="CZ28" s="5"/>
    </row>
    <row r="29" spans="2:113" ht="15.75" customHeight="1" thickBot="1" x14ac:dyDescent="0.3">
      <c r="B29" s="8"/>
      <c r="C29" s="9"/>
      <c r="D29" s="9"/>
      <c r="E29" s="9"/>
      <c r="F29" s="10"/>
      <c r="G29" s="6"/>
      <c r="U29" s="6"/>
      <c r="V29" s="6"/>
      <c r="AF29" s="8"/>
      <c r="AG29" s="9"/>
      <c r="AH29" s="9"/>
      <c r="AI29" s="9"/>
      <c r="AJ29" s="10"/>
      <c r="AM29" s="8"/>
      <c r="AN29" s="9"/>
      <c r="AO29" s="9"/>
      <c r="AP29" s="9"/>
      <c r="AQ29" s="10"/>
      <c r="AT29" s="4"/>
      <c r="AU29" s="6"/>
      <c r="AV29" s="6"/>
      <c r="AW29" s="6"/>
      <c r="AX29" s="5"/>
      <c r="BA29" s="4"/>
      <c r="BB29" s="6"/>
      <c r="BC29" s="6"/>
      <c r="BD29" s="6"/>
      <c r="BE29" s="5"/>
      <c r="BH29" s="8"/>
      <c r="BI29" s="34"/>
      <c r="BJ29" s="35"/>
      <c r="BK29" s="35"/>
      <c r="BL29" s="10"/>
      <c r="BO29" s="4"/>
      <c r="BP29" s="146"/>
      <c r="BQ29" s="146"/>
      <c r="BR29" s="146"/>
      <c r="BS29" s="6">
        <v>2</v>
      </c>
      <c r="BT29" s="6" t="s">
        <v>67</v>
      </c>
      <c r="BU29" s="5"/>
      <c r="BX29" s="4"/>
      <c r="BY29" s="145"/>
      <c r="BZ29" s="145"/>
      <c r="CA29" s="145"/>
      <c r="CB29" s="5"/>
      <c r="CO29" s="4"/>
      <c r="CP29" s="16" t="s">
        <v>6</v>
      </c>
      <c r="CQ29" s="6">
        <v>1</v>
      </c>
      <c r="CR29" s="6" t="s">
        <v>105</v>
      </c>
      <c r="CS29" s="5"/>
      <c r="CV29" s="4"/>
      <c r="CW29" s="7" t="s">
        <v>139</v>
      </c>
      <c r="CX29" s="6">
        <v>0</v>
      </c>
      <c r="CY29" s="6" t="s">
        <v>10</v>
      </c>
      <c r="CZ29" s="5"/>
    </row>
    <row r="30" spans="2:113" ht="15.75" thickBot="1" x14ac:dyDescent="0.3">
      <c r="I30" s="17">
        <v>4</v>
      </c>
      <c r="J30" s="2"/>
      <c r="K30" s="2"/>
      <c r="L30" s="2"/>
      <c r="M30" s="3"/>
      <c r="V30" s="6"/>
      <c r="Y30" s="32">
        <v>4</v>
      </c>
      <c r="Z30" s="2"/>
      <c r="AA30" s="2"/>
      <c r="AB30" s="2"/>
      <c r="AC30" s="2"/>
      <c r="AD30" s="3"/>
      <c r="AT30" s="4"/>
      <c r="AU30" s="14" t="s">
        <v>148</v>
      </c>
      <c r="AV30" s="6">
        <f>(1+2+1+2)</f>
        <v>6</v>
      </c>
      <c r="AW30" s="6" t="s">
        <v>10</v>
      </c>
      <c r="AX30" s="5"/>
      <c r="BA30" s="4"/>
      <c r="BB30" s="14" t="s">
        <v>179</v>
      </c>
      <c r="BC30" s="6">
        <f>BC9</f>
        <v>25.742499999999996</v>
      </c>
      <c r="BD30" s="6" t="s">
        <v>16</v>
      </c>
      <c r="BE30" s="5"/>
      <c r="BI30" s="13"/>
      <c r="BJ30" s="13"/>
      <c r="BK30" s="13"/>
      <c r="BO30" s="8"/>
      <c r="BP30" s="9"/>
      <c r="BQ30" s="9"/>
      <c r="BR30" s="9"/>
      <c r="BS30" s="9"/>
      <c r="BT30" s="9"/>
      <c r="BU30" s="10"/>
      <c r="BX30" s="4"/>
      <c r="BY30" s="6"/>
      <c r="BZ30" s="6"/>
      <c r="CA30" s="6"/>
      <c r="CB30" s="5"/>
      <c r="CF30" s="17">
        <v>4</v>
      </c>
      <c r="CG30" s="2"/>
      <c r="CH30" s="2"/>
      <c r="CI30" s="2"/>
      <c r="CJ30" s="3"/>
      <c r="CO30" s="8"/>
      <c r="CP30" s="9"/>
      <c r="CQ30" s="9"/>
      <c r="CR30" s="9"/>
      <c r="CS30" s="10"/>
      <c r="CV30" s="8"/>
      <c r="CW30" s="9"/>
      <c r="CX30" s="9"/>
      <c r="CY30" s="9"/>
      <c r="CZ30" s="10"/>
    </row>
    <row r="31" spans="2:113" ht="15.75" customHeight="1" thickBot="1" x14ac:dyDescent="0.3">
      <c r="B31" s="17">
        <v>5</v>
      </c>
      <c r="C31" s="2"/>
      <c r="D31" s="2"/>
      <c r="E31" s="2"/>
      <c r="F31" s="3"/>
      <c r="G31" s="6"/>
      <c r="I31" s="4"/>
      <c r="J31" s="12" t="s">
        <v>24</v>
      </c>
      <c r="K31" s="12"/>
      <c r="L31" s="12"/>
      <c r="M31" s="5"/>
      <c r="U31" s="6"/>
      <c r="V31" s="6"/>
      <c r="Y31" s="4"/>
      <c r="Z31" s="24" t="s">
        <v>261</v>
      </c>
      <c r="AA31" s="24"/>
      <c r="AB31" s="24"/>
      <c r="AC31" s="13"/>
      <c r="AD31" s="5"/>
      <c r="AF31" s="17">
        <v>4</v>
      </c>
      <c r="AG31" s="2"/>
      <c r="AH31" s="2"/>
      <c r="AI31" s="2"/>
      <c r="AJ31" s="3"/>
      <c r="AT31" s="4"/>
      <c r="AU31" s="14" t="s">
        <v>149</v>
      </c>
      <c r="AV31" s="6">
        <f>(1.6+2+1.6+2)</f>
        <v>7.2</v>
      </c>
      <c r="AW31" s="6" t="s">
        <v>10</v>
      </c>
      <c r="AX31" s="5"/>
      <c r="BA31" s="4"/>
      <c r="BB31" s="14" t="s">
        <v>180</v>
      </c>
      <c r="BC31" s="30">
        <f>BC24-BC22</f>
        <v>133.14875000000001</v>
      </c>
      <c r="BD31" s="6" t="s">
        <v>16</v>
      </c>
      <c r="BE31" s="5"/>
      <c r="BH31" s="29">
        <v>4</v>
      </c>
      <c r="BI31" s="36"/>
      <c r="BJ31" s="37"/>
      <c r="BK31" s="37"/>
      <c r="BL31" s="3"/>
      <c r="BX31" s="4"/>
      <c r="BY31" s="16" t="s">
        <v>143</v>
      </c>
      <c r="BZ31" s="6">
        <f>(3.1+2.85)*2</f>
        <v>11.9</v>
      </c>
      <c r="CA31" s="6" t="s">
        <v>16</v>
      </c>
      <c r="CB31" s="5"/>
      <c r="CF31" s="4"/>
      <c r="CG31" s="12" t="s">
        <v>88</v>
      </c>
      <c r="CH31" s="12"/>
      <c r="CI31" s="12"/>
      <c r="CJ31" s="5"/>
    </row>
    <row r="32" spans="2:113" ht="15.75" customHeight="1" x14ac:dyDescent="0.25">
      <c r="B32" s="4"/>
      <c r="C32" s="12" t="s">
        <v>15</v>
      </c>
      <c r="D32" s="12"/>
      <c r="E32" s="12"/>
      <c r="F32" s="5"/>
      <c r="G32" s="6"/>
      <c r="I32" s="4"/>
      <c r="J32" s="6"/>
      <c r="K32" s="6"/>
      <c r="L32" s="6"/>
      <c r="M32" s="5"/>
      <c r="U32" s="6"/>
      <c r="V32" s="6"/>
      <c r="Y32" s="4"/>
      <c r="Z32" s="6"/>
      <c r="AA32" s="6"/>
      <c r="AB32" s="6"/>
      <c r="AC32" s="6"/>
      <c r="AD32" s="5"/>
      <c r="AF32" s="4"/>
      <c r="AG32" s="145" t="s">
        <v>207</v>
      </c>
      <c r="AH32" s="145"/>
      <c r="AI32" s="145"/>
      <c r="AJ32" s="5"/>
      <c r="AO32" s="16"/>
      <c r="AP32" s="6"/>
      <c r="AQ32" s="6"/>
      <c r="AT32" s="4"/>
      <c r="AU32" s="14"/>
      <c r="AV32" s="6"/>
      <c r="AW32" s="6"/>
      <c r="AX32" s="5"/>
      <c r="BA32" s="4"/>
      <c r="BB32" s="6"/>
      <c r="BC32" s="6"/>
      <c r="BD32" s="6"/>
      <c r="BE32" s="5"/>
      <c r="BH32" s="4"/>
      <c r="BI32" s="12" t="s">
        <v>59</v>
      </c>
      <c r="BJ32" s="6"/>
      <c r="BK32" s="6"/>
      <c r="BL32" s="5"/>
      <c r="BO32" s="17">
        <v>3</v>
      </c>
      <c r="BP32" s="2"/>
      <c r="BQ32" s="2"/>
      <c r="BR32" s="2"/>
      <c r="BS32" s="2"/>
      <c r="BT32" s="3"/>
      <c r="BX32" s="4"/>
      <c r="BY32" s="16" t="s">
        <v>144</v>
      </c>
      <c r="BZ32" s="6">
        <f>(2.5+2.85)*2</f>
        <v>10.7</v>
      </c>
      <c r="CA32" s="6" t="s">
        <v>16</v>
      </c>
      <c r="CB32" s="5"/>
      <c r="CF32" s="4"/>
      <c r="CG32" s="6"/>
      <c r="CH32" s="6"/>
      <c r="CI32" s="6"/>
      <c r="CJ32" s="5"/>
      <c r="CO32" s="17">
        <v>5</v>
      </c>
      <c r="CP32" s="2"/>
      <c r="CQ32" s="2"/>
      <c r="CR32" s="2"/>
      <c r="CS32" s="3"/>
      <c r="CV32" s="17">
        <v>5</v>
      </c>
      <c r="CW32" s="2"/>
      <c r="CX32" s="2"/>
      <c r="CY32" s="2"/>
      <c r="CZ32" s="2"/>
      <c r="DA32" s="3"/>
    </row>
    <row r="33" spans="2:105" x14ac:dyDescent="0.25">
      <c r="B33" s="4"/>
      <c r="C33" s="6"/>
      <c r="D33" s="6"/>
      <c r="E33" s="6"/>
      <c r="F33" s="5"/>
      <c r="G33" s="6"/>
      <c r="I33" s="4"/>
      <c r="J33" s="7" t="s">
        <v>154</v>
      </c>
      <c r="K33" s="6">
        <f>D48*0.04</f>
        <v>1.4048000000000003</v>
      </c>
      <c r="L33" s="6" t="s">
        <v>21</v>
      </c>
      <c r="M33" s="5"/>
      <c r="U33" s="6"/>
      <c r="V33" s="6"/>
      <c r="Y33" s="4"/>
      <c r="Z33" s="6"/>
      <c r="AA33" s="18" t="s">
        <v>164</v>
      </c>
      <c r="AB33" s="18" t="s">
        <v>168</v>
      </c>
      <c r="AC33" s="6"/>
      <c r="AD33" s="5"/>
      <c r="AF33" s="4"/>
      <c r="AG33" s="145"/>
      <c r="AH33" s="145"/>
      <c r="AI33" s="145"/>
      <c r="AJ33" s="5"/>
      <c r="AT33" s="4"/>
      <c r="AU33" s="7" t="s">
        <v>136</v>
      </c>
      <c r="AV33" s="6">
        <f>SUM(AV30:AV31)</f>
        <v>13.2</v>
      </c>
      <c r="AW33" s="6" t="s">
        <v>10</v>
      </c>
      <c r="AX33" s="5"/>
      <c r="BA33" s="4"/>
      <c r="BB33" s="7" t="s">
        <v>139</v>
      </c>
      <c r="BC33" s="6">
        <f>(BC30+BC31)*2</f>
        <v>317.78250000000003</v>
      </c>
      <c r="BD33" s="6" t="s">
        <v>16</v>
      </c>
      <c r="BE33" s="5"/>
      <c r="BH33" s="4"/>
      <c r="BI33" s="6"/>
      <c r="BJ33" s="6"/>
      <c r="BK33" s="6"/>
      <c r="BL33" s="5"/>
      <c r="BO33" s="4"/>
      <c r="BP33" s="12" t="s">
        <v>68</v>
      </c>
      <c r="BQ33" s="12"/>
      <c r="BR33" s="6"/>
      <c r="BS33" s="6"/>
      <c r="BT33" s="5"/>
      <c r="BX33" s="4"/>
      <c r="BY33" s="14" t="s">
        <v>146</v>
      </c>
      <c r="BZ33" s="6">
        <f>(2.65+2.85+2.65)</f>
        <v>8.15</v>
      </c>
      <c r="CA33" s="6" t="s">
        <v>16</v>
      </c>
      <c r="CB33" s="5"/>
      <c r="CF33" s="4"/>
      <c r="CG33" s="16" t="s">
        <v>6</v>
      </c>
      <c r="CH33" s="6">
        <v>1</v>
      </c>
      <c r="CI33" s="6" t="s">
        <v>65</v>
      </c>
      <c r="CJ33" s="5"/>
      <c r="CO33" s="4"/>
      <c r="CP33" s="145" t="s">
        <v>109</v>
      </c>
      <c r="CQ33" s="145"/>
      <c r="CR33" s="145"/>
      <c r="CS33" s="5"/>
      <c r="CV33" s="4"/>
      <c r="CW33" s="145" t="s">
        <v>248</v>
      </c>
      <c r="CX33" s="145"/>
      <c r="CY33" s="145"/>
      <c r="CZ33" s="145"/>
      <c r="DA33" s="5"/>
    </row>
    <row r="34" spans="2:105" ht="15.75" customHeight="1" thickBot="1" x14ac:dyDescent="0.3">
      <c r="B34" s="4"/>
      <c r="C34" s="6" t="s">
        <v>141</v>
      </c>
      <c r="D34" s="6"/>
      <c r="E34" s="6"/>
      <c r="F34" s="5"/>
      <c r="G34" s="6"/>
      <c r="I34" s="8"/>
      <c r="J34" s="9"/>
      <c r="K34" s="9"/>
      <c r="L34" s="9"/>
      <c r="M34" s="10"/>
      <c r="Y34" s="4"/>
      <c r="Z34" s="16" t="s">
        <v>161</v>
      </c>
      <c r="AA34" s="18">
        <v>8</v>
      </c>
      <c r="AB34" s="18">
        <f>(((0.15*0.15)*6.95)*AA34)</f>
        <v>1.2509999999999999</v>
      </c>
      <c r="AC34" s="6" t="s">
        <v>21</v>
      </c>
      <c r="AD34" s="5"/>
      <c r="AF34" s="4"/>
      <c r="AG34" s="6"/>
      <c r="AH34" s="6"/>
      <c r="AI34" s="6"/>
      <c r="AJ34" s="5"/>
      <c r="AT34" s="8"/>
      <c r="AU34" s="9"/>
      <c r="AV34" s="9"/>
      <c r="AW34" s="9"/>
      <c r="AX34" s="10"/>
      <c r="BA34" s="8"/>
      <c r="BB34" s="9"/>
      <c r="BC34" s="9"/>
      <c r="BD34" s="9"/>
      <c r="BE34" s="10"/>
      <c r="BH34" s="4"/>
      <c r="BI34" s="14" t="s">
        <v>175</v>
      </c>
      <c r="BJ34" s="6">
        <v>18</v>
      </c>
      <c r="BK34" s="6" t="s">
        <v>10</v>
      </c>
      <c r="BL34" s="5"/>
      <c r="BO34" s="4"/>
      <c r="BP34" s="6"/>
      <c r="BQ34" s="6"/>
      <c r="BR34" s="6"/>
      <c r="BS34" s="6"/>
      <c r="BT34" s="5"/>
      <c r="BX34" s="4"/>
      <c r="BY34" s="14" t="s">
        <v>147</v>
      </c>
      <c r="BZ34" s="6">
        <f>(1.6+3.85+1.6)</f>
        <v>7.0500000000000007</v>
      </c>
      <c r="CA34" s="6" t="s">
        <v>16</v>
      </c>
      <c r="CB34" s="5"/>
      <c r="CF34" s="8"/>
      <c r="CG34" s="9"/>
      <c r="CH34" s="9"/>
      <c r="CI34" s="9"/>
      <c r="CJ34" s="10"/>
      <c r="CO34" s="4"/>
      <c r="CP34" s="145"/>
      <c r="CQ34" s="145"/>
      <c r="CR34" s="145"/>
      <c r="CS34" s="5"/>
      <c r="CV34" s="4"/>
      <c r="CW34" s="145"/>
      <c r="CX34" s="145"/>
      <c r="CY34" s="145"/>
      <c r="CZ34" s="145"/>
      <c r="DA34" s="5"/>
    </row>
    <row r="35" spans="2:105" ht="15.75" thickBot="1" x14ac:dyDescent="0.3">
      <c r="B35" s="4"/>
      <c r="C35" s="6" t="s">
        <v>62</v>
      </c>
      <c r="D35" s="6">
        <v>4.8499999999999996</v>
      </c>
      <c r="E35" s="6" t="s">
        <v>134</v>
      </c>
      <c r="F35" s="5"/>
      <c r="G35" s="6"/>
      <c r="Y35" s="4"/>
      <c r="Z35" s="16" t="s">
        <v>162</v>
      </c>
      <c r="AA35" s="18">
        <v>4</v>
      </c>
      <c r="AB35" s="18">
        <f>(((0.15*0.15)*6.64)*AA35)</f>
        <v>0.59759999999999991</v>
      </c>
      <c r="AC35" s="6" t="s">
        <v>21</v>
      </c>
      <c r="AD35" s="5"/>
      <c r="AF35" s="4"/>
      <c r="AG35" s="14" t="s">
        <v>145</v>
      </c>
      <c r="AH35" s="6">
        <f>1.6*1.825</f>
        <v>2.92</v>
      </c>
      <c r="AI35" s="6" t="s">
        <v>16</v>
      </c>
      <c r="AJ35" s="5"/>
      <c r="BH35" s="8"/>
      <c r="BI35" s="9"/>
      <c r="BJ35" s="9"/>
      <c r="BK35" s="9"/>
      <c r="BL35" s="10"/>
      <c r="BO35" s="4"/>
      <c r="BQ35" s="16" t="s">
        <v>273</v>
      </c>
      <c r="BR35">
        <v>1</v>
      </c>
      <c r="BS35" s="6" t="s">
        <v>65</v>
      </c>
      <c r="BT35" s="5"/>
      <c r="BX35" s="4"/>
      <c r="BY35" s="22"/>
      <c r="BZ35" s="22"/>
      <c r="CA35" s="22"/>
      <c r="CB35" s="5"/>
      <c r="CO35" s="4"/>
      <c r="CP35" s="6"/>
      <c r="CQ35" s="6"/>
      <c r="CR35" s="6"/>
      <c r="CS35" s="5"/>
      <c r="CV35" s="4"/>
      <c r="CW35" s="6"/>
      <c r="CX35" s="6"/>
      <c r="CY35" s="6"/>
      <c r="CZ35" s="6"/>
      <c r="DA35" s="5"/>
    </row>
    <row r="36" spans="2:105" ht="15.75" thickBot="1" x14ac:dyDescent="0.3">
      <c r="B36" s="4"/>
      <c r="C36" s="6" t="s">
        <v>133</v>
      </c>
      <c r="D36" s="6">
        <v>11.85</v>
      </c>
      <c r="E36" s="6" t="s">
        <v>134</v>
      </c>
      <c r="F36" s="5"/>
      <c r="G36" s="6"/>
      <c r="Y36" s="4"/>
      <c r="Z36" s="16" t="s">
        <v>163</v>
      </c>
      <c r="AA36" s="18">
        <v>0</v>
      </c>
      <c r="AB36" s="18">
        <f>(((0.13*0.18)*4.35)*AA36)</f>
        <v>0</v>
      </c>
      <c r="AC36" s="6" t="s">
        <v>21</v>
      </c>
      <c r="AD36" s="5"/>
      <c r="AF36" s="4"/>
      <c r="AG36" s="14"/>
      <c r="AH36" s="6"/>
      <c r="AI36" s="6"/>
      <c r="AJ36" s="5"/>
      <c r="AM36" s="14"/>
      <c r="AN36" s="13"/>
      <c r="AO36" s="13"/>
      <c r="AT36" s="17">
        <v>4</v>
      </c>
      <c r="AU36" s="2"/>
      <c r="AV36" s="2"/>
      <c r="AW36" s="2"/>
      <c r="AX36" s="3"/>
      <c r="BO36" s="4"/>
      <c r="BP36" s="146" t="s">
        <v>230</v>
      </c>
      <c r="BQ36" s="146"/>
      <c r="BT36" s="5"/>
      <c r="BX36" s="4"/>
      <c r="BY36" s="7" t="s">
        <v>139</v>
      </c>
      <c r="BZ36" s="6">
        <f>SUM(BZ31:BZ34)</f>
        <v>37.799999999999997</v>
      </c>
      <c r="CA36" s="6" t="s">
        <v>16</v>
      </c>
      <c r="CB36" s="5"/>
      <c r="CF36" s="17">
        <v>5</v>
      </c>
      <c r="CG36" s="2"/>
      <c r="CH36" s="2"/>
      <c r="CI36" s="2"/>
      <c r="CJ36" s="3"/>
      <c r="CO36" s="4"/>
      <c r="CP36" s="16" t="s">
        <v>6</v>
      </c>
      <c r="CQ36" s="6">
        <v>1</v>
      </c>
      <c r="CR36" s="6" t="s">
        <v>105</v>
      </c>
      <c r="CS36" s="5"/>
      <c r="CV36" s="4"/>
      <c r="CW36" s="7" t="s">
        <v>139</v>
      </c>
      <c r="CX36" s="6">
        <v>1</v>
      </c>
      <c r="CY36" s="6" t="s">
        <v>67</v>
      </c>
      <c r="CZ36" s="6"/>
      <c r="DA36" s="5"/>
    </row>
    <row r="37" spans="2:105" ht="15.75" thickBot="1" x14ac:dyDescent="0.3">
      <c r="B37" s="4"/>
      <c r="C37" s="6"/>
      <c r="D37" s="6"/>
      <c r="E37" s="6"/>
      <c r="F37" s="5"/>
      <c r="G37" s="6"/>
      <c r="Y37" s="4"/>
      <c r="Z37" s="16" t="s">
        <v>165</v>
      </c>
      <c r="AA37" s="18">
        <v>3</v>
      </c>
      <c r="AB37" s="18">
        <f>(((0.15*0.15)*3.75)*AA37)</f>
        <v>0.25312499999999999</v>
      </c>
      <c r="AC37" s="6" t="s">
        <v>21</v>
      </c>
      <c r="AD37" s="5"/>
      <c r="AF37" s="4"/>
      <c r="AG37" s="7" t="s">
        <v>139</v>
      </c>
      <c r="AH37" s="6">
        <f>SUM(AH35:AH35)</f>
        <v>2.92</v>
      </c>
      <c r="AI37" s="6" t="s">
        <v>16</v>
      </c>
      <c r="AJ37" s="5"/>
      <c r="AT37" s="4"/>
      <c r="AU37" s="145" t="s">
        <v>49</v>
      </c>
      <c r="AV37" s="145"/>
      <c r="AW37" s="145"/>
      <c r="AX37" s="5"/>
      <c r="BH37" s="17">
        <v>5</v>
      </c>
      <c r="BI37" s="2"/>
      <c r="BJ37" s="2"/>
      <c r="BK37" s="2"/>
      <c r="BL37" s="3"/>
      <c r="BO37" s="4"/>
      <c r="BP37" s="146"/>
      <c r="BQ37" s="146"/>
      <c r="BR37">
        <v>4</v>
      </c>
      <c r="BS37" s="6" t="s">
        <v>65</v>
      </c>
      <c r="BT37" s="5"/>
      <c r="BX37" s="8"/>
      <c r="BY37" s="9"/>
      <c r="BZ37" s="9"/>
      <c r="CA37" s="9"/>
      <c r="CB37" s="10"/>
      <c r="CF37" s="4"/>
      <c r="CG37" s="12" t="s">
        <v>89</v>
      </c>
      <c r="CH37" s="12"/>
      <c r="CI37" s="12"/>
      <c r="CJ37" s="5"/>
      <c r="CO37" s="8"/>
      <c r="CP37" s="9"/>
      <c r="CQ37" s="9"/>
      <c r="CR37" s="9"/>
      <c r="CS37" s="10"/>
      <c r="CV37" s="8"/>
      <c r="CW37" s="9"/>
      <c r="CX37" s="9"/>
      <c r="CY37" s="9"/>
      <c r="CZ37" s="9"/>
      <c r="DA37" s="10"/>
    </row>
    <row r="38" spans="2:105" ht="15.75" thickBot="1" x14ac:dyDescent="0.3">
      <c r="B38" s="4"/>
      <c r="C38" s="7" t="s">
        <v>139</v>
      </c>
      <c r="D38" s="6">
        <f>(D35*D36)-D48</f>
        <v>22.352499999999992</v>
      </c>
      <c r="E38" s="6" t="s">
        <v>16</v>
      </c>
      <c r="F38" s="5"/>
      <c r="G38" s="6"/>
      <c r="Y38" s="4"/>
      <c r="AD38" s="5"/>
      <c r="AF38" s="8"/>
      <c r="AG38" s="9"/>
      <c r="AH38" s="9"/>
      <c r="AI38" s="9"/>
      <c r="AJ38" s="10"/>
      <c r="AT38" s="4"/>
      <c r="AU38" s="145"/>
      <c r="AV38" s="145"/>
      <c r="AW38" s="145"/>
      <c r="AX38" s="5"/>
      <c r="BH38" s="4"/>
      <c r="BI38" s="12" t="s">
        <v>60</v>
      </c>
      <c r="BJ38" s="12"/>
      <c r="BK38" s="6"/>
      <c r="BL38" s="5"/>
      <c r="BO38" s="4"/>
      <c r="BQ38" s="16" t="s">
        <v>69</v>
      </c>
      <c r="BR38" s="38">
        <f>5*3</f>
        <v>15</v>
      </c>
      <c r="BS38" s="6" t="s">
        <v>65</v>
      </c>
      <c r="BT38" s="5"/>
      <c r="CF38" s="4"/>
      <c r="CG38" s="6"/>
      <c r="CH38" s="6"/>
      <c r="CI38" s="6"/>
      <c r="CJ38" s="5"/>
    </row>
    <row r="39" spans="2:105" ht="15.75" customHeight="1" thickBot="1" x14ac:dyDescent="0.3">
      <c r="B39" s="4"/>
      <c r="C39" s="6"/>
      <c r="D39" s="6"/>
      <c r="E39" s="6"/>
      <c r="F39" s="5"/>
      <c r="I39" s="6" t="s">
        <v>141</v>
      </c>
      <c r="J39" s="6" t="s">
        <v>268</v>
      </c>
      <c r="K39" s="6"/>
      <c r="Y39" s="4"/>
      <c r="Z39" s="6"/>
      <c r="AA39" s="7" t="s">
        <v>154</v>
      </c>
      <c r="AB39" s="6">
        <f>SUM(AB34:AB37)</f>
        <v>2.1017249999999996</v>
      </c>
      <c r="AC39" s="6" t="s">
        <v>21</v>
      </c>
      <c r="AD39" s="5"/>
      <c r="AT39" s="4"/>
      <c r="AU39" s="145"/>
      <c r="AV39" s="145"/>
      <c r="AW39" s="145"/>
      <c r="AX39" s="5"/>
      <c r="BH39" s="4"/>
      <c r="BI39" s="6"/>
      <c r="BJ39" s="6"/>
      <c r="BK39" s="6"/>
      <c r="BL39" s="5"/>
      <c r="BO39" s="4"/>
      <c r="BP39" s="146" t="s">
        <v>231</v>
      </c>
      <c r="BQ39" s="146"/>
      <c r="BT39" s="5"/>
      <c r="BX39" s="17">
        <v>4</v>
      </c>
      <c r="BY39" s="2"/>
      <c r="BZ39" s="2"/>
      <c r="CA39" s="2"/>
      <c r="CB39" s="3"/>
      <c r="CF39" s="4"/>
      <c r="CG39" s="16" t="s">
        <v>6</v>
      </c>
      <c r="CH39" s="6">
        <v>2</v>
      </c>
      <c r="CI39" s="6" t="s">
        <v>65</v>
      </c>
      <c r="CJ39" s="5"/>
      <c r="CO39" s="17">
        <v>6</v>
      </c>
      <c r="CP39" s="2"/>
      <c r="CQ39" s="2"/>
      <c r="CR39" s="2"/>
      <c r="CS39" s="3"/>
    </row>
    <row r="40" spans="2:105" ht="15.75" customHeight="1" thickBot="1" x14ac:dyDescent="0.3">
      <c r="B40" s="4"/>
      <c r="C40" s="6" t="s">
        <v>142</v>
      </c>
      <c r="D40" s="6"/>
      <c r="E40" s="6"/>
      <c r="F40" s="5"/>
      <c r="G40" s="6"/>
      <c r="I40" s="6" t="s">
        <v>269</v>
      </c>
      <c r="J40" s="6">
        <v>0.5</v>
      </c>
      <c r="K40" s="6"/>
      <c r="Y40" s="8"/>
      <c r="Z40" s="9"/>
      <c r="AA40" s="9"/>
      <c r="AB40" s="9"/>
      <c r="AC40" s="9"/>
      <c r="AD40" s="10"/>
      <c r="AF40" s="17">
        <v>6</v>
      </c>
      <c r="AG40" s="2"/>
      <c r="AH40" s="2"/>
      <c r="AI40" s="2"/>
      <c r="AJ40" s="3"/>
      <c r="AT40" s="4"/>
      <c r="AU40" s="6"/>
      <c r="AV40" s="6"/>
      <c r="AW40" s="6"/>
      <c r="AX40" s="5"/>
      <c r="BH40" s="4"/>
      <c r="BI40" s="14" t="s">
        <v>175</v>
      </c>
      <c r="BJ40" s="6">
        <v>5</v>
      </c>
      <c r="BK40" s="6" t="s">
        <v>10</v>
      </c>
      <c r="BL40" s="5"/>
      <c r="BO40" s="4"/>
      <c r="BP40" s="146"/>
      <c r="BQ40" s="146"/>
      <c r="BR40" s="38">
        <v>8</v>
      </c>
      <c r="BS40" s="6" t="s">
        <v>65</v>
      </c>
      <c r="BT40" s="5"/>
      <c r="BX40" s="4"/>
      <c r="BY40" s="24" t="s">
        <v>72</v>
      </c>
      <c r="BZ40" s="21"/>
      <c r="CA40" s="21"/>
      <c r="CB40" s="33"/>
      <c r="CF40" s="8"/>
      <c r="CG40" s="9"/>
      <c r="CH40" s="9"/>
      <c r="CI40" s="9"/>
      <c r="CJ40" s="10"/>
      <c r="CO40" s="4"/>
      <c r="CP40" s="145" t="s">
        <v>110</v>
      </c>
      <c r="CQ40" s="145"/>
      <c r="CR40" s="145"/>
      <c r="CS40" s="5"/>
    </row>
    <row r="41" spans="2:105" ht="15.75" customHeight="1" thickBot="1" x14ac:dyDescent="0.3">
      <c r="B41" s="4"/>
      <c r="C41" s="16"/>
      <c r="D41" s="6"/>
      <c r="E41" s="6"/>
      <c r="F41" s="5"/>
      <c r="G41" s="6"/>
      <c r="I41" s="18" t="s">
        <v>270</v>
      </c>
      <c r="J41" s="6">
        <f>N8+N9</f>
        <v>21.4</v>
      </c>
      <c r="K41" s="6" t="s">
        <v>134</v>
      </c>
      <c r="AF41" s="4"/>
      <c r="AG41" s="23" t="s">
        <v>43</v>
      </c>
      <c r="AH41" s="21"/>
      <c r="AI41" s="21"/>
      <c r="AJ41" s="5"/>
      <c r="AT41" s="4"/>
      <c r="AU41" s="14" t="s">
        <v>145</v>
      </c>
      <c r="AV41" s="6">
        <f>1.6*1.825</f>
        <v>2.92</v>
      </c>
      <c r="AW41" s="6" t="s">
        <v>16</v>
      </c>
      <c r="AX41" s="5"/>
      <c r="BH41" s="8"/>
      <c r="BI41" s="9"/>
      <c r="BJ41" s="9"/>
      <c r="BK41" s="9"/>
      <c r="BL41" s="10"/>
      <c r="BO41" s="4"/>
      <c r="BP41" s="39"/>
      <c r="BQ41" s="16" t="s">
        <v>232</v>
      </c>
      <c r="BR41" s="38">
        <v>4</v>
      </c>
      <c r="BS41" s="6" t="s">
        <v>265</v>
      </c>
      <c r="BT41" s="5"/>
      <c r="BX41" s="4"/>
      <c r="BY41" s="28"/>
      <c r="BZ41" s="25"/>
      <c r="CA41" s="25"/>
      <c r="CB41" s="33"/>
      <c r="CO41" s="4"/>
      <c r="CP41" s="145"/>
      <c r="CQ41" s="145"/>
      <c r="CR41" s="145"/>
      <c r="CS41" s="5"/>
    </row>
    <row r="42" spans="2:105" ht="15.75" thickBot="1" x14ac:dyDescent="0.3">
      <c r="B42" s="4"/>
      <c r="C42" s="16" t="s">
        <v>143</v>
      </c>
      <c r="D42" s="6">
        <f>3*3.25</f>
        <v>9.75</v>
      </c>
      <c r="E42" s="6" t="s">
        <v>16</v>
      </c>
      <c r="F42" s="5"/>
      <c r="G42" s="6"/>
      <c r="I42" s="14" t="s">
        <v>39</v>
      </c>
      <c r="J42" s="6">
        <f>J41*J40</f>
        <v>10.7</v>
      </c>
      <c r="K42" s="6" t="s">
        <v>25</v>
      </c>
      <c r="Y42" s="32">
        <v>5</v>
      </c>
      <c r="Z42" s="2"/>
      <c r="AA42" s="2"/>
      <c r="AB42" s="2"/>
      <c r="AC42" s="2"/>
      <c r="AD42" s="3"/>
      <c r="AF42" s="4"/>
      <c r="AG42" s="6"/>
      <c r="AH42" s="6"/>
      <c r="AI42" s="6"/>
      <c r="AJ42" s="5"/>
      <c r="AT42" s="4"/>
      <c r="AU42" s="14" t="s">
        <v>175</v>
      </c>
      <c r="AV42" s="6">
        <f>D45+D46</f>
        <v>5.2</v>
      </c>
      <c r="AW42" s="6" t="s">
        <v>16</v>
      </c>
      <c r="AX42" s="5"/>
      <c r="BO42" s="4"/>
      <c r="BP42" s="39"/>
      <c r="BQ42" s="16" t="s">
        <v>233</v>
      </c>
      <c r="BR42" s="38">
        <v>6</v>
      </c>
      <c r="BS42" s="6" t="s">
        <v>65</v>
      </c>
      <c r="BT42" s="5"/>
      <c r="BX42" s="4"/>
      <c r="BY42" s="28" t="s">
        <v>187</v>
      </c>
      <c r="BZ42" s="6">
        <f>BJ28*0.2</f>
        <v>3.35</v>
      </c>
      <c r="CA42" s="6" t="s">
        <v>16</v>
      </c>
      <c r="CB42" s="33"/>
      <c r="CF42" s="17">
        <v>6</v>
      </c>
      <c r="CG42" s="2"/>
      <c r="CH42" s="2"/>
      <c r="CI42" s="2"/>
      <c r="CJ42" s="3"/>
      <c r="CO42" s="4"/>
      <c r="CP42" s="6"/>
      <c r="CQ42" s="6"/>
      <c r="CR42" s="6"/>
      <c r="CS42" s="5"/>
    </row>
    <row r="43" spans="2:105" ht="15.75" customHeight="1" x14ac:dyDescent="0.25">
      <c r="B43" s="4"/>
      <c r="C43" s="14" t="s">
        <v>146</v>
      </c>
      <c r="D43" s="6">
        <f>2.5*4.25</f>
        <v>10.625</v>
      </c>
      <c r="E43" s="6" t="s">
        <v>16</v>
      </c>
      <c r="F43" s="5"/>
      <c r="G43" s="6"/>
      <c r="I43" s="13" t="s">
        <v>271</v>
      </c>
      <c r="J43" s="6">
        <v>0.8</v>
      </c>
      <c r="K43" s="6"/>
      <c r="Y43" s="4"/>
      <c r="Z43" s="24" t="s">
        <v>262</v>
      </c>
      <c r="AA43" s="24"/>
      <c r="AB43" s="24"/>
      <c r="AC43" s="6"/>
      <c r="AD43" s="5"/>
      <c r="AF43" s="4"/>
      <c r="AG43" s="14" t="s">
        <v>145</v>
      </c>
      <c r="AH43" s="6">
        <f>1.6+1.825+1.825+0.8</f>
        <v>6.05</v>
      </c>
      <c r="AI43" s="6" t="s">
        <v>10</v>
      </c>
      <c r="AJ43" s="5"/>
      <c r="AT43" s="4"/>
      <c r="AU43" s="6"/>
      <c r="AV43" s="6"/>
      <c r="AW43" s="6"/>
      <c r="AX43" s="5"/>
      <c r="BH43" s="17">
        <v>6</v>
      </c>
      <c r="BI43" s="2"/>
      <c r="BJ43" s="2"/>
      <c r="BK43" s="2"/>
      <c r="BL43" s="3"/>
      <c r="BO43" s="4"/>
      <c r="BP43" s="39"/>
      <c r="BQ43" s="121" t="s">
        <v>234</v>
      </c>
      <c r="BR43" s="38">
        <f>3*2.4</f>
        <v>7.1999999999999993</v>
      </c>
      <c r="BS43" s="6" t="s">
        <v>16</v>
      </c>
      <c r="BT43" s="5"/>
      <c r="BX43" s="4"/>
      <c r="BY43" s="14" t="s">
        <v>148</v>
      </c>
      <c r="BZ43">
        <f>2.5*1+2.5</f>
        <v>5</v>
      </c>
      <c r="CA43" s="6" t="s">
        <v>16</v>
      </c>
      <c r="CB43" s="33"/>
      <c r="CF43" s="4"/>
      <c r="CG43" s="12" t="s">
        <v>90</v>
      </c>
      <c r="CH43" s="12"/>
      <c r="CI43" s="12"/>
      <c r="CJ43" s="5"/>
      <c r="CO43" s="4"/>
      <c r="CP43" s="16" t="s">
        <v>6</v>
      </c>
      <c r="CQ43" s="6">
        <v>1</v>
      </c>
      <c r="CR43" s="6" t="s">
        <v>105</v>
      </c>
      <c r="CS43" s="5"/>
    </row>
    <row r="44" spans="2:105" ht="15" customHeight="1" thickBot="1" x14ac:dyDescent="0.3">
      <c r="B44" s="4"/>
      <c r="C44" s="16" t="s">
        <v>144</v>
      </c>
      <c r="D44" s="6">
        <f>2.5*2.65</f>
        <v>6.625</v>
      </c>
      <c r="E44" s="6" t="s">
        <v>16</v>
      </c>
      <c r="F44" s="5"/>
      <c r="G44" s="6"/>
      <c r="I44" s="18" t="s">
        <v>270</v>
      </c>
      <c r="J44" s="6">
        <v>20.399999999999999</v>
      </c>
      <c r="K44" s="6" t="s">
        <v>134</v>
      </c>
      <c r="Y44" s="4"/>
      <c r="Z44" s="6"/>
      <c r="AA44" s="6"/>
      <c r="AB44" s="6"/>
      <c r="AC44" s="6"/>
      <c r="AD44" s="5"/>
      <c r="AF44" s="8"/>
      <c r="AG44" s="9"/>
      <c r="AH44" s="9"/>
      <c r="AI44" s="9"/>
      <c r="AJ44" s="10"/>
      <c r="AT44" s="4"/>
      <c r="AU44" s="7" t="s">
        <v>139</v>
      </c>
      <c r="AV44" s="6">
        <f>SUM(AV41:AV42)</f>
        <v>8.120000000000001</v>
      </c>
      <c r="AW44" s="6" t="s">
        <v>16</v>
      </c>
      <c r="AX44" s="5"/>
      <c r="BH44" s="4"/>
      <c r="BI44" s="12" t="s">
        <v>183</v>
      </c>
      <c r="BJ44" s="12"/>
      <c r="BK44" s="6"/>
      <c r="BL44" s="5"/>
      <c r="BO44" s="8"/>
      <c r="BP44" s="9"/>
      <c r="BQ44" s="9"/>
      <c r="BR44" s="9"/>
      <c r="BS44" s="9"/>
      <c r="BT44" s="10"/>
      <c r="BX44" s="4"/>
      <c r="BY44" s="14" t="s">
        <v>149</v>
      </c>
      <c r="BZ44" s="6">
        <f>1.5*2.85</f>
        <v>4.2750000000000004</v>
      </c>
      <c r="CA44" s="6" t="s">
        <v>16</v>
      </c>
      <c r="CB44" s="33"/>
      <c r="CF44" s="4"/>
      <c r="CG44" s="6"/>
      <c r="CH44" s="6"/>
      <c r="CI44" s="6"/>
      <c r="CJ44" s="5"/>
      <c r="CO44" s="8"/>
      <c r="CP44" s="9"/>
      <c r="CQ44" s="9"/>
      <c r="CR44" s="9"/>
      <c r="CS44" s="10"/>
    </row>
    <row r="45" spans="2:105" ht="15.75" customHeight="1" thickBot="1" x14ac:dyDescent="0.3">
      <c r="B45" s="4"/>
      <c r="C45" s="14" t="s">
        <v>148</v>
      </c>
      <c r="D45">
        <f>2*1</f>
        <v>2</v>
      </c>
      <c r="E45" s="6" t="s">
        <v>16</v>
      </c>
      <c r="F45" s="5"/>
      <c r="G45" s="6"/>
      <c r="I45" s="16" t="s">
        <v>39</v>
      </c>
      <c r="J45" s="6">
        <f>J43*J44</f>
        <v>16.32</v>
      </c>
      <c r="K45" s="13" t="s">
        <v>25</v>
      </c>
      <c r="Y45" s="4"/>
      <c r="Z45" s="16" t="s">
        <v>166</v>
      </c>
      <c r="AA45" s="18">
        <v>2</v>
      </c>
      <c r="AB45" s="18">
        <f>(((0.13*0.13)*3.75)*AA45)</f>
        <v>0.12675</v>
      </c>
      <c r="AC45" s="6" t="s">
        <v>21</v>
      </c>
      <c r="AD45" s="5"/>
      <c r="AT45" s="8"/>
      <c r="AU45" s="9"/>
      <c r="AV45" s="9"/>
      <c r="AW45" s="9"/>
      <c r="AX45" s="10"/>
      <c r="BH45" s="4"/>
      <c r="BI45" s="6"/>
      <c r="BJ45" s="6"/>
      <c r="BK45" s="6"/>
      <c r="BL45" s="5"/>
      <c r="BX45" s="4"/>
      <c r="BY45" s="14" t="s">
        <v>145</v>
      </c>
      <c r="BZ45" s="6">
        <f>(1.45*1.85)</f>
        <v>2.6825000000000001</v>
      </c>
      <c r="CA45" s="6" t="s">
        <v>16</v>
      </c>
      <c r="CB45" s="5"/>
      <c r="CF45" s="4"/>
      <c r="CG45" s="16" t="s">
        <v>91</v>
      </c>
      <c r="CH45" s="6">
        <v>10.9</v>
      </c>
      <c r="CI45" s="6" t="s">
        <v>10</v>
      </c>
      <c r="CJ45" s="5"/>
    </row>
    <row r="46" spans="2:105" x14ac:dyDescent="0.25">
      <c r="B46" s="4"/>
      <c r="C46" s="14" t="s">
        <v>149</v>
      </c>
      <c r="D46" s="6">
        <f>1.6*2</f>
        <v>3.2</v>
      </c>
      <c r="E46" s="6" t="s">
        <v>16</v>
      </c>
      <c r="F46" s="5"/>
      <c r="G46" s="6"/>
      <c r="I46" s="7" t="s">
        <v>154</v>
      </c>
      <c r="J46" s="6">
        <f>J42+J45</f>
        <v>27.02</v>
      </c>
      <c r="K46" s="6" t="s">
        <v>16</v>
      </c>
      <c r="Y46" s="4"/>
      <c r="Z46" s="16" t="s">
        <v>167</v>
      </c>
      <c r="AA46" s="18">
        <v>4</v>
      </c>
      <c r="AB46" s="18">
        <f>(((0.13*0.13)*2)*AA46)</f>
        <v>0.13520000000000001</v>
      </c>
      <c r="AC46" s="6" t="s">
        <v>21</v>
      </c>
      <c r="AD46" s="5"/>
      <c r="AF46" s="17">
        <v>7</v>
      </c>
      <c r="AG46" s="2"/>
      <c r="AH46" s="2"/>
      <c r="AI46" s="2"/>
      <c r="AJ46" s="3"/>
      <c r="BH46" s="4"/>
      <c r="BI46" s="14" t="s">
        <v>181</v>
      </c>
      <c r="BJ46" s="6">
        <f>5.75*2</f>
        <v>11.5</v>
      </c>
      <c r="BK46" s="6" t="s">
        <v>10</v>
      </c>
      <c r="BL46" s="5"/>
      <c r="BX46" s="4"/>
      <c r="BY46" s="6"/>
      <c r="BZ46" s="6"/>
      <c r="CA46" s="6"/>
      <c r="CB46" s="5"/>
      <c r="CF46" s="4"/>
      <c r="CG46" s="16" t="s">
        <v>92</v>
      </c>
      <c r="CH46" s="6">
        <v>7.6</v>
      </c>
      <c r="CI46" s="6" t="s">
        <v>10</v>
      </c>
      <c r="CJ46" s="5"/>
      <c r="CO46" s="17">
        <v>7</v>
      </c>
      <c r="CP46" s="2"/>
      <c r="CQ46" s="2"/>
      <c r="CR46" s="2"/>
      <c r="CS46" s="3"/>
    </row>
    <row r="47" spans="2:105" ht="15" customHeight="1" thickBot="1" x14ac:dyDescent="0.3">
      <c r="B47" s="4"/>
      <c r="C47" s="14" t="s">
        <v>145</v>
      </c>
      <c r="D47" s="6">
        <f>1.6*1.825</f>
        <v>2.92</v>
      </c>
      <c r="E47" s="6" t="s">
        <v>16</v>
      </c>
      <c r="F47" s="5"/>
      <c r="G47" s="6"/>
      <c r="Y47" s="4"/>
      <c r="Z47" s="6"/>
      <c r="AA47" s="6"/>
      <c r="AB47" s="6"/>
      <c r="AC47" s="6"/>
      <c r="AD47" s="5"/>
      <c r="AF47" s="4"/>
      <c r="AG47" s="145" t="s">
        <v>208</v>
      </c>
      <c r="AH47" s="145"/>
      <c r="AI47" s="145"/>
      <c r="AJ47" s="5"/>
      <c r="BH47" s="4"/>
      <c r="BI47" s="14" t="s">
        <v>182</v>
      </c>
      <c r="BJ47" s="6">
        <f>5.25*2</f>
        <v>10.5</v>
      </c>
      <c r="BK47" s="6" t="s">
        <v>10</v>
      </c>
      <c r="BL47" s="5"/>
      <c r="BX47" s="4"/>
      <c r="BY47" s="7" t="s">
        <v>139</v>
      </c>
      <c r="BZ47" s="6">
        <f>SUM(BZ42:BZ45)</f>
        <v>15.307500000000001</v>
      </c>
      <c r="CA47" s="6" t="s">
        <v>16</v>
      </c>
      <c r="CB47" s="5"/>
      <c r="CF47" s="8"/>
      <c r="CG47" s="9"/>
      <c r="CH47" s="9"/>
      <c r="CI47" s="9"/>
      <c r="CJ47" s="10"/>
      <c r="CO47" s="4"/>
      <c r="CP47" s="24" t="s">
        <v>111</v>
      </c>
      <c r="CQ47" s="21"/>
      <c r="CR47" s="21"/>
      <c r="CS47" s="5"/>
    </row>
    <row r="48" spans="2:105" ht="15.75" thickBot="1" x14ac:dyDescent="0.3">
      <c r="B48" s="4"/>
      <c r="C48" s="7" t="s">
        <v>139</v>
      </c>
      <c r="D48" s="6">
        <f>SUM(D41:D47)</f>
        <v>35.120000000000005</v>
      </c>
      <c r="E48" s="6" t="s">
        <v>16</v>
      </c>
      <c r="F48" s="5"/>
      <c r="G48" s="6"/>
      <c r="Y48" s="4"/>
      <c r="Z48" s="6"/>
      <c r="AA48" s="7" t="s">
        <v>154</v>
      </c>
      <c r="AB48" s="6">
        <f>SUM(AB45:AB46)</f>
        <v>0.26195000000000002</v>
      </c>
      <c r="AC48" s="6" t="s">
        <v>21</v>
      </c>
      <c r="AD48" s="5"/>
      <c r="AF48" s="4"/>
      <c r="AG48" s="145"/>
      <c r="AH48" s="145"/>
      <c r="AI48" s="145"/>
      <c r="AJ48" s="5"/>
      <c r="BH48" s="4"/>
      <c r="BI48" s="6"/>
      <c r="BJ48" s="6"/>
      <c r="BK48" s="6"/>
      <c r="BL48" s="5"/>
      <c r="BX48" s="8"/>
      <c r="BY48" s="34"/>
      <c r="BZ48" s="35"/>
      <c r="CA48" s="35"/>
      <c r="CB48" s="10"/>
      <c r="CO48" s="4"/>
      <c r="CP48" s="6"/>
      <c r="CQ48" s="6"/>
      <c r="CR48" s="6"/>
      <c r="CS48" s="5"/>
    </row>
    <row r="49" spans="2:97" ht="15.75" thickBot="1" x14ac:dyDescent="0.3">
      <c r="B49" s="8"/>
      <c r="C49" s="9"/>
      <c r="D49" s="9"/>
      <c r="E49" s="9"/>
      <c r="F49" s="10"/>
      <c r="G49" s="6"/>
      <c r="Y49" s="8"/>
      <c r="Z49" s="9"/>
      <c r="AA49" s="9"/>
      <c r="AB49" s="9"/>
      <c r="AC49" s="9"/>
      <c r="AD49" s="10"/>
      <c r="AF49" s="4"/>
      <c r="AG49" s="6"/>
      <c r="AH49" s="6"/>
      <c r="AI49" s="6"/>
      <c r="AJ49" s="5"/>
      <c r="BH49" s="4"/>
      <c r="BI49" s="7" t="s">
        <v>139</v>
      </c>
      <c r="BJ49" s="6">
        <v>7</v>
      </c>
      <c r="BK49" s="6" t="s">
        <v>10</v>
      </c>
      <c r="BL49" s="5"/>
      <c r="CF49" s="17">
        <v>7</v>
      </c>
      <c r="CG49" s="2"/>
      <c r="CH49" s="2"/>
      <c r="CI49" s="2"/>
      <c r="CJ49" s="3"/>
      <c r="CO49" s="4"/>
      <c r="CP49" s="16" t="s">
        <v>6</v>
      </c>
      <c r="CQ49" s="6">
        <v>1</v>
      </c>
      <c r="CR49" s="6" t="s">
        <v>105</v>
      </c>
      <c r="CS49" s="5"/>
    </row>
    <row r="50" spans="2:97" ht="15.75" customHeight="1" thickBot="1" x14ac:dyDescent="0.3">
      <c r="G50" s="6"/>
      <c r="AF50" s="4"/>
      <c r="AG50" s="14" t="s">
        <v>172</v>
      </c>
      <c r="AH50" s="6">
        <f>3*4.5</f>
        <v>13.5</v>
      </c>
      <c r="AI50" s="6" t="s">
        <v>16</v>
      </c>
      <c r="AJ50" s="5"/>
      <c r="BH50" s="8"/>
      <c r="BI50" s="9"/>
      <c r="BJ50" s="9"/>
      <c r="BK50" s="9"/>
      <c r="BL50" s="10"/>
      <c r="BX50" s="17">
        <v>5</v>
      </c>
      <c r="BY50" s="2"/>
      <c r="BZ50" s="2"/>
      <c r="CA50" s="2"/>
      <c r="CB50" s="3"/>
      <c r="CF50" s="4"/>
      <c r="CG50" s="12" t="s">
        <v>191</v>
      </c>
      <c r="CH50" s="12"/>
      <c r="CI50" s="12"/>
      <c r="CJ50" s="5"/>
      <c r="CO50" s="8"/>
      <c r="CP50" s="9"/>
      <c r="CQ50" s="9"/>
      <c r="CR50" s="9"/>
      <c r="CS50" s="10"/>
    </row>
    <row r="51" spans="2:97" ht="15.75" customHeight="1" thickBot="1" x14ac:dyDescent="0.3">
      <c r="G51" s="6"/>
      <c r="Y51" s="17">
        <v>6</v>
      </c>
      <c r="Z51" s="2"/>
      <c r="AA51" s="2"/>
      <c r="AB51" s="2"/>
      <c r="AC51" s="3"/>
      <c r="AF51" s="8"/>
      <c r="AG51" s="9"/>
      <c r="AH51" s="9"/>
      <c r="AI51" s="9"/>
      <c r="AJ51" s="10"/>
      <c r="BX51" s="4"/>
      <c r="BY51" s="12" t="s">
        <v>73</v>
      </c>
      <c r="BZ51" s="12"/>
      <c r="CA51" s="6"/>
      <c r="CB51" s="5"/>
      <c r="CF51" s="4"/>
      <c r="CG51" s="6"/>
      <c r="CH51" s="6"/>
      <c r="CI51" s="6"/>
      <c r="CJ51" s="5"/>
    </row>
    <row r="52" spans="2:97" ht="15.75" customHeight="1" x14ac:dyDescent="0.25">
      <c r="G52" s="6"/>
      <c r="Y52" s="4"/>
      <c r="Z52" s="12" t="s">
        <v>36</v>
      </c>
      <c r="AA52" s="12"/>
      <c r="AB52" s="6"/>
      <c r="AC52" s="5"/>
      <c r="BX52" s="4"/>
      <c r="BY52" s="6"/>
      <c r="BZ52" s="6"/>
      <c r="CA52" s="6"/>
      <c r="CB52" s="5"/>
      <c r="CF52" s="4"/>
      <c r="CG52" s="16" t="s">
        <v>94</v>
      </c>
      <c r="CH52" s="6">
        <v>8</v>
      </c>
      <c r="CI52" s="6" t="s">
        <v>10</v>
      </c>
      <c r="CJ52" s="5"/>
      <c r="CO52" s="17">
        <v>8</v>
      </c>
      <c r="CP52" s="2"/>
      <c r="CQ52" s="2"/>
      <c r="CR52" s="2"/>
      <c r="CS52" s="3"/>
    </row>
    <row r="53" spans="2:97" x14ac:dyDescent="0.25">
      <c r="G53" s="6"/>
      <c r="Y53" s="4"/>
      <c r="Z53" s="6"/>
      <c r="AA53" s="6"/>
      <c r="AB53" s="6"/>
      <c r="AC53" s="5"/>
      <c r="BX53" s="4"/>
      <c r="BY53" s="14" t="s">
        <v>175</v>
      </c>
      <c r="BZ53" s="6">
        <f>BJ40</f>
        <v>5</v>
      </c>
      <c r="CA53" s="6" t="s">
        <v>10</v>
      </c>
      <c r="CB53" s="5"/>
      <c r="CF53" s="4"/>
      <c r="CG53" s="16" t="s">
        <v>193</v>
      </c>
      <c r="CH53" s="6">
        <v>30</v>
      </c>
      <c r="CI53" s="6" t="s">
        <v>10</v>
      </c>
      <c r="CJ53" s="5"/>
      <c r="CO53" s="4"/>
      <c r="CP53" s="145" t="s">
        <v>112</v>
      </c>
      <c r="CQ53" s="145"/>
      <c r="CR53" s="145"/>
      <c r="CS53" s="5"/>
    </row>
    <row r="54" spans="2:97" ht="15.75" thickBot="1" x14ac:dyDescent="0.3">
      <c r="G54" s="6"/>
      <c r="Y54" s="4"/>
      <c r="Z54" s="16" t="s">
        <v>169</v>
      </c>
      <c r="AA54" s="6">
        <f>0.5*2.16+2*0.5+0.5*0.8</f>
        <v>2.48</v>
      </c>
      <c r="AB54" s="6" t="s">
        <v>16</v>
      </c>
      <c r="AC54" s="5"/>
      <c r="BX54" s="8"/>
      <c r="BY54" s="9"/>
      <c r="BZ54" s="9"/>
      <c r="CA54" s="9"/>
      <c r="CB54" s="10"/>
      <c r="CF54" s="4"/>
      <c r="CG54" s="40" t="s">
        <v>96</v>
      </c>
      <c r="CH54">
        <v>4</v>
      </c>
      <c r="CI54" t="s">
        <v>65</v>
      </c>
      <c r="CJ54" s="5"/>
      <c r="CO54" s="4"/>
      <c r="CP54" s="145"/>
      <c r="CQ54" s="145"/>
      <c r="CR54" s="145"/>
      <c r="CS54" s="5"/>
    </row>
    <row r="55" spans="2:97" ht="15" customHeight="1" thickBot="1" x14ac:dyDescent="0.3">
      <c r="G55" s="6"/>
      <c r="Y55" s="4"/>
      <c r="Z55" s="16" t="s">
        <v>170</v>
      </c>
      <c r="AA55" s="6">
        <v>0.12</v>
      </c>
      <c r="AB55" s="6" t="s">
        <v>134</v>
      </c>
      <c r="AC55" s="5"/>
      <c r="CF55" s="4"/>
      <c r="CG55" s="40" t="s">
        <v>97</v>
      </c>
      <c r="CH55">
        <v>1</v>
      </c>
      <c r="CI55" t="s">
        <v>65</v>
      </c>
      <c r="CJ55" s="5"/>
      <c r="CO55" s="4"/>
      <c r="CP55" s="6"/>
      <c r="CQ55" s="6"/>
      <c r="CR55" s="6"/>
      <c r="CS55" s="5"/>
    </row>
    <row r="56" spans="2:97" ht="15.75" thickBot="1" x14ac:dyDescent="0.3">
      <c r="G56" s="6"/>
      <c r="Y56" s="4"/>
      <c r="Z56" s="6"/>
      <c r="AA56" s="6"/>
      <c r="AB56" s="6"/>
      <c r="AC56" s="5"/>
      <c r="BX56" s="17">
        <v>6</v>
      </c>
      <c r="BY56" s="2"/>
      <c r="BZ56" s="2"/>
      <c r="CA56" s="2"/>
      <c r="CB56" s="3"/>
      <c r="CF56" s="8"/>
      <c r="CG56" s="9"/>
      <c r="CH56" s="9"/>
      <c r="CI56" s="9"/>
      <c r="CJ56" s="10"/>
      <c r="CO56" s="4"/>
      <c r="CP56" s="16" t="s">
        <v>6</v>
      </c>
      <c r="CQ56" s="6">
        <v>1</v>
      </c>
      <c r="CR56" s="6" t="s">
        <v>105</v>
      </c>
      <c r="CS56" s="5"/>
    </row>
    <row r="57" spans="2:97" ht="15.75" thickBot="1" x14ac:dyDescent="0.3">
      <c r="G57" s="6"/>
      <c r="Y57" s="4"/>
      <c r="Z57" s="7" t="s">
        <v>154</v>
      </c>
      <c r="AA57" s="6">
        <f>AA54*AA55</f>
        <v>0.29759999999999998</v>
      </c>
      <c r="AB57" s="6" t="s">
        <v>21</v>
      </c>
      <c r="AC57" s="5"/>
      <c r="BX57" s="4"/>
      <c r="BY57" s="24" t="s">
        <v>74</v>
      </c>
      <c r="BZ57" s="21"/>
      <c r="CA57" s="21"/>
      <c r="CB57" s="33"/>
      <c r="CO57" s="8"/>
      <c r="CP57" s="9"/>
      <c r="CQ57" s="9"/>
      <c r="CR57" s="9"/>
      <c r="CS57" s="10"/>
    </row>
    <row r="58" spans="2:97" ht="15.75" thickBot="1" x14ac:dyDescent="0.3">
      <c r="G58" s="6"/>
      <c r="Y58" s="8"/>
      <c r="Z58" s="9"/>
      <c r="AA58" s="9"/>
      <c r="AB58" s="9"/>
      <c r="AC58" s="10"/>
      <c r="BX58" s="4"/>
      <c r="BY58" s="6"/>
      <c r="BZ58" s="6"/>
      <c r="CA58" s="6"/>
      <c r="CB58" s="5"/>
      <c r="CF58" s="17">
        <v>8</v>
      </c>
      <c r="CG58" s="2"/>
      <c r="CH58" s="2"/>
      <c r="CI58" s="2"/>
      <c r="CJ58" s="3"/>
    </row>
    <row r="59" spans="2:97" ht="15.75" thickBot="1" x14ac:dyDescent="0.3">
      <c r="G59" s="6"/>
      <c r="BX59" s="4"/>
      <c r="BY59" s="16" t="s">
        <v>136</v>
      </c>
      <c r="BZ59" s="6">
        <v>29.4</v>
      </c>
      <c r="CA59" s="6" t="s">
        <v>10</v>
      </c>
      <c r="CB59" s="5"/>
      <c r="CF59" s="4"/>
      <c r="CG59" s="12" t="s">
        <v>98</v>
      </c>
      <c r="CH59" s="12"/>
      <c r="CI59" s="12"/>
      <c r="CJ59" s="5"/>
      <c r="CO59" s="17">
        <v>9</v>
      </c>
      <c r="CP59" s="2"/>
      <c r="CQ59" s="2"/>
      <c r="CR59" s="2"/>
      <c r="CS59" s="3"/>
    </row>
    <row r="60" spans="2:97" ht="15.75" customHeight="1" x14ac:dyDescent="0.25">
      <c r="G60" s="6"/>
      <c r="Y60" s="17">
        <v>7</v>
      </c>
      <c r="Z60" s="2"/>
      <c r="AA60" s="2"/>
      <c r="AB60" s="2"/>
      <c r="AC60" s="3"/>
      <c r="BX60" s="4"/>
      <c r="BY60" s="16"/>
      <c r="BZ60" s="6"/>
      <c r="CA60" s="6"/>
      <c r="CB60" s="5"/>
      <c r="CF60" s="4"/>
      <c r="CG60" s="6"/>
      <c r="CH60" s="6"/>
      <c r="CI60" s="6"/>
      <c r="CJ60" s="5"/>
      <c r="CO60" s="4"/>
      <c r="CP60" s="24" t="s">
        <v>113</v>
      </c>
      <c r="CQ60" s="21"/>
      <c r="CR60" s="21"/>
      <c r="CS60" s="5"/>
    </row>
    <row r="61" spans="2:97" x14ac:dyDescent="0.25">
      <c r="G61" s="6"/>
      <c r="Y61" s="4"/>
      <c r="Z61" s="12" t="s">
        <v>37</v>
      </c>
      <c r="AA61" s="12"/>
      <c r="AB61" s="12"/>
      <c r="AC61" s="5"/>
      <c r="BX61" s="4"/>
      <c r="BY61" s="7" t="s">
        <v>139</v>
      </c>
      <c r="BZ61" s="6">
        <f>(0.2*BZ59)</f>
        <v>5.88</v>
      </c>
      <c r="CA61" s="6" t="s">
        <v>16</v>
      </c>
      <c r="CB61" s="5"/>
      <c r="CF61" s="4"/>
      <c r="CG61" s="16" t="s">
        <v>6</v>
      </c>
      <c r="CH61" s="6">
        <v>1</v>
      </c>
      <c r="CI61" s="6" t="s">
        <v>67</v>
      </c>
      <c r="CJ61" s="5"/>
      <c r="CO61" s="4"/>
      <c r="CP61" s="6"/>
      <c r="CQ61" s="6"/>
      <c r="CR61" s="6"/>
      <c r="CS61" s="5"/>
    </row>
    <row r="62" spans="2:97" ht="15.75" thickBot="1" x14ac:dyDescent="0.3">
      <c r="G62" s="6"/>
      <c r="Y62" s="4"/>
      <c r="Z62" s="6"/>
      <c r="AA62" s="6"/>
      <c r="AB62" s="6"/>
      <c r="AC62" s="5"/>
      <c r="BX62" s="8"/>
      <c r="BY62" s="34"/>
      <c r="BZ62" s="35"/>
      <c r="CA62" s="35"/>
      <c r="CB62" s="10"/>
      <c r="CF62" s="8"/>
      <c r="CG62" s="9"/>
      <c r="CH62" s="9"/>
      <c r="CI62" s="9"/>
      <c r="CJ62" s="10"/>
      <c r="CO62" s="4"/>
      <c r="CP62" s="16" t="s">
        <v>6</v>
      </c>
      <c r="CQ62" s="6">
        <v>3</v>
      </c>
      <c r="CR62" s="6" t="s">
        <v>65</v>
      </c>
      <c r="CS62" s="5"/>
    </row>
    <row r="63" spans="2:97" ht="15.75" customHeight="1" thickBot="1" x14ac:dyDescent="0.3">
      <c r="G63" s="6"/>
      <c r="Y63" s="4"/>
      <c r="Z63" s="16" t="s">
        <v>169</v>
      </c>
      <c r="AA63" s="6">
        <f>0.825*3</f>
        <v>2.4749999999999996</v>
      </c>
      <c r="AB63" s="6" t="s">
        <v>16</v>
      </c>
      <c r="AC63" s="5"/>
      <c r="BX63" s="6"/>
      <c r="BY63" s="14"/>
      <c r="BZ63" s="13"/>
      <c r="CA63" s="13"/>
      <c r="CB63" s="6"/>
      <c r="CO63" s="8"/>
      <c r="CP63" s="9"/>
      <c r="CQ63" s="9"/>
      <c r="CR63" s="9"/>
      <c r="CS63" s="10"/>
    </row>
    <row r="64" spans="2:97" ht="15.75" thickBot="1" x14ac:dyDescent="0.3">
      <c r="Y64" s="4"/>
      <c r="Z64" s="16" t="s">
        <v>170</v>
      </c>
      <c r="AA64" s="6">
        <v>0.12</v>
      </c>
      <c r="AB64" s="6" t="s">
        <v>134</v>
      </c>
      <c r="AC64" s="5"/>
      <c r="BX64" s="17">
        <v>7</v>
      </c>
      <c r="BY64" s="2"/>
      <c r="BZ64" s="2"/>
      <c r="CA64" s="2"/>
      <c r="CB64" s="2"/>
      <c r="CC64" s="3"/>
      <c r="CF64" s="17">
        <v>9</v>
      </c>
      <c r="CG64" s="2"/>
      <c r="CH64" s="2"/>
      <c r="CI64" s="2"/>
      <c r="CJ64" s="2"/>
      <c r="CK64" s="3"/>
    </row>
    <row r="65" spans="25:97" x14ac:dyDescent="0.25">
      <c r="Y65" s="4"/>
      <c r="Z65" s="6"/>
      <c r="AA65" s="6"/>
      <c r="AB65" s="6"/>
      <c r="AC65" s="5"/>
      <c r="BX65" s="4"/>
      <c r="BY65" s="24" t="s">
        <v>75</v>
      </c>
      <c r="BZ65" s="21"/>
      <c r="CA65" s="21"/>
      <c r="CB65" s="12"/>
      <c r="CC65" s="33"/>
      <c r="CF65" s="4"/>
      <c r="CG65" s="145" t="s">
        <v>100</v>
      </c>
      <c r="CH65" s="145"/>
      <c r="CI65" s="145"/>
      <c r="CJ65" s="145"/>
      <c r="CK65" s="5"/>
      <c r="CO65" s="17">
        <v>10</v>
      </c>
      <c r="CP65" s="2"/>
      <c r="CQ65" s="2"/>
      <c r="CR65" s="2"/>
      <c r="CS65" s="3"/>
    </row>
    <row r="66" spans="25:97" ht="15" customHeight="1" x14ac:dyDescent="0.25">
      <c r="Y66" s="4"/>
      <c r="Z66" s="7" t="s">
        <v>154</v>
      </c>
      <c r="AA66" s="6">
        <f>AA63*AA64</f>
        <v>0.29699999999999993</v>
      </c>
      <c r="AB66" s="6" t="s">
        <v>21</v>
      </c>
      <c r="AC66" s="5"/>
      <c r="BX66" s="4"/>
      <c r="BY66" s="6"/>
      <c r="BZ66" s="6"/>
      <c r="CA66" s="6"/>
      <c r="CB66" s="6"/>
      <c r="CC66" s="5"/>
      <c r="CF66" s="4"/>
      <c r="CG66" s="145"/>
      <c r="CH66" s="145"/>
      <c r="CI66" s="145"/>
      <c r="CJ66" s="145"/>
      <c r="CK66" s="5"/>
      <c r="CO66" s="4"/>
      <c r="CP66" s="24" t="s">
        <v>114</v>
      </c>
      <c r="CQ66" s="21"/>
      <c r="CR66" s="21"/>
      <c r="CS66" s="5"/>
    </row>
    <row r="67" spans="25:97" ht="15.75" thickBot="1" x14ac:dyDescent="0.3">
      <c r="Y67" s="8"/>
      <c r="Z67" s="9"/>
      <c r="AA67" s="9"/>
      <c r="AB67" s="9"/>
      <c r="AC67" s="10"/>
      <c r="BX67" s="4"/>
      <c r="BY67" s="16" t="s">
        <v>188</v>
      </c>
      <c r="BZ67" s="6">
        <f>((0.7*2.45)*1)+((0.8*2.45)*4)</f>
        <v>9.5550000000000015</v>
      </c>
      <c r="CA67" s="6" t="s">
        <v>16</v>
      </c>
      <c r="CB67" s="6"/>
      <c r="CC67" s="5"/>
      <c r="CF67" s="4"/>
      <c r="CG67" s="6"/>
      <c r="CH67" s="6"/>
      <c r="CI67" s="6"/>
      <c r="CJ67" s="6"/>
      <c r="CK67" s="5"/>
      <c r="CO67" s="4"/>
      <c r="CP67" s="6"/>
      <c r="CQ67" s="6"/>
      <c r="CR67" s="6"/>
      <c r="CS67" s="5"/>
    </row>
    <row r="68" spans="25:97" ht="15.75" thickBot="1" x14ac:dyDescent="0.3">
      <c r="BX68" s="4"/>
      <c r="BY68" s="16" t="s">
        <v>189</v>
      </c>
      <c r="BZ68" s="6">
        <f>44.4*0.2</f>
        <v>8.8800000000000008</v>
      </c>
      <c r="CA68" s="6" t="s">
        <v>16</v>
      </c>
      <c r="CB68" s="6"/>
      <c r="CC68" s="5"/>
      <c r="CF68" s="4"/>
      <c r="CG68" s="16" t="s">
        <v>6</v>
      </c>
      <c r="CH68" s="6">
        <v>1</v>
      </c>
      <c r="CI68" s="6" t="s">
        <v>67</v>
      </c>
      <c r="CJ68" s="6"/>
      <c r="CK68" s="5"/>
      <c r="CO68" s="4"/>
      <c r="CP68" s="16" t="s">
        <v>6</v>
      </c>
      <c r="CQ68" s="6">
        <v>2</v>
      </c>
      <c r="CR68" s="6" t="s">
        <v>65</v>
      </c>
      <c r="CS68" s="5"/>
    </row>
    <row r="69" spans="25:97" ht="15.75" thickBot="1" x14ac:dyDescent="0.3">
      <c r="Y69" s="17">
        <v>8</v>
      </c>
      <c r="Z69" s="2"/>
      <c r="AA69" s="2"/>
      <c r="AB69" s="2"/>
      <c r="AC69" s="3"/>
      <c r="BX69" s="4"/>
      <c r="BY69" s="16"/>
      <c r="BZ69" s="6"/>
      <c r="CA69" s="6"/>
      <c r="CB69" s="6"/>
      <c r="CC69" s="5"/>
      <c r="CF69" s="8"/>
      <c r="CG69" s="9"/>
      <c r="CH69" s="9"/>
      <c r="CI69" s="9"/>
      <c r="CJ69" s="9"/>
      <c r="CK69" s="10"/>
      <c r="CO69" s="8"/>
      <c r="CP69" s="9"/>
      <c r="CQ69" s="9"/>
      <c r="CR69" s="9"/>
      <c r="CS69" s="10"/>
    </row>
    <row r="70" spans="25:97" ht="15.75" thickBot="1" x14ac:dyDescent="0.3">
      <c r="Y70" s="4"/>
      <c r="Z70" s="12" t="s">
        <v>38</v>
      </c>
      <c r="AA70" s="12"/>
      <c r="AB70" s="6"/>
      <c r="AC70" s="5"/>
      <c r="BX70" s="4"/>
      <c r="BY70" s="7" t="s">
        <v>139</v>
      </c>
      <c r="BZ70" s="6">
        <f>SUM(BZ67:BZ68)</f>
        <v>18.435000000000002</v>
      </c>
      <c r="CA70" s="6" t="s">
        <v>16</v>
      </c>
      <c r="CB70" s="6"/>
      <c r="CC70" s="5"/>
    </row>
    <row r="71" spans="25:97" ht="15.75" thickBot="1" x14ac:dyDescent="0.3">
      <c r="Y71" s="4"/>
      <c r="Z71" s="6"/>
      <c r="AA71" s="6"/>
      <c r="AB71" s="6"/>
      <c r="AC71" s="5"/>
      <c r="BX71" s="8"/>
      <c r="BY71" s="34"/>
      <c r="BZ71" s="35"/>
      <c r="CA71" s="35"/>
      <c r="CB71" s="9"/>
      <c r="CC71" s="10"/>
      <c r="CO71" s="17">
        <v>11</v>
      </c>
      <c r="CP71" s="2"/>
      <c r="CQ71" s="2"/>
      <c r="CR71" s="2"/>
      <c r="CS71" s="3"/>
    </row>
    <row r="72" spans="25:97" x14ac:dyDescent="0.25">
      <c r="Y72" s="4"/>
      <c r="Z72" s="16" t="s">
        <v>169</v>
      </c>
      <c r="AA72" s="6">
        <f>1.875*0.6</f>
        <v>1.125</v>
      </c>
      <c r="AB72" s="6" t="s">
        <v>16</v>
      </c>
      <c r="AC72" s="5"/>
      <c r="CO72" s="4"/>
      <c r="CP72" s="24" t="s">
        <v>115</v>
      </c>
      <c r="CQ72" s="21"/>
      <c r="CR72" s="21"/>
      <c r="CS72" s="5"/>
    </row>
    <row r="73" spans="25:97" x14ac:dyDescent="0.25">
      <c r="Y73" s="4"/>
      <c r="Z73" s="16" t="s">
        <v>170</v>
      </c>
      <c r="AA73" s="6">
        <v>0.12</v>
      </c>
      <c r="AB73" s="6" t="s">
        <v>134</v>
      </c>
      <c r="AC73" s="5"/>
      <c r="CO73" s="4"/>
      <c r="CP73" s="6"/>
      <c r="CQ73" s="6"/>
      <c r="CR73" s="6"/>
      <c r="CS73" s="5"/>
    </row>
    <row r="74" spans="25:97" x14ac:dyDescent="0.25">
      <c r="Y74" s="4"/>
      <c r="Z74" s="6"/>
      <c r="AA74" s="6"/>
      <c r="AB74" s="6"/>
      <c r="AC74" s="5"/>
      <c r="CO74" s="4"/>
      <c r="CP74" s="16" t="s">
        <v>6</v>
      </c>
      <c r="CQ74" s="6">
        <v>5</v>
      </c>
      <c r="CR74" s="6" t="s">
        <v>65</v>
      </c>
      <c r="CS74" s="5"/>
    </row>
    <row r="75" spans="25:97" ht="15.75" thickBot="1" x14ac:dyDescent="0.3">
      <c r="Y75" s="4"/>
      <c r="Z75" s="7" t="s">
        <v>154</v>
      </c>
      <c r="AA75" s="6">
        <f>AA72*AA73</f>
        <v>0.13500000000000001</v>
      </c>
      <c r="AB75" s="6" t="s">
        <v>21</v>
      </c>
      <c r="AC75" s="5"/>
      <c r="CO75" s="8"/>
      <c r="CP75" s="9"/>
      <c r="CQ75" s="9"/>
      <c r="CR75" s="9"/>
      <c r="CS75" s="10"/>
    </row>
    <row r="76" spans="25:97" ht="15.75" thickBot="1" x14ac:dyDescent="0.3">
      <c r="Y76" s="8"/>
      <c r="Z76" s="9"/>
      <c r="AA76" s="9"/>
      <c r="AB76" s="9"/>
      <c r="AC76" s="10"/>
    </row>
    <row r="77" spans="25:97" x14ac:dyDescent="0.25">
      <c r="CO77" s="17">
        <v>12</v>
      </c>
      <c r="CP77" s="2"/>
      <c r="CQ77" s="2"/>
      <c r="CR77" s="2"/>
      <c r="CS77" s="3"/>
    </row>
    <row r="78" spans="25:97" ht="15.75" customHeight="1" x14ac:dyDescent="0.25">
      <c r="CO78" s="4"/>
      <c r="CP78" s="145" t="s">
        <v>116</v>
      </c>
      <c r="CQ78" s="145"/>
      <c r="CR78" s="145"/>
      <c r="CS78" s="5"/>
    </row>
    <row r="79" spans="25:97" x14ac:dyDescent="0.25">
      <c r="CO79" s="4"/>
      <c r="CP79" s="145"/>
      <c r="CQ79" s="145"/>
      <c r="CR79" s="145"/>
      <c r="CS79" s="5"/>
    </row>
    <row r="80" spans="25:97" ht="15" customHeight="1" x14ac:dyDescent="0.25">
      <c r="CO80" s="4"/>
      <c r="CP80" s="6"/>
      <c r="CQ80" s="6"/>
      <c r="CR80" s="6"/>
      <c r="CS80" s="5"/>
    </row>
    <row r="81" spans="93:97" x14ac:dyDescent="0.25">
      <c r="CO81" s="4"/>
      <c r="CP81" s="16" t="s">
        <v>6</v>
      </c>
      <c r="CQ81" s="6">
        <v>1</v>
      </c>
      <c r="CR81" s="6" t="s">
        <v>119</v>
      </c>
      <c r="CS81" s="5"/>
    </row>
    <row r="82" spans="93:97" ht="15.75" thickBot="1" x14ac:dyDescent="0.3">
      <c r="CO82" s="8"/>
      <c r="CP82" s="9"/>
      <c r="CQ82" s="9"/>
      <c r="CR82" s="9"/>
      <c r="CS82" s="10"/>
    </row>
    <row r="83" spans="93:97" ht="15.75" thickBot="1" x14ac:dyDescent="0.3"/>
    <row r="84" spans="93:97" x14ac:dyDescent="0.25">
      <c r="CO84" s="17">
        <v>13</v>
      </c>
      <c r="CP84" s="2"/>
      <c r="CQ84" s="2"/>
      <c r="CR84" s="2"/>
      <c r="CS84" s="3"/>
    </row>
    <row r="85" spans="93:97" ht="15" customHeight="1" x14ac:dyDescent="0.25">
      <c r="CO85" s="4"/>
      <c r="CP85" s="145" t="s">
        <v>118</v>
      </c>
      <c r="CQ85" s="145"/>
      <c r="CR85" s="25"/>
      <c r="CS85" s="5"/>
    </row>
    <row r="86" spans="93:97" x14ac:dyDescent="0.25">
      <c r="CO86" s="4"/>
      <c r="CP86" s="145"/>
      <c r="CQ86" s="145"/>
      <c r="CR86" s="25"/>
      <c r="CS86" s="5"/>
    </row>
    <row r="87" spans="93:97" ht="15" customHeight="1" x14ac:dyDescent="0.25">
      <c r="CO87" s="4"/>
      <c r="CP87" s="6"/>
      <c r="CQ87" s="6"/>
      <c r="CR87" s="6"/>
      <c r="CS87" s="5"/>
    </row>
    <row r="88" spans="93:97" x14ac:dyDescent="0.25">
      <c r="CO88" s="4"/>
      <c r="CP88" s="16" t="s">
        <v>6</v>
      </c>
      <c r="CQ88" s="6">
        <v>1</v>
      </c>
      <c r="CR88" s="6" t="s">
        <v>67</v>
      </c>
      <c r="CS88" s="5"/>
    </row>
    <row r="89" spans="93:97" ht="15" customHeight="1" thickBot="1" x14ac:dyDescent="0.3">
      <c r="CO89" s="8"/>
      <c r="CP89" s="9"/>
      <c r="CQ89" s="9"/>
      <c r="CR89" s="9"/>
      <c r="CS89" s="10"/>
    </row>
    <row r="90" spans="93:97" ht="15.75" thickBot="1" x14ac:dyDescent="0.3"/>
    <row r="91" spans="93:97" ht="15" customHeight="1" x14ac:dyDescent="0.25">
      <c r="CO91" s="17">
        <v>14</v>
      </c>
      <c r="CP91" s="2"/>
      <c r="CQ91" s="2"/>
      <c r="CR91" s="2"/>
      <c r="CS91" s="3"/>
    </row>
    <row r="92" spans="93:97" x14ac:dyDescent="0.25">
      <c r="CO92" s="4"/>
      <c r="CP92" s="145" t="s">
        <v>120</v>
      </c>
      <c r="CQ92" s="145"/>
      <c r="CR92" s="25"/>
      <c r="CS92" s="5"/>
    </row>
    <row r="93" spans="93:97" ht="15" customHeight="1" x14ac:dyDescent="0.25">
      <c r="CO93" s="4"/>
      <c r="CP93" s="145"/>
      <c r="CQ93" s="145"/>
      <c r="CR93" s="25"/>
      <c r="CS93" s="5"/>
    </row>
    <row r="94" spans="93:97" x14ac:dyDescent="0.25">
      <c r="CO94" s="4"/>
      <c r="CP94" s="6"/>
      <c r="CQ94" s="6"/>
      <c r="CR94" s="6"/>
      <c r="CS94" s="5"/>
    </row>
    <row r="95" spans="93:97" ht="15" customHeight="1" x14ac:dyDescent="0.25">
      <c r="CO95" s="4"/>
      <c r="CP95" s="16" t="s">
        <v>6</v>
      </c>
      <c r="CQ95" s="6">
        <v>1</v>
      </c>
      <c r="CR95" s="6" t="s">
        <v>67</v>
      </c>
      <c r="CS95" s="5"/>
    </row>
    <row r="96" spans="93:97" ht="15.75" thickBot="1" x14ac:dyDescent="0.3">
      <c r="CO96" s="8"/>
      <c r="CP96" s="9"/>
      <c r="CQ96" s="9"/>
      <c r="CR96" s="9"/>
      <c r="CS96" s="10"/>
    </row>
    <row r="97" ht="15" customHeight="1" x14ac:dyDescent="0.25"/>
    <row r="106" ht="15" customHeight="1" x14ac:dyDescent="0.25"/>
    <row r="108" ht="15" customHeight="1" x14ac:dyDescent="0.25"/>
    <row r="110" ht="15" customHeight="1" x14ac:dyDescent="0.25"/>
  </sheetData>
  <mergeCells count="42">
    <mergeCell ref="DE5:DH6"/>
    <mergeCell ref="DE12:DH13"/>
    <mergeCell ref="BP18:BR19"/>
    <mergeCell ref="CP92:CQ93"/>
    <mergeCell ref="CP53:CR54"/>
    <mergeCell ref="CP78:CR79"/>
    <mergeCell ref="CP85:CQ86"/>
    <mergeCell ref="CW5:CZ6"/>
    <mergeCell ref="CW12:CZ13"/>
    <mergeCell ref="CW33:CZ34"/>
    <mergeCell ref="CG7:CI8"/>
    <mergeCell ref="CG9:CI10"/>
    <mergeCell ref="CG65:CJ66"/>
    <mergeCell ref="CP7:CR8"/>
    <mergeCell ref="CP26:CR27"/>
    <mergeCell ref="CP33:CR34"/>
    <mergeCell ref="CW26:CY27"/>
    <mergeCell ref="AG19:AI21"/>
    <mergeCell ref="CP40:CR41"/>
    <mergeCell ref="BP36:BQ37"/>
    <mergeCell ref="BP39:BQ40"/>
    <mergeCell ref="CW19:CZ20"/>
    <mergeCell ref="BP24:BR25"/>
    <mergeCell ref="BP26:BR27"/>
    <mergeCell ref="BP20:BR21"/>
    <mergeCell ref="BP22:BR23"/>
    <mergeCell ref="BP9:BQ10"/>
    <mergeCell ref="BP11:BQ12"/>
    <mergeCell ref="BY16:CA17"/>
    <mergeCell ref="AU5:AW6"/>
    <mergeCell ref="AU37:AW39"/>
    <mergeCell ref="BI5:BK7"/>
    <mergeCell ref="BY28:CA29"/>
    <mergeCell ref="BP28:BR29"/>
    <mergeCell ref="AG47:AI48"/>
    <mergeCell ref="AN5:AP6"/>
    <mergeCell ref="AN18:AP19"/>
    <mergeCell ref="AN25:AP26"/>
    <mergeCell ref="BI25:BK26"/>
    <mergeCell ref="AG5:AI6"/>
    <mergeCell ref="AG12:AI13"/>
    <mergeCell ref="AG32:AI3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209"/>
  <sheetViews>
    <sheetView zoomScaleNormal="100" zoomScaleSheetLayoutView="115" workbookViewId="0">
      <selection activeCell="F10" sqref="F10"/>
    </sheetView>
  </sheetViews>
  <sheetFormatPr defaultRowHeight="12.75" x14ac:dyDescent="0.2"/>
  <cols>
    <col min="1" max="1" width="1" style="44" customWidth="1"/>
    <col min="2" max="2" width="3.5703125" style="44" customWidth="1"/>
    <col min="3" max="3" width="52.140625" style="44" customWidth="1"/>
    <col min="4" max="4" width="5.140625" style="44" customWidth="1"/>
    <col min="5" max="5" width="10.42578125" style="93" customWidth="1"/>
    <col min="6" max="6" width="13" style="46" customWidth="1"/>
    <col min="7" max="7" width="12.85546875" style="46" customWidth="1"/>
    <col min="8" max="8" width="14.28515625" style="44" customWidth="1"/>
    <col min="9" max="9" width="13.42578125" style="44" customWidth="1"/>
    <col min="10" max="16384" width="9.140625" style="44"/>
  </cols>
  <sheetData>
    <row r="1" spans="2:9" ht="18" x14ac:dyDescent="0.25">
      <c r="B1" s="42" t="s">
        <v>0</v>
      </c>
      <c r="C1" s="43"/>
    </row>
    <row r="2" spans="2:9" ht="18" x14ac:dyDescent="0.25">
      <c r="B2" s="42" t="s">
        <v>194</v>
      </c>
      <c r="C2" s="43"/>
    </row>
    <row r="3" spans="2:9" ht="18" x14ac:dyDescent="0.25">
      <c r="B3" s="42" t="s">
        <v>195</v>
      </c>
      <c r="C3" s="43"/>
    </row>
    <row r="4" spans="2:9" ht="18.75" x14ac:dyDescent="0.3">
      <c r="C4" s="47">
        <f>G208</f>
        <v>4130118.2750011771</v>
      </c>
      <c r="E4" s="122"/>
      <c r="F4" s="48"/>
      <c r="G4" s="49" t="s">
        <v>272</v>
      </c>
      <c r="H4" s="144" t="s">
        <v>291</v>
      </c>
      <c r="I4" s="44" t="s">
        <v>196</v>
      </c>
    </row>
    <row r="5" spans="2:9" x14ac:dyDescent="0.2">
      <c r="B5" s="147" t="s">
        <v>1</v>
      </c>
      <c r="C5" s="147" t="s">
        <v>2</v>
      </c>
      <c r="D5" s="147" t="s">
        <v>3</v>
      </c>
      <c r="E5" s="50" t="s">
        <v>4</v>
      </c>
      <c r="F5" s="51" t="s">
        <v>5</v>
      </c>
      <c r="G5" s="128" t="s">
        <v>6</v>
      </c>
    </row>
    <row r="6" spans="2:9" ht="13.5" thickBot="1" x14ac:dyDescent="0.25">
      <c r="B6" s="148"/>
      <c r="C6" s="148"/>
      <c r="D6" s="148"/>
      <c r="E6" s="52" t="s">
        <v>292</v>
      </c>
      <c r="F6" s="52" t="s">
        <v>197</v>
      </c>
      <c r="G6" s="52" t="s">
        <v>292</v>
      </c>
    </row>
    <row r="7" spans="2:9" ht="16.5" thickTop="1" x14ac:dyDescent="0.2">
      <c r="B7" s="53"/>
      <c r="C7" s="54"/>
      <c r="D7" s="55"/>
      <c r="E7" s="123"/>
      <c r="F7" s="56"/>
      <c r="G7" s="56"/>
    </row>
    <row r="8" spans="2:9" x14ac:dyDescent="0.2">
      <c r="B8" s="57" t="s">
        <v>7</v>
      </c>
      <c r="C8" s="58" t="s">
        <v>8</v>
      </c>
      <c r="D8" s="59"/>
      <c r="E8" s="124"/>
      <c r="F8" s="60"/>
      <c r="G8" s="60"/>
    </row>
    <row r="9" spans="2:9" x14ac:dyDescent="0.2">
      <c r="B9" s="61">
        <v>1</v>
      </c>
      <c r="C9" s="62" t="s">
        <v>9</v>
      </c>
      <c r="D9" s="63" t="s">
        <v>10</v>
      </c>
      <c r="E9" s="64">
        <f>'Htgan Volume'!D10</f>
        <v>34</v>
      </c>
      <c r="F9" s="137">
        <v>0</v>
      </c>
      <c r="G9" s="65">
        <f t="shared" ref="G9:G14" si="0">F9*E9</f>
        <v>0</v>
      </c>
    </row>
    <row r="10" spans="2:9" x14ac:dyDescent="0.2">
      <c r="B10" s="62">
        <v>2</v>
      </c>
      <c r="C10" s="62" t="s">
        <v>11</v>
      </c>
      <c r="D10" s="63" t="s">
        <v>12</v>
      </c>
      <c r="E10" s="64">
        <f>'Htgan Volume'!D16</f>
        <v>1</v>
      </c>
      <c r="F10" s="137">
        <v>600000</v>
      </c>
      <c r="G10" s="65">
        <f t="shared" si="0"/>
        <v>600000</v>
      </c>
    </row>
    <row r="11" spans="2:9" x14ac:dyDescent="0.2">
      <c r="B11" s="62">
        <v>3</v>
      </c>
      <c r="C11" s="62" t="s">
        <v>13</v>
      </c>
      <c r="D11" s="63" t="s">
        <v>12</v>
      </c>
      <c r="E11" s="64">
        <f>'Htgan Volume'!D22</f>
        <v>1</v>
      </c>
      <c r="F11" s="137">
        <v>850000</v>
      </c>
      <c r="G11" s="65">
        <f t="shared" si="0"/>
        <v>850000</v>
      </c>
    </row>
    <row r="12" spans="2:9" x14ac:dyDescent="0.2">
      <c r="B12" s="62">
        <v>4</v>
      </c>
      <c r="C12" s="62" t="s">
        <v>14</v>
      </c>
      <c r="D12" s="63" t="s">
        <v>12</v>
      </c>
      <c r="E12" s="64">
        <f>'Htgan Volume'!D28</f>
        <v>1</v>
      </c>
      <c r="F12" s="137">
        <v>150000</v>
      </c>
      <c r="G12" s="65">
        <f t="shared" si="0"/>
        <v>150000</v>
      </c>
    </row>
    <row r="13" spans="2:9" x14ac:dyDescent="0.2">
      <c r="B13" s="61">
        <v>5</v>
      </c>
      <c r="C13" s="62" t="s">
        <v>15</v>
      </c>
      <c r="D13" s="63" t="s">
        <v>16</v>
      </c>
      <c r="E13" s="64">
        <f>'Htgan Volume'!D38</f>
        <v>22.352499999999992</v>
      </c>
      <c r="F13" s="137">
        <v>7000</v>
      </c>
      <c r="G13" s="65">
        <f t="shared" si="0"/>
        <v>156467.49999999994</v>
      </c>
    </row>
    <row r="14" spans="2:9" x14ac:dyDescent="0.2">
      <c r="B14" s="61"/>
      <c r="C14" s="62" t="s">
        <v>17</v>
      </c>
      <c r="D14" s="63" t="s">
        <v>16</v>
      </c>
      <c r="E14" s="64">
        <f>'Htgan Volume'!D48</f>
        <v>35.120000000000005</v>
      </c>
      <c r="F14" s="137">
        <v>5000</v>
      </c>
      <c r="G14" s="65">
        <f t="shared" si="0"/>
        <v>175600.00000000003</v>
      </c>
    </row>
    <row r="15" spans="2:9" x14ac:dyDescent="0.2">
      <c r="B15" s="62"/>
      <c r="C15" s="62"/>
      <c r="D15" s="63"/>
      <c r="E15" s="70"/>
      <c r="F15" s="137"/>
      <c r="G15" s="67">
        <f>SUM(G9:G14)</f>
        <v>1932067.5</v>
      </c>
    </row>
    <row r="16" spans="2:9" x14ac:dyDescent="0.2">
      <c r="B16" s="68" t="s">
        <v>18</v>
      </c>
      <c r="C16" s="69" t="s">
        <v>198</v>
      </c>
      <c r="D16" s="63"/>
      <c r="E16" s="70"/>
      <c r="F16" s="137"/>
      <c r="G16" s="65">
        <f>F16*E16</f>
        <v>0</v>
      </c>
    </row>
    <row r="17" spans="2:7" ht="14.25" customHeight="1" x14ac:dyDescent="0.2">
      <c r="B17" s="61">
        <v>1</v>
      </c>
      <c r="C17" s="62" t="s">
        <v>20</v>
      </c>
      <c r="D17" s="63" t="s">
        <v>21</v>
      </c>
      <c r="E17" s="64">
        <f>'Htgan Volume'!K12</f>
        <v>16.834500000000002</v>
      </c>
      <c r="F17" s="137">
        <v>55000</v>
      </c>
      <c r="G17" s="65">
        <f>F17*E17</f>
        <v>925897.50000000012</v>
      </c>
    </row>
    <row r="18" spans="2:7" x14ac:dyDescent="0.2">
      <c r="B18" s="61">
        <v>2</v>
      </c>
      <c r="C18" s="62" t="s">
        <v>199</v>
      </c>
      <c r="D18" s="63" t="s">
        <v>21</v>
      </c>
      <c r="E18" s="64">
        <f>'Htgan Volume'!K18</f>
        <v>5.6115000000000004</v>
      </c>
      <c r="F18" s="137">
        <v>18333.333333333332</v>
      </c>
      <c r="G18" s="65">
        <f>F18*E18</f>
        <v>102877.5</v>
      </c>
    </row>
    <row r="19" spans="2:7" x14ac:dyDescent="0.2">
      <c r="B19" s="61">
        <v>3</v>
      </c>
      <c r="C19" s="62" t="s">
        <v>23</v>
      </c>
      <c r="D19" s="63" t="s">
        <v>21</v>
      </c>
      <c r="E19" s="64">
        <f>'Htgan Volume'!K27</f>
        <v>1.7560000000000002</v>
      </c>
      <c r="F19" s="137">
        <v>280047.5</v>
      </c>
      <c r="G19" s="65">
        <f>F19*E19</f>
        <v>491763.41000000009</v>
      </c>
    </row>
    <row r="20" spans="2:7" x14ac:dyDescent="0.2">
      <c r="B20" s="61">
        <v>4</v>
      </c>
      <c r="C20" s="62" t="s">
        <v>200</v>
      </c>
      <c r="D20" s="63" t="s">
        <v>21</v>
      </c>
      <c r="E20" s="64">
        <f>'Htgan Volume'!K33</f>
        <v>1.4048000000000003</v>
      </c>
      <c r="F20" s="137">
        <v>774887.43386243377</v>
      </c>
      <c r="G20" s="65">
        <f>F20*E20</f>
        <v>1088561.8670899472</v>
      </c>
    </row>
    <row r="21" spans="2:7" x14ac:dyDescent="0.2">
      <c r="B21" s="62"/>
      <c r="C21" s="62"/>
      <c r="D21" s="63"/>
      <c r="E21" s="64"/>
      <c r="F21" s="64"/>
      <c r="G21" s="67">
        <f>SUM(G17:G20)</f>
        <v>2609100.2770899474</v>
      </c>
    </row>
    <row r="22" spans="2:7" x14ac:dyDescent="0.2">
      <c r="B22" s="68" t="s">
        <v>26</v>
      </c>
      <c r="C22" s="69" t="s">
        <v>201</v>
      </c>
      <c r="D22" s="62"/>
      <c r="E22" s="64"/>
      <c r="F22" s="64"/>
      <c r="G22" s="65">
        <f>F22*E22</f>
        <v>0</v>
      </c>
    </row>
    <row r="23" spans="2:7" x14ac:dyDescent="0.2">
      <c r="B23" s="61">
        <v>1</v>
      </c>
      <c r="C23" s="62" t="s">
        <v>28</v>
      </c>
      <c r="D23" s="63" t="s">
        <v>21</v>
      </c>
      <c r="E23" s="64">
        <f>'Htgan Volume'!T11</f>
        <v>6.6480000000000006</v>
      </c>
      <c r="F23" s="137">
        <v>533711.0625</v>
      </c>
      <c r="G23" s="65">
        <f>F23*E23</f>
        <v>3548111.1435000002</v>
      </c>
    </row>
    <row r="24" spans="2:7" x14ac:dyDescent="0.2">
      <c r="B24" s="61">
        <v>2</v>
      </c>
      <c r="C24" s="62" t="s">
        <v>29</v>
      </c>
      <c r="D24" s="63" t="s">
        <v>30</v>
      </c>
      <c r="E24" s="64">
        <f>'Htgan Volume'!T17</f>
        <v>10.535</v>
      </c>
      <c r="F24" s="137">
        <v>45347.518007397179</v>
      </c>
      <c r="G24" s="65">
        <f>F24*E24</f>
        <v>477736.1022079293</v>
      </c>
    </row>
    <row r="25" spans="2:7" x14ac:dyDescent="0.2">
      <c r="B25" s="68"/>
      <c r="C25" s="62"/>
      <c r="D25" s="63"/>
      <c r="E25" s="70"/>
      <c r="F25" s="65"/>
      <c r="G25" s="67">
        <f>SUM(G23:G24)</f>
        <v>4025847.2457079296</v>
      </c>
    </row>
    <row r="26" spans="2:7" x14ac:dyDescent="0.2">
      <c r="B26" s="68" t="s">
        <v>31</v>
      </c>
      <c r="C26" s="69" t="s">
        <v>202</v>
      </c>
      <c r="D26" s="62"/>
      <c r="E26" s="70"/>
      <c r="F26" s="65"/>
      <c r="G26" s="65"/>
    </row>
    <row r="27" spans="2:7" x14ac:dyDescent="0.2">
      <c r="B27" s="68"/>
      <c r="C27" s="69" t="s">
        <v>33</v>
      </c>
      <c r="D27" s="62"/>
      <c r="E27" s="71"/>
      <c r="F27" s="65"/>
      <c r="G27" s="65"/>
    </row>
    <row r="28" spans="2:7" ht="13.5" x14ac:dyDescent="0.25">
      <c r="B28" s="61">
        <v>1</v>
      </c>
      <c r="C28" s="62" t="s">
        <v>203</v>
      </c>
      <c r="D28" s="63" t="s">
        <v>21</v>
      </c>
      <c r="E28" s="72">
        <f>'Htgan Volume'!AA11</f>
        <v>1.5464999999999998</v>
      </c>
      <c r="F28" s="137">
        <v>2946513.2575881095</v>
      </c>
      <c r="G28" s="65">
        <f t="shared" ref="G28:G35" si="1">F28*E28</f>
        <v>4556782.7528600106</v>
      </c>
    </row>
    <row r="29" spans="2:7" x14ac:dyDescent="0.2">
      <c r="B29" s="61">
        <v>2</v>
      </c>
      <c r="C29" s="62" t="s">
        <v>204</v>
      </c>
      <c r="D29" s="63" t="s">
        <v>21</v>
      </c>
      <c r="E29" s="64">
        <f>'Htgan Volume'!AA19</f>
        <v>0.63300000000000001</v>
      </c>
      <c r="F29" s="137">
        <v>2946513.2575881095</v>
      </c>
      <c r="G29" s="65">
        <f t="shared" si="1"/>
        <v>1865142.8920532733</v>
      </c>
    </row>
    <row r="30" spans="2:7" x14ac:dyDescent="0.2">
      <c r="B30" s="61">
        <v>3</v>
      </c>
      <c r="C30" s="62" t="s">
        <v>35</v>
      </c>
      <c r="D30" s="63" t="s">
        <v>21</v>
      </c>
      <c r="E30" s="64">
        <f>'Htgan Volume'!AA27</f>
        <v>1.6364999999999998</v>
      </c>
      <c r="F30" s="137">
        <v>2671064.2677235082</v>
      </c>
      <c r="G30" s="65">
        <f t="shared" si="1"/>
        <v>4371196.6741295205</v>
      </c>
    </row>
    <row r="31" spans="2:7" x14ac:dyDescent="0.2">
      <c r="B31" s="61">
        <v>4</v>
      </c>
      <c r="C31" s="62" t="s">
        <v>205</v>
      </c>
      <c r="D31" s="63" t="s">
        <v>21</v>
      </c>
      <c r="E31" s="64">
        <f>'Htgan Volume'!AB39</f>
        <v>2.1017249999999996</v>
      </c>
      <c r="F31" s="137">
        <v>3593861.3323514797</v>
      </c>
      <c r="G31" s="65">
        <f t="shared" si="1"/>
        <v>7553308.2087364122</v>
      </c>
    </row>
    <row r="32" spans="2:7" ht="13.5" x14ac:dyDescent="0.25">
      <c r="B32" s="61">
        <v>5</v>
      </c>
      <c r="C32" s="62" t="s">
        <v>280</v>
      </c>
      <c r="D32" s="63" t="s">
        <v>21</v>
      </c>
      <c r="E32" s="72">
        <f>'Htgan Volume'!AB48</f>
        <v>0.26195000000000002</v>
      </c>
      <c r="F32" s="137">
        <v>4179282.3254379947</v>
      </c>
      <c r="G32" s="65">
        <f t="shared" si="1"/>
        <v>1094763.0051484827</v>
      </c>
    </row>
    <row r="33" spans="2:9" x14ac:dyDescent="0.2">
      <c r="B33" s="61">
        <v>6</v>
      </c>
      <c r="C33" s="62" t="s">
        <v>36</v>
      </c>
      <c r="D33" s="63" t="s">
        <v>21</v>
      </c>
      <c r="E33" s="64">
        <f>'Htgan Volume'!AA57</f>
        <v>0.29759999999999998</v>
      </c>
      <c r="F33" s="137">
        <v>2470238.3217307329</v>
      </c>
      <c r="G33" s="65">
        <f t="shared" si="1"/>
        <v>735142.9245470661</v>
      </c>
    </row>
    <row r="34" spans="2:9" x14ac:dyDescent="0.2">
      <c r="B34" s="61">
        <v>7</v>
      </c>
      <c r="C34" s="62" t="s">
        <v>37</v>
      </c>
      <c r="D34" s="63" t="s">
        <v>21</v>
      </c>
      <c r="E34" s="64">
        <f>'Htgan Volume'!AA66</f>
        <v>0.29699999999999993</v>
      </c>
      <c r="F34" s="137">
        <v>2470238.3217307329</v>
      </c>
      <c r="G34" s="65">
        <f>F34*E34</f>
        <v>733660.78155402746</v>
      </c>
    </row>
    <row r="35" spans="2:9" x14ac:dyDescent="0.2">
      <c r="B35" s="61">
        <v>8</v>
      </c>
      <c r="C35" s="62" t="s">
        <v>38</v>
      </c>
      <c r="D35" s="63" t="s">
        <v>21</v>
      </c>
      <c r="E35" s="64">
        <f>'Htgan Volume'!AA75</f>
        <v>0.13500000000000001</v>
      </c>
      <c r="F35" s="137">
        <v>2672228.7360768798</v>
      </c>
      <c r="G35" s="65">
        <f t="shared" si="1"/>
        <v>360750.8793703788</v>
      </c>
    </row>
    <row r="36" spans="2:9" x14ac:dyDescent="0.2">
      <c r="B36" s="68"/>
      <c r="C36" s="62"/>
      <c r="D36" s="63"/>
      <c r="E36" s="70"/>
      <c r="F36" s="64"/>
      <c r="G36" s="67">
        <f>SUM(G26:G35)</f>
        <v>21270748.118399173</v>
      </c>
    </row>
    <row r="37" spans="2:9" x14ac:dyDescent="0.2">
      <c r="B37" s="68" t="s">
        <v>39</v>
      </c>
      <c r="C37" s="69" t="s">
        <v>206</v>
      </c>
      <c r="D37" s="63"/>
      <c r="E37" s="70"/>
      <c r="F37" s="64"/>
      <c r="G37" s="65">
        <f>F37*E37</f>
        <v>0</v>
      </c>
    </row>
    <row r="38" spans="2:9" x14ac:dyDescent="0.2">
      <c r="B38" s="61">
        <v>1</v>
      </c>
      <c r="C38" s="142" t="s">
        <v>281</v>
      </c>
      <c r="D38" s="63" t="s">
        <v>16</v>
      </c>
      <c r="E38" s="64">
        <f>'Htgan Volume'!AH8</f>
        <v>2</v>
      </c>
      <c r="F38" s="137">
        <v>141522.28950000001</v>
      </c>
      <c r="G38" s="65">
        <f>F38*E38</f>
        <v>283044.57900000003</v>
      </c>
      <c r="H38" s="74"/>
      <c r="I38" s="74"/>
    </row>
    <row r="39" spans="2:9" x14ac:dyDescent="0.2">
      <c r="B39" s="61">
        <v>2</v>
      </c>
      <c r="C39" s="142" t="s">
        <v>282</v>
      </c>
      <c r="D39" s="63" t="s">
        <v>16</v>
      </c>
      <c r="E39" s="64">
        <f>'Htgan Volume'!AH15</f>
        <v>3.2</v>
      </c>
      <c r="F39" s="137">
        <f>F38</f>
        <v>141522.28950000001</v>
      </c>
      <c r="G39" s="65">
        <f>F39*E39</f>
        <v>452871.32640000008</v>
      </c>
      <c r="H39" s="74"/>
      <c r="I39" s="74"/>
    </row>
    <row r="40" spans="2:9" x14ac:dyDescent="0.2">
      <c r="B40" s="61">
        <v>3</v>
      </c>
      <c r="C40" s="142" t="s">
        <v>283</v>
      </c>
      <c r="D40" s="63"/>
      <c r="E40" s="64"/>
      <c r="F40" s="137"/>
      <c r="G40" s="65"/>
      <c r="H40" s="74"/>
      <c r="I40" s="74"/>
    </row>
    <row r="41" spans="2:9" x14ac:dyDescent="0.2">
      <c r="B41" s="61"/>
      <c r="C41" s="142" t="s">
        <v>284</v>
      </c>
      <c r="D41" s="63" t="s">
        <v>16</v>
      </c>
      <c r="E41" s="64">
        <f>'Htgan Volume'!AH28</f>
        <v>28.08</v>
      </c>
      <c r="F41" s="137">
        <v>151199.46407099674</v>
      </c>
      <c r="G41" s="65">
        <f>F41*E41</f>
        <v>4245680.9511135882</v>
      </c>
      <c r="H41" s="74"/>
      <c r="I41" s="74"/>
    </row>
    <row r="42" spans="2:9" x14ac:dyDescent="0.2">
      <c r="B42" s="61">
        <v>4</v>
      </c>
      <c r="C42" s="142" t="s">
        <v>207</v>
      </c>
      <c r="D42" s="63" t="s">
        <v>16</v>
      </c>
      <c r="E42" s="64">
        <f>'Htgan Volume'!AH37</f>
        <v>2.92</v>
      </c>
      <c r="F42" s="137">
        <v>141785.48499999999</v>
      </c>
      <c r="G42" s="65">
        <f>F42*E42</f>
        <v>414013.61619999993</v>
      </c>
      <c r="H42" s="74"/>
      <c r="I42" s="74"/>
    </row>
    <row r="43" spans="2:9" x14ac:dyDescent="0.2">
      <c r="B43" s="61">
        <v>5</v>
      </c>
      <c r="C43" s="142" t="s">
        <v>285</v>
      </c>
      <c r="D43" s="63" t="s">
        <v>10</v>
      </c>
      <c r="E43" s="64">
        <f>'Htgan Volume'!AH43</f>
        <v>6.05</v>
      </c>
      <c r="F43" s="137">
        <v>28242.189805976079</v>
      </c>
      <c r="G43" s="65">
        <f>F43*E43</f>
        <v>170865.24832615527</v>
      </c>
      <c r="H43" s="74"/>
      <c r="I43" s="74"/>
    </row>
    <row r="44" spans="2:9" x14ac:dyDescent="0.2">
      <c r="B44" s="61">
        <v>6</v>
      </c>
      <c r="C44" s="142" t="s">
        <v>208</v>
      </c>
      <c r="D44" s="63" t="s">
        <v>16</v>
      </c>
      <c r="E44" s="64">
        <f>'Htgan Volume'!AH50</f>
        <v>13.5</v>
      </c>
      <c r="F44" s="137">
        <v>226925.92600000001</v>
      </c>
      <c r="G44" s="65">
        <f>F44*E44</f>
        <v>3063500.0010000002</v>
      </c>
      <c r="H44" s="74"/>
      <c r="I44" s="74"/>
    </row>
    <row r="45" spans="2:9" x14ac:dyDescent="0.2">
      <c r="B45" s="68"/>
      <c r="C45" s="62"/>
      <c r="D45" s="63"/>
      <c r="E45" s="70"/>
      <c r="F45" s="64"/>
      <c r="G45" s="67">
        <f>SUM(G38:G44)</f>
        <v>8629975.7220397443</v>
      </c>
    </row>
    <row r="46" spans="2:9" x14ac:dyDescent="0.2">
      <c r="B46" s="68" t="s">
        <v>44</v>
      </c>
      <c r="C46" s="69" t="s">
        <v>209</v>
      </c>
      <c r="D46" s="63"/>
      <c r="E46" s="70"/>
      <c r="F46" s="64"/>
      <c r="G46" s="65">
        <f>F46*E46</f>
        <v>0</v>
      </c>
    </row>
    <row r="47" spans="2:9" x14ac:dyDescent="0.2">
      <c r="B47" s="68"/>
      <c r="C47" s="62" t="s">
        <v>45</v>
      </c>
      <c r="D47" s="63"/>
      <c r="E47" s="70"/>
      <c r="F47" s="64"/>
      <c r="G47" s="65">
        <f>F47*E47</f>
        <v>0</v>
      </c>
    </row>
    <row r="48" spans="2:9" x14ac:dyDescent="0.2">
      <c r="B48" s="61">
        <v>1</v>
      </c>
      <c r="C48" s="142" t="s">
        <v>286</v>
      </c>
      <c r="D48" s="63" t="s">
        <v>16</v>
      </c>
      <c r="E48" s="64">
        <f>'Htgan Volume'!AO8</f>
        <v>15.8</v>
      </c>
      <c r="F48" s="137">
        <f>143189.233</f>
        <v>143189.23300000001</v>
      </c>
      <c r="G48" s="65">
        <f>F48*E48</f>
        <v>2262389.8814000003</v>
      </c>
      <c r="H48" s="74"/>
      <c r="I48" s="74"/>
    </row>
    <row r="49" spans="2:9" x14ac:dyDescent="0.2">
      <c r="B49" s="61">
        <v>2</v>
      </c>
      <c r="C49" s="142" t="s">
        <v>287</v>
      </c>
      <c r="D49" s="63" t="s">
        <v>16</v>
      </c>
      <c r="E49" s="64">
        <f>'Htgan Volume'!AO21</f>
        <v>1.4</v>
      </c>
      <c r="F49" s="137">
        <v>146785.48282099672</v>
      </c>
      <c r="G49" s="65">
        <f>F49*E49</f>
        <v>205499.6759493954</v>
      </c>
      <c r="H49" s="74"/>
      <c r="I49" s="74"/>
    </row>
    <row r="50" spans="2:9" x14ac:dyDescent="0.2">
      <c r="B50" s="61">
        <v>3</v>
      </c>
      <c r="C50" s="142" t="s">
        <v>213</v>
      </c>
      <c r="D50" s="63" t="s">
        <v>16</v>
      </c>
      <c r="E50" s="64">
        <f>'Htgan Volume'!AO28</f>
        <v>2.25</v>
      </c>
      <c r="F50" s="137">
        <v>146785.48282099672</v>
      </c>
      <c r="G50" s="65">
        <f>F50*E50</f>
        <v>330267.33634724264</v>
      </c>
      <c r="H50" s="74"/>
      <c r="I50" s="74"/>
    </row>
    <row r="51" spans="2:9" x14ac:dyDescent="0.2">
      <c r="B51" s="61"/>
      <c r="C51" s="62"/>
      <c r="D51" s="63"/>
      <c r="E51" s="70"/>
      <c r="F51" s="66"/>
      <c r="G51" s="67">
        <f>SUM(G48:G50)</f>
        <v>2798156.8936966388</v>
      </c>
    </row>
    <row r="52" spans="2:9" x14ac:dyDescent="0.2">
      <c r="B52" s="68" t="s">
        <v>46</v>
      </c>
      <c r="C52" s="69" t="s">
        <v>214</v>
      </c>
      <c r="D52" s="62"/>
      <c r="E52" s="70"/>
      <c r="F52" s="64"/>
      <c r="G52" s="65">
        <f>F52*E52</f>
        <v>0</v>
      </c>
    </row>
    <row r="53" spans="2:9" x14ac:dyDescent="0.2">
      <c r="B53" s="62">
        <v>1</v>
      </c>
      <c r="C53" s="142" t="s">
        <v>47</v>
      </c>
      <c r="D53" s="63" t="s">
        <v>16</v>
      </c>
      <c r="E53" s="64">
        <f>'Htgan Volume'!AV13</f>
        <v>28.08</v>
      </c>
      <c r="F53" s="137">
        <v>75000</v>
      </c>
      <c r="G53" s="65">
        <f>F53*E53</f>
        <v>2106000</v>
      </c>
      <c r="H53" s="74"/>
      <c r="I53" s="74"/>
    </row>
    <row r="54" spans="2:9" x14ac:dyDescent="0.2">
      <c r="B54" s="62">
        <v>2</v>
      </c>
      <c r="C54" s="142" t="s">
        <v>215</v>
      </c>
      <c r="D54" s="63" t="s">
        <v>10</v>
      </c>
      <c r="E54" s="64">
        <f>'Htgan Volume'!AV24</f>
        <v>36.975000000000001</v>
      </c>
      <c r="F54" s="137">
        <v>15000</v>
      </c>
      <c r="G54" s="65">
        <f>F54*E54</f>
        <v>554625</v>
      </c>
    </row>
    <row r="55" spans="2:9" x14ac:dyDescent="0.2">
      <c r="B55" s="61">
        <v>3</v>
      </c>
      <c r="C55" s="142" t="s">
        <v>48</v>
      </c>
      <c r="D55" s="63" t="s">
        <v>10</v>
      </c>
      <c r="E55" s="64">
        <f>'Htgan Volume'!AV33</f>
        <v>13.2</v>
      </c>
      <c r="F55" s="137">
        <v>12500</v>
      </c>
      <c r="G55" s="65">
        <f>F55*E55</f>
        <v>165000</v>
      </c>
    </row>
    <row r="56" spans="2:9" x14ac:dyDescent="0.2">
      <c r="B56" s="61">
        <v>4</v>
      </c>
      <c r="C56" s="142" t="s">
        <v>49</v>
      </c>
      <c r="D56" s="63" t="s">
        <v>16</v>
      </c>
      <c r="E56" s="64">
        <f>'Htgan Volume'!AV44</f>
        <v>8.120000000000001</v>
      </c>
      <c r="F56" s="137">
        <v>80000</v>
      </c>
      <c r="G56" s="65">
        <f>F56*E56</f>
        <v>649600.00000000012</v>
      </c>
      <c r="H56" s="74"/>
      <c r="I56" s="74"/>
    </row>
    <row r="57" spans="2:9" x14ac:dyDescent="0.2">
      <c r="B57" s="68"/>
      <c r="C57" s="62"/>
      <c r="D57" s="62"/>
      <c r="E57" s="70"/>
      <c r="F57" s="64"/>
      <c r="G57" s="75">
        <f>SUM(G53:G56)</f>
        <v>3475225</v>
      </c>
    </row>
    <row r="58" spans="2:9" x14ac:dyDescent="0.2">
      <c r="B58" s="68" t="s">
        <v>50</v>
      </c>
      <c r="C58" s="69" t="s">
        <v>216</v>
      </c>
      <c r="D58" s="63"/>
      <c r="E58" s="70"/>
      <c r="F58" s="66"/>
      <c r="G58" s="65">
        <f>F58*E58</f>
        <v>0</v>
      </c>
    </row>
    <row r="59" spans="2:9" x14ac:dyDescent="0.2">
      <c r="B59" s="61">
        <v>1</v>
      </c>
      <c r="C59" s="62" t="s">
        <v>52</v>
      </c>
      <c r="D59" s="63" t="s">
        <v>16</v>
      </c>
      <c r="E59" s="64">
        <f>'Htgan Volume'!BC9</f>
        <v>25.742499999999996</v>
      </c>
      <c r="F59" s="138">
        <v>80665.050499999998</v>
      </c>
      <c r="G59" s="65">
        <f>F59*E59</f>
        <v>2076520.0624962496</v>
      </c>
    </row>
    <row r="60" spans="2:9" x14ac:dyDescent="0.2">
      <c r="B60" s="61">
        <v>2</v>
      </c>
      <c r="C60" s="62" t="s">
        <v>53</v>
      </c>
      <c r="D60" s="63" t="s">
        <v>16</v>
      </c>
      <c r="E60" s="64">
        <f>'Htgan Volume'!BC24</f>
        <v>138.39875000000001</v>
      </c>
      <c r="F60" s="139">
        <v>76664.855100000001</v>
      </c>
      <c r="G60" s="65">
        <f>F60*E60</f>
        <v>10610320.114771126</v>
      </c>
    </row>
    <row r="61" spans="2:9" x14ac:dyDescent="0.2">
      <c r="B61" s="61">
        <v>3</v>
      </c>
      <c r="C61" s="62" t="s">
        <v>54</v>
      </c>
      <c r="D61" s="63" t="s">
        <v>16</v>
      </c>
      <c r="E61" s="64">
        <f>'Htgan Volume'!BC33</f>
        <v>317.78250000000003</v>
      </c>
      <c r="F61" s="140">
        <f>56500.6412278773+5025</f>
        <v>61525.641227877299</v>
      </c>
      <c r="G61" s="65">
        <f>F61*E61</f>
        <v>19551772.083497919</v>
      </c>
    </row>
    <row r="62" spans="2:9" x14ac:dyDescent="0.2">
      <c r="B62" s="61"/>
      <c r="C62" s="62"/>
      <c r="D62" s="63"/>
      <c r="E62" s="70"/>
      <c r="F62" s="66"/>
      <c r="G62" s="67">
        <f>SUM(G59:G61)</f>
        <v>32238612.260765295</v>
      </c>
    </row>
    <row r="63" spans="2:9" x14ac:dyDescent="0.2">
      <c r="B63" s="68" t="s">
        <v>55</v>
      </c>
      <c r="C63" s="69" t="s">
        <v>217</v>
      </c>
      <c r="D63" s="62"/>
      <c r="E63" s="70"/>
      <c r="F63" s="64"/>
      <c r="G63" s="65">
        <f t="shared" ref="G63:G69" si="2">F63*E63</f>
        <v>0</v>
      </c>
    </row>
    <row r="64" spans="2:9" x14ac:dyDescent="0.2">
      <c r="B64" s="61">
        <v>1</v>
      </c>
      <c r="C64" s="62" t="s">
        <v>56</v>
      </c>
      <c r="D64" s="63" t="s">
        <v>16</v>
      </c>
      <c r="E64" s="64">
        <f>'Htgan Volume'!BJ12</f>
        <v>40.5</v>
      </c>
      <c r="F64" s="137">
        <v>105000</v>
      </c>
      <c r="G64" s="65">
        <f t="shared" si="2"/>
        <v>4252500</v>
      </c>
      <c r="H64" s="74"/>
      <c r="I64" s="74"/>
    </row>
    <row r="65" spans="2:7" x14ac:dyDescent="0.2">
      <c r="B65" s="61">
        <v>2</v>
      </c>
      <c r="C65" s="62" t="s">
        <v>57</v>
      </c>
      <c r="D65" s="63" t="s">
        <v>16</v>
      </c>
      <c r="E65" s="64">
        <f>'Htgan Volume'!BJ21</f>
        <v>40.5</v>
      </c>
      <c r="F65" s="137">
        <v>78182</v>
      </c>
      <c r="G65" s="65">
        <f t="shared" si="2"/>
        <v>3166371</v>
      </c>
    </row>
    <row r="66" spans="2:7" x14ac:dyDescent="0.2">
      <c r="B66" s="61">
        <v>3</v>
      </c>
      <c r="C66" s="62" t="s">
        <v>58</v>
      </c>
      <c r="D66" s="63" t="s">
        <v>10</v>
      </c>
      <c r="E66" s="64">
        <f>'Htgan Volume'!BJ28</f>
        <v>16.75</v>
      </c>
      <c r="F66" s="137">
        <v>46819.675000000003</v>
      </c>
      <c r="G66" s="65">
        <f t="shared" si="2"/>
        <v>784229.55625000002</v>
      </c>
    </row>
    <row r="67" spans="2:7" x14ac:dyDescent="0.2">
      <c r="B67" s="62">
        <v>4</v>
      </c>
      <c r="C67" s="62" t="s">
        <v>59</v>
      </c>
      <c r="D67" s="63" t="s">
        <v>10</v>
      </c>
      <c r="E67" s="64">
        <f>'Htgan Volume'!BJ34</f>
        <v>18</v>
      </c>
      <c r="F67" s="137">
        <v>45000</v>
      </c>
      <c r="G67" s="65">
        <f t="shared" si="2"/>
        <v>810000</v>
      </c>
    </row>
    <row r="68" spans="2:7" x14ac:dyDescent="0.2">
      <c r="B68" s="62">
        <v>5</v>
      </c>
      <c r="C68" s="62" t="s">
        <v>60</v>
      </c>
      <c r="D68" s="63" t="s">
        <v>10</v>
      </c>
      <c r="E68" s="64">
        <f>'Htgan Volume'!BJ40</f>
        <v>5</v>
      </c>
      <c r="F68" s="137">
        <v>52634.417317764797</v>
      </c>
      <c r="G68" s="65">
        <f t="shared" si="2"/>
        <v>263172.08658882399</v>
      </c>
    </row>
    <row r="69" spans="2:7" x14ac:dyDescent="0.2">
      <c r="B69" s="62">
        <v>6</v>
      </c>
      <c r="C69" s="62" t="s">
        <v>61</v>
      </c>
      <c r="D69" s="63" t="s">
        <v>10</v>
      </c>
      <c r="E69" s="64">
        <f>'Htgan Volume'!BJ49</f>
        <v>7</v>
      </c>
      <c r="F69" s="137">
        <v>48250</v>
      </c>
      <c r="G69" s="65">
        <f t="shared" si="2"/>
        <v>337750</v>
      </c>
    </row>
    <row r="70" spans="2:7" x14ac:dyDescent="0.2">
      <c r="B70" s="68"/>
      <c r="C70" s="62"/>
      <c r="D70" s="62"/>
      <c r="E70" s="70"/>
      <c r="F70" s="64"/>
      <c r="G70" s="67">
        <f>SUM(G64:G69)</f>
        <v>9614022.6428388245</v>
      </c>
    </row>
    <row r="71" spans="2:7" x14ac:dyDescent="0.2">
      <c r="B71" s="68" t="s">
        <v>62</v>
      </c>
      <c r="C71" s="69" t="s">
        <v>63</v>
      </c>
      <c r="D71" s="62"/>
      <c r="E71" s="76"/>
      <c r="F71" s="64"/>
      <c r="G71" s="65">
        <f t="shared" ref="G71:G85" si="3">F71*E71</f>
        <v>0</v>
      </c>
    </row>
    <row r="72" spans="2:7" x14ac:dyDescent="0.2">
      <c r="B72" s="61">
        <v>1</v>
      </c>
      <c r="C72" s="142" t="s">
        <v>288</v>
      </c>
      <c r="D72" s="62"/>
      <c r="E72" s="70"/>
      <c r="F72" s="64"/>
      <c r="G72" s="65">
        <f t="shared" si="3"/>
        <v>0</v>
      </c>
    </row>
    <row r="73" spans="2:7" x14ac:dyDescent="0.2">
      <c r="B73" s="61" t="s">
        <v>64</v>
      </c>
      <c r="C73" s="62" t="s">
        <v>220</v>
      </c>
      <c r="D73" s="63" t="s">
        <v>65</v>
      </c>
      <c r="E73" s="64">
        <f>'Htgan Volume'!BR8</f>
        <v>4</v>
      </c>
      <c r="F73" s="137">
        <v>725000</v>
      </c>
      <c r="G73" s="65">
        <f t="shared" si="3"/>
        <v>2900000</v>
      </c>
    </row>
    <row r="74" spans="2:7" x14ac:dyDescent="0.2">
      <c r="B74" s="61" t="s">
        <v>64</v>
      </c>
      <c r="C74" s="62" t="s">
        <v>222</v>
      </c>
      <c r="D74" s="63" t="s">
        <v>65</v>
      </c>
      <c r="E74" s="64">
        <f>'Htgan Volume'!BR12</f>
        <v>1</v>
      </c>
      <c r="F74" s="137">
        <v>875000</v>
      </c>
      <c r="G74" s="65">
        <f t="shared" si="3"/>
        <v>875000</v>
      </c>
    </row>
    <row r="75" spans="2:7" x14ac:dyDescent="0.2">
      <c r="B75" s="61">
        <v>2</v>
      </c>
      <c r="C75" s="142" t="s">
        <v>289</v>
      </c>
      <c r="D75" s="63"/>
      <c r="E75" s="70">
        <v>1</v>
      </c>
      <c r="F75" s="137">
        <v>10000000</v>
      </c>
      <c r="G75" s="137">
        <f>F75*E75</f>
        <v>10000000</v>
      </c>
    </row>
    <row r="76" spans="2:7" x14ac:dyDescent="0.2">
      <c r="B76" s="61" t="s">
        <v>64</v>
      </c>
      <c r="C76" s="62" t="s">
        <v>224</v>
      </c>
      <c r="D76" s="63" t="s">
        <v>67</v>
      </c>
      <c r="E76" s="64">
        <f>'Htgan Volume'!BS19</f>
        <v>1</v>
      </c>
      <c r="F76" s="137" t="s">
        <v>277</v>
      </c>
      <c r="G76" s="137" t="str">
        <f t="shared" ref="G76:G81" si="4">F76</f>
        <v>incld</v>
      </c>
    </row>
    <row r="77" spans="2:7" x14ac:dyDescent="0.2">
      <c r="B77" s="61" t="s">
        <v>64</v>
      </c>
      <c r="C77" s="62" t="s">
        <v>225</v>
      </c>
      <c r="D77" s="63" t="s">
        <v>67</v>
      </c>
      <c r="E77" s="64">
        <f>'Htgan Volume'!BS21</f>
        <v>1</v>
      </c>
      <c r="F77" s="137" t="s">
        <v>277</v>
      </c>
      <c r="G77" s="137" t="str">
        <f t="shared" si="4"/>
        <v>incld</v>
      </c>
    </row>
    <row r="78" spans="2:7" x14ac:dyDescent="0.2">
      <c r="B78" s="61" t="s">
        <v>64</v>
      </c>
      <c r="C78" s="62" t="s">
        <v>226</v>
      </c>
      <c r="D78" s="63" t="s">
        <v>67</v>
      </c>
      <c r="E78" s="64">
        <f>'Htgan Volume'!BS23</f>
        <v>1</v>
      </c>
      <c r="F78" s="137" t="s">
        <v>277</v>
      </c>
      <c r="G78" s="137" t="str">
        <f t="shared" si="4"/>
        <v>incld</v>
      </c>
    </row>
    <row r="79" spans="2:7" x14ac:dyDescent="0.2">
      <c r="B79" s="61" t="s">
        <v>64</v>
      </c>
      <c r="C79" s="62" t="s">
        <v>227</v>
      </c>
      <c r="D79" s="63" t="s">
        <v>67</v>
      </c>
      <c r="E79" s="64">
        <f>'Htgan Volume'!BS25</f>
        <v>1</v>
      </c>
      <c r="F79" s="137" t="s">
        <v>277</v>
      </c>
      <c r="G79" s="137" t="str">
        <f t="shared" si="4"/>
        <v>incld</v>
      </c>
    </row>
    <row r="80" spans="2:7" x14ac:dyDescent="0.2">
      <c r="B80" s="61" t="s">
        <v>64</v>
      </c>
      <c r="C80" s="62" t="s">
        <v>228</v>
      </c>
      <c r="D80" s="63" t="s">
        <v>67</v>
      </c>
      <c r="E80" s="64">
        <f>'Htgan Volume'!BS27</f>
        <v>1</v>
      </c>
      <c r="F80" s="137" t="s">
        <v>277</v>
      </c>
      <c r="G80" s="137" t="str">
        <f t="shared" si="4"/>
        <v>incld</v>
      </c>
    </row>
    <row r="81" spans="2:9" x14ac:dyDescent="0.2">
      <c r="B81" s="61" t="s">
        <v>64</v>
      </c>
      <c r="C81" s="62" t="s">
        <v>229</v>
      </c>
      <c r="D81" s="63" t="s">
        <v>67</v>
      </c>
      <c r="E81" s="64">
        <f>'Htgan Volume'!BS29</f>
        <v>2</v>
      </c>
      <c r="F81" s="137" t="s">
        <v>277</v>
      </c>
      <c r="G81" s="137" t="str">
        <f t="shared" si="4"/>
        <v>incld</v>
      </c>
    </row>
    <row r="82" spans="2:9" x14ac:dyDescent="0.2">
      <c r="B82" s="61">
        <v>3</v>
      </c>
      <c r="C82" s="62" t="s">
        <v>68</v>
      </c>
      <c r="D82" s="63"/>
      <c r="E82" s="70"/>
      <c r="F82" s="64"/>
      <c r="G82" s="65">
        <f t="shared" si="3"/>
        <v>0</v>
      </c>
    </row>
    <row r="83" spans="2:9" x14ac:dyDescent="0.2">
      <c r="B83" s="61" t="s">
        <v>64</v>
      </c>
      <c r="C83" s="62" t="s">
        <v>273</v>
      </c>
      <c r="D83" s="63" t="s">
        <v>65</v>
      </c>
      <c r="E83" s="64">
        <f>'Htgan Volume'!BR35</f>
        <v>1</v>
      </c>
      <c r="F83" s="137">
        <v>363181.81818181818</v>
      </c>
      <c r="G83" s="65">
        <f t="shared" si="3"/>
        <v>363181.81818181818</v>
      </c>
      <c r="H83" s="74"/>
      <c r="I83" s="74"/>
    </row>
    <row r="84" spans="2:9" x14ac:dyDescent="0.2">
      <c r="B84" s="61" t="s">
        <v>64</v>
      </c>
      <c r="C84" s="62" t="s">
        <v>230</v>
      </c>
      <c r="D84" s="63" t="s">
        <v>65</v>
      </c>
      <c r="E84" s="64">
        <f>'Htgan Volume'!BR37</f>
        <v>4</v>
      </c>
      <c r="F84" s="137">
        <v>159090.90909090909</v>
      </c>
      <c r="G84" s="65">
        <f>F84*E84</f>
        <v>636363.63636363635</v>
      </c>
      <c r="H84" s="74"/>
      <c r="I84" s="74"/>
    </row>
    <row r="85" spans="2:9" x14ac:dyDescent="0.2">
      <c r="B85" s="61" t="s">
        <v>64</v>
      </c>
      <c r="C85" s="62" t="s">
        <v>69</v>
      </c>
      <c r="D85" s="63" t="s">
        <v>66</v>
      </c>
      <c r="E85" s="64">
        <f>'Htgan Volume'!BR38</f>
        <v>15</v>
      </c>
      <c r="F85" s="137">
        <v>11240</v>
      </c>
      <c r="G85" s="65">
        <f t="shared" si="3"/>
        <v>168600</v>
      </c>
    </row>
    <row r="86" spans="2:9" x14ac:dyDescent="0.2">
      <c r="B86" s="61"/>
      <c r="C86" s="62"/>
      <c r="D86" s="63"/>
      <c r="E86" s="70"/>
      <c r="F86" s="64"/>
      <c r="G86" s="67">
        <f>SUM(G73:G85)</f>
        <v>14943145.454545455</v>
      </c>
    </row>
    <row r="87" spans="2:9" x14ac:dyDescent="0.2">
      <c r="B87" s="68" t="s">
        <v>70</v>
      </c>
      <c r="C87" s="69" t="s">
        <v>235</v>
      </c>
      <c r="D87" s="63"/>
      <c r="E87" s="70"/>
      <c r="F87" s="64"/>
      <c r="G87" s="65">
        <f t="shared" ref="G87:G92" si="5">F87*E87</f>
        <v>0</v>
      </c>
    </row>
    <row r="88" spans="2:9" x14ac:dyDescent="0.2">
      <c r="B88" s="62">
        <v>1</v>
      </c>
      <c r="C88" s="62" t="s">
        <v>236</v>
      </c>
      <c r="D88" s="63" t="s">
        <v>16</v>
      </c>
      <c r="E88" s="64">
        <f>'Htgan Volume'!BZ12</f>
        <v>114.125</v>
      </c>
      <c r="F88" s="137">
        <v>12500</v>
      </c>
      <c r="G88" s="65">
        <f t="shared" si="5"/>
        <v>1426562.5</v>
      </c>
    </row>
    <row r="89" spans="2:9" x14ac:dyDescent="0.2">
      <c r="B89" s="62">
        <v>2</v>
      </c>
      <c r="C89" s="62" t="s">
        <v>71</v>
      </c>
      <c r="D89" s="63" t="s">
        <v>16</v>
      </c>
      <c r="E89" s="64">
        <f>'Htgan Volume'!BZ24</f>
        <v>42.65</v>
      </c>
      <c r="F89" s="137">
        <v>23000</v>
      </c>
      <c r="G89" s="65">
        <f t="shared" si="5"/>
        <v>980950</v>
      </c>
      <c r="H89" s="74"/>
      <c r="I89" s="74"/>
    </row>
    <row r="90" spans="2:9" x14ac:dyDescent="0.2">
      <c r="B90" s="62">
        <v>3</v>
      </c>
      <c r="C90" s="62" t="s">
        <v>237</v>
      </c>
      <c r="D90" s="63" t="s">
        <v>16</v>
      </c>
      <c r="E90" s="64">
        <f>'Htgan Volume'!BZ36</f>
        <v>37.799999999999997</v>
      </c>
      <c r="F90" s="137">
        <v>12500</v>
      </c>
      <c r="G90" s="65">
        <f t="shared" si="5"/>
        <v>472499.99999999994</v>
      </c>
    </row>
    <row r="91" spans="2:9" x14ac:dyDescent="0.2">
      <c r="B91" s="62">
        <v>4</v>
      </c>
      <c r="C91" s="62" t="s">
        <v>72</v>
      </c>
      <c r="D91" s="63" t="s">
        <v>16</v>
      </c>
      <c r="E91" s="64">
        <f>'Htgan Volume'!BZ47</f>
        <v>15.307500000000001</v>
      </c>
      <c r="F91" s="137">
        <v>15000</v>
      </c>
      <c r="G91" s="65">
        <f t="shared" si="5"/>
        <v>229612.50000000003</v>
      </c>
    </row>
    <row r="92" spans="2:9" x14ac:dyDescent="0.2">
      <c r="B92" s="62">
        <v>5</v>
      </c>
      <c r="C92" s="62" t="s">
        <v>73</v>
      </c>
      <c r="D92" s="63" t="s">
        <v>10</v>
      </c>
      <c r="E92" s="64">
        <f>'Htgan Volume'!BZ53</f>
        <v>5</v>
      </c>
      <c r="F92" s="137">
        <v>15000</v>
      </c>
      <c r="G92" s="65">
        <f t="shared" si="5"/>
        <v>75000</v>
      </c>
    </row>
    <row r="93" spans="2:9" x14ac:dyDescent="0.2">
      <c r="B93" s="61"/>
      <c r="C93" s="62"/>
      <c r="D93" s="63"/>
      <c r="E93" s="70"/>
      <c r="F93" s="64"/>
      <c r="G93" s="67">
        <f>SUM(G88:G92)</f>
        <v>3184625</v>
      </c>
    </row>
    <row r="94" spans="2:9" x14ac:dyDescent="0.2">
      <c r="B94" s="68" t="s">
        <v>76</v>
      </c>
      <c r="C94" s="69" t="s">
        <v>238</v>
      </c>
      <c r="D94" s="63"/>
      <c r="E94" s="70"/>
      <c r="F94" s="64"/>
      <c r="G94" s="65">
        <f t="shared" ref="G94:G116" si="6">F94*E94</f>
        <v>0</v>
      </c>
    </row>
    <row r="95" spans="2:9" x14ac:dyDescent="0.2">
      <c r="B95" s="61">
        <v>1</v>
      </c>
      <c r="C95" s="62" t="s">
        <v>77</v>
      </c>
      <c r="D95" s="62"/>
      <c r="E95" s="70"/>
      <c r="F95" s="64"/>
      <c r="G95" s="65">
        <f t="shared" si="6"/>
        <v>0</v>
      </c>
    </row>
    <row r="96" spans="2:9" x14ac:dyDescent="0.2">
      <c r="B96" s="61" t="s">
        <v>64</v>
      </c>
      <c r="C96" s="62" t="s">
        <v>78</v>
      </c>
      <c r="D96" s="63" t="s">
        <v>65</v>
      </c>
      <c r="E96" s="64">
        <f>'Htgan Volume'!CJ8</f>
        <v>1</v>
      </c>
      <c r="F96" s="137">
        <v>1779750.0000000002</v>
      </c>
      <c r="G96" s="65">
        <f t="shared" si="6"/>
        <v>1779750.0000000002</v>
      </c>
    </row>
    <row r="97" spans="2:9" x14ac:dyDescent="0.2">
      <c r="B97" s="61" t="s">
        <v>64</v>
      </c>
      <c r="C97" s="62" t="s">
        <v>79</v>
      </c>
      <c r="D97" s="63" t="s">
        <v>65</v>
      </c>
      <c r="E97" s="64">
        <f>'Htgan Volume'!CJ10</f>
        <v>1</v>
      </c>
      <c r="F97" s="137">
        <v>1347000</v>
      </c>
      <c r="G97" s="65">
        <f t="shared" si="6"/>
        <v>1347000</v>
      </c>
    </row>
    <row r="98" spans="2:9" x14ac:dyDescent="0.2">
      <c r="B98" s="61" t="s">
        <v>64</v>
      </c>
      <c r="C98" s="62" t="s">
        <v>80</v>
      </c>
      <c r="D98" s="63" t="s">
        <v>65</v>
      </c>
      <c r="E98" s="64">
        <f>'Htgan Volume'!CJ11</f>
        <v>1</v>
      </c>
      <c r="F98" s="137" t="s">
        <v>277</v>
      </c>
      <c r="G98" s="137" t="str">
        <f>F98</f>
        <v>incld</v>
      </c>
    </row>
    <row r="99" spans="2:9" x14ac:dyDescent="0.2">
      <c r="B99" s="61" t="s">
        <v>64</v>
      </c>
      <c r="C99" s="62" t="s">
        <v>81</v>
      </c>
      <c r="D99" s="63" t="s">
        <v>65</v>
      </c>
      <c r="E99" s="64">
        <f>'Htgan Volume'!CJ12</f>
        <v>1</v>
      </c>
      <c r="F99" s="137">
        <v>530000</v>
      </c>
      <c r="G99" s="65">
        <f t="shared" si="6"/>
        <v>530000</v>
      </c>
    </row>
    <row r="100" spans="2:9" x14ac:dyDescent="0.2">
      <c r="B100" s="61" t="s">
        <v>64</v>
      </c>
      <c r="C100" s="62" t="s">
        <v>82</v>
      </c>
      <c r="D100" s="63" t="s">
        <v>65</v>
      </c>
      <c r="E100" s="64">
        <f>'Htgan Volume'!CJ13</f>
        <v>1</v>
      </c>
      <c r="F100" s="137">
        <v>101000</v>
      </c>
      <c r="G100" s="65">
        <f t="shared" si="6"/>
        <v>101000</v>
      </c>
    </row>
    <row r="101" spans="2:9" x14ac:dyDescent="0.2">
      <c r="B101" s="61" t="s">
        <v>64</v>
      </c>
      <c r="C101" s="62" t="s">
        <v>83</v>
      </c>
      <c r="D101" s="63" t="s">
        <v>65</v>
      </c>
      <c r="E101" s="64">
        <f>'Htgan Volume'!CJ14</f>
        <v>1</v>
      </c>
      <c r="F101" s="137">
        <v>122850</v>
      </c>
      <c r="G101" s="65">
        <f t="shared" si="6"/>
        <v>122850</v>
      </c>
    </row>
    <row r="102" spans="2:9" x14ac:dyDescent="0.2">
      <c r="B102" s="62">
        <v>2</v>
      </c>
      <c r="C102" s="62" t="s">
        <v>84</v>
      </c>
      <c r="D102" s="62"/>
      <c r="E102" s="64"/>
      <c r="F102" s="137"/>
      <c r="G102" s="65">
        <f t="shared" si="6"/>
        <v>0</v>
      </c>
    </row>
    <row r="103" spans="2:9" x14ac:dyDescent="0.2">
      <c r="B103" s="61" t="s">
        <v>64</v>
      </c>
      <c r="C103" s="62" t="s">
        <v>85</v>
      </c>
      <c r="D103" s="63" t="s">
        <v>65</v>
      </c>
      <c r="E103" s="64">
        <f>'Htgan Volume'!CI20</f>
        <v>1</v>
      </c>
      <c r="F103" s="137">
        <v>255000</v>
      </c>
      <c r="G103" s="65">
        <f t="shared" si="6"/>
        <v>255000</v>
      </c>
    </row>
    <row r="104" spans="2:9" x14ac:dyDescent="0.2">
      <c r="B104" s="61" t="s">
        <v>64</v>
      </c>
      <c r="C104" s="62" t="s">
        <v>86</v>
      </c>
      <c r="D104" s="63" t="s">
        <v>65</v>
      </c>
      <c r="E104" s="64">
        <f>'Htgan Volume'!CI21</f>
        <v>1</v>
      </c>
      <c r="F104" s="137">
        <v>259000</v>
      </c>
      <c r="G104" s="65">
        <f t="shared" si="6"/>
        <v>259000</v>
      </c>
    </row>
    <row r="105" spans="2:9" x14ac:dyDescent="0.2">
      <c r="B105" s="61">
        <v>3</v>
      </c>
      <c r="C105" s="62" t="s">
        <v>87</v>
      </c>
      <c r="D105" s="63" t="s">
        <v>65</v>
      </c>
      <c r="E105" s="64">
        <f>'Htgan Volume'!CH27</f>
        <v>1</v>
      </c>
      <c r="F105" s="137">
        <v>154000</v>
      </c>
      <c r="G105" s="65">
        <f t="shared" si="6"/>
        <v>154000</v>
      </c>
    </row>
    <row r="106" spans="2:9" x14ac:dyDescent="0.2">
      <c r="B106" s="61">
        <v>4</v>
      </c>
      <c r="C106" s="62" t="s">
        <v>88</v>
      </c>
      <c r="D106" s="63" t="s">
        <v>65</v>
      </c>
      <c r="E106" s="64">
        <f>'Htgan Volume'!CH33</f>
        <v>1</v>
      </c>
      <c r="F106" s="137">
        <v>93000</v>
      </c>
      <c r="G106" s="65">
        <f t="shared" si="6"/>
        <v>93000</v>
      </c>
      <c r="H106" s="74"/>
      <c r="I106" s="74"/>
    </row>
    <row r="107" spans="2:9" x14ac:dyDescent="0.2">
      <c r="B107" s="61">
        <v>5</v>
      </c>
      <c r="C107" s="62" t="s">
        <v>89</v>
      </c>
      <c r="D107" s="63" t="s">
        <v>65</v>
      </c>
      <c r="E107" s="64">
        <f>'Htgan Volume'!CH39</f>
        <v>2</v>
      </c>
      <c r="F107" s="137">
        <v>104170</v>
      </c>
      <c r="G107" s="65">
        <f t="shared" si="6"/>
        <v>208340</v>
      </c>
    </row>
    <row r="108" spans="2:9" x14ac:dyDescent="0.2">
      <c r="B108" s="61">
        <v>6</v>
      </c>
      <c r="C108" s="62" t="s">
        <v>90</v>
      </c>
      <c r="D108" s="62"/>
      <c r="E108" s="70"/>
      <c r="F108" s="137"/>
      <c r="G108" s="65">
        <f t="shared" si="6"/>
        <v>0</v>
      </c>
    </row>
    <row r="109" spans="2:9" x14ac:dyDescent="0.2">
      <c r="B109" s="61" t="s">
        <v>64</v>
      </c>
      <c r="C109" s="62" t="s">
        <v>91</v>
      </c>
      <c r="D109" s="63" t="s">
        <v>10</v>
      </c>
      <c r="E109" s="64">
        <f>'Htgan Volume'!CH45</f>
        <v>10.9</v>
      </c>
      <c r="F109" s="137">
        <v>16062.516923728814</v>
      </c>
      <c r="G109" s="65">
        <f t="shared" si="6"/>
        <v>175081.43446864409</v>
      </c>
    </row>
    <row r="110" spans="2:9" x14ac:dyDescent="0.2">
      <c r="B110" s="61" t="s">
        <v>64</v>
      </c>
      <c r="C110" s="62" t="s">
        <v>92</v>
      </c>
      <c r="D110" s="63" t="s">
        <v>10</v>
      </c>
      <c r="E110" s="64">
        <f>'Htgan Volume'!CH46</f>
        <v>7.6</v>
      </c>
      <c r="F110" s="137">
        <v>18380.979923728813</v>
      </c>
      <c r="G110" s="65">
        <f t="shared" si="6"/>
        <v>139695.44742033898</v>
      </c>
    </row>
    <row r="111" spans="2:9" x14ac:dyDescent="0.2">
      <c r="B111" s="61">
        <v>7</v>
      </c>
      <c r="C111" s="62" t="s">
        <v>93</v>
      </c>
      <c r="D111" s="63"/>
      <c r="E111" s="70"/>
      <c r="F111" s="137"/>
      <c r="G111" s="65">
        <f t="shared" si="6"/>
        <v>0</v>
      </c>
    </row>
    <row r="112" spans="2:9" x14ac:dyDescent="0.2">
      <c r="B112" s="61" t="s">
        <v>64</v>
      </c>
      <c r="C112" s="62" t="s">
        <v>94</v>
      </c>
      <c r="D112" s="63" t="s">
        <v>10</v>
      </c>
      <c r="E112" s="64">
        <f>'Htgan Volume'!CH52</f>
        <v>8</v>
      </c>
      <c r="F112" s="137">
        <v>44590.030673728819</v>
      </c>
      <c r="G112" s="65">
        <f t="shared" si="6"/>
        <v>356720.24538983055</v>
      </c>
    </row>
    <row r="113" spans="2:7" x14ac:dyDescent="0.2">
      <c r="B113" s="61" t="s">
        <v>64</v>
      </c>
      <c r="C113" s="62" t="s">
        <v>95</v>
      </c>
      <c r="D113" s="63" t="s">
        <v>10</v>
      </c>
      <c r="E113" s="64">
        <f>'Htgan Volume'!CH53</f>
        <v>30</v>
      </c>
      <c r="F113" s="137">
        <v>66487.995923728813</v>
      </c>
      <c r="G113" s="65">
        <f t="shared" si="6"/>
        <v>1994639.8777118644</v>
      </c>
    </row>
    <row r="114" spans="2:7" x14ac:dyDescent="0.2">
      <c r="B114" s="61" t="s">
        <v>64</v>
      </c>
      <c r="C114" s="62" t="s">
        <v>96</v>
      </c>
      <c r="D114" s="63" t="s">
        <v>65</v>
      </c>
      <c r="E114" s="64">
        <f>'Htgan Volume'!CH54</f>
        <v>4</v>
      </c>
      <c r="F114" s="137">
        <v>200000</v>
      </c>
      <c r="G114" s="65">
        <f t="shared" si="6"/>
        <v>800000</v>
      </c>
    </row>
    <row r="115" spans="2:7" x14ac:dyDescent="0.2">
      <c r="B115" s="61" t="s">
        <v>64</v>
      </c>
      <c r="C115" s="62" t="s">
        <v>97</v>
      </c>
      <c r="D115" s="63" t="s">
        <v>65</v>
      </c>
      <c r="E115" s="64">
        <f>'Htgan Volume'!CH55</f>
        <v>1</v>
      </c>
      <c r="F115" s="137">
        <v>538656.875</v>
      </c>
      <c r="G115" s="65">
        <f t="shared" si="6"/>
        <v>538656.875</v>
      </c>
    </row>
    <row r="116" spans="2:7" x14ac:dyDescent="0.2">
      <c r="B116" s="61"/>
      <c r="C116" s="62"/>
      <c r="D116" s="63"/>
      <c r="E116" s="70"/>
      <c r="F116" s="64"/>
      <c r="G116" s="65">
        <f t="shared" si="6"/>
        <v>0</v>
      </c>
    </row>
    <row r="117" spans="2:7" x14ac:dyDescent="0.2">
      <c r="B117" s="61"/>
      <c r="C117" s="62"/>
      <c r="D117" s="63"/>
      <c r="E117" s="70"/>
      <c r="F117" s="64"/>
      <c r="G117" s="67">
        <f>SUM(G96:G115)</f>
        <v>8854733.8799906783</v>
      </c>
    </row>
    <row r="118" spans="2:7" x14ac:dyDescent="0.2">
      <c r="B118" s="68" t="s">
        <v>101</v>
      </c>
      <c r="C118" s="69" t="s">
        <v>239</v>
      </c>
      <c r="D118" s="63"/>
      <c r="E118" s="70"/>
      <c r="F118" s="64"/>
      <c r="G118" s="65">
        <f>F118*E118</f>
        <v>0</v>
      </c>
    </row>
    <row r="119" spans="2:7" x14ac:dyDescent="0.2">
      <c r="B119" s="68"/>
      <c r="C119" s="69" t="s">
        <v>240</v>
      </c>
      <c r="D119" s="63"/>
      <c r="E119" s="70"/>
      <c r="F119" s="64"/>
      <c r="G119" s="65"/>
    </row>
    <row r="120" spans="2:7" x14ac:dyDescent="0.2">
      <c r="B120" s="62">
        <v>1</v>
      </c>
      <c r="C120" s="62" t="s">
        <v>104</v>
      </c>
      <c r="D120" s="63" t="s">
        <v>105</v>
      </c>
      <c r="E120" s="64">
        <f>'Htgan Volume'!CQ10</f>
        <v>7</v>
      </c>
      <c r="F120" s="137">
        <v>227652.5</v>
      </c>
      <c r="G120" s="65">
        <f t="shared" ref="G120:G133" si="7">F120*E120</f>
        <v>1593567.5</v>
      </c>
    </row>
    <row r="121" spans="2:7" x14ac:dyDescent="0.2">
      <c r="B121" s="62">
        <v>2</v>
      </c>
      <c r="C121" s="62" t="s">
        <v>106</v>
      </c>
      <c r="D121" s="63" t="s">
        <v>105</v>
      </c>
      <c r="E121" s="64">
        <f>'Htgan Volume'!CQ16</f>
        <v>5</v>
      </c>
      <c r="F121" s="137">
        <v>198421.25</v>
      </c>
      <c r="G121" s="65">
        <f t="shared" si="7"/>
        <v>992106.25</v>
      </c>
    </row>
    <row r="122" spans="2:7" x14ac:dyDescent="0.2">
      <c r="B122" s="62">
        <v>3</v>
      </c>
      <c r="C122" s="62" t="s">
        <v>107</v>
      </c>
      <c r="D122" s="63" t="s">
        <v>65</v>
      </c>
      <c r="E122" s="64">
        <f>'Htgan Volume'!CQ22</f>
        <v>1</v>
      </c>
      <c r="F122" s="137">
        <v>212127.5</v>
      </c>
      <c r="G122" s="65">
        <f t="shared" si="7"/>
        <v>212127.5</v>
      </c>
    </row>
    <row r="123" spans="2:7" x14ac:dyDescent="0.2">
      <c r="B123" s="62">
        <v>4</v>
      </c>
      <c r="C123" s="62" t="s">
        <v>108</v>
      </c>
      <c r="D123" s="63" t="s">
        <v>105</v>
      </c>
      <c r="E123" s="64">
        <f>'Htgan Volume'!CQ29</f>
        <v>1</v>
      </c>
      <c r="F123" s="137">
        <v>250000</v>
      </c>
      <c r="G123" s="65">
        <f t="shared" si="7"/>
        <v>250000</v>
      </c>
    </row>
    <row r="124" spans="2:7" x14ac:dyDescent="0.2">
      <c r="B124" s="62">
        <v>5</v>
      </c>
      <c r="C124" s="62" t="s">
        <v>109</v>
      </c>
      <c r="D124" s="63" t="s">
        <v>105</v>
      </c>
      <c r="E124" s="64">
        <f>'Htgan Volume'!CQ36</f>
        <v>1</v>
      </c>
      <c r="F124" s="137">
        <v>250000</v>
      </c>
      <c r="G124" s="65">
        <f t="shared" si="7"/>
        <v>250000</v>
      </c>
    </row>
    <row r="125" spans="2:7" x14ac:dyDescent="0.2">
      <c r="B125" s="62">
        <v>6</v>
      </c>
      <c r="C125" s="62" t="s">
        <v>110</v>
      </c>
      <c r="D125" s="63" t="s">
        <v>105</v>
      </c>
      <c r="E125" s="64">
        <f>'Htgan Volume'!CQ43</f>
        <v>1</v>
      </c>
      <c r="F125" s="137">
        <v>246075</v>
      </c>
      <c r="G125" s="65">
        <f t="shared" si="7"/>
        <v>246075</v>
      </c>
    </row>
    <row r="126" spans="2:7" x14ac:dyDescent="0.2">
      <c r="B126" s="62">
        <v>7</v>
      </c>
      <c r="C126" s="62" t="s">
        <v>111</v>
      </c>
      <c r="D126" s="63" t="s">
        <v>105</v>
      </c>
      <c r="E126" s="64">
        <f>'Htgan Volume'!CQ49</f>
        <v>1</v>
      </c>
      <c r="F126" s="137">
        <v>242536.069716</v>
      </c>
      <c r="G126" s="73">
        <f>E126*F126</f>
        <v>242536.069716</v>
      </c>
    </row>
    <row r="127" spans="2:7" x14ac:dyDescent="0.2">
      <c r="B127" s="62">
        <v>8</v>
      </c>
      <c r="C127" s="62" t="s">
        <v>112</v>
      </c>
      <c r="D127" s="63" t="s">
        <v>105</v>
      </c>
      <c r="E127" s="64">
        <f>'Htgan Volume'!CQ56</f>
        <v>1</v>
      </c>
      <c r="F127" s="137">
        <v>725000</v>
      </c>
      <c r="G127" s="65">
        <f t="shared" si="7"/>
        <v>725000</v>
      </c>
    </row>
    <row r="128" spans="2:7" x14ac:dyDescent="0.2">
      <c r="B128" s="62">
        <v>9</v>
      </c>
      <c r="C128" s="62" t="s">
        <v>241</v>
      </c>
      <c r="D128" s="63" t="s">
        <v>65</v>
      </c>
      <c r="E128" s="64">
        <f>'Htgan Volume'!CQ62</f>
        <v>3</v>
      </c>
      <c r="F128" s="137">
        <v>22654.068380000001</v>
      </c>
      <c r="G128" s="65">
        <f t="shared" si="7"/>
        <v>67962.205140000005</v>
      </c>
    </row>
    <row r="129" spans="2:7" x14ac:dyDescent="0.2">
      <c r="B129" s="62">
        <v>10</v>
      </c>
      <c r="C129" s="62" t="s">
        <v>242</v>
      </c>
      <c r="D129" s="63" t="s">
        <v>65</v>
      </c>
      <c r="E129" s="64">
        <f>'Htgan Volume'!CQ68</f>
        <v>2</v>
      </c>
      <c r="F129" s="137">
        <v>32528.711060000001</v>
      </c>
      <c r="G129" s="65">
        <f t="shared" si="7"/>
        <v>65057.422120000003</v>
      </c>
    </row>
    <row r="130" spans="2:7" x14ac:dyDescent="0.2">
      <c r="B130" s="62">
        <v>11</v>
      </c>
      <c r="C130" s="62" t="s">
        <v>243</v>
      </c>
      <c r="D130" s="63" t="s">
        <v>65</v>
      </c>
      <c r="E130" s="64">
        <f>'Htgan Volume'!CQ74</f>
        <v>5</v>
      </c>
      <c r="F130" s="137">
        <v>44714.289499999999</v>
      </c>
      <c r="G130" s="65">
        <f t="shared" si="7"/>
        <v>223571.44750000001</v>
      </c>
    </row>
    <row r="131" spans="2:7" x14ac:dyDescent="0.2">
      <c r="B131" s="62">
        <v>12</v>
      </c>
      <c r="C131" s="62" t="s">
        <v>116</v>
      </c>
      <c r="D131" s="63" t="s">
        <v>117</v>
      </c>
      <c r="E131" s="64">
        <f>'Htgan Volume'!CQ81</f>
        <v>1</v>
      </c>
      <c r="F131" s="137">
        <v>750000</v>
      </c>
      <c r="G131" s="65">
        <f t="shared" si="7"/>
        <v>750000</v>
      </c>
    </row>
    <row r="132" spans="2:7" x14ac:dyDescent="0.2">
      <c r="B132" s="62">
        <v>13</v>
      </c>
      <c r="C132" s="62" t="s">
        <v>118</v>
      </c>
      <c r="D132" s="63" t="s">
        <v>119</v>
      </c>
      <c r="E132" s="64">
        <f>'Htgan Volume'!CQ88</f>
        <v>1</v>
      </c>
      <c r="F132" s="137">
        <v>350000</v>
      </c>
      <c r="G132" s="65">
        <f t="shared" si="7"/>
        <v>350000</v>
      </c>
    </row>
    <row r="133" spans="2:7" x14ac:dyDescent="0.2">
      <c r="B133" s="62">
        <v>14</v>
      </c>
      <c r="C133" s="62" t="s">
        <v>120</v>
      </c>
      <c r="D133" s="63" t="s">
        <v>99</v>
      </c>
      <c r="E133" s="64">
        <f>'Htgan Volume'!CQ95</f>
        <v>1</v>
      </c>
      <c r="F133" s="137">
        <v>1250000</v>
      </c>
      <c r="G133" s="65">
        <f t="shared" si="7"/>
        <v>1250000</v>
      </c>
    </row>
    <row r="134" spans="2:7" x14ac:dyDescent="0.2">
      <c r="B134" s="61"/>
      <c r="C134" s="62"/>
      <c r="D134" s="63"/>
      <c r="E134" s="70"/>
      <c r="F134" s="64"/>
      <c r="G134" s="75">
        <f>SUM(G120:G133)</f>
        <v>7218003.3944760002</v>
      </c>
    </row>
    <row r="135" spans="2:7" x14ac:dyDescent="0.2">
      <c r="B135" s="68" t="s">
        <v>121</v>
      </c>
      <c r="C135" s="69" t="s">
        <v>244</v>
      </c>
      <c r="D135" s="63"/>
      <c r="E135" s="70"/>
      <c r="F135" s="64"/>
      <c r="G135" s="65"/>
    </row>
    <row r="136" spans="2:7" x14ac:dyDescent="0.2">
      <c r="B136" s="82">
        <v>1</v>
      </c>
      <c r="C136" s="129" t="s">
        <v>98</v>
      </c>
      <c r="D136" s="82" t="s">
        <v>99</v>
      </c>
      <c r="E136" s="83">
        <f>'Htgan Volume'!CH61</f>
        <v>1</v>
      </c>
      <c r="F136" s="137">
        <v>2100000.4300000002</v>
      </c>
      <c r="G136" s="65">
        <f>F136*E136</f>
        <v>2100000.4300000002</v>
      </c>
    </row>
    <row r="137" spans="2:7" x14ac:dyDescent="0.2">
      <c r="B137" s="82"/>
      <c r="C137" s="129"/>
      <c r="D137" s="82"/>
      <c r="E137" s="83"/>
      <c r="F137" s="102"/>
      <c r="G137" s="65">
        <f>F137*E137</f>
        <v>0</v>
      </c>
    </row>
    <row r="138" spans="2:7" x14ac:dyDescent="0.2">
      <c r="B138" s="84"/>
      <c r="C138" s="85"/>
      <c r="D138" s="82"/>
      <c r="E138" s="83"/>
      <c r="F138" s="102"/>
      <c r="G138" s="75">
        <f>SUM(G136:G137)</f>
        <v>2100000.4300000002</v>
      </c>
    </row>
    <row r="139" spans="2:7" x14ac:dyDescent="0.2">
      <c r="B139" s="77" t="s">
        <v>121</v>
      </c>
      <c r="C139" s="78" t="s">
        <v>245</v>
      </c>
      <c r="D139" s="82"/>
      <c r="E139" s="130"/>
      <c r="F139" s="102"/>
      <c r="G139" s="75"/>
    </row>
    <row r="140" spans="2:7" x14ac:dyDescent="0.2">
      <c r="B140" s="82">
        <v>1</v>
      </c>
      <c r="C140" s="134" t="s">
        <v>279</v>
      </c>
      <c r="D140" s="82" t="s">
        <v>25</v>
      </c>
      <c r="E140" s="83">
        <f>'Htgan Volume'!CX8</f>
        <v>7.25</v>
      </c>
      <c r="F140" s="138">
        <v>378500</v>
      </c>
      <c r="G140" s="65">
        <f t="shared" ref="G140:G145" si="8">F140*E140</f>
        <v>2744125</v>
      </c>
    </row>
    <row r="141" spans="2:7" x14ac:dyDescent="0.2">
      <c r="B141" s="82"/>
      <c r="C141" s="136" t="s">
        <v>276</v>
      </c>
      <c r="D141" s="79"/>
      <c r="E141" s="80"/>
      <c r="F141" s="141"/>
      <c r="G141" s="65"/>
    </row>
    <row r="142" spans="2:7" x14ac:dyDescent="0.2">
      <c r="B142" s="82">
        <v>2</v>
      </c>
      <c r="C142" s="62" t="s">
        <v>123</v>
      </c>
      <c r="D142" s="63" t="s">
        <v>16</v>
      </c>
      <c r="E142" s="64">
        <f>'Htgan Volume'!CX15</f>
        <v>8.25</v>
      </c>
      <c r="F142" s="137">
        <v>72500</v>
      </c>
      <c r="G142" s="65">
        <f t="shared" si="8"/>
        <v>598125</v>
      </c>
    </row>
    <row r="143" spans="2:7" x14ac:dyDescent="0.2">
      <c r="B143" s="82">
        <v>5</v>
      </c>
      <c r="C143" s="129" t="s">
        <v>248</v>
      </c>
      <c r="D143" s="82" t="s">
        <v>99</v>
      </c>
      <c r="E143" s="83">
        <f>'Htgan Volume'!CX36</f>
        <v>1</v>
      </c>
      <c r="F143" s="138">
        <v>350000</v>
      </c>
      <c r="G143" s="65">
        <f t="shared" si="8"/>
        <v>350000</v>
      </c>
    </row>
    <row r="144" spans="2:7" x14ac:dyDescent="0.2">
      <c r="B144" s="133">
        <v>6</v>
      </c>
      <c r="C144" s="134" t="s">
        <v>274</v>
      </c>
      <c r="D144" s="135" t="s">
        <v>25</v>
      </c>
      <c r="E144" s="83">
        <v>8.25</v>
      </c>
      <c r="F144" s="138">
        <v>79600</v>
      </c>
      <c r="G144" s="65">
        <f t="shared" si="8"/>
        <v>656700</v>
      </c>
    </row>
    <row r="145" spans="2:7" x14ac:dyDescent="0.2">
      <c r="B145" s="133">
        <v>7</v>
      </c>
      <c r="C145" s="134" t="s">
        <v>275</v>
      </c>
      <c r="D145" s="135" t="s">
        <v>99</v>
      </c>
      <c r="E145" s="83">
        <v>8</v>
      </c>
      <c r="F145" s="138">
        <v>225000</v>
      </c>
      <c r="G145" s="65">
        <f t="shared" si="8"/>
        <v>1800000</v>
      </c>
    </row>
    <row r="146" spans="2:7" x14ac:dyDescent="0.2">
      <c r="B146" s="131"/>
      <c r="C146" s="77" t="s">
        <v>124</v>
      </c>
      <c r="D146" s="82"/>
      <c r="E146" s="83"/>
      <c r="F146" s="83"/>
      <c r="G146" s="75">
        <f>SUM(G140:G145)/2</f>
        <v>3074475</v>
      </c>
    </row>
    <row r="147" spans="2:7" x14ac:dyDescent="0.2">
      <c r="B147" s="84"/>
      <c r="C147" s="85"/>
      <c r="D147" s="84"/>
      <c r="E147" s="80"/>
      <c r="F147" s="83"/>
      <c r="G147" s="65"/>
    </row>
    <row r="148" spans="2:7" x14ac:dyDescent="0.2">
      <c r="B148" s="77" t="s">
        <v>121</v>
      </c>
      <c r="C148" s="78" t="s">
        <v>126</v>
      </c>
      <c r="D148" s="82"/>
      <c r="E148" s="83"/>
      <c r="F148" s="130"/>
      <c r="G148" s="65"/>
    </row>
    <row r="149" spans="2:7" x14ac:dyDescent="0.2">
      <c r="B149" s="82">
        <v>1</v>
      </c>
      <c r="C149" s="129" t="s">
        <v>249</v>
      </c>
      <c r="D149" s="82" t="s">
        <v>25</v>
      </c>
      <c r="E149" s="83">
        <f>'Htgan Volume'!DF8</f>
        <v>7.5</v>
      </c>
      <c r="F149" s="139">
        <v>97000.64122787732</v>
      </c>
      <c r="G149" s="65">
        <f>F149*E149</f>
        <v>727504.80920907995</v>
      </c>
    </row>
    <row r="150" spans="2:7" x14ac:dyDescent="0.2">
      <c r="B150" s="82">
        <v>2</v>
      </c>
      <c r="C150" s="129" t="s">
        <v>127</v>
      </c>
      <c r="D150" s="82" t="s">
        <v>25</v>
      </c>
      <c r="E150" s="83">
        <f>'Htgan Volume'!DF15</f>
        <v>6.85</v>
      </c>
      <c r="F150" s="138">
        <v>97000.64122787732</v>
      </c>
      <c r="G150" s="65">
        <f>F150*E150</f>
        <v>664454.39241095958</v>
      </c>
    </row>
    <row r="151" spans="2:7" x14ac:dyDescent="0.2">
      <c r="B151" s="82">
        <v>3</v>
      </c>
      <c r="C151" s="132" t="s">
        <v>128</v>
      </c>
      <c r="D151" s="82" t="s">
        <v>25</v>
      </c>
      <c r="E151" s="130">
        <f>'Htgan Volume'!DF21</f>
        <v>5</v>
      </c>
      <c r="F151" s="138">
        <v>59500.64122787732</v>
      </c>
      <c r="G151" s="65">
        <f>F151*E151</f>
        <v>297503.20613938663</v>
      </c>
    </row>
    <row r="152" spans="2:7" x14ac:dyDescent="0.2">
      <c r="B152" s="82"/>
      <c r="C152" s="132"/>
      <c r="D152" s="82"/>
      <c r="E152" s="130"/>
      <c r="F152" s="102"/>
      <c r="G152" s="65">
        <f>F152*E152</f>
        <v>0</v>
      </c>
    </row>
    <row r="153" spans="2:7" x14ac:dyDescent="0.2">
      <c r="B153" s="82"/>
      <c r="C153" s="132"/>
      <c r="D153" s="131"/>
      <c r="E153" s="130"/>
      <c r="F153" s="102"/>
      <c r="G153" s="75">
        <f>SUM(G149:G152)</f>
        <v>1689462.4077594262</v>
      </c>
    </row>
    <row r="154" spans="2:7" hidden="1" x14ac:dyDescent="0.2">
      <c r="B154" s="86"/>
      <c r="C154" s="87"/>
      <c r="D154" s="88"/>
      <c r="E154" s="89"/>
      <c r="F154" s="90"/>
      <c r="G154" s="90"/>
    </row>
    <row r="155" spans="2:7" hidden="1" x14ac:dyDescent="0.2">
      <c r="C155" s="87"/>
      <c r="D155" s="87"/>
      <c r="E155" s="81"/>
      <c r="F155" s="90"/>
      <c r="G155" s="90"/>
    </row>
    <row r="156" spans="2:7" hidden="1" x14ac:dyDescent="0.2">
      <c r="C156" s="87"/>
      <c r="D156" s="87"/>
      <c r="E156" s="91"/>
      <c r="F156" s="90"/>
      <c r="G156" s="90"/>
    </row>
    <row r="157" spans="2:7" hidden="1" x14ac:dyDescent="0.2">
      <c r="C157" s="87"/>
      <c r="D157" s="87"/>
      <c r="E157" s="91"/>
      <c r="F157" s="90"/>
      <c r="G157" s="90"/>
    </row>
    <row r="158" spans="2:7" hidden="1" x14ac:dyDescent="0.2">
      <c r="C158" s="87"/>
      <c r="D158" s="87"/>
      <c r="E158" s="91"/>
      <c r="F158" s="90"/>
      <c r="G158" s="90"/>
    </row>
    <row r="159" spans="2:7" hidden="1" x14ac:dyDescent="0.2">
      <c r="C159" s="87"/>
      <c r="D159" s="87"/>
      <c r="E159" s="91"/>
      <c r="F159" s="90"/>
      <c r="G159" s="90"/>
    </row>
    <row r="160" spans="2:7" hidden="1" x14ac:dyDescent="0.2">
      <c r="C160" s="87"/>
      <c r="D160" s="87"/>
      <c r="E160" s="91"/>
      <c r="F160" s="90"/>
      <c r="G160" s="90"/>
    </row>
    <row r="161" spans="3:7" hidden="1" x14ac:dyDescent="0.2">
      <c r="C161" s="87"/>
      <c r="D161" s="87"/>
      <c r="E161" s="91"/>
      <c r="F161" s="90"/>
      <c r="G161" s="90"/>
    </row>
    <row r="162" spans="3:7" hidden="1" x14ac:dyDescent="0.2">
      <c r="C162" s="87"/>
      <c r="D162" s="87"/>
      <c r="E162" s="91"/>
      <c r="F162" s="90"/>
      <c r="G162" s="90"/>
    </row>
    <row r="163" spans="3:7" hidden="1" x14ac:dyDescent="0.2">
      <c r="C163" s="87"/>
      <c r="D163" s="87"/>
      <c r="E163" s="91"/>
      <c r="F163" s="90"/>
      <c r="G163" s="90"/>
    </row>
    <row r="164" spans="3:7" hidden="1" x14ac:dyDescent="0.2">
      <c r="C164" s="87"/>
      <c r="D164" s="87"/>
      <c r="E164" s="91"/>
      <c r="F164" s="90"/>
      <c r="G164" s="90"/>
    </row>
    <row r="165" spans="3:7" hidden="1" x14ac:dyDescent="0.2">
      <c r="C165" s="87"/>
      <c r="D165" s="87"/>
      <c r="E165" s="91"/>
      <c r="F165" s="90"/>
      <c r="G165" s="90"/>
    </row>
    <row r="166" spans="3:7" hidden="1" x14ac:dyDescent="0.2">
      <c r="C166" s="87"/>
      <c r="D166" s="87"/>
      <c r="E166" s="91"/>
      <c r="F166" s="90"/>
      <c r="G166" s="90"/>
    </row>
    <row r="167" spans="3:7" hidden="1" x14ac:dyDescent="0.2">
      <c r="C167" s="87"/>
      <c r="D167" s="87"/>
      <c r="E167" s="91"/>
      <c r="F167" s="90"/>
      <c r="G167" s="90"/>
    </row>
    <row r="168" spans="3:7" hidden="1" x14ac:dyDescent="0.2">
      <c r="C168" s="87"/>
      <c r="D168" s="87"/>
      <c r="E168" s="91"/>
      <c r="F168" s="90"/>
      <c r="G168" s="90"/>
    </row>
    <row r="169" spans="3:7" hidden="1" x14ac:dyDescent="0.2">
      <c r="C169" s="87"/>
      <c r="D169" s="87"/>
      <c r="E169" s="91"/>
      <c r="F169" s="90"/>
      <c r="G169" s="90"/>
    </row>
    <row r="170" spans="3:7" hidden="1" x14ac:dyDescent="0.2">
      <c r="C170" s="87"/>
      <c r="D170" s="87"/>
      <c r="E170" s="91"/>
      <c r="F170" s="90"/>
      <c r="G170" s="90"/>
    </row>
    <row r="171" spans="3:7" hidden="1" x14ac:dyDescent="0.2">
      <c r="C171" s="87"/>
      <c r="D171" s="87"/>
      <c r="E171" s="91"/>
      <c r="F171" s="90"/>
      <c r="G171" s="90"/>
    </row>
    <row r="172" spans="3:7" hidden="1" x14ac:dyDescent="0.2">
      <c r="C172" s="87"/>
      <c r="D172" s="87"/>
      <c r="E172" s="91"/>
      <c r="F172" s="90"/>
      <c r="G172" s="90"/>
    </row>
    <row r="173" spans="3:7" hidden="1" x14ac:dyDescent="0.2">
      <c r="C173" s="87"/>
      <c r="D173" s="87"/>
      <c r="E173" s="91"/>
      <c r="F173" s="90"/>
      <c r="G173" s="90"/>
    </row>
    <row r="174" spans="3:7" hidden="1" x14ac:dyDescent="0.2">
      <c r="C174" s="87"/>
      <c r="D174" s="87"/>
      <c r="E174" s="91"/>
      <c r="F174" s="90"/>
      <c r="G174" s="90"/>
    </row>
    <row r="175" spans="3:7" hidden="1" x14ac:dyDescent="0.2">
      <c r="C175" s="87"/>
      <c r="D175" s="87"/>
      <c r="E175" s="91"/>
      <c r="F175" s="90"/>
      <c r="G175" s="90"/>
    </row>
    <row r="176" spans="3:7" x14ac:dyDescent="0.2">
      <c r="C176" s="87"/>
      <c r="D176" s="87"/>
      <c r="E176" s="91"/>
      <c r="F176" s="90"/>
      <c r="G176" s="90"/>
    </row>
    <row r="177" spans="2:8" x14ac:dyDescent="0.2">
      <c r="C177" s="87"/>
      <c r="D177" s="87"/>
      <c r="E177" s="92"/>
      <c r="F177" s="90"/>
      <c r="G177" s="90"/>
    </row>
    <row r="178" spans="2:8" ht="17.100000000000001" customHeight="1" x14ac:dyDescent="0.2">
      <c r="B178" s="43" t="s">
        <v>250</v>
      </c>
      <c r="F178" s="94" t="s">
        <v>251</v>
      </c>
      <c r="G178" s="94"/>
    </row>
    <row r="179" spans="2:8" x14ac:dyDescent="0.2">
      <c r="B179" s="95"/>
      <c r="C179" s="96"/>
      <c r="D179" s="96"/>
      <c r="E179" s="97"/>
      <c r="F179" s="98" t="s">
        <v>252</v>
      </c>
      <c r="G179" s="99"/>
    </row>
    <row r="180" spans="2:8" x14ac:dyDescent="0.2">
      <c r="B180" s="100" t="s">
        <v>7</v>
      </c>
      <c r="C180" s="58" t="s">
        <v>8</v>
      </c>
      <c r="D180" s="101"/>
      <c r="E180" s="83"/>
      <c r="F180" s="102">
        <f>G180/G198*100</f>
        <v>1.5134691554675337</v>
      </c>
      <c r="G180" s="75">
        <f>G15</f>
        <v>1932067.5</v>
      </c>
    </row>
    <row r="181" spans="2:8" x14ac:dyDescent="0.2">
      <c r="B181" s="68" t="s">
        <v>18</v>
      </c>
      <c r="C181" s="69" t="s">
        <v>198</v>
      </c>
      <c r="D181" s="101"/>
      <c r="E181" s="83"/>
      <c r="F181" s="102">
        <f>G181/G198*100</f>
        <v>2.0438172025032411</v>
      </c>
      <c r="G181" s="103">
        <f>G21</f>
        <v>2609100.2770899474</v>
      </c>
    </row>
    <row r="182" spans="2:8" x14ac:dyDescent="0.2">
      <c r="B182" s="68" t="s">
        <v>26</v>
      </c>
      <c r="C182" s="69" t="s">
        <v>201</v>
      </c>
      <c r="D182" s="101"/>
      <c r="E182" s="83"/>
      <c r="F182" s="102">
        <f>G182/G198*100</f>
        <v>3.1536142660662096</v>
      </c>
      <c r="G182" s="75">
        <f>G25</f>
        <v>4025847.2457079296</v>
      </c>
      <c r="H182" s="44" t="s">
        <v>253</v>
      </c>
    </row>
    <row r="183" spans="2:8" x14ac:dyDescent="0.2">
      <c r="B183" s="68" t="s">
        <v>31</v>
      </c>
      <c r="C183" s="69" t="s">
        <v>202</v>
      </c>
      <c r="D183" s="101"/>
      <c r="E183" s="83"/>
      <c r="F183" s="102">
        <f>G183/G198*100</f>
        <v>16.662265262945642</v>
      </c>
      <c r="G183" s="75">
        <f>G36</f>
        <v>21270748.118399173</v>
      </c>
    </row>
    <row r="184" spans="2:8" x14ac:dyDescent="0.2">
      <c r="B184" s="68" t="s">
        <v>39</v>
      </c>
      <c r="C184" s="69" t="s">
        <v>206</v>
      </c>
      <c r="D184" s="101"/>
      <c r="E184" s="83"/>
      <c r="F184" s="102">
        <f>G184/G198*100</f>
        <v>6.7602203689782119</v>
      </c>
      <c r="G184" s="75">
        <f>G45</f>
        <v>8629975.7220397443</v>
      </c>
    </row>
    <row r="185" spans="2:8" x14ac:dyDescent="0.2">
      <c r="B185" s="68" t="s">
        <v>44</v>
      </c>
      <c r="C185" s="69" t="s">
        <v>209</v>
      </c>
      <c r="D185" s="101"/>
      <c r="E185" s="83"/>
      <c r="F185" s="102">
        <f>G185/G198*100</f>
        <v>2.1919131452543503</v>
      </c>
      <c r="G185" s="103">
        <f>G51</f>
        <v>2798156.8936966388</v>
      </c>
    </row>
    <row r="186" spans="2:8" x14ac:dyDescent="0.2">
      <c r="B186" s="68" t="s">
        <v>46</v>
      </c>
      <c r="C186" s="69" t="s">
        <v>214</v>
      </c>
      <c r="D186" s="101"/>
      <c r="E186" s="83"/>
      <c r="F186" s="102">
        <f>G186/G198*100</f>
        <v>2.722288867138265</v>
      </c>
      <c r="G186" s="103">
        <f>G57</f>
        <v>3475225</v>
      </c>
    </row>
    <row r="187" spans="2:8" x14ac:dyDescent="0.2">
      <c r="B187" s="68" t="s">
        <v>50</v>
      </c>
      <c r="C187" s="69" t="s">
        <v>216</v>
      </c>
      <c r="D187" s="101"/>
      <c r="E187" s="83"/>
      <c r="F187" s="102">
        <f>G187/G198*100</f>
        <v>25.253851261276189</v>
      </c>
      <c r="G187" s="103">
        <f>G62</f>
        <v>32238612.260765295</v>
      </c>
    </row>
    <row r="188" spans="2:8" x14ac:dyDescent="0.2">
      <c r="B188" s="68" t="s">
        <v>55</v>
      </c>
      <c r="C188" s="69" t="s">
        <v>217</v>
      </c>
      <c r="D188" s="101"/>
      <c r="E188" s="83"/>
      <c r="F188" s="102">
        <f>G188/G198*100</f>
        <v>7.5310654156249841</v>
      </c>
      <c r="G188" s="103">
        <f>G70</f>
        <v>9614022.6428388245</v>
      </c>
    </row>
    <row r="189" spans="2:8" x14ac:dyDescent="0.2">
      <c r="B189" s="68" t="s">
        <v>62</v>
      </c>
      <c r="C189" s="69" t="s">
        <v>63</v>
      </c>
      <c r="D189" s="101"/>
      <c r="E189" s="83"/>
      <c r="F189" s="102">
        <f>G189/G198*100</f>
        <v>11.705589857041447</v>
      </c>
      <c r="G189" s="103">
        <f>G86</f>
        <v>14943145.454545455</v>
      </c>
    </row>
    <row r="190" spans="2:8" x14ac:dyDescent="0.2">
      <c r="B190" s="68" t="s">
        <v>70</v>
      </c>
      <c r="C190" s="69" t="s">
        <v>235</v>
      </c>
      <c r="D190" s="101"/>
      <c r="E190" s="83"/>
      <c r="F190" s="102">
        <f>G190/G198*100</f>
        <v>2.4946497517456274</v>
      </c>
      <c r="G190" s="103">
        <f>G93</f>
        <v>3184625</v>
      </c>
    </row>
    <row r="191" spans="2:8" x14ac:dyDescent="0.2">
      <c r="B191" s="68" t="s">
        <v>76</v>
      </c>
      <c r="C191" s="69" t="s">
        <v>238</v>
      </c>
      <c r="D191" s="101"/>
      <c r="E191" s="83"/>
      <c r="F191" s="102">
        <f>G191/G198*100</f>
        <v>6.936282819952849</v>
      </c>
      <c r="G191" s="103">
        <f>G117</f>
        <v>8854733.8799906783</v>
      </c>
    </row>
    <row r="192" spans="2:8" x14ac:dyDescent="0.2">
      <c r="B192" s="68" t="s">
        <v>101</v>
      </c>
      <c r="C192" s="69" t="s">
        <v>239</v>
      </c>
      <c r="D192" s="101"/>
      <c r="E192" s="83"/>
      <c r="F192" s="102">
        <f>G192/G198*100</f>
        <v>5.6541634811409978</v>
      </c>
      <c r="G192" s="103">
        <f>G134</f>
        <v>7218003.3944760002</v>
      </c>
    </row>
    <row r="193" spans="2:7" x14ac:dyDescent="0.2">
      <c r="B193" s="68" t="s">
        <v>121</v>
      </c>
      <c r="C193" s="69" t="str">
        <f>C135</f>
        <v>PEK. LAIN - LAIN</v>
      </c>
      <c r="D193" s="101"/>
      <c r="E193" s="83"/>
      <c r="F193" s="102">
        <f>G193/G198*100</f>
        <v>1.6450180323790748</v>
      </c>
      <c r="G193" s="103">
        <f>G138</f>
        <v>2100000.4300000002</v>
      </c>
    </row>
    <row r="194" spans="2:7" x14ac:dyDescent="0.2">
      <c r="B194" s="68" t="s">
        <v>125</v>
      </c>
      <c r="C194" s="69" t="str">
        <f>C139</f>
        <v>PEK. PERUBAHAN BENTUK TAMPAK MUKA</v>
      </c>
      <c r="D194" s="101"/>
      <c r="E194" s="83"/>
      <c r="F194" s="102">
        <f>G194/G198*100</f>
        <v>2.4083646569056443</v>
      </c>
      <c r="G194" s="103">
        <f>G146</f>
        <v>3074475</v>
      </c>
    </row>
    <row r="195" spans="2:7" x14ac:dyDescent="0.2">
      <c r="B195" s="68" t="s">
        <v>254</v>
      </c>
      <c r="C195" s="69" t="str">
        <f>C148</f>
        <v>PEKERJAAN PLESTER DINDING SAMPING</v>
      </c>
      <c r="D195" s="101"/>
      <c r="E195" s="83"/>
      <c r="F195" s="102">
        <f>G195/G198*100</f>
        <v>1.3234264555797377</v>
      </c>
      <c r="G195" s="103">
        <f>G153</f>
        <v>1689462.4077594262</v>
      </c>
    </row>
    <row r="196" spans="2:7" x14ac:dyDescent="0.2">
      <c r="B196" s="104"/>
      <c r="C196" s="105"/>
      <c r="D196" s="106"/>
      <c r="E196" s="92"/>
      <c r="F196" s="107">
        <f>SUM(F180:F195)</f>
        <v>100</v>
      </c>
      <c r="G196" s="108"/>
    </row>
    <row r="197" spans="2:7" x14ac:dyDescent="0.2">
      <c r="F197" s="94"/>
      <c r="G197" s="107"/>
    </row>
    <row r="198" spans="2:7" x14ac:dyDescent="0.2">
      <c r="F198" s="109" t="s">
        <v>129</v>
      </c>
      <c r="G198" s="110">
        <f>SUM(G180:G197)</f>
        <v>127658201.22730911</v>
      </c>
    </row>
    <row r="199" spans="2:7" x14ac:dyDescent="0.2">
      <c r="F199" s="111" t="s">
        <v>255</v>
      </c>
      <c r="G199" s="112">
        <f>0.1*G198</f>
        <v>12765820.122730911</v>
      </c>
    </row>
    <row r="200" spans="2:7" x14ac:dyDescent="0.2">
      <c r="F200" s="45" t="s">
        <v>130</v>
      </c>
      <c r="G200" s="113">
        <f>G199+G198</f>
        <v>140424021.35004002</v>
      </c>
    </row>
    <row r="201" spans="2:7" x14ac:dyDescent="0.2">
      <c r="E201" s="125"/>
      <c r="F201" s="45" t="s">
        <v>131</v>
      </c>
      <c r="G201" s="112">
        <f>0.1*G200</f>
        <v>14042402.135004003</v>
      </c>
    </row>
    <row r="202" spans="2:7" x14ac:dyDescent="0.2">
      <c r="E202" s="125"/>
      <c r="F202" s="111" t="s">
        <v>132</v>
      </c>
      <c r="G202" s="110">
        <f>G201+G200</f>
        <v>154466423.48504403</v>
      </c>
    </row>
    <row r="203" spans="2:7" x14ac:dyDescent="0.2">
      <c r="E203" s="126"/>
      <c r="F203" s="111"/>
      <c r="G203" s="110"/>
    </row>
    <row r="204" spans="2:7" x14ac:dyDescent="0.2">
      <c r="E204" s="126"/>
      <c r="F204" s="114" t="s">
        <v>256</v>
      </c>
      <c r="G204" s="115">
        <f>ROUNDDOWN(G202,-4)</f>
        <v>154460000</v>
      </c>
    </row>
    <row r="205" spans="2:7" x14ac:dyDescent="0.2">
      <c r="E205" s="126"/>
      <c r="F205" s="114"/>
      <c r="G205" s="115"/>
    </row>
    <row r="206" spans="2:7" x14ac:dyDescent="0.2">
      <c r="E206" s="127" t="s">
        <v>257</v>
      </c>
      <c r="G206" s="46">
        <v>34</v>
      </c>
    </row>
    <row r="207" spans="2:7" x14ac:dyDescent="0.2">
      <c r="E207" s="127"/>
      <c r="G207" s="111"/>
    </row>
    <row r="208" spans="2:7" x14ac:dyDescent="0.2">
      <c r="D208" s="116" t="s">
        <v>258</v>
      </c>
      <c r="E208" s="127" t="s">
        <v>259</v>
      </c>
      <c r="G208" s="117">
        <f>G200/G206</f>
        <v>4130118.2750011771</v>
      </c>
    </row>
    <row r="209" spans="7:7" x14ac:dyDescent="0.2">
      <c r="G209" s="118"/>
    </row>
  </sheetData>
  <mergeCells count="3">
    <mergeCell ref="B5:B6"/>
    <mergeCell ref="C5:C6"/>
    <mergeCell ref="D5:D6"/>
  </mergeCells>
  <printOptions horizontalCentered="1"/>
  <pageMargins left="0.39370078740157483" right="0.39370078740157483" top="0.78740157480314965" bottom="0.39370078740157483" header="0.31496062992125984" footer="0.31496062992125984"/>
  <pageSetup paperSize="9" scale="98" fitToHeight="0" orientation="portrait" horizontalDpi="4294967293" verticalDpi="4294967293" r:id="rId1"/>
  <headerFooter alignWithMargins="0">
    <oddFooter>&amp;A&amp;RPage &amp;P</oddFooter>
  </headerFooter>
  <rowBreaks count="1" manualBreakCount="1">
    <brk id="153" max="16383" man="1"/>
  </rowBreaks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85"/>
  <sheetViews>
    <sheetView tabSelected="1" workbookViewId="0">
      <selection activeCell="G6" sqref="G6"/>
    </sheetView>
  </sheetViews>
  <sheetFormatPr defaultRowHeight="15" x14ac:dyDescent="0.25"/>
  <cols>
    <col min="1" max="1" width="2.7109375" customWidth="1"/>
    <col min="2" max="2" width="3.5703125" customWidth="1"/>
    <col min="3" max="3" width="52.140625" customWidth="1"/>
    <col min="4" max="4" width="5.140625" customWidth="1"/>
    <col min="5" max="5" width="10.42578125" customWidth="1"/>
    <col min="6" max="6" width="13" customWidth="1"/>
    <col min="7" max="7" width="12.85546875" customWidth="1"/>
  </cols>
  <sheetData>
    <row r="1" spans="2:9" ht="18" x14ac:dyDescent="0.25">
      <c r="B1" s="42" t="s">
        <v>0</v>
      </c>
      <c r="C1" s="43"/>
      <c r="D1" s="44"/>
      <c r="E1" s="93"/>
      <c r="F1" s="46"/>
      <c r="G1" s="46"/>
    </row>
    <row r="2" spans="2:9" ht="18" x14ac:dyDescent="0.25">
      <c r="B2" s="42" t="s">
        <v>194</v>
      </c>
      <c r="C2" s="43"/>
      <c r="D2" s="44"/>
      <c r="E2" s="93"/>
      <c r="F2" s="46"/>
      <c r="G2" s="46"/>
    </row>
    <row r="3" spans="2:9" ht="18" x14ac:dyDescent="0.25">
      <c r="B3" s="42" t="s">
        <v>195</v>
      </c>
      <c r="C3" s="43"/>
      <c r="D3" s="44"/>
      <c r="E3" s="93"/>
      <c r="F3" s="46"/>
      <c r="G3" s="46"/>
    </row>
    <row r="4" spans="2:9" ht="18.75" x14ac:dyDescent="0.3">
      <c r="B4" s="44"/>
      <c r="C4" s="47">
        <f>G185</f>
        <v>4123018.0287630805</v>
      </c>
      <c r="D4" s="44"/>
      <c r="E4" s="122"/>
      <c r="F4" s="48"/>
      <c r="G4" s="49" t="s">
        <v>272</v>
      </c>
      <c r="I4" s="143" t="s">
        <v>290</v>
      </c>
    </row>
    <row r="5" spans="2:9" x14ac:dyDescent="0.25">
      <c r="B5" s="147" t="s">
        <v>1</v>
      </c>
      <c r="C5" s="147" t="s">
        <v>2</v>
      </c>
      <c r="D5" s="147" t="s">
        <v>3</v>
      </c>
      <c r="E5" s="50" t="s">
        <v>4</v>
      </c>
      <c r="F5" s="51" t="s">
        <v>5</v>
      </c>
      <c r="G5" s="128" t="s">
        <v>6</v>
      </c>
    </row>
    <row r="6" spans="2:9" ht="15.75" thickBot="1" x14ac:dyDescent="0.3">
      <c r="B6" s="148"/>
      <c r="C6" s="148"/>
      <c r="D6" s="148"/>
      <c r="E6" s="52" t="s">
        <v>292</v>
      </c>
      <c r="F6" s="52" t="s">
        <v>197</v>
      </c>
      <c r="G6" s="52" t="s">
        <v>292</v>
      </c>
    </row>
    <row r="7" spans="2:9" ht="16.5" thickTop="1" x14ac:dyDescent="0.25">
      <c r="B7" s="53"/>
      <c r="C7" s="54"/>
      <c r="D7" s="55"/>
      <c r="E7" s="123"/>
      <c r="F7" s="56"/>
      <c r="G7" s="56"/>
    </row>
    <row r="8" spans="2:9" x14ac:dyDescent="0.25">
      <c r="B8" s="57" t="s">
        <v>7</v>
      </c>
      <c r="C8" s="58" t="s">
        <v>8</v>
      </c>
      <c r="D8" s="59"/>
      <c r="E8" s="124"/>
      <c r="F8" s="60"/>
      <c r="G8" s="60"/>
    </row>
    <row r="9" spans="2:9" x14ac:dyDescent="0.25">
      <c r="B9" s="61">
        <v>1</v>
      </c>
      <c r="C9" s="62" t="s">
        <v>9</v>
      </c>
      <c r="D9" s="63" t="s">
        <v>10</v>
      </c>
      <c r="E9" s="64">
        <f>'Htgan Volume'!D10</f>
        <v>34</v>
      </c>
      <c r="F9" s="137">
        <v>16782.150000000001</v>
      </c>
      <c r="G9" s="65">
        <f t="shared" ref="G9:G14" si="0">F9*E9</f>
        <v>570593.10000000009</v>
      </c>
    </row>
    <row r="10" spans="2:9" x14ac:dyDescent="0.25">
      <c r="B10" s="62">
        <v>2</v>
      </c>
      <c r="C10" s="62" t="s">
        <v>11</v>
      </c>
      <c r="D10" s="63" t="s">
        <v>12</v>
      </c>
      <c r="E10" s="64">
        <f>'Htgan Volume'!D16</f>
        <v>1</v>
      </c>
      <c r="F10" s="137">
        <v>358518.52</v>
      </c>
      <c r="G10" s="65">
        <f t="shared" si="0"/>
        <v>358518.52</v>
      </c>
    </row>
    <row r="11" spans="2:9" x14ac:dyDescent="0.25">
      <c r="B11" s="62">
        <v>3</v>
      </c>
      <c r="C11" s="62" t="s">
        <v>13</v>
      </c>
      <c r="D11" s="63" t="s">
        <v>12</v>
      </c>
      <c r="E11" s="64">
        <f>'Htgan Volume'!D22</f>
        <v>1</v>
      </c>
      <c r="F11" s="137">
        <v>488888.89</v>
      </c>
      <c r="G11" s="65">
        <f t="shared" si="0"/>
        <v>488888.89</v>
      </c>
    </row>
    <row r="12" spans="2:9" x14ac:dyDescent="0.25">
      <c r="B12" s="62">
        <v>4</v>
      </c>
      <c r="C12" s="62" t="s">
        <v>14</v>
      </c>
      <c r="D12" s="63" t="s">
        <v>12</v>
      </c>
      <c r="E12" s="64">
        <f>'Htgan Volume'!D28</f>
        <v>1</v>
      </c>
      <c r="F12" s="137">
        <v>385000</v>
      </c>
      <c r="G12" s="65">
        <f t="shared" si="0"/>
        <v>385000</v>
      </c>
    </row>
    <row r="13" spans="2:9" x14ac:dyDescent="0.25">
      <c r="B13" s="61">
        <v>5</v>
      </c>
      <c r="C13" s="62" t="s">
        <v>15</v>
      </c>
      <c r="D13" s="63" t="s">
        <v>16</v>
      </c>
      <c r="E13" s="64">
        <f>'Htgan Volume'!D38</f>
        <v>22.352499999999992</v>
      </c>
      <c r="F13" s="137">
        <v>7700</v>
      </c>
      <c r="G13" s="65">
        <f t="shared" si="0"/>
        <v>172114.24999999994</v>
      </c>
    </row>
    <row r="14" spans="2:9" x14ac:dyDescent="0.25">
      <c r="B14" s="61"/>
      <c r="C14" s="62" t="s">
        <v>17</v>
      </c>
      <c r="D14" s="63" t="s">
        <v>16</v>
      </c>
      <c r="E14" s="64">
        <f>'Htgan Volume'!D48</f>
        <v>35.120000000000005</v>
      </c>
      <c r="F14" s="137">
        <v>5500</v>
      </c>
      <c r="G14" s="65">
        <f t="shared" si="0"/>
        <v>193160.00000000003</v>
      </c>
    </row>
    <row r="15" spans="2:9" x14ac:dyDescent="0.25">
      <c r="B15" s="62"/>
      <c r="C15" s="62"/>
      <c r="D15" s="63"/>
      <c r="E15" s="70"/>
      <c r="F15" s="137"/>
      <c r="G15" s="67">
        <f>SUM(G9:G14)</f>
        <v>2168274.7600000002</v>
      </c>
    </row>
    <row r="16" spans="2:9" x14ac:dyDescent="0.25">
      <c r="B16" s="68" t="s">
        <v>18</v>
      </c>
      <c r="C16" s="69" t="s">
        <v>198</v>
      </c>
      <c r="D16" s="63"/>
      <c r="E16" s="70"/>
      <c r="F16" s="137"/>
      <c r="G16" s="65">
        <f>F16*E16</f>
        <v>0</v>
      </c>
    </row>
    <row r="17" spans="2:7" x14ac:dyDescent="0.25">
      <c r="B17" s="61">
        <v>1</v>
      </c>
      <c r="C17" s="62" t="s">
        <v>20</v>
      </c>
      <c r="D17" s="63" t="s">
        <v>21</v>
      </c>
      <c r="E17" s="64">
        <f>'Htgan Volume'!K12</f>
        <v>16.834500000000002</v>
      </c>
      <c r="F17" s="137">
        <v>60500</v>
      </c>
      <c r="G17" s="65">
        <f>F17*E17</f>
        <v>1018487.2500000001</v>
      </c>
    </row>
    <row r="18" spans="2:7" x14ac:dyDescent="0.25">
      <c r="B18" s="61">
        <v>2</v>
      </c>
      <c r="C18" s="62" t="s">
        <v>199</v>
      </c>
      <c r="D18" s="63" t="s">
        <v>21</v>
      </c>
      <c r="E18" s="64">
        <f>'Htgan Volume'!K18</f>
        <v>5.6115000000000004</v>
      </c>
      <c r="F18" s="137">
        <v>33000</v>
      </c>
      <c r="G18" s="65">
        <f>F18*E18</f>
        <v>185179.5</v>
      </c>
    </row>
    <row r="19" spans="2:7" x14ac:dyDescent="0.25">
      <c r="B19" s="61">
        <v>3</v>
      </c>
      <c r="C19" s="62" t="s">
        <v>23</v>
      </c>
      <c r="D19" s="63" t="s">
        <v>21</v>
      </c>
      <c r="E19" s="64">
        <f>'Htgan Volume'!K27</f>
        <v>1.7560000000000002</v>
      </c>
      <c r="F19" s="137">
        <v>234850</v>
      </c>
      <c r="G19" s="65">
        <f>F19*E19</f>
        <v>412396.60000000003</v>
      </c>
    </row>
    <row r="20" spans="2:7" x14ac:dyDescent="0.25">
      <c r="B20" s="61">
        <v>4</v>
      </c>
      <c r="C20" s="62" t="s">
        <v>200</v>
      </c>
      <c r="D20" s="63" t="s">
        <v>21</v>
      </c>
      <c r="E20" s="64">
        <f>'Htgan Volume'!K33</f>
        <v>1.4048000000000003</v>
      </c>
      <c r="F20" s="137">
        <v>756882</v>
      </c>
      <c r="G20" s="65">
        <f>F20*E20</f>
        <v>1063267.8336000002</v>
      </c>
    </row>
    <row r="21" spans="2:7" x14ac:dyDescent="0.25">
      <c r="B21" s="62"/>
      <c r="C21" s="62"/>
      <c r="D21" s="63"/>
      <c r="E21" s="64"/>
      <c r="F21" s="64"/>
      <c r="G21" s="67">
        <f>SUM(G17:G20)</f>
        <v>2679331.1836000001</v>
      </c>
    </row>
    <row r="22" spans="2:7" x14ac:dyDescent="0.25">
      <c r="B22" s="68" t="s">
        <v>26</v>
      </c>
      <c r="C22" s="69" t="s">
        <v>201</v>
      </c>
      <c r="D22" s="62"/>
      <c r="E22" s="64"/>
      <c r="F22" s="64"/>
      <c r="G22" s="65">
        <f>F22*E22</f>
        <v>0</v>
      </c>
    </row>
    <row r="23" spans="2:7" x14ac:dyDescent="0.25">
      <c r="B23" s="61">
        <v>1</v>
      </c>
      <c r="C23" s="62" t="s">
        <v>28</v>
      </c>
      <c r="D23" s="63" t="s">
        <v>21</v>
      </c>
      <c r="E23" s="64">
        <f>'Htgan Volume'!T11</f>
        <v>6.6480000000000006</v>
      </c>
      <c r="F23" s="137">
        <v>587700</v>
      </c>
      <c r="G23" s="65">
        <f>F23*E23</f>
        <v>3907029.6000000006</v>
      </c>
    </row>
    <row r="24" spans="2:7" x14ac:dyDescent="0.25">
      <c r="B24" s="61">
        <v>2</v>
      </c>
      <c r="C24" s="62" t="s">
        <v>29</v>
      </c>
      <c r="D24" s="63" t="s">
        <v>30</v>
      </c>
      <c r="E24" s="64">
        <f>'Htgan Volume'!T17</f>
        <v>10.535</v>
      </c>
      <c r="F24" s="137">
        <v>63570</v>
      </c>
      <c r="G24" s="65">
        <f>F24*E24</f>
        <v>669709.94999999995</v>
      </c>
    </row>
    <row r="25" spans="2:7" x14ac:dyDescent="0.25">
      <c r="B25" s="68"/>
      <c r="C25" s="62"/>
      <c r="D25" s="63"/>
      <c r="E25" s="70"/>
      <c r="F25" s="65"/>
      <c r="G25" s="67">
        <f>SUM(G23:G24)</f>
        <v>4576739.5500000007</v>
      </c>
    </row>
    <row r="26" spans="2:7" x14ac:dyDescent="0.25">
      <c r="B26" s="68" t="s">
        <v>31</v>
      </c>
      <c r="C26" s="69" t="s">
        <v>202</v>
      </c>
      <c r="D26" s="62"/>
      <c r="E26" s="70"/>
      <c r="F26" s="65"/>
      <c r="G26" s="65"/>
    </row>
    <row r="27" spans="2:7" x14ac:dyDescent="0.25">
      <c r="B27" s="68"/>
      <c r="C27" s="69" t="s">
        <v>33</v>
      </c>
      <c r="D27" s="62"/>
      <c r="E27" s="71"/>
      <c r="F27" s="65"/>
      <c r="G27" s="65"/>
    </row>
    <row r="28" spans="2:7" x14ac:dyDescent="0.25">
      <c r="B28" s="61">
        <v>1</v>
      </c>
      <c r="C28" s="62" t="s">
        <v>203</v>
      </c>
      <c r="D28" s="63" t="s">
        <v>21</v>
      </c>
      <c r="E28" s="72">
        <f>'Htgan Volume'!AA11</f>
        <v>1.5464999999999998</v>
      </c>
      <c r="F28" s="137">
        <v>4511898.58</v>
      </c>
      <c r="G28" s="65">
        <f t="shared" ref="G28:G35" si="1">F28*E28</f>
        <v>6977651.1539699994</v>
      </c>
    </row>
    <row r="29" spans="2:7" x14ac:dyDescent="0.25">
      <c r="B29" s="61">
        <v>2</v>
      </c>
      <c r="C29" s="62" t="s">
        <v>204</v>
      </c>
      <c r="D29" s="63" t="s">
        <v>21</v>
      </c>
      <c r="E29" s="64">
        <f>'Htgan Volume'!AA19</f>
        <v>0.63300000000000001</v>
      </c>
      <c r="F29" s="137">
        <v>2946513.2575881095</v>
      </c>
      <c r="G29" s="65">
        <f t="shared" si="1"/>
        <v>1865142.8920532733</v>
      </c>
    </row>
    <row r="30" spans="2:7" x14ac:dyDescent="0.25">
      <c r="B30" s="61">
        <v>3</v>
      </c>
      <c r="C30" s="62" t="s">
        <v>35</v>
      </c>
      <c r="D30" s="63" t="s">
        <v>21</v>
      </c>
      <c r="E30" s="64">
        <f>'Htgan Volume'!AA27</f>
        <v>1.6364999999999998</v>
      </c>
      <c r="F30" s="137">
        <v>5289881.0999999996</v>
      </c>
      <c r="G30" s="65">
        <f t="shared" si="1"/>
        <v>8656890.4201499987</v>
      </c>
    </row>
    <row r="31" spans="2:7" x14ac:dyDescent="0.25">
      <c r="B31" s="61">
        <v>4</v>
      </c>
      <c r="C31" s="62" t="s">
        <v>205</v>
      </c>
      <c r="D31" s="63" t="s">
        <v>21</v>
      </c>
      <c r="E31" s="64">
        <f>'Htgan Volume'!AB39</f>
        <v>2.1017249999999996</v>
      </c>
      <c r="F31" s="137">
        <v>4820307.08</v>
      </c>
      <c r="G31" s="65">
        <f t="shared" si="1"/>
        <v>10130959.897712998</v>
      </c>
    </row>
    <row r="32" spans="2:7" x14ac:dyDescent="0.25">
      <c r="B32" s="61">
        <v>5</v>
      </c>
      <c r="C32" s="62" t="s">
        <v>280</v>
      </c>
      <c r="D32" s="63" t="s">
        <v>21</v>
      </c>
      <c r="E32" s="72">
        <f>'Htgan Volume'!AB48</f>
        <v>0.26195000000000002</v>
      </c>
      <c r="F32" s="137">
        <v>4179282.3254379947</v>
      </c>
      <c r="G32" s="65">
        <f t="shared" si="1"/>
        <v>1094763.0051484827</v>
      </c>
    </row>
    <row r="33" spans="2:7" x14ac:dyDescent="0.25">
      <c r="B33" s="61">
        <v>6</v>
      </c>
      <c r="C33" s="62" t="s">
        <v>36</v>
      </c>
      <c r="D33" s="63" t="s">
        <v>21</v>
      </c>
      <c r="E33" s="64">
        <f>'Htgan Volume'!AA57</f>
        <v>0.29759999999999998</v>
      </c>
      <c r="F33" s="137">
        <v>2200000</v>
      </c>
      <c r="G33" s="65">
        <f t="shared" si="1"/>
        <v>654720</v>
      </c>
    </row>
    <row r="34" spans="2:7" x14ac:dyDescent="0.25">
      <c r="B34" s="61">
        <v>7</v>
      </c>
      <c r="C34" s="62" t="s">
        <v>37</v>
      </c>
      <c r="D34" s="63" t="s">
        <v>21</v>
      </c>
      <c r="E34" s="64">
        <f>'Htgan Volume'!AA66</f>
        <v>0.29699999999999993</v>
      </c>
      <c r="F34" s="137">
        <v>2470238.3217307329</v>
      </c>
      <c r="G34" s="65">
        <f>F34*E34</f>
        <v>733660.78155402746</v>
      </c>
    </row>
    <row r="35" spans="2:7" x14ac:dyDescent="0.25">
      <c r="B35" s="61">
        <v>8</v>
      </c>
      <c r="C35" s="62" t="s">
        <v>38</v>
      </c>
      <c r="D35" s="63" t="s">
        <v>21</v>
      </c>
      <c r="E35" s="64">
        <f>'Htgan Volume'!AA75</f>
        <v>0.13500000000000001</v>
      </c>
      <c r="F35" s="137">
        <v>2200000</v>
      </c>
      <c r="G35" s="65">
        <f t="shared" si="1"/>
        <v>297000</v>
      </c>
    </row>
    <row r="36" spans="2:7" x14ac:dyDescent="0.25">
      <c r="B36" s="68"/>
      <c r="C36" s="62"/>
      <c r="D36" s="63"/>
      <c r="E36" s="70"/>
      <c r="F36" s="64"/>
      <c r="G36" s="67">
        <f>SUM(G28:G35)</f>
        <v>30410788.150588777</v>
      </c>
    </row>
    <row r="37" spans="2:7" x14ac:dyDescent="0.25">
      <c r="B37" s="68" t="s">
        <v>39</v>
      </c>
      <c r="C37" s="69" t="s">
        <v>206</v>
      </c>
      <c r="D37" s="63"/>
      <c r="E37" s="70"/>
      <c r="F37" s="64"/>
      <c r="G37" s="65">
        <f>F37*E37</f>
        <v>0</v>
      </c>
    </row>
    <row r="38" spans="2:7" x14ac:dyDescent="0.25">
      <c r="B38" s="61">
        <v>1</v>
      </c>
      <c r="C38" s="142" t="s">
        <v>281</v>
      </c>
      <c r="D38" s="63" t="s">
        <v>16</v>
      </c>
      <c r="E38" s="64">
        <f>'Htgan Volume'!AH8</f>
        <v>2</v>
      </c>
      <c r="F38" s="137">
        <v>164966.39000000001</v>
      </c>
      <c r="G38" s="65">
        <f>F38*E38</f>
        <v>329932.78000000003</v>
      </c>
    </row>
    <row r="39" spans="2:7" x14ac:dyDescent="0.25">
      <c r="B39" s="61">
        <v>2</v>
      </c>
      <c r="C39" s="142" t="s">
        <v>282</v>
      </c>
      <c r="D39" s="63" t="s">
        <v>16</v>
      </c>
      <c r="E39" s="64">
        <f>'Htgan Volume'!AH15</f>
        <v>3.2</v>
      </c>
      <c r="F39" s="137">
        <f>F38</f>
        <v>164966.39000000001</v>
      </c>
      <c r="G39" s="65">
        <f>F39*E39</f>
        <v>527892.44800000009</v>
      </c>
    </row>
    <row r="40" spans="2:7" x14ac:dyDescent="0.25">
      <c r="B40" s="61">
        <v>3</v>
      </c>
      <c r="C40" s="142" t="s">
        <v>283</v>
      </c>
      <c r="D40" s="63"/>
      <c r="E40" s="64"/>
      <c r="F40" s="137"/>
      <c r="G40" s="65"/>
    </row>
    <row r="41" spans="2:7" x14ac:dyDescent="0.25">
      <c r="B41" s="61"/>
      <c r="C41" s="142" t="s">
        <v>284</v>
      </c>
      <c r="D41" s="63" t="s">
        <v>16</v>
      </c>
      <c r="E41" s="64">
        <f>'Htgan Volume'!AH28</f>
        <v>28.08</v>
      </c>
      <c r="F41" s="137">
        <v>153911.39000000001</v>
      </c>
      <c r="G41" s="65">
        <f>F41*E41</f>
        <v>4321831.8311999999</v>
      </c>
    </row>
    <row r="42" spans="2:7" x14ac:dyDescent="0.25">
      <c r="B42" s="61">
        <v>4</v>
      </c>
      <c r="C42" s="142" t="s">
        <v>207</v>
      </c>
      <c r="D42" s="63" t="s">
        <v>16</v>
      </c>
      <c r="E42" s="64">
        <f>'Htgan Volume'!AH37</f>
        <v>2.92</v>
      </c>
      <c r="F42" s="137">
        <v>122396.39</v>
      </c>
      <c r="G42" s="65">
        <f>F42*E42</f>
        <v>357397.45879999996</v>
      </c>
    </row>
    <row r="43" spans="2:7" x14ac:dyDescent="0.25">
      <c r="B43" s="61">
        <v>5</v>
      </c>
      <c r="C43" s="142" t="s">
        <v>285</v>
      </c>
      <c r="D43" s="63" t="s">
        <v>10</v>
      </c>
      <c r="E43" s="64">
        <f>'Htgan Volume'!AH43</f>
        <v>6.05</v>
      </c>
      <c r="F43" s="137">
        <v>28242.189805976079</v>
      </c>
      <c r="G43" s="65">
        <f>F43*E43</f>
        <v>170865.24832615527</v>
      </c>
    </row>
    <row r="44" spans="2:7" x14ac:dyDescent="0.25">
      <c r="B44" s="61">
        <v>6</v>
      </c>
      <c r="C44" s="142" t="s">
        <v>208</v>
      </c>
      <c r="D44" s="63" t="s">
        <v>16</v>
      </c>
      <c r="E44" s="64">
        <f>'Htgan Volume'!AH50</f>
        <v>13.5</v>
      </c>
      <c r="F44" s="137">
        <v>157000</v>
      </c>
      <c r="G44" s="65">
        <f>F44*E44</f>
        <v>2119500</v>
      </c>
    </row>
    <row r="45" spans="2:7" x14ac:dyDescent="0.25">
      <c r="B45" s="68"/>
      <c r="C45" s="62"/>
      <c r="D45" s="63"/>
      <c r="E45" s="70"/>
      <c r="F45" s="64"/>
      <c r="G45" s="67">
        <f>SUM(G38:G44)</f>
        <v>7827419.7663261555</v>
      </c>
    </row>
    <row r="46" spans="2:7" x14ac:dyDescent="0.25">
      <c r="B46" s="68" t="s">
        <v>44</v>
      </c>
      <c r="C46" s="69" t="s">
        <v>209</v>
      </c>
      <c r="D46" s="63"/>
      <c r="E46" s="70"/>
      <c r="F46" s="64"/>
      <c r="G46" s="65">
        <f>F46*E46</f>
        <v>0</v>
      </c>
    </row>
    <row r="47" spans="2:7" x14ac:dyDescent="0.25">
      <c r="B47" s="68"/>
      <c r="C47" s="62" t="s">
        <v>45</v>
      </c>
      <c r="D47" s="63"/>
      <c r="E47" s="70"/>
      <c r="F47" s="64"/>
      <c r="G47" s="65">
        <f>F47*E47</f>
        <v>0</v>
      </c>
    </row>
    <row r="48" spans="2:7" x14ac:dyDescent="0.25">
      <c r="B48" s="61">
        <v>1</v>
      </c>
      <c r="C48" s="142" t="s">
        <v>286</v>
      </c>
      <c r="D48" s="63" t="s">
        <v>16</v>
      </c>
      <c r="E48" s="64">
        <f>'Htgan Volume'!AO8</f>
        <v>15.8</v>
      </c>
      <c r="F48" s="137">
        <v>161184.25</v>
      </c>
      <c r="G48" s="65">
        <f>F48*E48</f>
        <v>2546711.15</v>
      </c>
    </row>
    <row r="49" spans="2:7" x14ac:dyDescent="0.25">
      <c r="B49" s="61">
        <v>2</v>
      </c>
      <c r="C49" s="142" t="s">
        <v>287</v>
      </c>
      <c r="D49" s="63" t="s">
        <v>16</v>
      </c>
      <c r="E49" s="64">
        <f>'Htgan Volume'!AO21</f>
        <v>1.4</v>
      </c>
      <c r="F49" s="137">
        <v>155271.75</v>
      </c>
      <c r="G49" s="65">
        <f>F49*E49</f>
        <v>217380.44999999998</v>
      </c>
    </row>
    <row r="50" spans="2:7" x14ac:dyDescent="0.25">
      <c r="B50" s="61">
        <v>3</v>
      </c>
      <c r="C50" s="142" t="s">
        <v>213</v>
      </c>
      <c r="D50" s="63" t="s">
        <v>16</v>
      </c>
      <c r="E50" s="64">
        <f>'Htgan Volume'!AO28</f>
        <v>2.25</v>
      </c>
      <c r="F50" s="137">
        <v>220766.5</v>
      </c>
      <c r="G50" s="65">
        <f>F50*E50</f>
        <v>496724.625</v>
      </c>
    </row>
    <row r="51" spans="2:7" x14ac:dyDescent="0.25">
      <c r="B51" s="61"/>
      <c r="C51" s="62"/>
      <c r="D51" s="63"/>
      <c r="E51" s="70"/>
      <c r="F51" s="66"/>
      <c r="G51" s="67">
        <f>SUM(G48:G50)</f>
        <v>3260816.2250000001</v>
      </c>
    </row>
    <row r="52" spans="2:7" x14ac:dyDescent="0.25">
      <c r="B52" s="68" t="s">
        <v>46</v>
      </c>
      <c r="C52" s="69" t="s">
        <v>214</v>
      </c>
      <c r="D52" s="62"/>
      <c r="E52" s="70"/>
      <c r="F52" s="64"/>
      <c r="G52" s="65">
        <f>F52*E52</f>
        <v>0</v>
      </c>
    </row>
    <row r="53" spans="2:7" x14ac:dyDescent="0.25">
      <c r="B53" s="62">
        <v>1</v>
      </c>
      <c r="C53" s="142" t="s">
        <v>47</v>
      </c>
      <c r="D53" s="63" t="s">
        <v>16</v>
      </c>
      <c r="E53" s="64">
        <f>'Htgan Volume'!AV13</f>
        <v>28.08</v>
      </c>
      <c r="F53" s="137">
        <v>74800</v>
      </c>
      <c r="G53" s="65">
        <f>F53*E53</f>
        <v>2100384</v>
      </c>
    </row>
    <row r="54" spans="2:7" x14ac:dyDescent="0.25">
      <c r="B54" s="62">
        <v>2</v>
      </c>
      <c r="C54" s="142" t="s">
        <v>215</v>
      </c>
      <c r="D54" s="63" t="s">
        <v>10</v>
      </c>
      <c r="E54" s="64">
        <f>'Htgan Volume'!AV24</f>
        <v>36.975000000000001</v>
      </c>
      <c r="F54" s="137">
        <v>15400</v>
      </c>
      <c r="G54" s="65">
        <f>F54*E54</f>
        <v>569415</v>
      </c>
    </row>
    <row r="55" spans="2:7" x14ac:dyDescent="0.25">
      <c r="B55" s="61">
        <v>3</v>
      </c>
      <c r="C55" s="142" t="s">
        <v>48</v>
      </c>
      <c r="D55" s="63" t="s">
        <v>10</v>
      </c>
      <c r="E55" s="64">
        <f>'Htgan Volume'!AV33</f>
        <v>13.2</v>
      </c>
      <c r="F55" s="137">
        <v>13750</v>
      </c>
      <c r="G55" s="65">
        <f>F55*E55</f>
        <v>181500</v>
      </c>
    </row>
    <row r="56" spans="2:7" x14ac:dyDescent="0.25">
      <c r="B56" s="61">
        <v>4</v>
      </c>
      <c r="C56" s="142" t="s">
        <v>49</v>
      </c>
      <c r="D56" s="63" t="s">
        <v>16</v>
      </c>
      <c r="E56" s="64">
        <f>'Htgan Volume'!AV44</f>
        <v>8.120000000000001</v>
      </c>
      <c r="F56" s="137">
        <v>82500</v>
      </c>
      <c r="G56" s="65">
        <f>F56*E56</f>
        <v>669900.00000000012</v>
      </c>
    </row>
    <row r="57" spans="2:7" x14ac:dyDescent="0.25">
      <c r="B57" s="68"/>
      <c r="C57" s="62"/>
      <c r="D57" s="62"/>
      <c r="E57" s="70"/>
      <c r="F57" s="64"/>
      <c r="G57" s="75">
        <f>SUM(G53:G56)</f>
        <v>3521199</v>
      </c>
    </row>
    <row r="58" spans="2:7" x14ac:dyDescent="0.25">
      <c r="B58" s="68" t="s">
        <v>50</v>
      </c>
      <c r="C58" s="69" t="s">
        <v>216</v>
      </c>
      <c r="D58" s="63"/>
      <c r="E58" s="70"/>
      <c r="F58" s="66"/>
      <c r="G58" s="65">
        <f>F58*E58</f>
        <v>0</v>
      </c>
    </row>
    <row r="59" spans="2:7" x14ac:dyDescent="0.25">
      <c r="B59" s="61">
        <v>1</v>
      </c>
      <c r="C59" s="62" t="s">
        <v>52</v>
      </c>
      <c r="D59" s="63" t="s">
        <v>16</v>
      </c>
      <c r="E59" s="64">
        <f>'Htgan Volume'!BC9</f>
        <v>25.742499999999996</v>
      </c>
      <c r="F59" s="138">
        <v>82043.5</v>
      </c>
      <c r="G59" s="65">
        <f>F59*E59</f>
        <v>2112004.7987499996</v>
      </c>
    </row>
    <row r="60" spans="2:7" x14ac:dyDescent="0.25">
      <c r="B60" s="61">
        <v>2</v>
      </c>
      <c r="C60" s="62" t="s">
        <v>53</v>
      </c>
      <c r="D60" s="63" t="s">
        <v>16</v>
      </c>
      <c r="E60" s="64">
        <f>'Htgan Volume'!BC24</f>
        <v>138.39875000000001</v>
      </c>
      <c r="F60" s="139">
        <v>79843.5</v>
      </c>
      <c r="G60" s="65">
        <f>F60*E60</f>
        <v>11050240.595625</v>
      </c>
    </row>
    <row r="61" spans="2:7" x14ac:dyDescent="0.25">
      <c r="B61" s="61">
        <v>3</v>
      </c>
      <c r="C61" s="62" t="s">
        <v>54</v>
      </c>
      <c r="D61" s="63" t="s">
        <v>16</v>
      </c>
      <c r="E61" s="64">
        <f>'Htgan Volume'!BC33</f>
        <v>317.78250000000003</v>
      </c>
      <c r="F61" s="140">
        <v>63593.75</v>
      </c>
      <c r="G61" s="65">
        <f>F61*E61</f>
        <v>20208980.859375</v>
      </c>
    </row>
    <row r="62" spans="2:7" x14ac:dyDescent="0.25">
      <c r="B62" s="61"/>
      <c r="C62" s="62"/>
      <c r="D62" s="63"/>
      <c r="E62" s="70"/>
      <c r="F62" s="66"/>
      <c r="G62" s="67">
        <f>SUM(G59:G61)</f>
        <v>33371226.25375</v>
      </c>
    </row>
    <row r="63" spans="2:7" x14ac:dyDescent="0.25">
      <c r="B63" s="68" t="s">
        <v>55</v>
      </c>
      <c r="C63" s="69" t="s">
        <v>217</v>
      </c>
      <c r="D63" s="62"/>
      <c r="E63" s="70"/>
      <c r="F63" s="64"/>
      <c r="G63" s="65">
        <f t="shared" ref="G63:G69" si="2">F63*E63</f>
        <v>0</v>
      </c>
    </row>
    <row r="64" spans="2:7" x14ac:dyDescent="0.25">
      <c r="B64" s="61">
        <v>1</v>
      </c>
      <c r="C64" s="62" t="s">
        <v>56</v>
      </c>
      <c r="D64" s="63" t="s">
        <v>16</v>
      </c>
      <c r="E64" s="64">
        <f>'Htgan Volume'!BJ12</f>
        <v>40.5</v>
      </c>
      <c r="F64" s="137">
        <v>117150</v>
      </c>
      <c r="G64" s="65">
        <f t="shared" si="2"/>
        <v>4744575</v>
      </c>
    </row>
    <row r="65" spans="2:7" x14ac:dyDescent="0.25">
      <c r="B65" s="61">
        <v>2</v>
      </c>
      <c r="C65" s="62" t="s">
        <v>57</v>
      </c>
      <c r="D65" s="63" t="s">
        <v>16</v>
      </c>
      <c r="E65" s="64">
        <f>'Htgan Volume'!BJ21</f>
        <v>40.5</v>
      </c>
      <c r="F65" s="137">
        <v>90463</v>
      </c>
      <c r="G65" s="65">
        <f t="shared" si="2"/>
        <v>3663751.5</v>
      </c>
    </row>
    <row r="66" spans="2:7" x14ac:dyDescent="0.25">
      <c r="B66" s="61">
        <v>3</v>
      </c>
      <c r="C66" s="62" t="s">
        <v>58</v>
      </c>
      <c r="D66" s="63" t="s">
        <v>10</v>
      </c>
      <c r="E66" s="64">
        <f>'Htgan Volume'!BJ28</f>
        <v>16.75</v>
      </c>
      <c r="F66" s="137">
        <v>38492</v>
      </c>
      <c r="G66" s="65">
        <f t="shared" si="2"/>
        <v>644741</v>
      </c>
    </row>
    <row r="67" spans="2:7" x14ac:dyDescent="0.25">
      <c r="B67" s="62">
        <v>4</v>
      </c>
      <c r="C67" s="62" t="s">
        <v>59</v>
      </c>
      <c r="D67" s="63" t="s">
        <v>10</v>
      </c>
      <c r="E67" s="64">
        <f>'Htgan Volume'!BJ34</f>
        <v>18</v>
      </c>
      <c r="F67" s="137">
        <v>28250</v>
      </c>
      <c r="G67" s="65">
        <f t="shared" si="2"/>
        <v>508500</v>
      </c>
    </row>
    <row r="68" spans="2:7" x14ac:dyDescent="0.25">
      <c r="B68" s="62">
        <v>5</v>
      </c>
      <c r="C68" s="62" t="s">
        <v>60</v>
      </c>
      <c r="D68" s="63" t="s">
        <v>10</v>
      </c>
      <c r="E68" s="64">
        <f>'Htgan Volume'!BJ40</f>
        <v>5</v>
      </c>
      <c r="F68" s="137">
        <v>70700</v>
      </c>
      <c r="G68" s="65">
        <f t="shared" si="2"/>
        <v>353500</v>
      </c>
    </row>
    <row r="69" spans="2:7" x14ac:dyDescent="0.25">
      <c r="B69" s="62">
        <v>6</v>
      </c>
      <c r="C69" s="62" t="s">
        <v>61</v>
      </c>
      <c r="D69" s="63" t="s">
        <v>10</v>
      </c>
      <c r="E69" s="64">
        <f>'Htgan Volume'!BJ49</f>
        <v>7</v>
      </c>
      <c r="F69" s="137">
        <v>71312</v>
      </c>
      <c r="G69" s="65">
        <f t="shared" si="2"/>
        <v>499184</v>
      </c>
    </row>
    <row r="70" spans="2:7" x14ac:dyDescent="0.25">
      <c r="B70" s="68"/>
      <c r="C70" s="62"/>
      <c r="D70" s="62"/>
      <c r="E70" s="70"/>
      <c r="F70" s="64"/>
      <c r="G70" s="67">
        <f>SUM(G64:G69)</f>
        <v>10414251.5</v>
      </c>
    </row>
    <row r="71" spans="2:7" x14ac:dyDescent="0.25">
      <c r="B71" s="68" t="s">
        <v>62</v>
      </c>
      <c r="C71" s="69" t="s">
        <v>63</v>
      </c>
      <c r="D71" s="62"/>
      <c r="E71" s="76"/>
      <c r="F71" s="64"/>
      <c r="G71" s="65">
        <f t="shared" ref="G71:G85" si="3">F71*E71</f>
        <v>0</v>
      </c>
    </row>
    <row r="72" spans="2:7" x14ac:dyDescent="0.25">
      <c r="B72" s="61">
        <v>1</v>
      </c>
      <c r="C72" s="142" t="s">
        <v>288</v>
      </c>
      <c r="D72" s="62"/>
      <c r="E72" s="70"/>
      <c r="F72" s="64"/>
      <c r="G72" s="65">
        <f t="shared" si="3"/>
        <v>0</v>
      </c>
    </row>
    <row r="73" spans="2:7" x14ac:dyDescent="0.25">
      <c r="B73" s="61" t="s">
        <v>64</v>
      </c>
      <c r="C73" s="62" t="s">
        <v>220</v>
      </c>
      <c r="D73" s="63" t="s">
        <v>65</v>
      </c>
      <c r="E73" s="64">
        <f>'Htgan Volume'!BR8</f>
        <v>4</v>
      </c>
      <c r="F73" s="137">
        <v>885500</v>
      </c>
      <c r="G73" s="65">
        <f t="shared" si="3"/>
        <v>3542000</v>
      </c>
    </row>
    <row r="74" spans="2:7" x14ac:dyDescent="0.25">
      <c r="B74" s="61" t="s">
        <v>64</v>
      </c>
      <c r="C74" s="62" t="s">
        <v>222</v>
      </c>
      <c r="D74" s="63" t="s">
        <v>65</v>
      </c>
      <c r="E74" s="64">
        <f>'Htgan Volume'!BR12</f>
        <v>1</v>
      </c>
      <c r="F74" s="137">
        <v>1237500</v>
      </c>
      <c r="G74" s="65">
        <f t="shared" si="3"/>
        <v>1237500</v>
      </c>
    </row>
    <row r="75" spans="2:7" x14ac:dyDescent="0.25">
      <c r="B75" s="61">
        <v>2</v>
      </c>
      <c r="C75" s="142" t="s">
        <v>289</v>
      </c>
      <c r="D75" s="63"/>
      <c r="E75" s="70">
        <v>1</v>
      </c>
      <c r="F75" s="137">
        <v>11522500</v>
      </c>
      <c r="G75" s="137">
        <v>11522500</v>
      </c>
    </row>
    <row r="76" spans="2:7" x14ac:dyDescent="0.25">
      <c r="B76" s="61" t="s">
        <v>64</v>
      </c>
      <c r="C76" s="62" t="s">
        <v>224</v>
      </c>
      <c r="D76" s="63" t="s">
        <v>67</v>
      </c>
      <c r="E76" s="64">
        <f>'Htgan Volume'!BS19</f>
        <v>1</v>
      </c>
      <c r="F76" s="137" t="s">
        <v>277</v>
      </c>
      <c r="G76" s="137" t="s">
        <v>277</v>
      </c>
    </row>
    <row r="77" spans="2:7" x14ac:dyDescent="0.25">
      <c r="B77" s="61" t="s">
        <v>64</v>
      </c>
      <c r="C77" s="62" t="s">
        <v>225</v>
      </c>
      <c r="D77" s="63" t="s">
        <v>67</v>
      </c>
      <c r="E77" s="64">
        <f>'Htgan Volume'!BS21</f>
        <v>1</v>
      </c>
      <c r="F77" s="137" t="s">
        <v>277</v>
      </c>
      <c r="G77" s="137" t="s">
        <v>277</v>
      </c>
    </row>
    <row r="78" spans="2:7" x14ac:dyDescent="0.25">
      <c r="B78" s="61" t="s">
        <v>64</v>
      </c>
      <c r="C78" s="62" t="s">
        <v>226</v>
      </c>
      <c r="D78" s="63" t="s">
        <v>67</v>
      </c>
      <c r="E78" s="64">
        <f>'Htgan Volume'!BS23</f>
        <v>1</v>
      </c>
      <c r="F78" s="137" t="s">
        <v>277</v>
      </c>
      <c r="G78" s="137" t="s">
        <v>277</v>
      </c>
    </row>
    <row r="79" spans="2:7" x14ac:dyDescent="0.25">
      <c r="B79" s="61" t="s">
        <v>64</v>
      </c>
      <c r="C79" s="62" t="s">
        <v>227</v>
      </c>
      <c r="D79" s="63" t="s">
        <v>67</v>
      </c>
      <c r="E79" s="64">
        <f>'Htgan Volume'!BS25</f>
        <v>1</v>
      </c>
      <c r="F79" s="137" t="s">
        <v>277</v>
      </c>
      <c r="G79" s="137" t="s">
        <v>277</v>
      </c>
    </row>
    <row r="80" spans="2:7" x14ac:dyDescent="0.25">
      <c r="B80" s="61" t="s">
        <v>64</v>
      </c>
      <c r="C80" s="62" t="s">
        <v>228</v>
      </c>
      <c r="D80" s="63" t="s">
        <v>67</v>
      </c>
      <c r="E80" s="64">
        <f>'Htgan Volume'!BS27</f>
        <v>1</v>
      </c>
      <c r="F80" s="137" t="s">
        <v>277</v>
      </c>
      <c r="G80" s="137" t="s">
        <v>277</v>
      </c>
    </row>
    <row r="81" spans="2:7" x14ac:dyDescent="0.25">
      <c r="B81" s="61" t="s">
        <v>64</v>
      </c>
      <c r="C81" s="62" t="s">
        <v>229</v>
      </c>
      <c r="D81" s="63" t="s">
        <v>67</v>
      </c>
      <c r="E81" s="64">
        <f>'Htgan Volume'!BS29</f>
        <v>2</v>
      </c>
      <c r="F81" s="137" t="s">
        <v>277</v>
      </c>
      <c r="G81" s="137" t="s">
        <v>277</v>
      </c>
    </row>
    <row r="82" spans="2:7" x14ac:dyDescent="0.25">
      <c r="B82" s="61">
        <v>3</v>
      </c>
      <c r="C82" s="62" t="s">
        <v>68</v>
      </c>
      <c r="D82" s="63"/>
      <c r="E82" s="70"/>
      <c r="F82" s="64"/>
      <c r="G82" s="65">
        <f t="shared" si="3"/>
        <v>0</v>
      </c>
    </row>
    <row r="83" spans="2:7" x14ac:dyDescent="0.25">
      <c r="B83" s="61" t="s">
        <v>64</v>
      </c>
      <c r="C83" s="62" t="s">
        <v>273</v>
      </c>
      <c r="D83" s="63" t="s">
        <v>65</v>
      </c>
      <c r="E83" s="64">
        <f>'Htgan Volume'!BR35</f>
        <v>1</v>
      </c>
      <c r="F83" s="137">
        <v>399360</v>
      </c>
      <c r="G83" s="65">
        <f t="shared" si="3"/>
        <v>399360</v>
      </c>
    </row>
    <row r="84" spans="2:7" x14ac:dyDescent="0.25">
      <c r="B84" s="61" t="s">
        <v>64</v>
      </c>
      <c r="C84" s="62" t="s">
        <v>230</v>
      </c>
      <c r="D84" s="63" t="s">
        <v>65</v>
      </c>
      <c r="E84" s="64">
        <f>'Htgan Volume'!BR37</f>
        <v>4</v>
      </c>
      <c r="F84" s="137">
        <v>175000</v>
      </c>
      <c r="G84" s="65">
        <f>F84*E84</f>
        <v>700000</v>
      </c>
    </row>
    <row r="85" spans="2:7" x14ac:dyDescent="0.25">
      <c r="B85" s="61" t="s">
        <v>64</v>
      </c>
      <c r="C85" s="62" t="s">
        <v>69</v>
      </c>
      <c r="D85" s="63" t="s">
        <v>66</v>
      </c>
      <c r="E85" s="64">
        <f>'Htgan Volume'!BR38</f>
        <v>15</v>
      </c>
      <c r="F85" s="137">
        <v>21600</v>
      </c>
      <c r="G85" s="65">
        <f t="shared" si="3"/>
        <v>324000</v>
      </c>
    </row>
    <row r="86" spans="2:7" x14ac:dyDescent="0.25">
      <c r="B86" s="61"/>
      <c r="C86" s="62"/>
      <c r="D86" s="63"/>
      <c r="E86" s="70"/>
      <c r="F86" s="64"/>
      <c r="G86" s="67">
        <f>SUM(G73:G85)</f>
        <v>17725360</v>
      </c>
    </row>
    <row r="87" spans="2:7" x14ac:dyDescent="0.25">
      <c r="B87" s="68" t="s">
        <v>70</v>
      </c>
      <c r="C87" s="69" t="s">
        <v>235</v>
      </c>
      <c r="D87" s="63"/>
      <c r="E87" s="70"/>
      <c r="F87" s="64"/>
      <c r="G87" s="65">
        <f t="shared" ref="G87:G92" si="4">F87*E87</f>
        <v>0</v>
      </c>
    </row>
    <row r="88" spans="2:7" x14ac:dyDescent="0.25">
      <c r="B88" s="62">
        <v>1</v>
      </c>
      <c r="C88" s="62" t="s">
        <v>236</v>
      </c>
      <c r="D88" s="63" t="s">
        <v>16</v>
      </c>
      <c r="E88" s="64">
        <f>'Htgan Volume'!BZ12</f>
        <v>114.125</v>
      </c>
      <c r="F88" s="137">
        <v>15400</v>
      </c>
      <c r="G88" s="65">
        <f t="shared" si="4"/>
        <v>1757525</v>
      </c>
    </row>
    <row r="89" spans="2:7" x14ac:dyDescent="0.25">
      <c r="B89" s="62">
        <v>2</v>
      </c>
      <c r="C89" s="62" t="s">
        <v>71</v>
      </c>
      <c r="D89" s="63" t="s">
        <v>16</v>
      </c>
      <c r="E89" s="64">
        <f>'Htgan Volume'!BZ24</f>
        <v>42.65</v>
      </c>
      <c r="F89" s="137">
        <v>26950</v>
      </c>
      <c r="G89" s="65">
        <f t="shared" si="4"/>
        <v>1149417.5</v>
      </c>
    </row>
    <row r="90" spans="2:7" x14ac:dyDescent="0.25">
      <c r="B90" s="62">
        <v>3</v>
      </c>
      <c r="C90" s="62" t="s">
        <v>237</v>
      </c>
      <c r="D90" s="63" t="s">
        <v>16</v>
      </c>
      <c r="E90" s="64">
        <f>'Htgan Volume'!BZ36</f>
        <v>37.799999999999997</v>
      </c>
      <c r="F90" s="137">
        <v>15400</v>
      </c>
      <c r="G90" s="65">
        <f t="shared" si="4"/>
        <v>582120</v>
      </c>
    </row>
    <row r="91" spans="2:7" x14ac:dyDescent="0.25">
      <c r="B91" s="62">
        <v>4</v>
      </c>
      <c r="C91" s="62" t="s">
        <v>72</v>
      </c>
      <c r="D91" s="63" t="s">
        <v>16</v>
      </c>
      <c r="E91" s="64">
        <f>'Htgan Volume'!BZ47</f>
        <v>15.307500000000001</v>
      </c>
      <c r="F91" s="137">
        <v>26950</v>
      </c>
      <c r="G91" s="65">
        <f t="shared" si="4"/>
        <v>412537.125</v>
      </c>
    </row>
    <row r="92" spans="2:7" x14ac:dyDescent="0.25">
      <c r="B92" s="62">
        <v>5</v>
      </c>
      <c r="C92" s="62" t="s">
        <v>73</v>
      </c>
      <c r="D92" s="63" t="s">
        <v>10</v>
      </c>
      <c r="E92" s="64">
        <f>'Htgan Volume'!BZ53</f>
        <v>5</v>
      </c>
      <c r="F92" s="137">
        <v>16500</v>
      </c>
      <c r="G92" s="65">
        <f t="shared" si="4"/>
        <v>82500</v>
      </c>
    </row>
    <row r="93" spans="2:7" x14ac:dyDescent="0.25">
      <c r="B93" s="61"/>
      <c r="C93" s="62"/>
      <c r="D93" s="63"/>
      <c r="E93" s="70"/>
      <c r="F93" s="64"/>
      <c r="G93" s="67">
        <f>SUM(G88:G92)</f>
        <v>3984099.625</v>
      </c>
    </row>
    <row r="94" spans="2:7" x14ac:dyDescent="0.25">
      <c r="B94" s="68" t="s">
        <v>76</v>
      </c>
      <c r="C94" s="69" t="s">
        <v>238</v>
      </c>
      <c r="D94" s="63"/>
      <c r="E94" s="70"/>
      <c r="F94" s="64"/>
      <c r="G94" s="65">
        <f t="shared" ref="G94:G116" si="5">F94*E94</f>
        <v>0</v>
      </c>
    </row>
    <row r="95" spans="2:7" x14ac:dyDescent="0.25">
      <c r="B95" s="61">
        <v>1</v>
      </c>
      <c r="C95" s="62" t="s">
        <v>77</v>
      </c>
      <c r="D95" s="62"/>
      <c r="E95" s="70"/>
      <c r="F95" s="64"/>
      <c r="G95" s="65">
        <f t="shared" si="5"/>
        <v>0</v>
      </c>
    </row>
    <row r="96" spans="2:7" x14ac:dyDescent="0.25">
      <c r="B96" s="61" t="s">
        <v>64</v>
      </c>
      <c r="C96" s="62" t="s">
        <v>78</v>
      </c>
      <c r="D96" s="63" t="s">
        <v>65</v>
      </c>
      <c r="E96" s="64">
        <f>'Htgan Volume'!CJ8</f>
        <v>1</v>
      </c>
      <c r="F96" s="137">
        <v>1999250</v>
      </c>
      <c r="G96" s="65">
        <f t="shared" si="5"/>
        <v>1999250</v>
      </c>
    </row>
    <row r="97" spans="2:7" x14ac:dyDescent="0.25">
      <c r="B97" s="61" t="s">
        <v>64</v>
      </c>
      <c r="C97" s="62" t="s">
        <v>79</v>
      </c>
      <c r="D97" s="63" t="s">
        <v>65</v>
      </c>
      <c r="E97" s="64">
        <f>'Htgan Volume'!CJ10</f>
        <v>1</v>
      </c>
      <c r="F97" s="137">
        <v>1664520</v>
      </c>
      <c r="G97" s="65">
        <f t="shared" si="5"/>
        <v>1664520</v>
      </c>
    </row>
    <row r="98" spans="2:7" x14ac:dyDescent="0.25">
      <c r="B98" s="61" t="s">
        <v>64</v>
      </c>
      <c r="C98" s="62" t="s">
        <v>80</v>
      </c>
      <c r="D98" s="63" t="s">
        <v>65</v>
      </c>
      <c r="E98" s="64">
        <f>'Htgan Volume'!CJ11</f>
        <v>1</v>
      </c>
      <c r="F98" s="137" t="s">
        <v>277</v>
      </c>
      <c r="G98" s="137" t="s">
        <v>277</v>
      </c>
    </row>
    <row r="99" spans="2:7" x14ac:dyDescent="0.25">
      <c r="B99" s="61" t="s">
        <v>64</v>
      </c>
      <c r="C99" s="62" t="s">
        <v>81</v>
      </c>
      <c r="D99" s="63" t="s">
        <v>65</v>
      </c>
      <c r="E99" s="64">
        <f>'Htgan Volume'!CJ12</f>
        <v>1</v>
      </c>
      <c r="F99" s="137">
        <v>936600</v>
      </c>
      <c r="G99" s="65">
        <f t="shared" si="5"/>
        <v>936600</v>
      </c>
    </row>
    <row r="100" spans="2:7" x14ac:dyDescent="0.25">
      <c r="B100" s="61" t="s">
        <v>64</v>
      </c>
      <c r="C100" s="62" t="s">
        <v>82</v>
      </c>
      <c r="D100" s="63" t="s">
        <v>65</v>
      </c>
      <c r="E100" s="64">
        <f>'Htgan Volume'!CJ13</f>
        <v>1</v>
      </c>
      <c r="F100" s="137">
        <v>220000</v>
      </c>
      <c r="G100" s="65">
        <f t="shared" si="5"/>
        <v>220000</v>
      </c>
    </row>
    <row r="101" spans="2:7" x14ac:dyDescent="0.25">
      <c r="B101" s="61" t="s">
        <v>64</v>
      </c>
      <c r="C101" s="62" t="s">
        <v>83</v>
      </c>
      <c r="D101" s="63" t="s">
        <v>65</v>
      </c>
      <c r="E101" s="64">
        <f>'Htgan Volume'!CJ14</f>
        <v>1</v>
      </c>
      <c r="F101" s="137">
        <v>162635</v>
      </c>
      <c r="G101" s="65">
        <f t="shared" si="5"/>
        <v>162635</v>
      </c>
    </row>
    <row r="102" spans="2:7" x14ac:dyDescent="0.25">
      <c r="B102" s="62">
        <v>2</v>
      </c>
      <c r="C102" s="62" t="s">
        <v>84</v>
      </c>
      <c r="D102" s="62"/>
      <c r="E102" s="64"/>
      <c r="F102" s="137"/>
      <c r="G102" s="65">
        <f t="shared" si="5"/>
        <v>0</v>
      </c>
    </row>
    <row r="103" spans="2:7" x14ac:dyDescent="0.25">
      <c r="B103" s="61" t="s">
        <v>64</v>
      </c>
      <c r="C103" s="62" t="s">
        <v>85</v>
      </c>
      <c r="D103" s="63" t="s">
        <v>65</v>
      </c>
      <c r="E103" s="64">
        <f>'Htgan Volume'!CI20</f>
        <v>1</v>
      </c>
      <c r="F103" s="137">
        <v>272030</v>
      </c>
      <c r="G103" s="65">
        <f t="shared" si="5"/>
        <v>272030</v>
      </c>
    </row>
    <row r="104" spans="2:7" x14ac:dyDescent="0.25">
      <c r="B104" s="61" t="s">
        <v>64</v>
      </c>
      <c r="C104" s="62" t="s">
        <v>86</v>
      </c>
      <c r="D104" s="63" t="s">
        <v>65</v>
      </c>
      <c r="E104" s="64">
        <f>'Htgan Volume'!CI21</f>
        <v>1</v>
      </c>
      <c r="F104" s="137">
        <v>341000</v>
      </c>
      <c r="G104" s="65">
        <f t="shared" si="5"/>
        <v>341000</v>
      </c>
    </row>
    <row r="105" spans="2:7" x14ac:dyDescent="0.25">
      <c r="B105" s="61">
        <v>3</v>
      </c>
      <c r="C105" s="62" t="s">
        <v>87</v>
      </c>
      <c r="D105" s="63" t="s">
        <v>65</v>
      </c>
      <c r="E105" s="64">
        <f>'Htgan Volume'!CH27</f>
        <v>1</v>
      </c>
      <c r="F105" s="137">
        <v>169510</v>
      </c>
      <c r="G105" s="65">
        <f t="shared" si="5"/>
        <v>169510</v>
      </c>
    </row>
    <row r="106" spans="2:7" x14ac:dyDescent="0.25">
      <c r="B106" s="61">
        <v>4</v>
      </c>
      <c r="C106" s="62" t="s">
        <v>88</v>
      </c>
      <c r="D106" s="63" t="s">
        <v>65</v>
      </c>
      <c r="E106" s="64">
        <f>'Htgan Volume'!CH33</f>
        <v>1</v>
      </c>
      <c r="F106" s="137">
        <v>159500</v>
      </c>
      <c r="G106" s="65">
        <f t="shared" si="5"/>
        <v>159500</v>
      </c>
    </row>
    <row r="107" spans="2:7" x14ac:dyDescent="0.25">
      <c r="B107" s="61">
        <v>5</v>
      </c>
      <c r="C107" s="62" t="s">
        <v>89</v>
      </c>
      <c r="D107" s="63" t="s">
        <v>65</v>
      </c>
      <c r="E107" s="64">
        <f>'Htgan Volume'!CH39</f>
        <v>2</v>
      </c>
      <c r="F107" s="137">
        <v>126500</v>
      </c>
      <c r="G107" s="65">
        <f t="shared" si="5"/>
        <v>253000</v>
      </c>
    </row>
    <row r="108" spans="2:7" x14ac:dyDescent="0.25">
      <c r="B108" s="61">
        <v>6</v>
      </c>
      <c r="C108" s="62" t="s">
        <v>90</v>
      </c>
      <c r="D108" s="62"/>
      <c r="E108" s="70"/>
      <c r="F108" s="137"/>
      <c r="G108" s="65">
        <f t="shared" si="5"/>
        <v>0</v>
      </c>
    </row>
    <row r="109" spans="2:7" x14ac:dyDescent="0.25">
      <c r="B109" s="61" t="s">
        <v>64</v>
      </c>
      <c r="C109" s="62" t="s">
        <v>91</v>
      </c>
      <c r="D109" s="63" t="s">
        <v>10</v>
      </c>
      <c r="E109" s="64">
        <f>'Htgan Volume'!CH45</f>
        <v>10.9</v>
      </c>
      <c r="F109" s="137">
        <v>13879.89</v>
      </c>
      <c r="G109" s="65">
        <f t="shared" si="5"/>
        <v>151290.80100000001</v>
      </c>
    </row>
    <row r="110" spans="2:7" x14ac:dyDescent="0.25">
      <c r="B110" s="61" t="s">
        <v>64</v>
      </c>
      <c r="C110" s="62" t="s">
        <v>92</v>
      </c>
      <c r="D110" s="63" t="s">
        <v>10</v>
      </c>
      <c r="E110" s="64">
        <f>'Htgan Volume'!CH46</f>
        <v>7.6</v>
      </c>
      <c r="F110" s="137">
        <v>18380.979923728813</v>
      </c>
      <c r="G110" s="65">
        <f t="shared" si="5"/>
        <v>139695.44742033898</v>
      </c>
    </row>
    <row r="111" spans="2:7" x14ac:dyDescent="0.25">
      <c r="B111" s="61">
        <v>7</v>
      </c>
      <c r="C111" s="62" t="s">
        <v>93</v>
      </c>
      <c r="D111" s="63"/>
      <c r="E111" s="70"/>
      <c r="F111" s="137"/>
      <c r="G111" s="65">
        <f t="shared" si="5"/>
        <v>0</v>
      </c>
    </row>
    <row r="112" spans="2:7" x14ac:dyDescent="0.25">
      <c r="B112" s="61" t="s">
        <v>64</v>
      </c>
      <c r="C112" s="62" t="s">
        <v>94</v>
      </c>
      <c r="D112" s="63" t="s">
        <v>10</v>
      </c>
      <c r="E112" s="64">
        <f>'Htgan Volume'!CH52</f>
        <v>8</v>
      </c>
      <c r="F112" s="137">
        <v>31224.52</v>
      </c>
      <c r="G112" s="65">
        <f t="shared" si="5"/>
        <v>249796.16</v>
      </c>
    </row>
    <row r="113" spans="2:7" x14ac:dyDescent="0.25">
      <c r="B113" s="61" t="s">
        <v>64</v>
      </c>
      <c r="C113" s="62" t="s">
        <v>95</v>
      </c>
      <c r="D113" s="63" t="s">
        <v>10</v>
      </c>
      <c r="E113" s="64">
        <f>'Htgan Volume'!CH53</f>
        <v>30</v>
      </c>
      <c r="F113" s="137">
        <v>45123.09</v>
      </c>
      <c r="G113" s="65">
        <f t="shared" si="5"/>
        <v>1353692.7</v>
      </c>
    </row>
    <row r="114" spans="2:7" x14ac:dyDescent="0.25">
      <c r="B114" s="61" t="s">
        <v>64</v>
      </c>
      <c r="C114" s="62" t="s">
        <v>96</v>
      </c>
      <c r="D114" s="63" t="s">
        <v>65</v>
      </c>
      <c r="E114" s="64">
        <f>'Htgan Volume'!CH54</f>
        <v>4</v>
      </c>
      <c r="F114" s="137">
        <v>220000</v>
      </c>
      <c r="G114" s="65">
        <f t="shared" si="5"/>
        <v>880000</v>
      </c>
    </row>
    <row r="115" spans="2:7" x14ac:dyDescent="0.25">
      <c r="B115" s="61" t="s">
        <v>64</v>
      </c>
      <c r="C115" s="62" t="s">
        <v>97</v>
      </c>
      <c r="D115" s="63" t="s">
        <v>65</v>
      </c>
      <c r="E115" s="64">
        <f>'Htgan Volume'!CH55</f>
        <v>1</v>
      </c>
      <c r="F115" s="137">
        <v>220000</v>
      </c>
      <c r="G115" s="65">
        <f t="shared" si="5"/>
        <v>220000</v>
      </c>
    </row>
    <row r="116" spans="2:7" x14ac:dyDescent="0.25">
      <c r="B116" s="61"/>
      <c r="C116" s="62"/>
      <c r="D116" s="63"/>
      <c r="E116" s="70"/>
      <c r="F116" s="64"/>
      <c r="G116" s="65">
        <f t="shared" si="5"/>
        <v>0</v>
      </c>
    </row>
    <row r="117" spans="2:7" x14ac:dyDescent="0.25">
      <c r="B117" s="61"/>
      <c r="C117" s="62"/>
      <c r="D117" s="63"/>
      <c r="E117" s="70"/>
      <c r="F117" s="64"/>
      <c r="G117" s="67">
        <f>SUM(G96:G115)</f>
        <v>9172520.1084203385</v>
      </c>
    </row>
    <row r="118" spans="2:7" x14ac:dyDescent="0.25">
      <c r="B118" s="68" t="s">
        <v>101</v>
      </c>
      <c r="C118" s="69" t="s">
        <v>239</v>
      </c>
      <c r="D118" s="63"/>
      <c r="E118" s="70"/>
      <c r="F118" s="64"/>
      <c r="G118" s="65">
        <f>F118*E118</f>
        <v>0</v>
      </c>
    </row>
    <row r="119" spans="2:7" x14ac:dyDescent="0.25">
      <c r="B119" s="68"/>
      <c r="C119" s="69" t="s">
        <v>240</v>
      </c>
      <c r="D119" s="63"/>
      <c r="E119" s="70"/>
      <c r="F119" s="64"/>
      <c r="G119" s="65"/>
    </row>
    <row r="120" spans="2:7" x14ac:dyDescent="0.25">
      <c r="B120" s="62">
        <v>1</v>
      </c>
      <c r="C120" s="62" t="s">
        <v>104</v>
      </c>
      <c r="D120" s="63" t="s">
        <v>105</v>
      </c>
      <c r="E120" s="64">
        <f>'Htgan Volume'!CQ10</f>
        <v>7</v>
      </c>
      <c r="F120" s="137">
        <v>121000</v>
      </c>
      <c r="G120" s="65">
        <f t="shared" ref="G120:G133" si="6">F120*E120</f>
        <v>847000</v>
      </c>
    </row>
    <row r="121" spans="2:7" x14ac:dyDescent="0.25">
      <c r="B121" s="62">
        <v>2</v>
      </c>
      <c r="C121" s="62" t="s">
        <v>106</v>
      </c>
      <c r="D121" s="63" t="s">
        <v>105</v>
      </c>
      <c r="E121" s="64">
        <f>'Htgan Volume'!CQ16</f>
        <v>5</v>
      </c>
      <c r="F121" s="137">
        <v>162250</v>
      </c>
      <c r="G121" s="65">
        <f t="shared" si="6"/>
        <v>811250</v>
      </c>
    </row>
    <row r="122" spans="2:7" x14ac:dyDescent="0.25">
      <c r="B122" s="62">
        <v>3</v>
      </c>
      <c r="C122" s="62" t="s">
        <v>107</v>
      </c>
      <c r="D122" s="63" t="s">
        <v>65</v>
      </c>
      <c r="E122" s="64">
        <f>'Htgan Volume'!CQ22</f>
        <v>1</v>
      </c>
      <c r="F122" s="137">
        <v>275000</v>
      </c>
      <c r="G122" s="65">
        <f t="shared" si="6"/>
        <v>275000</v>
      </c>
    </row>
    <row r="123" spans="2:7" x14ac:dyDescent="0.25">
      <c r="B123" s="62">
        <v>4</v>
      </c>
      <c r="C123" s="62" t="s">
        <v>108</v>
      </c>
      <c r="D123" s="63" t="s">
        <v>105</v>
      </c>
      <c r="E123" s="64">
        <f>'Htgan Volume'!CQ29</f>
        <v>1</v>
      </c>
      <c r="F123" s="137">
        <v>212850</v>
      </c>
      <c r="G123" s="65">
        <f t="shared" si="6"/>
        <v>212850</v>
      </c>
    </row>
    <row r="124" spans="2:7" x14ac:dyDescent="0.25">
      <c r="B124" s="62">
        <v>5</v>
      </c>
      <c r="C124" s="62" t="s">
        <v>109</v>
      </c>
      <c r="D124" s="63" t="s">
        <v>105</v>
      </c>
      <c r="E124" s="64">
        <f>'Htgan Volume'!CQ36</f>
        <v>1</v>
      </c>
      <c r="F124" s="137">
        <v>217800</v>
      </c>
      <c r="G124" s="65">
        <f t="shared" si="6"/>
        <v>217800</v>
      </c>
    </row>
    <row r="125" spans="2:7" x14ac:dyDescent="0.25">
      <c r="B125" s="62">
        <v>6</v>
      </c>
      <c r="C125" s="62" t="s">
        <v>110</v>
      </c>
      <c r="D125" s="63" t="s">
        <v>105</v>
      </c>
      <c r="E125" s="64">
        <f>'Htgan Volume'!CQ43</f>
        <v>1</v>
      </c>
      <c r="F125" s="137">
        <v>192500</v>
      </c>
      <c r="G125" s="65">
        <f t="shared" si="6"/>
        <v>192500</v>
      </c>
    </row>
    <row r="126" spans="2:7" x14ac:dyDescent="0.25">
      <c r="B126" s="62">
        <v>7</v>
      </c>
      <c r="C126" s="62" t="s">
        <v>111</v>
      </c>
      <c r="D126" s="63" t="s">
        <v>105</v>
      </c>
      <c r="E126" s="64">
        <f>'Htgan Volume'!CQ49</f>
        <v>1</v>
      </c>
      <c r="F126" s="137">
        <v>192500</v>
      </c>
      <c r="G126" s="73">
        <f>E126*F126</f>
        <v>192500</v>
      </c>
    </row>
    <row r="127" spans="2:7" x14ac:dyDescent="0.25">
      <c r="B127" s="62">
        <v>8</v>
      </c>
      <c r="C127" s="62" t="s">
        <v>112</v>
      </c>
      <c r="D127" s="63" t="s">
        <v>105</v>
      </c>
      <c r="E127" s="64">
        <f>'Htgan Volume'!CQ56</f>
        <v>1</v>
      </c>
      <c r="F127" s="137">
        <v>478500</v>
      </c>
      <c r="G127" s="65">
        <f t="shared" si="6"/>
        <v>478500</v>
      </c>
    </row>
    <row r="128" spans="2:7" x14ac:dyDescent="0.25">
      <c r="B128" s="62">
        <v>9</v>
      </c>
      <c r="C128" s="62" t="s">
        <v>241</v>
      </c>
      <c r="D128" s="63" t="s">
        <v>65</v>
      </c>
      <c r="E128" s="64">
        <f>'Htgan Volume'!CQ62</f>
        <v>3</v>
      </c>
      <c r="F128" s="137">
        <v>19800</v>
      </c>
      <c r="G128" s="65">
        <f t="shared" si="6"/>
        <v>59400</v>
      </c>
    </row>
    <row r="129" spans="2:7" x14ac:dyDescent="0.25">
      <c r="B129" s="62">
        <v>10</v>
      </c>
      <c r="C129" s="62" t="s">
        <v>242</v>
      </c>
      <c r="D129" s="63" t="s">
        <v>65</v>
      </c>
      <c r="E129" s="64">
        <f>'Htgan Volume'!CQ68</f>
        <v>2</v>
      </c>
      <c r="F129" s="137">
        <v>24200</v>
      </c>
      <c r="G129" s="65">
        <f t="shared" si="6"/>
        <v>48400</v>
      </c>
    </row>
    <row r="130" spans="2:7" x14ac:dyDescent="0.25">
      <c r="B130" s="62">
        <v>11</v>
      </c>
      <c r="C130" s="62" t="s">
        <v>243</v>
      </c>
      <c r="D130" s="63" t="s">
        <v>65</v>
      </c>
      <c r="E130" s="64">
        <f>'Htgan Volume'!CQ74</f>
        <v>5</v>
      </c>
      <c r="F130" s="137">
        <v>44714.289499999999</v>
      </c>
      <c r="G130" s="65">
        <f t="shared" si="6"/>
        <v>223571.44750000001</v>
      </c>
    </row>
    <row r="131" spans="2:7" x14ac:dyDescent="0.25">
      <c r="B131" s="62">
        <v>12</v>
      </c>
      <c r="C131" s="62" t="s">
        <v>116</v>
      </c>
      <c r="D131" s="63" t="s">
        <v>117</v>
      </c>
      <c r="E131" s="64">
        <f>'Htgan Volume'!CQ81</f>
        <v>1</v>
      </c>
      <c r="F131" s="137">
        <v>55000</v>
      </c>
      <c r="G131" s="65">
        <f t="shared" si="6"/>
        <v>55000</v>
      </c>
    </row>
    <row r="132" spans="2:7" x14ac:dyDescent="0.25">
      <c r="B132" s="62">
        <v>13</v>
      </c>
      <c r="C132" s="62" t="s">
        <v>118</v>
      </c>
      <c r="D132" s="63" t="s">
        <v>119</v>
      </c>
      <c r="E132" s="64">
        <f>'Htgan Volume'!CQ88</f>
        <v>1</v>
      </c>
      <c r="F132" s="137">
        <v>165000</v>
      </c>
      <c r="G132" s="65">
        <f t="shared" si="6"/>
        <v>165000</v>
      </c>
    </row>
    <row r="133" spans="2:7" x14ac:dyDescent="0.25">
      <c r="B133" s="62">
        <v>14</v>
      </c>
      <c r="C133" s="62" t="s">
        <v>120</v>
      </c>
      <c r="D133" s="63" t="s">
        <v>99</v>
      </c>
      <c r="E133" s="64">
        <f>'Htgan Volume'!CQ95</f>
        <v>1</v>
      </c>
      <c r="F133" s="137">
        <v>303128</v>
      </c>
      <c r="G133" s="65">
        <f t="shared" si="6"/>
        <v>303128</v>
      </c>
    </row>
    <row r="134" spans="2:7" x14ac:dyDescent="0.25">
      <c r="B134" s="61"/>
      <c r="C134" s="62"/>
      <c r="D134" s="63"/>
      <c r="E134" s="70"/>
      <c r="F134" s="64"/>
      <c r="G134" s="75">
        <f>SUM(G120:G133)</f>
        <v>4081899.4474999998</v>
      </c>
    </row>
    <row r="135" spans="2:7" x14ac:dyDescent="0.25">
      <c r="B135" s="68" t="s">
        <v>121</v>
      </c>
      <c r="C135" s="69" t="s">
        <v>244</v>
      </c>
      <c r="D135" s="63"/>
      <c r="E135" s="70"/>
      <c r="F135" s="64"/>
      <c r="G135" s="65"/>
    </row>
    <row r="136" spans="2:7" x14ac:dyDescent="0.25">
      <c r="B136" s="82">
        <v>1</v>
      </c>
      <c r="C136" s="129" t="s">
        <v>98</v>
      </c>
      <c r="D136" s="82" t="s">
        <v>99</v>
      </c>
      <c r="E136" s="83">
        <f>'Htgan Volume'!CH61</f>
        <v>1</v>
      </c>
      <c r="F136" s="137">
        <v>2365000</v>
      </c>
      <c r="G136" s="65">
        <f>F136*E136</f>
        <v>2365000</v>
      </c>
    </row>
    <row r="137" spans="2:7" x14ac:dyDescent="0.25">
      <c r="B137" s="82"/>
      <c r="C137" s="129"/>
      <c r="D137" s="82"/>
      <c r="E137" s="83"/>
      <c r="F137" s="102"/>
      <c r="G137" s="65">
        <f>F137*E137</f>
        <v>0</v>
      </c>
    </row>
    <row r="138" spans="2:7" x14ac:dyDescent="0.25">
      <c r="B138" s="84"/>
      <c r="C138" s="85"/>
      <c r="D138" s="82"/>
      <c r="E138" s="83"/>
      <c r="F138" s="102"/>
      <c r="G138" s="75">
        <f>SUM(G136:G137)</f>
        <v>2365000</v>
      </c>
    </row>
    <row r="139" spans="2:7" x14ac:dyDescent="0.25">
      <c r="B139" s="77" t="s">
        <v>121</v>
      </c>
      <c r="C139" s="78" t="s">
        <v>245</v>
      </c>
      <c r="D139" s="82"/>
      <c r="E139" s="130"/>
      <c r="F139" s="102"/>
      <c r="G139" s="75"/>
    </row>
    <row r="140" spans="2:7" x14ac:dyDescent="0.25">
      <c r="B140" s="82">
        <v>1</v>
      </c>
      <c r="C140" s="134" t="s">
        <v>279</v>
      </c>
      <c r="D140" s="82" t="s">
        <v>25</v>
      </c>
      <c r="E140" s="83">
        <f>'Htgan Volume'!CX8</f>
        <v>7.25</v>
      </c>
      <c r="F140" s="138">
        <v>378500</v>
      </c>
      <c r="G140" s="65">
        <f t="shared" ref="G140:G145" si="7">F140*E140</f>
        <v>2744125</v>
      </c>
    </row>
    <row r="141" spans="2:7" x14ac:dyDescent="0.25">
      <c r="B141" s="82"/>
      <c r="C141" s="136" t="s">
        <v>276</v>
      </c>
      <c r="D141" s="79"/>
      <c r="E141" s="80"/>
      <c r="F141" s="141"/>
      <c r="G141" s="65"/>
    </row>
    <row r="142" spans="2:7" x14ac:dyDescent="0.25">
      <c r="B142" s="82">
        <v>2</v>
      </c>
      <c r="C142" s="62" t="s">
        <v>123</v>
      </c>
      <c r="D142" s="63" t="s">
        <v>16</v>
      </c>
      <c r="E142" s="64">
        <f>'Htgan Volume'!CX15</f>
        <v>8.25</v>
      </c>
      <c r="F142" s="137">
        <v>38500</v>
      </c>
      <c r="G142" s="65">
        <f t="shared" si="7"/>
        <v>317625</v>
      </c>
    </row>
    <row r="143" spans="2:7" x14ac:dyDescent="0.25">
      <c r="B143" s="82">
        <v>3</v>
      </c>
      <c r="C143" s="129" t="s">
        <v>248</v>
      </c>
      <c r="D143" s="82" t="s">
        <v>99</v>
      </c>
      <c r="E143" s="83">
        <f>'Htgan Volume'!CX36</f>
        <v>1</v>
      </c>
      <c r="F143" s="138">
        <v>350000</v>
      </c>
      <c r="G143" s="65">
        <f t="shared" si="7"/>
        <v>350000</v>
      </c>
    </row>
    <row r="144" spans="2:7" x14ac:dyDescent="0.25">
      <c r="B144" s="133">
        <v>4</v>
      </c>
      <c r="C144" s="134" t="s">
        <v>274</v>
      </c>
      <c r="D144" s="135" t="s">
        <v>25</v>
      </c>
      <c r="E144" s="83">
        <v>8.25</v>
      </c>
      <c r="F144" s="138">
        <v>79600</v>
      </c>
      <c r="G144" s="65">
        <f t="shared" si="7"/>
        <v>656700</v>
      </c>
    </row>
    <row r="145" spans="2:7" x14ac:dyDescent="0.25">
      <c r="B145" s="133">
        <v>5</v>
      </c>
      <c r="C145" s="134" t="s">
        <v>275</v>
      </c>
      <c r="D145" s="135" t="s">
        <v>99</v>
      </c>
      <c r="E145" s="83">
        <v>8</v>
      </c>
      <c r="F145" s="138">
        <v>225000</v>
      </c>
      <c r="G145" s="65">
        <f t="shared" si="7"/>
        <v>1800000</v>
      </c>
    </row>
    <row r="146" spans="2:7" x14ac:dyDescent="0.25">
      <c r="B146" s="131"/>
      <c r="C146" s="77" t="s">
        <v>124</v>
      </c>
      <c r="D146" s="82"/>
      <c r="E146" s="83"/>
      <c r="F146" s="83"/>
      <c r="G146" s="75">
        <f>SUM(G140:G145)/2</f>
        <v>2934225</v>
      </c>
    </row>
    <row r="147" spans="2:7" x14ac:dyDescent="0.25">
      <c r="B147" s="84"/>
      <c r="C147" s="85"/>
      <c r="D147" s="84"/>
      <c r="E147" s="80"/>
      <c r="F147" s="83"/>
      <c r="G147" s="65"/>
    </row>
    <row r="148" spans="2:7" x14ac:dyDescent="0.25">
      <c r="B148" s="77" t="s">
        <v>121</v>
      </c>
      <c r="C148" s="78" t="s">
        <v>126</v>
      </c>
      <c r="D148" s="82"/>
      <c r="E148" s="83"/>
      <c r="F148" s="130"/>
      <c r="G148" s="65"/>
    </row>
    <row r="149" spans="2:7" x14ac:dyDescent="0.25">
      <c r="B149" s="82">
        <v>1</v>
      </c>
      <c r="C149" s="129" t="s">
        <v>249</v>
      </c>
      <c r="D149" s="82" t="s">
        <v>25</v>
      </c>
      <c r="E149" s="83">
        <f>'Htgan Volume'!DF8</f>
        <v>7.5</v>
      </c>
      <c r="F149" s="139">
        <v>97000.64122787732</v>
      </c>
      <c r="G149" s="65">
        <f>F149*E149</f>
        <v>727504.80920907995</v>
      </c>
    </row>
    <row r="150" spans="2:7" x14ac:dyDescent="0.25">
      <c r="B150" s="82">
        <v>2</v>
      </c>
      <c r="C150" s="129" t="s">
        <v>127</v>
      </c>
      <c r="D150" s="82" t="s">
        <v>25</v>
      </c>
      <c r="E150" s="83">
        <f>'Htgan Volume'!DF15</f>
        <v>6.85</v>
      </c>
      <c r="F150" s="138">
        <v>97000.64122787732</v>
      </c>
      <c r="G150" s="65">
        <f>F150*E150</f>
        <v>664454.39241095958</v>
      </c>
    </row>
    <row r="151" spans="2:7" x14ac:dyDescent="0.25">
      <c r="B151" s="82">
        <v>3</v>
      </c>
      <c r="C151" s="132" t="s">
        <v>128</v>
      </c>
      <c r="D151" s="82" t="s">
        <v>25</v>
      </c>
      <c r="E151" s="130">
        <f>'Htgan Volume'!DF21</f>
        <v>5</v>
      </c>
      <c r="F151" s="138">
        <v>59500.64122787732</v>
      </c>
      <c r="G151" s="65">
        <f>F151*E151</f>
        <v>297503.20613938663</v>
      </c>
    </row>
    <row r="152" spans="2:7" x14ac:dyDescent="0.25">
      <c r="B152" s="82"/>
      <c r="C152" s="132"/>
      <c r="D152" s="82"/>
      <c r="E152" s="130"/>
      <c r="F152" s="102"/>
      <c r="G152" s="65">
        <f>F152*E152</f>
        <v>0</v>
      </c>
    </row>
    <row r="153" spans="2:7" x14ac:dyDescent="0.25">
      <c r="B153" s="82"/>
      <c r="C153" s="132"/>
      <c r="D153" s="131"/>
      <c r="E153" s="130"/>
      <c r="F153" s="102"/>
      <c r="G153" s="75">
        <f>SUM(G149:G152)</f>
        <v>1689462.4077594262</v>
      </c>
    </row>
    <row r="154" spans="2:7" x14ac:dyDescent="0.25">
      <c r="B154" s="86"/>
      <c r="C154" s="87"/>
      <c r="D154" s="88"/>
      <c r="E154" s="89"/>
      <c r="F154" s="90"/>
      <c r="G154" s="90"/>
    </row>
    <row r="155" spans="2:7" x14ac:dyDescent="0.25">
      <c r="B155" s="44"/>
      <c r="C155" s="87"/>
      <c r="D155" s="87"/>
      <c r="E155" s="92"/>
      <c r="F155" s="90"/>
      <c r="G155" s="90"/>
    </row>
    <row r="156" spans="2:7" x14ac:dyDescent="0.25">
      <c r="B156" s="43" t="s">
        <v>250</v>
      </c>
      <c r="C156" s="44"/>
      <c r="D156" s="44"/>
      <c r="E156" s="93"/>
      <c r="F156" s="94" t="s">
        <v>251</v>
      </c>
      <c r="G156" s="94"/>
    </row>
    <row r="157" spans="2:7" x14ac:dyDescent="0.25">
      <c r="B157" s="95"/>
      <c r="C157" s="96"/>
      <c r="D157" s="96"/>
      <c r="E157" s="97"/>
      <c r="F157" s="98" t="s">
        <v>252</v>
      </c>
      <c r="G157" s="99"/>
    </row>
    <row r="158" spans="2:7" x14ac:dyDescent="0.25">
      <c r="B158" s="100" t="s">
        <v>7</v>
      </c>
      <c r="C158" s="58" t="s">
        <v>8</v>
      </c>
      <c r="D158" s="101"/>
      <c r="E158" s="83"/>
      <c r="F158" s="102">
        <f>G158/G176*100</f>
        <v>1.5467501382223059</v>
      </c>
      <c r="G158" s="75">
        <f>G15</f>
        <v>2168274.7600000002</v>
      </c>
    </row>
    <row r="159" spans="2:7" x14ac:dyDescent="0.25">
      <c r="B159" s="68" t="s">
        <v>18</v>
      </c>
      <c r="C159" s="69" t="s">
        <v>198</v>
      </c>
      <c r="D159" s="101"/>
      <c r="E159" s="83"/>
      <c r="F159" s="102">
        <f>G159/G176*100</f>
        <v>1.9113149103744742</v>
      </c>
      <c r="G159" s="103">
        <f>G21</f>
        <v>2679331.1836000001</v>
      </c>
    </row>
    <row r="160" spans="2:7" x14ac:dyDescent="0.25">
      <c r="B160" s="68" t="s">
        <v>26</v>
      </c>
      <c r="C160" s="69" t="s">
        <v>201</v>
      </c>
      <c r="D160" s="101"/>
      <c r="E160" s="83"/>
      <c r="F160" s="102">
        <f>G160/G176*100</f>
        <v>3.2648410903284208</v>
      </c>
      <c r="G160" s="75">
        <f>G25</f>
        <v>4576739.5500000007</v>
      </c>
    </row>
    <row r="161" spans="2:7" x14ac:dyDescent="0.25">
      <c r="B161" s="68" t="s">
        <v>31</v>
      </c>
      <c r="C161" s="69" t="s">
        <v>202</v>
      </c>
      <c r="D161" s="101"/>
      <c r="E161" s="83"/>
      <c r="F161" s="102">
        <f>G161/G176*100</f>
        <v>21.693694748986722</v>
      </c>
      <c r="G161" s="75">
        <f>G36</f>
        <v>30410788.150588777</v>
      </c>
    </row>
    <row r="162" spans="2:7" x14ac:dyDescent="0.25">
      <c r="B162" s="68" t="s">
        <v>39</v>
      </c>
      <c r="C162" s="69" t="s">
        <v>206</v>
      </c>
      <c r="D162" s="101"/>
      <c r="E162" s="83"/>
      <c r="F162" s="102">
        <f>G162/G176*100</f>
        <v>5.5837308208526988</v>
      </c>
      <c r="G162" s="75">
        <f>G45</f>
        <v>7827419.7663261555</v>
      </c>
    </row>
    <row r="163" spans="2:7" x14ac:dyDescent="0.25">
      <c r="B163" s="68" t="s">
        <v>44</v>
      </c>
      <c r="C163" s="69" t="s">
        <v>209</v>
      </c>
      <c r="D163" s="101"/>
      <c r="E163" s="83"/>
      <c r="F163" s="102">
        <f>G163/G176*100</f>
        <v>2.3261203053142063</v>
      </c>
      <c r="G163" s="103">
        <f>G51</f>
        <v>3260816.2250000001</v>
      </c>
    </row>
    <row r="164" spans="2:7" x14ac:dyDescent="0.25">
      <c r="B164" s="68" t="s">
        <v>46</v>
      </c>
      <c r="C164" s="69" t="s">
        <v>214</v>
      </c>
      <c r="D164" s="101"/>
      <c r="E164" s="83"/>
      <c r="F164" s="102">
        <f>G164/G176*100</f>
        <v>2.5118657194341201</v>
      </c>
      <c r="G164" s="103">
        <f>G57</f>
        <v>3521199</v>
      </c>
    </row>
    <row r="165" spans="2:7" x14ac:dyDescent="0.25">
      <c r="B165" s="68" t="s">
        <v>50</v>
      </c>
      <c r="C165" s="69" t="s">
        <v>216</v>
      </c>
      <c r="D165" s="101"/>
      <c r="E165" s="83"/>
      <c r="F165" s="102">
        <f>G165/G176*100</f>
        <v>23.805538750372971</v>
      </c>
      <c r="G165" s="103">
        <f>G62</f>
        <v>33371226.25375</v>
      </c>
    </row>
    <row r="166" spans="2:7" x14ac:dyDescent="0.25">
      <c r="B166" s="68" t="s">
        <v>55</v>
      </c>
      <c r="C166" s="69" t="s">
        <v>217</v>
      </c>
      <c r="D166" s="101"/>
      <c r="E166" s="83"/>
      <c r="F166" s="102">
        <f>G166/G176*100</f>
        <v>7.429060764931311</v>
      </c>
      <c r="G166" s="103">
        <f>G70</f>
        <v>10414251.5</v>
      </c>
    </row>
    <row r="167" spans="2:7" x14ac:dyDescent="0.25">
      <c r="B167" s="68" t="s">
        <v>62</v>
      </c>
      <c r="C167" s="69" t="s">
        <v>63</v>
      </c>
      <c r="D167" s="101"/>
      <c r="E167" s="83"/>
      <c r="F167" s="102">
        <f>G167/G176*100</f>
        <v>12.644478244094918</v>
      </c>
      <c r="G167" s="103">
        <f>G86</f>
        <v>17725360</v>
      </c>
    </row>
    <row r="168" spans="2:7" x14ac:dyDescent="0.25">
      <c r="B168" s="68" t="s">
        <v>70</v>
      </c>
      <c r="C168" s="69" t="s">
        <v>235</v>
      </c>
      <c r="D168" s="101"/>
      <c r="E168" s="83"/>
      <c r="F168" s="102">
        <f>G168/G176*100</f>
        <v>2.8420783008423647</v>
      </c>
      <c r="G168" s="103">
        <f>G93</f>
        <v>3984099.625</v>
      </c>
    </row>
    <row r="169" spans="2:7" x14ac:dyDescent="0.25">
      <c r="B169" s="68" t="s">
        <v>76</v>
      </c>
      <c r="C169" s="69" t="s">
        <v>238</v>
      </c>
      <c r="D169" s="101"/>
      <c r="E169" s="83"/>
      <c r="F169" s="102">
        <f>G169/G176*100</f>
        <v>6.5432651835812718</v>
      </c>
      <c r="G169" s="103">
        <f>G117</f>
        <v>9172520.1084203385</v>
      </c>
    </row>
    <row r="170" spans="2:7" x14ac:dyDescent="0.25">
      <c r="B170" s="68" t="s">
        <v>101</v>
      </c>
      <c r="C170" s="69" t="s">
        <v>239</v>
      </c>
      <c r="D170" s="101"/>
      <c r="E170" s="83"/>
      <c r="F170" s="102">
        <f>G170/G176*100</f>
        <v>2.9118443156300811</v>
      </c>
      <c r="G170" s="103">
        <f>G134</f>
        <v>4081899.4474999998</v>
      </c>
    </row>
    <row r="171" spans="2:7" x14ac:dyDescent="0.25">
      <c r="B171" s="68" t="s">
        <v>121</v>
      </c>
      <c r="C171" s="69" t="str">
        <f>C135</f>
        <v>PEK. LAIN - LAIN</v>
      </c>
      <c r="D171" s="101"/>
      <c r="E171" s="83"/>
      <c r="F171" s="102">
        <f>G171/G176*100</f>
        <v>1.6870851168768635</v>
      </c>
      <c r="G171" s="103">
        <f>G138</f>
        <v>2365000</v>
      </c>
    </row>
    <row r="172" spans="2:7" x14ac:dyDescent="0.25">
      <c r="B172" s="68" t="s">
        <v>125</v>
      </c>
      <c r="C172" s="69" t="str">
        <f>C139</f>
        <v>PEK. PERUBAHAN BENTUK TAMPAK MUKA</v>
      </c>
      <c r="D172" s="101"/>
      <c r="E172" s="83"/>
      <c r="F172" s="102">
        <f>G172/G176*100</f>
        <v>2.0931447471746365</v>
      </c>
      <c r="G172" s="103">
        <f>G146</f>
        <v>2934225</v>
      </c>
    </row>
    <row r="173" spans="2:7" x14ac:dyDescent="0.25">
      <c r="B173" s="68" t="s">
        <v>254</v>
      </c>
      <c r="C173" s="69" t="str">
        <f>C148</f>
        <v>PEKERJAAN PLESTER DINDING SAMPING</v>
      </c>
      <c r="D173" s="101"/>
      <c r="E173" s="83"/>
      <c r="F173" s="102">
        <f>G173/G176*100</f>
        <v>1.2051868429826125</v>
      </c>
      <c r="G173" s="103">
        <f>G153</f>
        <v>1689462.4077594262</v>
      </c>
    </row>
    <row r="174" spans="2:7" x14ac:dyDescent="0.25">
      <c r="B174" s="104"/>
      <c r="C174" s="105"/>
      <c r="D174" s="106"/>
      <c r="E174" s="92"/>
      <c r="F174" s="107">
        <f>SUM(F158:F173)</f>
        <v>99.999999999999943</v>
      </c>
      <c r="G174" s="108"/>
    </row>
    <row r="175" spans="2:7" x14ac:dyDescent="0.25">
      <c r="B175" s="44"/>
      <c r="C175" s="44"/>
      <c r="D175" s="44"/>
      <c r="E175" s="93"/>
      <c r="F175" s="94"/>
      <c r="G175" s="107"/>
    </row>
    <row r="176" spans="2:7" x14ac:dyDescent="0.25">
      <c r="B176" s="44"/>
      <c r="C176" s="44"/>
      <c r="D176" s="44"/>
      <c r="E176" s="93"/>
      <c r="F176" s="109" t="s">
        <v>129</v>
      </c>
      <c r="G176" s="110">
        <f>SUM(G158:G175)</f>
        <v>140182612.97794473</v>
      </c>
    </row>
    <row r="177" spans="2:7" x14ac:dyDescent="0.25">
      <c r="B177" s="44"/>
      <c r="C177" s="44"/>
      <c r="D177" s="44"/>
      <c r="E177" s="93"/>
      <c r="F177" s="45" t="s">
        <v>130</v>
      </c>
      <c r="G177" s="113">
        <f>G176</f>
        <v>140182612.97794473</v>
      </c>
    </row>
    <row r="178" spans="2:7" x14ac:dyDescent="0.25">
      <c r="B178" s="44"/>
      <c r="C178" s="44"/>
      <c r="D178" s="44"/>
      <c r="E178" s="125"/>
      <c r="F178" s="45" t="s">
        <v>131</v>
      </c>
      <c r="G178" s="112">
        <f>0.1*G177</f>
        <v>14018261.297794474</v>
      </c>
    </row>
    <row r="179" spans="2:7" x14ac:dyDescent="0.25">
      <c r="B179" s="44"/>
      <c r="C179" s="44"/>
      <c r="D179" s="44"/>
      <c r="E179" s="125"/>
      <c r="F179" s="111" t="s">
        <v>132</v>
      </c>
      <c r="G179" s="110">
        <f>G178+G177</f>
        <v>154200874.27573919</v>
      </c>
    </row>
    <row r="180" spans="2:7" x14ac:dyDescent="0.25">
      <c r="B180" s="44"/>
      <c r="C180" s="44"/>
      <c r="D180" s="44"/>
      <c r="E180" s="126"/>
      <c r="F180" s="111"/>
      <c r="G180" s="110"/>
    </row>
    <row r="181" spans="2:7" x14ac:dyDescent="0.25">
      <c r="B181" s="44"/>
      <c r="C181" s="44"/>
      <c r="D181" s="44"/>
      <c r="E181" s="126"/>
      <c r="F181" s="114" t="s">
        <v>256</v>
      </c>
      <c r="G181" s="115">
        <f>ROUNDDOWN(G179,-4)</f>
        <v>154200000</v>
      </c>
    </row>
    <row r="182" spans="2:7" x14ac:dyDescent="0.25">
      <c r="B182" s="44"/>
      <c r="C182" s="44"/>
      <c r="D182" s="44"/>
      <c r="E182" s="126"/>
      <c r="F182" s="114"/>
      <c r="G182" s="115"/>
    </row>
    <row r="183" spans="2:7" x14ac:dyDescent="0.25">
      <c r="B183" s="44"/>
      <c r="C183" s="44"/>
      <c r="D183" s="44"/>
      <c r="E183" s="127" t="s">
        <v>257</v>
      </c>
      <c r="F183" s="46"/>
      <c r="G183" s="46">
        <v>34</v>
      </c>
    </row>
    <row r="184" spans="2:7" x14ac:dyDescent="0.25">
      <c r="B184" s="44"/>
      <c r="C184" s="44"/>
      <c r="D184" s="44"/>
      <c r="E184" s="127"/>
      <c r="F184" s="46"/>
      <c r="G184" s="111"/>
    </row>
    <row r="185" spans="2:7" x14ac:dyDescent="0.25">
      <c r="B185" s="44"/>
      <c r="C185" s="44"/>
      <c r="D185" s="116" t="s">
        <v>258</v>
      </c>
      <c r="E185" s="127" t="s">
        <v>259</v>
      </c>
      <c r="F185" s="46"/>
      <c r="G185" s="117">
        <f>G177/G183</f>
        <v>4123018.0287630805</v>
      </c>
    </row>
  </sheetData>
  <mergeCells count="3">
    <mergeCell ref="B5:B6"/>
    <mergeCell ref="C5:C6"/>
    <mergeCell ref="D5:D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Htgan Volume</vt:lpstr>
      <vt:lpstr>NEW LIVISTONA 1 34-60</vt:lpstr>
      <vt:lpstr>Sheet1</vt:lpstr>
      <vt:lpstr>'NEW LIVISTONA 1 34-60'!Print_Area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novi putri</dc:creator>
  <cp:lastModifiedBy>HENDHY</cp:lastModifiedBy>
  <cp:lastPrinted>2019-05-15T06:36:32Z</cp:lastPrinted>
  <dcterms:created xsi:type="dcterms:W3CDTF">2017-07-18T03:30:55Z</dcterms:created>
  <dcterms:modified xsi:type="dcterms:W3CDTF">2020-01-09T07:29:43Z</dcterms:modified>
</cp:coreProperties>
</file>