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HENDHY\Desktop\"/>
    </mc:Choice>
  </mc:AlternateContent>
  <bookViews>
    <workbookView xWindow="0" yWindow="0" windowWidth="20490" windowHeight="7155" activeTab="1"/>
  </bookViews>
  <sheets>
    <sheet name="Monteverde" sheetId="1" r:id="rId1"/>
    <sheet name="Mtvd no Paving" sheetId="4" r:id="rId2"/>
    <sheet name="ruko_Komersial_jlDepan" sheetId="3" r:id="rId3"/>
  </sheets>
  <definedNames>
    <definedName name="_xlnm.Print_Area" localSheetId="0">Monteverde!$B$1:$P$134</definedName>
    <definedName name="_xlnm.Print_Area" localSheetId="1">'Mtvd no Paving'!$B$1:$O$132</definedName>
    <definedName name="_xlnm.Print_Area" localSheetId="2">ruko_Komersial_jlDepan!$B$1:$O$131</definedName>
    <definedName name="_xlnm.Print_Titles" localSheetId="0">Monteverde!$1:$6</definedName>
    <definedName name="_xlnm.Print_Titles" localSheetId="1">'Mtvd no Paving'!$1:$7</definedName>
    <definedName name="_xlnm.Print_Titles" localSheetId="2">ruko_Komersial_jlDepan!$1:$8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4" i="4" l="1"/>
  <c r="R93" i="4"/>
  <c r="O111" i="4" l="1"/>
  <c r="O101" i="4"/>
  <c r="P104" i="4"/>
  <c r="P102" i="4" s="1"/>
  <c r="O102" i="4"/>
  <c r="O97" i="4"/>
  <c r="O92" i="4"/>
  <c r="O82" i="4"/>
  <c r="O65" i="4"/>
  <c r="O55" i="4"/>
  <c r="O42" i="4"/>
  <c r="O28" i="4"/>
  <c r="O13" i="4"/>
  <c r="O114" i="4" l="1"/>
  <c r="M123" i="4"/>
  <c r="M122" i="4"/>
  <c r="M121" i="4"/>
  <c r="L123" i="4"/>
  <c r="L122" i="4"/>
  <c r="L121" i="4"/>
  <c r="N123" i="4"/>
  <c r="E86" i="4"/>
  <c r="M86" i="4" s="1"/>
  <c r="E87" i="4"/>
  <c r="N87" i="4" s="1"/>
  <c r="J121" i="4"/>
  <c r="E37" i="4"/>
  <c r="E39" i="4"/>
  <c r="E38" i="4" s="1"/>
  <c r="E32" i="4"/>
  <c r="E31" i="4"/>
  <c r="O31" i="4" s="1"/>
  <c r="K138" i="4"/>
  <c r="H138" i="4"/>
  <c r="E138" i="4"/>
  <c r="L137" i="4"/>
  <c r="I137" i="4"/>
  <c r="J137" i="4" s="1"/>
  <c r="F137" i="4"/>
  <c r="G137" i="4" s="1"/>
  <c r="L136" i="4"/>
  <c r="M136" i="4" s="1"/>
  <c r="I136" i="4"/>
  <c r="F136" i="4"/>
  <c r="F138" i="4" s="1"/>
  <c r="G138" i="4" s="1"/>
  <c r="C111" i="4"/>
  <c r="C108" i="4"/>
  <c r="C105" i="4"/>
  <c r="C102" i="4"/>
  <c r="C101" i="4"/>
  <c r="E96" i="4"/>
  <c r="O96" i="4" s="1"/>
  <c r="O91" i="4"/>
  <c r="N91" i="4"/>
  <c r="M91" i="4"/>
  <c r="L91" i="4"/>
  <c r="K91" i="4"/>
  <c r="O89" i="4"/>
  <c r="N89" i="4"/>
  <c r="M89" i="4"/>
  <c r="L89" i="4"/>
  <c r="K89" i="4"/>
  <c r="O88" i="4"/>
  <c r="N88" i="4"/>
  <c r="M88" i="4"/>
  <c r="L88" i="4"/>
  <c r="K88" i="4"/>
  <c r="O86" i="4"/>
  <c r="K86" i="4"/>
  <c r="N86" i="4"/>
  <c r="N85" i="4"/>
  <c r="L85" i="4"/>
  <c r="K85" i="4"/>
  <c r="E85" i="4"/>
  <c r="M85" i="4" s="1"/>
  <c r="B85" i="4"/>
  <c r="B86" i="4" s="1"/>
  <c r="B87" i="4" s="1"/>
  <c r="B88" i="4" s="1"/>
  <c r="B89" i="4" s="1"/>
  <c r="E84" i="4"/>
  <c r="O81" i="4"/>
  <c r="N81" i="4"/>
  <c r="M81" i="4"/>
  <c r="L81" i="4"/>
  <c r="K81" i="4"/>
  <c r="O80" i="4"/>
  <c r="N80" i="4"/>
  <c r="M80" i="4"/>
  <c r="L80" i="4"/>
  <c r="K80" i="4"/>
  <c r="O79" i="4"/>
  <c r="N79" i="4"/>
  <c r="M79" i="4"/>
  <c r="L79" i="4"/>
  <c r="K79" i="4"/>
  <c r="O78" i="4"/>
  <c r="N78" i="4"/>
  <c r="M78" i="4"/>
  <c r="L78" i="4"/>
  <c r="K78" i="4"/>
  <c r="O77" i="4"/>
  <c r="N77" i="4"/>
  <c r="M77" i="4"/>
  <c r="L77" i="4"/>
  <c r="K77" i="4"/>
  <c r="O76" i="4"/>
  <c r="N76" i="4"/>
  <c r="M76" i="4"/>
  <c r="L76" i="4"/>
  <c r="K76" i="4"/>
  <c r="O75" i="4"/>
  <c r="N75" i="4"/>
  <c r="M75" i="4"/>
  <c r="L75" i="4"/>
  <c r="K75" i="4"/>
  <c r="O74" i="4"/>
  <c r="N74" i="4"/>
  <c r="M74" i="4"/>
  <c r="L74" i="4"/>
  <c r="K74" i="4"/>
  <c r="O73" i="4"/>
  <c r="N73" i="4"/>
  <c r="M73" i="4"/>
  <c r="L73" i="4"/>
  <c r="K73" i="4"/>
  <c r="O72" i="4"/>
  <c r="N72" i="4"/>
  <c r="M72" i="4"/>
  <c r="L72" i="4"/>
  <c r="K72" i="4"/>
  <c r="O71" i="4"/>
  <c r="N71" i="4"/>
  <c r="M71" i="4"/>
  <c r="L71" i="4"/>
  <c r="K71" i="4"/>
  <c r="O70" i="4"/>
  <c r="O109" i="4" s="1"/>
  <c r="N70" i="4"/>
  <c r="M70" i="4"/>
  <c r="L70" i="4"/>
  <c r="K70" i="4"/>
  <c r="K82" i="4" s="1"/>
  <c r="K109" i="4" s="1"/>
  <c r="O69" i="4"/>
  <c r="N69" i="4"/>
  <c r="M69" i="4"/>
  <c r="L69" i="4"/>
  <c r="L82" i="4" s="1"/>
  <c r="L109" i="4" s="1"/>
  <c r="K69" i="4"/>
  <c r="O64" i="4"/>
  <c r="N64" i="4"/>
  <c r="M64" i="4"/>
  <c r="L64" i="4"/>
  <c r="K64" i="4"/>
  <c r="L63" i="4"/>
  <c r="O62" i="4"/>
  <c r="N62" i="4"/>
  <c r="M62" i="4"/>
  <c r="L62" i="4"/>
  <c r="K62" i="4"/>
  <c r="O61" i="4"/>
  <c r="N61" i="4"/>
  <c r="M61" i="4"/>
  <c r="L61" i="4"/>
  <c r="K61" i="4"/>
  <c r="M60" i="4"/>
  <c r="L60" i="4"/>
  <c r="E60" i="4"/>
  <c r="E63" i="4" s="1"/>
  <c r="N59" i="4"/>
  <c r="M59" i="4"/>
  <c r="E59" i="4"/>
  <c r="L59" i="4" s="1"/>
  <c r="M58" i="4"/>
  <c r="E58" i="4"/>
  <c r="N58" i="4" s="1"/>
  <c r="O57" i="4"/>
  <c r="E57" i="4"/>
  <c r="O54" i="4"/>
  <c r="N54" i="4"/>
  <c r="M54" i="4"/>
  <c r="L54" i="4"/>
  <c r="K54" i="4"/>
  <c r="O53" i="4"/>
  <c r="N53" i="4"/>
  <c r="M53" i="4"/>
  <c r="L53" i="4"/>
  <c r="K53" i="4"/>
  <c r="O52" i="4"/>
  <c r="N52" i="4"/>
  <c r="M52" i="4"/>
  <c r="L52" i="4"/>
  <c r="K52" i="4"/>
  <c r="O51" i="4"/>
  <c r="N51" i="4"/>
  <c r="M51" i="4"/>
  <c r="L51" i="4"/>
  <c r="K51" i="4"/>
  <c r="O50" i="4"/>
  <c r="N50" i="4"/>
  <c r="M50" i="4"/>
  <c r="L50" i="4"/>
  <c r="K50" i="4"/>
  <c r="O49" i="4"/>
  <c r="N49" i="4"/>
  <c r="M49" i="4"/>
  <c r="L49" i="4"/>
  <c r="K49" i="4"/>
  <c r="O48" i="4"/>
  <c r="N48" i="4"/>
  <c r="M48" i="4"/>
  <c r="L48" i="4"/>
  <c r="K48" i="4"/>
  <c r="O47" i="4"/>
  <c r="N47" i="4"/>
  <c r="M47" i="4"/>
  <c r="L47" i="4"/>
  <c r="K47" i="4"/>
  <c r="O46" i="4"/>
  <c r="N46" i="4"/>
  <c r="M46" i="4"/>
  <c r="L46" i="4"/>
  <c r="K46" i="4"/>
  <c r="O41" i="4"/>
  <c r="N41" i="4"/>
  <c r="M41" i="4"/>
  <c r="L41" i="4"/>
  <c r="K41" i="4"/>
  <c r="O35" i="4"/>
  <c r="N35" i="4"/>
  <c r="M35" i="4"/>
  <c r="L35" i="4"/>
  <c r="K35" i="4"/>
  <c r="O34" i="4"/>
  <c r="N34" i="4"/>
  <c r="M34" i="4"/>
  <c r="L34" i="4"/>
  <c r="K34" i="4"/>
  <c r="E33" i="4"/>
  <c r="E40" i="4" s="1"/>
  <c r="M32" i="4"/>
  <c r="B31" i="4"/>
  <c r="B32" i="4" s="1"/>
  <c r="B33" i="4" s="1"/>
  <c r="B34" i="4" s="1"/>
  <c r="B35" i="4" s="1"/>
  <c r="B36" i="4" s="1"/>
  <c r="B37" i="4" s="1"/>
  <c r="B38" i="4" s="1"/>
  <c r="B39" i="4" s="1"/>
  <c r="N30" i="4"/>
  <c r="E30" i="4"/>
  <c r="L30" i="4" s="1"/>
  <c r="O27" i="4"/>
  <c r="N27" i="4"/>
  <c r="M27" i="4"/>
  <c r="L27" i="4"/>
  <c r="K27" i="4"/>
  <c r="O26" i="4"/>
  <c r="N26" i="4"/>
  <c r="M26" i="4"/>
  <c r="L26" i="4"/>
  <c r="K26" i="4"/>
  <c r="O25" i="4"/>
  <c r="N25" i="4"/>
  <c r="M25" i="4"/>
  <c r="L25" i="4"/>
  <c r="K25" i="4"/>
  <c r="O24" i="4"/>
  <c r="N24" i="4"/>
  <c r="M24" i="4"/>
  <c r="L24" i="4"/>
  <c r="K24" i="4"/>
  <c r="O23" i="4"/>
  <c r="N23" i="4"/>
  <c r="M23" i="4"/>
  <c r="L23" i="4"/>
  <c r="K23" i="4"/>
  <c r="O22" i="4"/>
  <c r="N22" i="4"/>
  <c r="M22" i="4"/>
  <c r="L22" i="4"/>
  <c r="K22" i="4"/>
  <c r="O21" i="4"/>
  <c r="N21" i="4"/>
  <c r="M21" i="4"/>
  <c r="L21" i="4"/>
  <c r="K21" i="4"/>
  <c r="O20" i="4"/>
  <c r="N20" i="4"/>
  <c r="M20" i="4"/>
  <c r="L20" i="4"/>
  <c r="K20" i="4"/>
  <c r="O19" i="4"/>
  <c r="N19" i="4"/>
  <c r="M19" i="4"/>
  <c r="L19" i="4"/>
  <c r="K19" i="4"/>
  <c r="O18" i="4"/>
  <c r="N18" i="4"/>
  <c r="M18" i="4"/>
  <c r="M28" i="4" s="1"/>
  <c r="M103" i="4" s="1"/>
  <c r="L18" i="4"/>
  <c r="K18" i="4"/>
  <c r="O17" i="4"/>
  <c r="N17" i="4"/>
  <c r="M17" i="4"/>
  <c r="L17" i="4"/>
  <c r="K17" i="4"/>
  <c r="O16" i="4"/>
  <c r="O103" i="4" s="1"/>
  <c r="N16" i="4"/>
  <c r="M16" i="4"/>
  <c r="L16" i="4"/>
  <c r="K16" i="4"/>
  <c r="K28" i="4" s="1"/>
  <c r="K103" i="4" s="1"/>
  <c r="O12" i="4"/>
  <c r="N12" i="4"/>
  <c r="M12" i="4"/>
  <c r="L12" i="4"/>
  <c r="K12" i="4"/>
  <c r="O11" i="4"/>
  <c r="N11" i="4"/>
  <c r="M11" i="4"/>
  <c r="L11" i="4"/>
  <c r="K11" i="4"/>
  <c r="O10" i="4"/>
  <c r="N10" i="4"/>
  <c r="M10" i="4"/>
  <c r="L10" i="4"/>
  <c r="K10" i="4"/>
  <c r="O9" i="4"/>
  <c r="N9" i="4"/>
  <c r="M9" i="4"/>
  <c r="L9" i="4"/>
  <c r="K9" i="4"/>
  <c r="N13" i="4" l="1"/>
  <c r="N101" i="4" s="1"/>
  <c r="L28" i="4"/>
  <c r="L103" i="4" s="1"/>
  <c r="O58" i="4"/>
  <c r="O107" i="4" s="1"/>
  <c r="M82" i="4"/>
  <c r="M109" i="4" s="1"/>
  <c r="L87" i="4"/>
  <c r="I138" i="4"/>
  <c r="J138" i="4" s="1"/>
  <c r="M13" i="4"/>
  <c r="M101" i="4" s="1"/>
  <c r="L33" i="4"/>
  <c r="K58" i="4"/>
  <c r="O60" i="4"/>
  <c r="L86" i="4"/>
  <c r="M87" i="4"/>
  <c r="M30" i="4"/>
  <c r="L55" i="4"/>
  <c r="L106" i="4" s="1"/>
  <c r="K55" i="4"/>
  <c r="K106" i="4" s="1"/>
  <c r="O106" i="4"/>
  <c r="L58" i="4"/>
  <c r="K59" i="4"/>
  <c r="K60" i="4"/>
  <c r="N39" i="4"/>
  <c r="L38" i="4"/>
  <c r="M38" i="4"/>
  <c r="K39" i="4"/>
  <c r="O39" i="4"/>
  <c r="E36" i="4"/>
  <c r="L36" i="4" s="1"/>
  <c r="L39" i="4"/>
  <c r="K37" i="4"/>
  <c r="N32" i="4"/>
  <c r="M39" i="4"/>
  <c r="N38" i="4"/>
  <c r="O38" i="4"/>
  <c r="K38" i="4"/>
  <c r="L138" i="4"/>
  <c r="M138" i="4" s="1"/>
  <c r="M137" i="4"/>
  <c r="M139" i="4" s="1"/>
  <c r="M55" i="4"/>
  <c r="M106" i="4" s="1"/>
  <c r="L84" i="4"/>
  <c r="M84" i="4"/>
  <c r="K84" i="4"/>
  <c r="M31" i="4"/>
  <c r="N31" i="4"/>
  <c r="L31" i="4"/>
  <c r="L57" i="4"/>
  <c r="L65" i="4" s="1"/>
  <c r="L107" i="4" s="1"/>
  <c r="L105" i="4" s="1"/>
  <c r="M57" i="4"/>
  <c r="K57" i="4"/>
  <c r="N63" i="4"/>
  <c r="K63" i="4"/>
  <c r="O63" i="4"/>
  <c r="M63" i="4"/>
  <c r="N84" i="4"/>
  <c r="M96" i="4"/>
  <c r="M97" i="4" s="1"/>
  <c r="M111" i="4" s="1"/>
  <c r="N96" i="4"/>
  <c r="N97" i="4" s="1"/>
  <c r="N111" i="4" s="1"/>
  <c r="L96" i="4"/>
  <c r="L97" i="4" s="1"/>
  <c r="L111" i="4" s="1"/>
  <c r="L13" i="4"/>
  <c r="L101" i="4" s="1"/>
  <c r="N28" i="4"/>
  <c r="N103" i="4" s="1"/>
  <c r="K31" i="4"/>
  <c r="O33" i="4"/>
  <c r="K33" i="4"/>
  <c r="N33" i="4"/>
  <c r="M33" i="4"/>
  <c r="N57" i="4"/>
  <c r="O84" i="4"/>
  <c r="K96" i="4"/>
  <c r="K97" i="4" s="1"/>
  <c r="K111" i="4" s="1"/>
  <c r="O30" i="4"/>
  <c r="K13" i="4"/>
  <c r="K101" i="4" s="1"/>
  <c r="K30" i="4"/>
  <c r="N55" i="4"/>
  <c r="N106" i="4" s="1"/>
  <c r="O59" i="4"/>
  <c r="N82" i="4"/>
  <c r="N109" i="4" s="1"/>
  <c r="O85" i="4"/>
  <c r="O87" i="4"/>
  <c r="K87" i="4"/>
  <c r="E90" i="4"/>
  <c r="J136" i="4"/>
  <c r="J139" i="4" s="1"/>
  <c r="N60" i="4"/>
  <c r="G136" i="4"/>
  <c r="G139" i="4" s="1"/>
  <c r="N62" i="3"/>
  <c r="N42" i="3"/>
  <c r="N35" i="3"/>
  <c r="N27" i="3"/>
  <c r="N15" i="3"/>
  <c r="N99" i="3"/>
  <c r="E33" i="1"/>
  <c r="O105" i="4" l="1"/>
  <c r="O122" i="4" s="1"/>
  <c r="O36" i="4"/>
  <c r="N36" i="4"/>
  <c r="K36" i="4"/>
  <c r="K32" i="4"/>
  <c r="M36" i="4"/>
  <c r="L32" i="4"/>
  <c r="N37" i="4"/>
  <c r="L37" i="4"/>
  <c r="M37" i="4"/>
  <c r="O37" i="4"/>
  <c r="O32" i="4"/>
  <c r="N65" i="4"/>
  <c r="N107" i="4" s="1"/>
  <c r="N105" i="4" s="1"/>
  <c r="N122" i="4" s="1"/>
  <c r="M90" i="4"/>
  <c r="M92" i="4" s="1"/>
  <c r="M110" i="4" s="1"/>
  <c r="M108" i="4" s="1"/>
  <c r="O90" i="4"/>
  <c r="O110" i="4" s="1"/>
  <c r="O108" i="4" s="1"/>
  <c r="O123" i="4" s="1"/>
  <c r="N90" i="4"/>
  <c r="N92" i="4" s="1"/>
  <c r="N110" i="4" s="1"/>
  <c r="N108" i="4" s="1"/>
  <c r="L90" i="4"/>
  <c r="K90" i="4"/>
  <c r="K92" i="4" s="1"/>
  <c r="K110" i="4" s="1"/>
  <c r="K108" i="4" s="1"/>
  <c r="K123" i="4" s="1"/>
  <c r="N40" i="4"/>
  <c r="K40" i="4"/>
  <c r="O40" i="4"/>
  <c r="M40" i="4"/>
  <c r="M42" i="4" s="1"/>
  <c r="M104" i="4" s="1"/>
  <c r="M102" i="4" s="1"/>
  <c r="L40" i="4"/>
  <c r="K65" i="4"/>
  <c r="K107" i="4" s="1"/>
  <c r="K105" i="4" s="1"/>
  <c r="K122" i="4" s="1"/>
  <c r="M65" i="4"/>
  <c r="M107" i="4" s="1"/>
  <c r="M105" i="4" s="1"/>
  <c r="L92" i="4"/>
  <c r="L110" i="4" s="1"/>
  <c r="L108" i="4" s="1"/>
  <c r="O72" i="3"/>
  <c r="O117" i="1"/>
  <c r="O65" i="1"/>
  <c r="O103" i="1"/>
  <c r="K41" i="1"/>
  <c r="L41" i="1"/>
  <c r="M41" i="1"/>
  <c r="N41" i="1"/>
  <c r="O41" i="1"/>
  <c r="O104" i="4" l="1"/>
  <c r="K42" i="4"/>
  <c r="K104" i="4" s="1"/>
  <c r="K102" i="4" s="1"/>
  <c r="L42" i="4"/>
  <c r="L104" i="4" s="1"/>
  <c r="L102" i="4" s="1"/>
  <c r="N42" i="4"/>
  <c r="N104" i="4" s="1"/>
  <c r="N102" i="4" s="1"/>
  <c r="M114" i="4"/>
  <c r="O159" i="3"/>
  <c r="N159" i="3"/>
  <c r="M159" i="3"/>
  <c r="L159" i="3"/>
  <c r="K159" i="3"/>
  <c r="O158" i="3"/>
  <c r="N158" i="3"/>
  <c r="M158" i="3"/>
  <c r="L158" i="3"/>
  <c r="K158" i="3"/>
  <c r="O157" i="3"/>
  <c r="N157" i="3"/>
  <c r="M157" i="3"/>
  <c r="L157" i="3"/>
  <c r="K157" i="3"/>
  <c r="N155" i="3"/>
  <c r="M155" i="3"/>
  <c r="L155" i="3"/>
  <c r="K155" i="3"/>
  <c r="E151" i="3"/>
  <c r="E153" i="3"/>
  <c r="O153" i="3" s="1"/>
  <c r="E155" i="3"/>
  <c r="Q148" i="3"/>
  <c r="N149" i="3"/>
  <c r="G139" i="1"/>
  <c r="M139" i="1"/>
  <c r="M138" i="1"/>
  <c r="M137" i="1"/>
  <c r="M136" i="1"/>
  <c r="L138" i="1"/>
  <c r="K138" i="1"/>
  <c r="J139" i="1"/>
  <c r="J138" i="1"/>
  <c r="J137" i="1"/>
  <c r="J136" i="1"/>
  <c r="I138" i="1"/>
  <c r="H138" i="1"/>
  <c r="E138" i="1"/>
  <c r="G138" i="1"/>
  <c r="F138" i="1"/>
  <c r="G137" i="1"/>
  <c r="G136" i="1"/>
  <c r="E149" i="3"/>
  <c r="O149" i="3" s="1"/>
  <c r="O151" i="3"/>
  <c r="E57" i="3"/>
  <c r="N151" i="3"/>
  <c r="Q152" i="3" s="1"/>
  <c r="O150" i="3"/>
  <c r="E146" i="3"/>
  <c r="N146" i="3" s="1"/>
  <c r="E144" i="3"/>
  <c r="M144" i="3" s="1"/>
  <c r="O143" i="3"/>
  <c r="N143" i="3"/>
  <c r="M143" i="3"/>
  <c r="L143" i="3"/>
  <c r="K143" i="3"/>
  <c r="O142" i="3"/>
  <c r="N142" i="3"/>
  <c r="M142" i="3"/>
  <c r="L142" i="3"/>
  <c r="K142" i="3"/>
  <c r="O141" i="3"/>
  <c r="N141" i="3"/>
  <c r="M141" i="3"/>
  <c r="L141" i="3"/>
  <c r="K141" i="3"/>
  <c r="O140" i="3"/>
  <c r="N140" i="3"/>
  <c r="M140" i="3"/>
  <c r="L140" i="3"/>
  <c r="K140" i="3"/>
  <c r="O139" i="3"/>
  <c r="N139" i="3"/>
  <c r="M139" i="3"/>
  <c r="L139" i="3"/>
  <c r="K139" i="3"/>
  <c r="E138" i="3"/>
  <c r="N138" i="3" s="1"/>
  <c r="E136" i="3"/>
  <c r="M136" i="3" s="1"/>
  <c r="K114" i="4" l="1"/>
  <c r="K116" i="4" s="1"/>
  <c r="K117" i="4" s="1"/>
  <c r="K118" i="4" s="1"/>
  <c r="K119" i="4" s="1"/>
  <c r="K121" i="4"/>
  <c r="O121" i="4"/>
  <c r="O116" i="4"/>
  <c r="O117" i="4" s="1"/>
  <c r="O118" i="4" s="1"/>
  <c r="O119" i="4" s="1"/>
  <c r="N114" i="4"/>
  <c r="N116" i="4" s="1"/>
  <c r="N117" i="4" s="1"/>
  <c r="N118" i="4" s="1"/>
  <c r="N119" i="4" s="1"/>
  <c r="N121" i="4"/>
  <c r="L114" i="4"/>
  <c r="L115" i="4" s="1"/>
  <c r="L116" i="4" s="1"/>
  <c r="L117" i="4" s="1"/>
  <c r="L118" i="4"/>
  <c r="L119" i="4" s="1"/>
  <c r="M115" i="4"/>
  <c r="M116" i="4" s="1"/>
  <c r="M117" i="4" s="1"/>
  <c r="M149" i="3"/>
  <c r="L149" i="3"/>
  <c r="K149" i="3"/>
  <c r="K138" i="3"/>
  <c r="L138" i="3"/>
  <c r="L146" i="3"/>
  <c r="O146" i="3"/>
  <c r="L153" i="3"/>
  <c r="M138" i="3"/>
  <c r="M153" i="3"/>
  <c r="O138" i="3"/>
  <c r="K146" i="3"/>
  <c r="K151" i="3"/>
  <c r="N136" i="3"/>
  <c r="O136" i="3"/>
  <c r="L136" i="3"/>
  <c r="K144" i="3"/>
  <c r="O144" i="3"/>
  <c r="M146" i="3"/>
  <c r="L151" i="3"/>
  <c r="N153" i="3"/>
  <c r="K136" i="3"/>
  <c r="N144" i="3"/>
  <c r="L144" i="3"/>
  <c r="M151" i="3"/>
  <c r="K153" i="3"/>
  <c r="M118" i="4" l="1"/>
  <c r="M119" i="4" s="1"/>
  <c r="M154" i="3"/>
  <c r="O154" i="3"/>
  <c r="N154" i="3"/>
  <c r="K154" i="3"/>
  <c r="L154" i="3"/>
  <c r="I137" i="1" l="1"/>
  <c r="I136" i="1"/>
  <c r="F137" i="1"/>
  <c r="F136" i="1"/>
  <c r="L137" i="1"/>
  <c r="L136" i="1"/>
  <c r="K89" i="3" l="1"/>
  <c r="K98" i="3"/>
  <c r="K87" i="3"/>
  <c r="K85" i="3"/>
  <c r="K79" i="3"/>
  <c r="K80" i="3"/>
  <c r="K78" i="3"/>
  <c r="K68" i="3"/>
  <c r="K69" i="3"/>
  <c r="K70" i="3"/>
  <c r="K71" i="3"/>
  <c r="K49" i="3"/>
  <c r="K50" i="3"/>
  <c r="K51" i="3"/>
  <c r="K48" i="3"/>
  <c r="K47" i="3"/>
  <c r="K40" i="3"/>
  <c r="K41" i="3"/>
  <c r="K39" i="3"/>
  <c r="K32" i="3"/>
  <c r="K33" i="3"/>
  <c r="K34" i="3"/>
  <c r="K21" i="3"/>
  <c r="K22" i="3"/>
  <c r="K23" i="3"/>
  <c r="K24" i="3"/>
  <c r="K25" i="3"/>
  <c r="K26" i="3"/>
  <c r="K20" i="3"/>
  <c r="K19" i="3"/>
  <c r="K18" i="3"/>
  <c r="K17" i="3"/>
  <c r="K12" i="3"/>
  <c r="K13" i="3"/>
  <c r="K11" i="3"/>
  <c r="K42" i="3"/>
  <c r="K109" i="3" s="1"/>
  <c r="K88" i="1"/>
  <c r="K89" i="1"/>
  <c r="K91" i="1"/>
  <c r="K70" i="1"/>
  <c r="K71" i="1"/>
  <c r="K72" i="1"/>
  <c r="K73" i="1"/>
  <c r="K74" i="1"/>
  <c r="K75" i="1"/>
  <c r="K76" i="1"/>
  <c r="K77" i="1"/>
  <c r="K78" i="1"/>
  <c r="K79" i="1"/>
  <c r="K80" i="1"/>
  <c r="K81" i="1"/>
  <c r="K69" i="1"/>
  <c r="K61" i="1"/>
  <c r="K62" i="1"/>
  <c r="K64" i="1"/>
  <c r="K47" i="1"/>
  <c r="K48" i="1"/>
  <c r="K49" i="1"/>
  <c r="K50" i="1"/>
  <c r="K51" i="1"/>
  <c r="K52" i="1"/>
  <c r="K53" i="1"/>
  <c r="K54" i="1"/>
  <c r="K46" i="1"/>
  <c r="K34" i="1"/>
  <c r="K35" i="1"/>
  <c r="K39" i="1"/>
  <c r="K17" i="1"/>
  <c r="K18" i="1"/>
  <c r="K19" i="1"/>
  <c r="K20" i="1"/>
  <c r="K21" i="1"/>
  <c r="K22" i="1"/>
  <c r="K23" i="1"/>
  <c r="K24" i="1"/>
  <c r="K25" i="1"/>
  <c r="K26" i="1"/>
  <c r="K27" i="1"/>
  <c r="K16" i="1"/>
  <c r="K10" i="1"/>
  <c r="K11" i="1"/>
  <c r="K12" i="1"/>
  <c r="K9" i="1"/>
  <c r="K55" i="1" l="1"/>
  <c r="K106" i="1" s="1"/>
  <c r="K81" i="3"/>
  <c r="K113" i="3" s="1"/>
  <c r="K27" i="3"/>
  <c r="K106" i="3" s="1"/>
  <c r="K82" i="1"/>
  <c r="K109" i="1" s="1"/>
  <c r="K28" i="1"/>
  <c r="K103" i="1" s="1"/>
  <c r="K13" i="1"/>
  <c r="K101" i="1" s="1"/>
  <c r="O88" i="1" l="1"/>
  <c r="O89" i="1"/>
  <c r="O91" i="1"/>
  <c r="O77" i="1"/>
  <c r="O78" i="1"/>
  <c r="O79" i="1"/>
  <c r="O80" i="1"/>
  <c r="O81" i="1"/>
  <c r="O76" i="1"/>
  <c r="O75" i="1"/>
  <c r="O74" i="1"/>
  <c r="O73" i="1"/>
  <c r="O72" i="1"/>
  <c r="O71" i="1"/>
  <c r="O70" i="1"/>
  <c r="O69" i="1"/>
  <c r="O61" i="1"/>
  <c r="O62" i="1"/>
  <c r="O64" i="1"/>
  <c r="O47" i="1"/>
  <c r="O48" i="1"/>
  <c r="O49" i="1"/>
  <c r="O50" i="1"/>
  <c r="O51" i="1"/>
  <c r="O52" i="1"/>
  <c r="O53" i="1"/>
  <c r="O54" i="1"/>
  <c r="O46" i="1"/>
  <c r="O39" i="1"/>
  <c r="O35" i="1"/>
  <c r="O34" i="1"/>
  <c r="O20" i="1"/>
  <c r="O21" i="1"/>
  <c r="O22" i="1"/>
  <c r="O23" i="1"/>
  <c r="O24" i="1"/>
  <c r="O25" i="1"/>
  <c r="O26" i="1"/>
  <c r="O27" i="1"/>
  <c r="O19" i="1"/>
  <c r="O18" i="1"/>
  <c r="O17" i="1"/>
  <c r="O16" i="1"/>
  <c r="O10" i="1"/>
  <c r="O11" i="1"/>
  <c r="O12" i="1"/>
  <c r="O9" i="1"/>
  <c r="O82" i="1" l="1"/>
  <c r="O109" i="1" s="1"/>
  <c r="O55" i="1"/>
  <c r="O106" i="1" s="1"/>
  <c r="O28" i="1"/>
  <c r="O13" i="1"/>
  <c r="O101" i="1" s="1"/>
  <c r="O87" i="3"/>
  <c r="O89" i="3"/>
  <c r="O98" i="3"/>
  <c r="O85" i="3"/>
  <c r="O79" i="3"/>
  <c r="O80" i="3"/>
  <c r="O78" i="3"/>
  <c r="O68" i="3"/>
  <c r="O69" i="3"/>
  <c r="O70" i="3"/>
  <c r="O71" i="3"/>
  <c r="O47" i="3"/>
  <c r="O48" i="3"/>
  <c r="O49" i="3"/>
  <c r="O50" i="3"/>
  <c r="O51" i="3"/>
  <c r="O58" i="3"/>
  <c r="O40" i="3"/>
  <c r="O41" i="3"/>
  <c r="O39" i="3"/>
  <c r="O32" i="3"/>
  <c r="O33" i="3"/>
  <c r="O34" i="3"/>
  <c r="O21" i="3"/>
  <c r="O22" i="3"/>
  <c r="O23" i="3"/>
  <c r="O24" i="3"/>
  <c r="O25" i="3"/>
  <c r="O26" i="3"/>
  <c r="O20" i="3"/>
  <c r="O19" i="3"/>
  <c r="O18" i="3"/>
  <c r="O17" i="3"/>
  <c r="O12" i="3"/>
  <c r="O13" i="3"/>
  <c r="O11" i="3"/>
  <c r="N88" i="1"/>
  <c r="N89" i="1"/>
  <c r="N91" i="1"/>
  <c r="N70" i="1"/>
  <c r="N71" i="1"/>
  <c r="N72" i="1"/>
  <c r="N73" i="1"/>
  <c r="N74" i="1"/>
  <c r="N75" i="1"/>
  <c r="N76" i="1"/>
  <c r="N77" i="1"/>
  <c r="N78" i="1"/>
  <c r="N79" i="1"/>
  <c r="N80" i="1"/>
  <c r="N81" i="1"/>
  <c r="N69" i="1"/>
  <c r="N64" i="1"/>
  <c r="N62" i="1"/>
  <c r="N61" i="1"/>
  <c r="N54" i="1"/>
  <c r="N53" i="1"/>
  <c r="N52" i="1"/>
  <c r="N51" i="1"/>
  <c r="N50" i="1"/>
  <c r="N49" i="1"/>
  <c r="N48" i="1"/>
  <c r="N47" i="1"/>
  <c r="N46" i="1"/>
  <c r="N39" i="1"/>
  <c r="N35" i="1"/>
  <c r="N34" i="1"/>
  <c r="N20" i="1"/>
  <c r="N21" i="1"/>
  <c r="N22" i="1"/>
  <c r="N23" i="1"/>
  <c r="N24" i="1"/>
  <c r="N25" i="1"/>
  <c r="N26" i="1"/>
  <c r="N27" i="1"/>
  <c r="N19" i="1"/>
  <c r="N18" i="1"/>
  <c r="N17" i="1"/>
  <c r="N16" i="1"/>
  <c r="N10" i="1"/>
  <c r="N11" i="1"/>
  <c r="N12" i="1"/>
  <c r="N9" i="1"/>
  <c r="O42" i="3"/>
  <c r="O109" i="3" s="1"/>
  <c r="N98" i="3"/>
  <c r="N89" i="3"/>
  <c r="N87" i="3"/>
  <c r="N85" i="3"/>
  <c r="N79" i="3"/>
  <c r="N80" i="3"/>
  <c r="N78" i="3"/>
  <c r="N68" i="3"/>
  <c r="N69" i="3"/>
  <c r="N70" i="3"/>
  <c r="N71" i="3"/>
  <c r="N72" i="3" s="1"/>
  <c r="N47" i="3"/>
  <c r="N48" i="3"/>
  <c r="N49" i="3"/>
  <c r="N50" i="3"/>
  <c r="N51" i="3"/>
  <c r="N40" i="3"/>
  <c r="N41" i="3"/>
  <c r="N39" i="3"/>
  <c r="N32" i="3"/>
  <c r="N33" i="3"/>
  <c r="N34" i="3"/>
  <c r="N18" i="3"/>
  <c r="N19" i="3"/>
  <c r="N20" i="3"/>
  <c r="N21" i="3"/>
  <c r="N22" i="3"/>
  <c r="N23" i="3"/>
  <c r="N24" i="3"/>
  <c r="N25" i="3"/>
  <c r="N26" i="3"/>
  <c r="N17" i="3"/>
  <c r="N12" i="3"/>
  <c r="N13" i="3"/>
  <c r="N11" i="3"/>
  <c r="N81" i="3"/>
  <c r="N113" i="3" s="1"/>
  <c r="M98" i="3"/>
  <c r="M89" i="3"/>
  <c r="M87" i="3"/>
  <c r="M85" i="3"/>
  <c r="M68" i="3"/>
  <c r="M69" i="3"/>
  <c r="M70" i="3"/>
  <c r="M71" i="3"/>
  <c r="M47" i="3"/>
  <c r="M48" i="3"/>
  <c r="M49" i="3"/>
  <c r="M50" i="3"/>
  <c r="M51" i="3"/>
  <c r="M40" i="3"/>
  <c r="M41" i="3"/>
  <c r="M39" i="3"/>
  <c r="M32" i="3"/>
  <c r="M33" i="3"/>
  <c r="M34" i="3"/>
  <c r="M21" i="3"/>
  <c r="M22" i="3"/>
  <c r="M23" i="3"/>
  <c r="M24" i="3"/>
  <c r="M25" i="3"/>
  <c r="M26" i="3"/>
  <c r="M20" i="3"/>
  <c r="M19" i="3"/>
  <c r="M18" i="3"/>
  <c r="M17" i="3"/>
  <c r="M12" i="3"/>
  <c r="M13" i="3"/>
  <c r="M11" i="3"/>
  <c r="M32" i="1"/>
  <c r="M88" i="1"/>
  <c r="M89" i="1"/>
  <c r="M91" i="1"/>
  <c r="M70" i="1"/>
  <c r="M71" i="1"/>
  <c r="M72" i="1"/>
  <c r="M73" i="1"/>
  <c r="M74" i="1"/>
  <c r="M75" i="1"/>
  <c r="M76" i="1"/>
  <c r="M77" i="1"/>
  <c r="M78" i="1"/>
  <c r="M79" i="1"/>
  <c r="M80" i="1"/>
  <c r="M81" i="1"/>
  <c r="M69" i="1"/>
  <c r="M61" i="1"/>
  <c r="M62" i="1"/>
  <c r="M64" i="1"/>
  <c r="M47" i="1"/>
  <c r="M48" i="1"/>
  <c r="M49" i="1"/>
  <c r="M50" i="1"/>
  <c r="M51" i="1"/>
  <c r="M52" i="1"/>
  <c r="M53" i="1"/>
  <c r="M54" i="1"/>
  <c r="M46" i="1"/>
  <c r="M34" i="1"/>
  <c r="M35" i="1"/>
  <c r="M39" i="1"/>
  <c r="M20" i="1"/>
  <c r="M21" i="1"/>
  <c r="M22" i="1"/>
  <c r="M23" i="1"/>
  <c r="M24" i="1"/>
  <c r="M25" i="1"/>
  <c r="M26" i="1"/>
  <c r="M27" i="1"/>
  <c r="M19" i="1"/>
  <c r="M18" i="1"/>
  <c r="M17" i="1"/>
  <c r="M16" i="1"/>
  <c r="M10" i="1"/>
  <c r="M11" i="1"/>
  <c r="M12" i="1"/>
  <c r="M9" i="1"/>
  <c r="L87" i="3"/>
  <c r="L89" i="3"/>
  <c r="L98" i="3"/>
  <c r="L85" i="3"/>
  <c r="L79" i="3"/>
  <c r="L80" i="3"/>
  <c r="L78" i="3"/>
  <c r="L71" i="3"/>
  <c r="L68" i="3"/>
  <c r="L69" i="3"/>
  <c r="L70" i="3"/>
  <c r="L47" i="3"/>
  <c r="L48" i="3"/>
  <c r="L49" i="3"/>
  <c r="L50" i="3"/>
  <c r="L51" i="3"/>
  <c r="L40" i="3"/>
  <c r="L41" i="3"/>
  <c r="L39" i="3"/>
  <c r="L34" i="3"/>
  <c r="L32" i="3"/>
  <c r="L33" i="3"/>
  <c r="L18" i="3"/>
  <c r="L19" i="3"/>
  <c r="L20" i="3"/>
  <c r="L21" i="3"/>
  <c r="L22" i="3"/>
  <c r="L23" i="3"/>
  <c r="L24" i="3"/>
  <c r="L25" i="3"/>
  <c r="L26" i="3"/>
  <c r="L17" i="3"/>
  <c r="L12" i="3"/>
  <c r="L13" i="3"/>
  <c r="L11" i="3"/>
  <c r="L88" i="1"/>
  <c r="L89" i="1"/>
  <c r="L91" i="1"/>
  <c r="L70" i="1"/>
  <c r="L71" i="1"/>
  <c r="L72" i="1"/>
  <c r="L73" i="1"/>
  <c r="L74" i="1"/>
  <c r="L75" i="1"/>
  <c r="L76" i="1"/>
  <c r="L77" i="1"/>
  <c r="L78" i="1"/>
  <c r="L79" i="1"/>
  <c r="L80" i="1"/>
  <c r="L81" i="1"/>
  <c r="L69" i="1"/>
  <c r="L61" i="1"/>
  <c r="L62" i="1"/>
  <c r="L64" i="1"/>
  <c r="L47" i="1"/>
  <c r="L48" i="1"/>
  <c r="L49" i="1"/>
  <c r="L50" i="1"/>
  <c r="L51" i="1"/>
  <c r="L52" i="1"/>
  <c r="L53" i="1"/>
  <c r="L54" i="1"/>
  <c r="L46" i="1"/>
  <c r="L34" i="1"/>
  <c r="L35" i="1"/>
  <c r="L39" i="1"/>
  <c r="L20" i="1"/>
  <c r="L21" i="1"/>
  <c r="L22" i="1"/>
  <c r="L23" i="1"/>
  <c r="L24" i="1"/>
  <c r="L25" i="1"/>
  <c r="L26" i="1"/>
  <c r="L27" i="1"/>
  <c r="L19" i="1"/>
  <c r="L18" i="1"/>
  <c r="L17" i="1"/>
  <c r="L16" i="1"/>
  <c r="L10" i="1"/>
  <c r="L11" i="1"/>
  <c r="L12" i="1"/>
  <c r="L9" i="1"/>
  <c r="N13" i="1" l="1"/>
  <c r="N101" i="1" s="1"/>
  <c r="M42" i="3"/>
  <c r="M109" i="3" s="1"/>
  <c r="O81" i="3"/>
  <c r="O113" i="3" s="1"/>
  <c r="O27" i="3"/>
  <c r="O106" i="3" s="1"/>
  <c r="N82" i="1"/>
  <c r="N109" i="1" s="1"/>
  <c r="N55" i="1"/>
  <c r="N106" i="1" s="1"/>
  <c r="N28" i="1"/>
  <c r="N103" i="1" s="1"/>
  <c r="N109" i="3"/>
  <c r="N106" i="3"/>
  <c r="M81" i="3"/>
  <c r="M113" i="3" s="1"/>
  <c r="M27" i="3"/>
  <c r="M106" i="3" s="1"/>
  <c r="M82" i="1"/>
  <c r="M109" i="1" s="1"/>
  <c r="M28" i="1"/>
  <c r="M103" i="1" s="1"/>
  <c r="M13" i="1"/>
  <c r="M101" i="1" s="1"/>
  <c r="M55" i="1"/>
  <c r="M106" i="1" s="1"/>
  <c r="L81" i="3"/>
  <c r="L113" i="3" s="1"/>
  <c r="L42" i="3"/>
  <c r="L109" i="3" s="1"/>
  <c r="L27" i="3"/>
  <c r="L106" i="3" s="1"/>
  <c r="L82" i="1"/>
  <c r="L109" i="1" s="1"/>
  <c r="L55" i="1"/>
  <c r="L106" i="1" s="1"/>
  <c r="L28" i="1"/>
  <c r="L103" i="1" s="1"/>
  <c r="L13" i="1"/>
  <c r="L101" i="1" s="1"/>
  <c r="E66" i="3"/>
  <c r="E64" i="3"/>
  <c r="E54" i="3"/>
  <c r="B31" i="1"/>
  <c r="E61" i="3"/>
  <c r="E59" i="3"/>
  <c r="E46" i="3"/>
  <c r="K61" i="3" l="1"/>
  <c r="O61" i="3"/>
  <c r="N61" i="3"/>
  <c r="M61" i="3"/>
  <c r="L61" i="3"/>
  <c r="K54" i="3"/>
  <c r="L54" i="3"/>
  <c r="O54" i="3"/>
  <c r="M54" i="3"/>
  <c r="N54" i="3"/>
  <c r="K57" i="3"/>
  <c r="N57" i="3"/>
  <c r="M57" i="3"/>
  <c r="L57" i="3"/>
  <c r="O57" i="3"/>
  <c r="K46" i="3"/>
  <c r="M46" i="3"/>
  <c r="L46" i="3"/>
  <c r="O46" i="3"/>
  <c r="N46" i="3"/>
  <c r="K64" i="3"/>
  <c r="N64" i="3"/>
  <c r="M64" i="3"/>
  <c r="L64" i="3"/>
  <c r="O64" i="3"/>
  <c r="K59" i="3"/>
  <c r="O59" i="3"/>
  <c r="N59" i="3"/>
  <c r="M59" i="3"/>
  <c r="L59" i="3"/>
  <c r="K66" i="3"/>
  <c r="O66" i="3"/>
  <c r="M66" i="3"/>
  <c r="N66" i="3"/>
  <c r="L66" i="3"/>
  <c r="B85" i="1"/>
  <c r="B86" i="1" s="1"/>
  <c r="B87" i="1" s="1"/>
  <c r="B88" i="1" s="1"/>
  <c r="B89" i="1" s="1"/>
  <c r="C111" i="3"/>
  <c r="C110" i="3"/>
  <c r="C109" i="3"/>
  <c r="C107" i="3"/>
  <c r="C106" i="3"/>
  <c r="C105" i="3"/>
  <c r="C114" i="3"/>
  <c r="C113" i="3"/>
  <c r="C112" i="3"/>
  <c r="C108" i="3"/>
  <c r="C104" i="3"/>
  <c r="E93" i="3"/>
  <c r="E95" i="3"/>
  <c r="E97" i="3"/>
  <c r="E91" i="3"/>
  <c r="K95" i="3" l="1"/>
  <c r="O95" i="3"/>
  <c r="M95" i="3"/>
  <c r="N95" i="3"/>
  <c r="L95" i="3"/>
  <c r="K97" i="3"/>
  <c r="O97" i="3"/>
  <c r="M97" i="3"/>
  <c r="N97" i="3"/>
  <c r="L97" i="3"/>
  <c r="K93" i="3"/>
  <c r="L93" i="3"/>
  <c r="N93" i="3"/>
  <c r="M93" i="3"/>
  <c r="O93" i="3"/>
  <c r="K91" i="3"/>
  <c r="O91" i="3"/>
  <c r="L91" i="3"/>
  <c r="N91" i="3"/>
  <c r="M91" i="3"/>
  <c r="E94" i="3"/>
  <c r="E52" i="3"/>
  <c r="B18" i="3"/>
  <c r="B19" i="3" s="1"/>
  <c r="B20" i="3" s="1"/>
  <c r="B21" i="3" s="1"/>
  <c r="B22" i="3" s="1"/>
  <c r="B23" i="3" s="1"/>
  <c r="B24" i="3" s="1"/>
  <c r="B25" i="3" s="1"/>
  <c r="B26" i="3" s="1"/>
  <c r="E44" i="3"/>
  <c r="E14" i="3"/>
  <c r="E67" i="3"/>
  <c r="E65" i="3"/>
  <c r="K67" i="3" l="1"/>
  <c r="M67" i="3"/>
  <c r="L67" i="3"/>
  <c r="O67" i="3"/>
  <c r="N67" i="3"/>
  <c r="K52" i="3"/>
  <c r="O52" i="3"/>
  <c r="N52" i="3"/>
  <c r="M52" i="3"/>
  <c r="L52" i="3"/>
  <c r="K14" i="3"/>
  <c r="K15" i="3" s="1"/>
  <c r="K105" i="3" s="1"/>
  <c r="O14" i="3"/>
  <c r="O15" i="3" s="1"/>
  <c r="O105" i="3" s="1"/>
  <c r="N14" i="3"/>
  <c r="N105" i="3" s="1"/>
  <c r="L14" i="3"/>
  <c r="L15" i="3" s="1"/>
  <c r="L105" i="3" s="1"/>
  <c r="M14" i="3"/>
  <c r="M15" i="3" s="1"/>
  <c r="M105" i="3" s="1"/>
  <c r="K94" i="3"/>
  <c r="K99" i="3" s="1"/>
  <c r="K114" i="3" s="1"/>
  <c r="K112" i="3" s="1"/>
  <c r="N94" i="3"/>
  <c r="N114" i="3" s="1"/>
  <c r="N112" i="3" s="1"/>
  <c r="L94" i="3"/>
  <c r="M94" i="3"/>
  <c r="M99" i="3" s="1"/>
  <c r="M114" i="3" s="1"/>
  <c r="M112" i="3" s="1"/>
  <c r="O94" i="3"/>
  <c r="L99" i="3"/>
  <c r="L114" i="3" s="1"/>
  <c r="L112" i="3" s="1"/>
  <c r="K65" i="3"/>
  <c r="N65" i="3"/>
  <c r="N111" i="3" s="1"/>
  <c r="M65" i="3"/>
  <c r="M72" i="3" s="1"/>
  <c r="M111" i="3" s="1"/>
  <c r="L65" i="3"/>
  <c r="O65" i="3"/>
  <c r="K44" i="3"/>
  <c r="K62" i="3" s="1"/>
  <c r="K110" i="3" s="1"/>
  <c r="M44" i="3"/>
  <c r="N44" i="3"/>
  <c r="N110" i="3" s="1"/>
  <c r="L44" i="3"/>
  <c r="L62" i="3" s="1"/>
  <c r="L110" i="3" s="1"/>
  <c r="O44" i="3"/>
  <c r="O62" i="3" s="1"/>
  <c r="O99" i="3"/>
  <c r="O114" i="3" s="1"/>
  <c r="O112" i="3" s="1"/>
  <c r="E31" i="3"/>
  <c r="E30" i="3"/>
  <c r="E29" i="3"/>
  <c r="L72" i="3" l="1"/>
  <c r="L111" i="3" s="1"/>
  <c r="O110" i="3"/>
  <c r="O155" i="3"/>
  <c r="N108" i="3"/>
  <c r="M62" i="3"/>
  <c r="M110" i="3" s="1"/>
  <c r="M108" i="3" s="1"/>
  <c r="K72" i="3"/>
  <c r="K111" i="3" s="1"/>
  <c r="K108" i="3" s="1"/>
  <c r="O111" i="3"/>
  <c r="K30" i="3"/>
  <c r="M30" i="3"/>
  <c r="L30" i="3"/>
  <c r="O30" i="3"/>
  <c r="N30" i="3"/>
  <c r="K29" i="3"/>
  <c r="O29" i="3"/>
  <c r="N29" i="3"/>
  <c r="L29" i="3"/>
  <c r="M29" i="3"/>
  <c r="K31" i="3"/>
  <c r="O31" i="3"/>
  <c r="N31" i="3"/>
  <c r="M31" i="3"/>
  <c r="L31" i="3"/>
  <c r="L108" i="3"/>
  <c r="C111" i="1"/>
  <c r="E96" i="1"/>
  <c r="C108" i="1"/>
  <c r="C105" i="1"/>
  <c r="E58" i="1"/>
  <c r="B32" i="1"/>
  <c r="B33" i="1" s="1"/>
  <c r="B34" i="1" s="1"/>
  <c r="B35" i="1" s="1"/>
  <c r="B36" i="1" s="1"/>
  <c r="B37" i="1" s="1"/>
  <c r="B38" i="1" s="1"/>
  <c r="B39" i="1" s="1"/>
  <c r="E37" i="1"/>
  <c r="E36" i="1"/>
  <c r="O108" i="3" l="1"/>
  <c r="K58" i="1"/>
  <c r="O58" i="1"/>
  <c r="M58" i="1"/>
  <c r="L58" i="1"/>
  <c r="N58" i="1"/>
  <c r="K37" i="1"/>
  <c r="O37" i="1"/>
  <c r="M37" i="1"/>
  <c r="L37" i="1"/>
  <c r="N37" i="1"/>
  <c r="K96" i="1"/>
  <c r="K97" i="1" s="1"/>
  <c r="K111" i="1" s="1"/>
  <c r="O96" i="1"/>
  <c r="O97" i="1" s="1"/>
  <c r="O111" i="1" s="1"/>
  <c r="M96" i="1"/>
  <c r="M97" i="1" s="1"/>
  <c r="M111" i="1" s="1"/>
  <c r="L96" i="1"/>
  <c r="L97" i="1" s="1"/>
  <c r="L111" i="1" s="1"/>
  <c r="N96" i="1"/>
  <c r="N97" i="1" s="1"/>
  <c r="N111" i="1" s="1"/>
  <c r="K36" i="1"/>
  <c r="O36" i="1"/>
  <c r="M36" i="1"/>
  <c r="L36" i="1"/>
  <c r="N36" i="1"/>
  <c r="O35" i="3"/>
  <c r="O107" i="3" s="1"/>
  <c r="O104" i="3" s="1"/>
  <c r="L35" i="3"/>
  <c r="L107" i="3" s="1"/>
  <c r="L104" i="3" s="1"/>
  <c r="L116" i="3" s="1"/>
  <c r="L118" i="3" s="1"/>
  <c r="L119" i="3" s="1"/>
  <c r="L120" i="3" s="1"/>
  <c r="L121" i="3" s="1"/>
  <c r="N107" i="3"/>
  <c r="N104" i="3" s="1"/>
  <c r="N116" i="3" s="1"/>
  <c r="N118" i="3" s="1"/>
  <c r="N119" i="3" s="1"/>
  <c r="N120" i="3" s="1"/>
  <c r="N121" i="3" s="1"/>
  <c r="K35" i="3"/>
  <c r="K107" i="3" s="1"/>
  <c r="K104" i="3" s="1"/>
  <c r="K116" i="3" s="1"/>
  <c r="M35" i="3"/>
  <c r="M107" i="3" s="1"/>
  <c r="M104" i="3" s="1"/>
  <c r="M116" i="3" s="1"/>
  <c r="E32" i="1"/>
  <c r="E38" i="1"/>
  <c r="E87" i="1"/>
  <c r="E86" i="1"/>
  <c r="E85" i="1"/>
  <c r="E84" i="1"/>
  <c r="E60" i="1"/>
  <c r="E59" i="1"/>
  <c r="E57" i="1"/>
  <c r="E31" i="1"/>
  <c r="E30" i="1"/>
  <c r="O116" i="3" l="1"/>
  <c r="O118" i="3" s="1"/>
  <c r="K57" i="1"/>
  <c r="O57" i="1"/>
  <c r="N57" i="1"/>
  <c r="L57" i="1"/>
  <c r="M57" i="1"/>
  <c r="K31" i="1"/>
  <c r="O31" i="1"/>
  <c r="N31" i="1"/>
  <c r="M31" i="1"/>
  <c r="L31" i="1"/>
  <c r="K60" i="1"/>
  <c r="O60" i="1"/>
  <c r="N60" i="1"/>
  <c r="M60" i="1"/>
  <c r="L60" i="1"/>
  <c r="E63" i="1"/>
  <c r="K87" i="1"/>
  <c r="O87" i="1"/>
  <c r="M87" i="1"/>
  <c r="L87" i="1"/>
  <c r="N87" i="1"/>
  <c r="E90" i="1"/>
  <c r="K33" i="1"/>
  <c r="O33" i="1"/>
  <c r="M33" i="1"/>
  <c r="L33" i="1"/>
  <c r="N33" i="1"/>
  <c r="E40" i="1"/>
  <c r="K84" i="1"/>
  <c r="O84" i="1"/>
  <c r="M84" i="1"/>
  <c r="L84" i="1"/>
  <c r="N84" i="1"/>
  <c r="K38" i="1"/>
  <c r="O38" i="1"/>
  <c r="N38" i="1"/>
  <c r="M38" i="1"/>
  <c r="L38" i="1"/>
  <c r="K85" i="1"/>
  <c r="O85" i="1"/>
  <c r="N85" i="1"/>
  <c r="L85" i="1"/>
  <c r="M85" i="1"/>
  <c r="K32" i="1"/>
  <c r="O32" i="1"/>
  <c r="L32" i="1"/>
  <c r="N32" i="1"/>
  <c r="K30" i="1"/>
  <c r="O30" i="1"/>
  <c r="N30" i="1"/>
  <c r="M30" i="1"/>
  <c r="L30" i="1"/>
  <c r="K59" i="1"/>
  <c r="O59" i="1"/>
  <c r="M59" i="1"/>
  <c r="N59" i="1"/>
  <c r="L59" i="1"/>
  <c r="K86" i="1"/>
  <c r="O86" i="1"/>
  <c r="L86" i="1"/>
  <c r="N86" i="1"/>
  <c r="M86" i="1"/>
  <c r="M117" i="3"/>
  <c r="M118" i="3" s="1"/>
  <c r="M119" i="3" s="1"/>
  <c r="M120" i="3" s="1"/>
  <c r="M121" i="3" s="1"/>
  <c r="K118" i="3"/>
  <c r="K119" i="3" s="1"/>
  <c r="K120" i="3" s="1"/>
  <c r="K121" i="3" s="1"/>
  <c r="C102" i="1"/>
  <c r="C101" i="1"/>
  <c r="O119" i="3" l="1"/>
  <c r="O120" i="3" s="1"/>
  <c r="K40" i="1"/>
  <c r="K42" i="1" s="1"/>
  <c r="K104" i="1" s="1"/>
  <c r="K102" i="1" s="1"/>
  <c r="O40" i="1"/>
  <c r="O42" i="1" s="1"/>
  <c r="O104" i="1" s="1"/>
  <c r="O102" i="1" s="1"/>
  <c r="M40" i="1"/>
  <c r="M42" i="1" s="1"/>
  <c r="M104" i="1" s="1"/>
  <c r="M102" i="1" s="1"/>
  <c r="L40" i="1"/>
  <c r="L42" i="1" s="1"/>
  <c r="L104" i="1" s="1"/>
  <c r="L102" i="1" s="1"/>
  <c r="N40" i="1"/>
  <c r="K63" i="1"/>
  <c r="K65" i="1" s="1"/>
  <c r="K107" i="1" s="1"/>
  <c r="K105" i="1" s="1"/>
  <c r="O63" i="1"/>
  <c r="O107" i="1" s="1"/>
  <c r="O105" i="1" s="1"/>
  <c r="M63" i="1"/>
  <c r="N63" i="1"/>
  <c r="L63" i="1"/>
  <c r="L65" i="1" s="1"/>
  <c r="L107" i="1" s="1"/>
  <c r="L105" i="1" s="1"/>
  <c r="N65" i="1"/>
  <c r="N107" i="1" s="1"/>
  <c r="N105" i="1" s="1"/>
  <c r="K90" i="1"/>
  <c r="K92" i="1" s="1"/>
  <c r="K110" i="1" s="1"/>
  <c r="K108" i="1" s="1"/>
  <c r="O90" i="1"/>
  <c r="O92" i="1" s="1"/>
  <c r="O110" i="1" s="1"/>
  <c r="O108" i="1" s="1"/>
  <c r="L90" i="1"/>
  <c r="L92" i="1" s="1"/>
  <c r="L110" i="1" s="1"/>
  <c r="L108" i="1" s="1"/>
  <c r="N90" i="1"/>
  <c r="N92" i="1" s="1"/>
  <c r="N110" i="1" s="1"/>
  <c r="N108" i="1" s="1"/>
  <c r="M90" i="1"/>
  <c r="M92" i="1" s="1"/>
  <c r="M110" i="1" s="1"/>
  <c r="M108" i="1" s="1"/>
  <c r="N42" i="1"/>
  <c r="N104" i="1" s="1"/>
  <c r="N102" i="1" s="1"/>
  <c r="M65" i="1"/>
  <c r="M107" i="1" s="1"/>
  <c r="M105" i="1" s="1"/>
  <c r="M114" i="1" l="1"/>
  <c r="K114" i="1"/>
  <c r="K116" i="1" s="1"/>
  <c r="K117" i="1" s="1"/>
  <c r="K118" i="1" s="1"/>
  <c r="K119" i="1" s="1"/>
  <c r="M115" i="1"/>
  <c r="M116" i="1" s="1"/>
  <c r="M117" i="1" s="1"/>
  <c r="L114" i="1"/>
  <c r="N114" i="1"/>
  <c r="M118" i="1" l="1"/>
  <c r="M119" i="1"/>
  <c r="O115" i="1"/>
  <c r="O116" i="1" s="1"/>
  <c r="O118" i="1" s="1"/>
  <c r="O119" i="1" s="1"/>
  <c r="N116" i="1"/>
  <c r="N117" i="1" s="1"/>
  <c r="N118" i="1" s="1"/>
  <c r="N119" i="1" s="1"/>
  <c r="L115" i="1"/>
  <c r="L116" i="1" s="1"/>
  <c r="L117" i="1" s="1"/>
  <c r="L118" i="1" s="1"/>
  <c r="L119" i="1" s="1"/>
</calcChain>
</file>

<file path=xl/sharedStrings.xml><?xml version="1.0" encoding="utf-8"?>
<sst xmlns="http://schemas.openxmlformats.org/spreadsheetml/2006/main" count="724" uniqueCount="173">
  <si>
    <t>BILL OF QUANTITY</t>
  </si>
  <si>
    <t>PERUMAHAN CITRA LAND CIBUBUR</t>
  </si>
  <si>
    <t>NO</t>
  </si>
  <si>
    <t>URAIAN  PEKERJAAN</t>
  </si>
  <si>
    <t>SAT.</t>
  </si>
  <si>
    <t>Volume</t>
  </si>
  <si>
    <t>Jumlah</t>
  </si>
  <si>
    <t>I</t>
  </si>
  <si>
    <t>PEKERJAAN PERSIAPAN</t>
  </si>
  <si>
    <t>Mobilisasi - Demobilisasi Alat</t>
  </si>
  <si>
    <t>LS</t>
  </si>
  <si>
    <t>Pengukuran &amp; As Built Drawing</t>
  </si>
  <si>
    <t>Keamanan(termasuk Koord. Lingkungan)</t>
  </si>
  <si>
    <t>Sub Total I</t>
  </si>
  <si>
    <t>II</t>
  </si>
  <si>
    <t>M'</t>
  </si>
  <si>
    <t>Street Inlet + Pipa PVC Dia. 4"x2 (Dipasang Sesuai Gambar)</t>
  </si>
  <si>
    <t>Unit</t>
  </si>
  <si>
    <t>Man Hole Uk. 500x500 Saluran 400</t>
  </si>
  <si>
    <t>Man Hole Uk. 600x600 Saluran 500</t>
  </si>
  <si>
    <t>Man Hole Uk. 700x700 Saluran 600</t>
  </si>
  <si>
    <t>Man Hole Uk. 800x800 Saluran 700</t>
  </si>
  <si>
    <t>A</t>
  </si>
  <si>
    <t>B</t>
  </si>
  <si>
    <t>Man Hole Uk. 1000x1000 Saluran 900</t>
  </si>
  <si>
    <t>Man Hole Uk. 1200x1200 Saluran 1100</t>
  </si>
  <si>
    <t>Gorong-gorong Dia. 500 Type FJ Class 2</t>
  </si>
  <si>
    <t>Gorong-gorong Dia. 500 Type FJ Class 1</t>
  </si>
  <si>
    <t>Gorong-gorong Dia. 400 Type FJ Class 1</t>
  </si>
  <si>
    <t>Gorong-gorong Dia. 400 Type FJ Class 2</t>
  </si>
  <si>
    <t>Gorong-gorong Dia. 600 Type FJ Class 2</t>
  </si>
  <si>
    <t>Gorong-gorong Dia. 700 Type FJ Class 1</t>
  </si>
  <si>
    <t>Gorong-gorong Dia. 700 Type FJ Class 2</t>
  </si>
  <si>
    <t>Gorong-gorong Dia. 900 Type FJ Class 1</t>
  </si>
  <si>
    <t>Gorong-gorong Dia. 900 Type FJ Class 2</t>
  </si>
  <si>
    <t>Test CBR (dari Sub Grade, Limestone, Makadam) 1 ttk 3 test</t>
  </si>
  <si>
    <t>ttk</t>
  </si>
  <si>
    <t>Perapihan Jalan, Berm</t>
  </si>
  <si>
    <t>M2</t>
  </si>
  <si>
    <t>III</t>
  </si>
  <si>
    <t>Limestone t=25cm + pemadatan (CBR min 30%)</t>
  </si>
  <si>
    <t>M3</t>
  </si>
  <si>
    <t>Makadam t=20cm + pemadatan (CBR min 65%)</t>
  </si>
  <si>
    <t>Primecoat</t>
  </si>
  <si>
    <t>Aspal beton MS 750kg t. 5cm</t>
  </si>
  <si>
    <t>Pekerjaan Kansteen Slipform 20x30 K350</t>
  </si>
  <si>
    <t>Gorong-gorong Dia. 1100 Type FJ Class 1</t>
  </si>
  <si>
    <t>Prosentasi</t>
  </si>
  <si>
    <t>REKAPITULASI</t>
  </si>
  <si>
    <t xml:space="preserve">Total </t>
  </si>
  <si>
    <t>Sub Total</t>
  </si>
  <si>
    <t>PPN 10 %</t>
  </si>
  <si>
    <t>GrandTotal</t>
  </si>
  <si>
    <t>Pembulatan</t>
  </si>
  <si>
    <t>PEKERJAAN JALAN DAN SALURAN DRAINASE CLUSTER MONTEVERDE</t>
  </si>
  <si>
    <t>IV</t>
  </si>
  <si>
    <t>Pekerjaan Paving Blok</t>
  </si>
  <si>
    <t>Pekerjaan Urugan Pasir t=5cm</t>
  </si>
  <si>
    <t>Limestone t=20cm Paving Blok</t>
  </si>
  <si>
    <t>Makadam t=15cm Paving Blok</t>
  </si>
  <si>
    <t>PEKERJAAN JALAN DAN SALURAN NEW LIVISTONA</t>
  </si>
  <si>
    <t xml:space="preserve">Pekerjaan Saluran </t>
  </si>
  <si>
    <t>Pekerjaan Jalan Dan Paving Block</t>
  </si>
  <si>
    <t>PEKERJAAN JALAN DAN SALURAN NEW ATALEYA</t>
  </si>
  <si>
    <t>Pekerjaan Saluran</t>
  </si>
  <si>
    <t>Pekerjaan Jalan Aspal dan Kansteen</t>
  </si>
  <si>
    <t>PEKERJAAN JALAN DAN SALURAN AREA NEW ARECA</t>
  </si>
  <si>
    <t>Pekerjaan saluran</t>
  </si>
  <si>
    <t xml:space="preserve">Pekerjaan Jalan </t>
  </si>
  <si>
    <t xml:space="preserve">Cut and Fill  tanah perubahan </t>
  </si>
  <si>
    <t>lebar kav dan jalan area New Livistona</t>
  </si>
  <si>
    <t xml:space="preserve">  (pekj. Meliputi Cut n fill, pemadatan)</t>
  </si>
  <si>
    <t>m3</t>
  </si>
  <si>
    <t>V</t>
  </si>
  <si>
    <t>PEKERJAAN CUT n FILL PERUBAHAN CACAHAN KAVLING NEW LIVISTONA</t>
  </si>
  <si>
    <t>Gorong-gorong Dia. 600 Type FJ Class 1</t>
  </si>
  <si>
    <t>Sub Total II</t>
  </si>
  <si>
    <t>Sub Total III</t>
  </si>
  <si>
    <t>DAN RESTRUKTURISASI SALURAN DIJALAN RAYA JONGGOL</t>
  </si>
  <si>
    <t>Pekerjaan Saluran U-ditch ukr. U 2500 x 2300</t>
  </si>
  <si>
    <t>unit</t>
  </si>
  <si>
    <t>Pasangan Batu Kali Dinding Saluran</t>
  </si>
  <si>
    <t>PEKERJAAN JALAN DAN SALURAN  RUKO  AVENUE TAHAP II</t>
  </si>
  <si>
    <t>C</t>
  </si>
  <si>
    <t>PEKERJAAN JALAN DAN SALURAN MAIN DRAIN  AREA KOMERSIAL</t>
  </si>
  <si>
    <t>Galian Tanah dan Saluran Sementara (pengalihan)</t>
  </si>
  <si>
    <t>m1</t>
  </si>
  <si>
    <t xml:space="preserve">PEKERJAAN SALURAN </t>
  </si>
  <si>
    <t xml:space="preserve">PEKERJAAN JALAN </t>
  </si>
  <si>
    <t>Pekerjaan Kansteen Slipform 20x40 K350</t>
  </si>
  <si>
    <t>Pekerjaan Persiapan</t>
  </si>
  <si>
    <t xml:space="preserve">Pekerjaan Pengukuran </t>
  </si>
  <si>
    <t>ls</t>
  </si>
  <si>
    <t>Mobilisasi dan demobilisasi alat</t>
  </si>
  <si>
    <t xml:space="preserve">Pekerjaan Keamanan dan Koordinasi lapangan </t>
  </si>
  <si>
    <t>Sub. Total</t>
  </si>
  <si>
    <t>Pekj. Galian Tanah Saluran U-ditch</t>
  </si>
  <si>
    <t>Pekerjaan Pasang saluran U-ditch material SBO</t>
  </si>
  <si>
    <t xml:space="preserve">Pekerjaan Beton Decker area Jalan masuk </t>
  </si>
  <si>
    <t xml:space="preserve"> beton T. 20 cm tul. Besi D13-15 dua lapis </t>
  </si>
  <si>
    <t xml:space="preserve">PEKERJAAN RELOKASI SALURAN JALAN RAYA JONGGOL </t>
  </si>
  <si>
    <t>m2</t>
  </si>
  <si>
    <t xml:space="preserve"> termasuk galian struktur jalan lama dan Beton exist</t>
  </si>
  <si>
    <t xml:space="preserve">  (incld mobilisasi dari area dekat WTP = 500m)</t>
  </si>
  <si>
    <t>Pekerjaan Saluran U-ditch, Gorong-gorong dan Pasangan Batu Kali</t>
  </si>
  <si>
    <t xml:space="preserve"> (incld. Galian dan Urugan)</t>
  </si>
  <si>
    <t>Pekerjaan batu kali</t>
  </si>
  <si>
    <t xml:space="preserve"> - Pasangan batu kali </t>
  </si>
  <si>
    <t xml:space="preserve"> - Urugan tanah bekas Galian</t>
  </si>
  <si>
    <t xml:space="preserve"> - Pasangan Beton Tumbuk area bawah Pondasi </t>
  </si>
  <si>
    <t xml:space="preserve">   batu kali T. 8 cm </t>
  </si>
  <si>
    <t>Bak Kontrol 800x800 (sampit)</t>
  </si>
  <si>
    <t xml:space="preserve"> - Galian tanah untuk pondasi Batu kali + buang</t>
  </si>
  <si>
    <t>Pekj. Gorong-GORONG  dia 600 eks. Duracon FJ class 1</t>
  </si>
  <si>
    <t>PEKJ JALAN &amp; SALURAN RUKO THE AVENUE TAHAP II, AREA KOMERSIAL</t>
  </si>
  <si>
    <t xml:space="preserve">PEKERJAAN TAMBAHAN BETON KONSTRUKSI SAMBUNGAN U-DITCH </t>
  </si>
  <si>
    <t>titik</t>
  </si>
  <si>
    <t xml:space="preserve"> - Pasangan stek besi dia 10 mm + sika Anchor-</t>
  </si>
  <si>
    <t xml:space="preserve"> - Pasangan Dinding beton t. 15 cm (incld. Tul.</t>
  </si>
  <si>
    <t xml:space="preserve">   besi dia 10 jarak 20 satu lapis + bekisting) </t>
  </si>
  <si>
    <t xml:space="preserve"> - Pasangan Balok Perkuatan melintang 20/25</t>
  </si>
  <si>
    <t xml:space="preserve"> - Urugan padat tanah bekas Galian</t>
  </si>
  <si>
    <t xml:space="preserve">   tul. 4D13 sk. Dia 8 - 20 (incld perapihan balok)</t>
  </si>
  <si>
    <t>Pekerjaan Saluran Box Culvert  type BOX BCU TOP</t>
  </si>
  <si>
    <t>2600 X 1250 dan BOX BCU BOTTOM 2600X1250</t>
  </si>
  <si>
    <r>
      <t xml:space="preserve">Pekerjaan penetrasi 5 cm </t>
    </r>
    <r>
      <rPr>
        <b/>
        <sz val="9"/>
        <rFont val="Arial"/>
        <family val="2"/>
      </rPr>
      <t xml:space="preserve"> (harga satuan saja)</t>
    </r>
  </si>
  <si>
    <t xml:space="preserve">Pekerjaan Perapihan Sub. Grade </t>
  </si>
  <si>
    <t>Pekerjaan Galian Sub-grade jalan (cut n Fill)</t>
  </si>
  <si>
    <t xml:space="preserve">   fix - 2 (setara) panjang besi min 40-60 cm ditanam </t>
  </si>
  <si>
    <t xml:space="preserve">   ke beton 10 cm (terpasang Rp. 16.250 incld. besi)</t>
  </si>
  <si>
    <t>Harga Satuan</t>
  </si>
  <si>
    <t>PGM</t>
  </si>
  <si>
    <t>Cindelaras</t>
  </si>
  <si>
    <t>TIP</t>
  </si>
  <si>
    <t>Sumanjaya</t>
  </si>
  <si>
    <t>Satriacipta</t>
  </si>
  <si>
    <t xml:space="preserve">Subtotal </t>
  </si>
  <si>
    <t>Dibuat</t>
  </si>
  <si>
    <t>Diajukan,</t>
  </si>
  <si>
    <t>Disetujui,</t>
  </si>
  <si>
    <t>Hendhy Utomo</t>
  </si>
  <si>
    <t>SUPRAMONO</t>
  </si>
  <si>
    <t>Fathurrahman</t>
  </si>
  <si>
    <t>Nancy Oktavia</t>
  </si>
  <si>
    <t>Nanik J Santoso</t>
  </si>
  <si>
    <t xml:space="preserve">    Estimator</t>
  </si>
  <si>
    <t>QS</t>
  </si>
  <si>
    <t>Koor. Konst</t>
  </si>
  <si>
    <t>General Manager</t>
  </si>
  <si>
    <t>Direktur</t>
  </si>
  <si>
    <t>Taufik Hidayat</t>
  </si>
  <si>
    <t>Manager Teknik</t>
  </si>
  <si>
    <t>Harun Hajadi</t>
  </si>
  <si>
    <t>Direktur Utama</t>
  </si>
  <si>
    <t>Fee 10%</t>
  </si>
  <si>
    <t>-</t>
  </si>
  <si>
    <t xml:space="preserve"> - Plat beton 12 cm di pasang diatas Balok Perkuatan</t>
  </si>
  <si>
    <t>melintang</t>
  </si>
  <si>
    <t>Harga Jalan dan Saluran per M</t>
  </si>
  <si>
    <t>Tambahan Penutup Atas</t>
  </si>
  <si>
    <t>Tambahan Kalo Box Culvert</t>
  </si>
  <si>
    <t>Pekj. Dinding tambahan</t>
  </si>
  <si>
    <t>Total Tambahan</t>
  </si>
  <si>
    <t xml:space="preserve">Catatan  : </t>
  </si>
  <si>
    <t xml:space="preserve"> - Rencana Pelaksanaan dengan Penetrasi 5 cm (setelah tingkat huni 80% baru di layer) agar dihasilkan lapisan aspal yang bagus</t>
  </si>
  <si>
    <t>harga per m2</t>
  </si>
  <si>
    <t>luas Jln.</t>
  </si>
  <si>
    <t>Cluster New Livistona (hrg Per M2)</t>
  </si>
  <si>
    <t>Cluster New Ataleya   (hrga per M2)</t>
  </si>
  <si>
    <t>Cluster New Areca   (hrg per m2)</t>
  </si>
  <si>
    <t>incld</t>
  </si>
  <si>
    <t xml:space="preserve">EVALUASI PENAWARAN </t>
  </si>
  <si>
    <t xml:space="preserve"> - Pekerjaan lapisan Struktur Paving Block dan Paving Block Area New Livistona  Tidak 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</si>
</sst>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.00_);_(* \(#,##0.00\);_(* &quot;-&quot;_);_(@_)"/>
    <numFmt numFmtId="166" formatCode="_(* #,##0.000_);_(* \(#,##0.000\);_(* &quot;-&quot;_);_(@_)"/>
    <numFmt numFmtId="167" formatCode="_(* #,##0.0000_);_(* \(#,##0.0000\);_(* &quot;-&quot;_);_(@_)"/>
  </numFmts>
  <fonts count="3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Monotype Corsiva"/>
      <family val="4"/>
    </font>
    <font>
      <b/>
      <sz val="8"/>
      <name val="Arial"/>
      <family val="2"/>
    </font>
    <font>
      <sz val="8"/>
      <color rgb="FF0000FF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0000FF"/>
      <name val="Arial"/>
      <family val="2"/>
    </font>
    <font>
      <sz val="9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sz val="11"/>
      <name val="Arial"/>
      <family val="2"/>
    </font>
    <font>
      <u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0"/>
      <name val="Calibri"/>
      <family val="2"/>
      <charset val="1"/>
      <scheme val="minor"/>
    </font>
    <font>
      <sz val="14"/>
      <color theme="0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7" fillId="0" borderId="0" applyFont="0" applyFill="0" applyBorder="0" applyAlignment="0" applyProtection="0"/>
  </cellStyleXfs>
  <cellXfs count="247">
    <xf numFmtId="0" fontId="0" fillId="0" borderId="0" xfId="0"/>
    <xf numFmtId="0" fontId="4" fillId="0" borderId="0" xfId="1" applyFont="1" applyFill="1" applyBorder="1"/>
    <xf numFmtId="0" fontId="5" fillId="0" borderId="0" xfId="1" applyFont="1" applyFill="1" applyBorder="1"/>
    <xf numFmtId="0" fontId="3" fillId="0" borderId="0" xfId="1" applyFont="1" applyFill="1" applyBorder="1"/>
    <xf numFmtId="43" fontId="3" fillId="0" borderId="0" xfId="2" applyFont="1" applyFill="1" applyBorder="1"/>
    <xf numFmtId="164" fontId="5" fillId="0" borderId="0" xfId="1" applyNumberFormat="1" applyFont="1" applyFill="1" applyBorder="1"/>
    <xf numFmtId="43" fontId="6" fillId="0" borderId="0" xfId="2" applyFont="1" applyFill="1" applyBorder="1"/>
    <xf numFmtId="43" fontId="7" fillId="0" borderId="0" xfId="2" applyFont="1" applyFill="1" applyBorder="1" applyAlignment="1">
      <alignment horizontal="right"/>
    </xf>
    <xf numFmtId="0" fontId="4" fillId="2" borderId="3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center" vertical="center"/>
    </xf>
    <xf numFmtId="43" fontId="3" fillId="0" borderId="3" xfId="2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center" vertical="center"/>
    </xf>
    <xf numFmtId="43" fontId="3" fillId="0" borderId="4" xfId="2" applyFont="1" applyFill="1" applyBorder="1" applyAlignment="1">
      <alignment horizontal="right" vertical="center"/>
    </xf>
    <xf numFmtId="43" fontId="3" fillId="2" borderId="4" xfId="2" applyFont="1" applyFill="1" applyBorder="1" applyAlignment="1">
      <alignment horizontal="right" vertical="center"/>
    </xf>
    <xf numFmtId="0" fontId="6" fillId="0" borderId="4" xfId="1" applyFont="1" applyFill="1" applyBorder="1" applyAlignment="1">
      <alignment horizontal="right"/>
    </xf>
    <xf numFmtId="0" fontId="6" fillId="0" borderId="4" xfId="1" applyFont="1" applyFill="1" applyBorder="1"/>
    <xf numFmtId="0" fontId="6" fillId="0" borderId="4" xfId="1" applyFont="1" applyFill="1" applyBorder="1" applyAlignment="1">
      <alignment horizontal="center"/>
    </xf>
    <xf numFmtId="43" fontId="6" fillId="0" borderId="4" xfId="2" applyFont="1" applyFill="1" applyBorder="1" applyAlignment="1">
      <alignment horizontal="right"/>
    </xf>
    <xf numFmtId="0" fontId="8" fillId="0" borderId="4" xfId="1" applyFont="1" applyFill="1" applyBorder="1" applyAlignment="1">
      <alignment horizontal="right"/>
    </xf>
    <xf numFmtId="43" fontId="9" fillId="0" borderId="4" xfId="2" applyFont="1" applyFill="1" applyBorder="1" applyAlignment="1">
      <alignment horizontal="right"/>
    </xf>
    <xf numFmtId="0" fontId="8" fillId="0" borderId="4" xfId="1" applyFont="1" applyFill="1" applyBorder="1" applyAlignment="1">
      <alignment horizontal="center"/>
    </xf>
    <xf numFmtId="0" fontId="8" fillId="0" borderId="4" xfId="1" applyFont="1" applyFill="1" applyBorder="1"/>
    <xf numFmtId="0" fontId="6" fillId="2" borderId="4" xfId="1" applyFont="1" applyFill="1" applyBorder="1" applyAlignment="1">
      <alignment horizontal="right" vertical="center"/>
    </xf>
    <xf numFmtId="0" fontId="3" fillId="0" borderId="1" xfId="1" applyFont="1" applyFill="1" applyBorder="1"/>
    <xf numFmtId="43" fontId="3" fillId="0" borderId="1" xfId="2" applyFont="1" applyFill="1" applyBorder="1" applyAlignment="1">
      <alignment horizontal="center"/>
    </xf>
    <xf numFmtId="0" fontId="3" fillId="0" borderId="4" xfId="1" applyFont="1" applyFill="1" applyBorder="1"/>
    <xf numFmtId="43" fontId="6" fillId="0" borderId="4" xfId="2" applyFont="1" applyFill="1" applyBorder="1"/>
    <xf numFmtId="0" fontId="6" fillId="0" borderId="0" xfId="1" applyFont="1" applyFill="1" applyBorder="1" applyAlignment="1">
      <alignment horizontal="right"/>
    </xf>
    <xf numFmtId="0" fontId="8" fillId="0" borderId="0" xfId="1" applyFont="1" applyFill="1" applyBorder="1" applyAlignment="1">
      <alignment horizontal="right"/>
    </xf>
    <xf numFmtId="0" fontId="6" fillId="0" borderId="0" xfId="1" applyFont="1" applyFill="1" applyBorder="1" applyAlignment="1">
      <alignment horizontal="center"/>
    </xf>
    <xf numFmtId="43" fontId="5" fillId="0" borderId="0" xfId="2" applyFont="1" applyFill="1" applyBorder="1" applyAlignment="1">
      <alignment horizontal="left"/>
    </xf>
    <xf numFmtId="43" fontId="5" fillId="0" borderId="0" xfId="2" applyFont="1" applyFill="1" applyBorder="1"/>
    <xf numFmtId="43" fontId="10" fillId="0" borderId="0" xfId="0" applyNumberFormat="1" applyFont="1"/>
    <xf numFmtId="42" fontId="10" fillId="0" borderId="0" xfId="0" applyNumberFormat="1" applyFont="1"/>
    <xf numFmtId="43" fontId="11" fillId="0" borderId="4" xfId="2" applyFont="1" applyFill="1" applyBorder="1" applyAlignment="1">
      <alignment horizontal="right"/>
    </xf>
    <xf numFmtId="0" fontId="0" fillId="0" borderId="4" xfId="0" applyBorder="1"/>
    <xf numFmtId="0" fontId="6" fillId="0" borderId="1" xfId="1" applyFont="1" applyFill="1" applyBorder="1" applyAlignment="1">
      <alignment horizontal="center"/>
    </xf>
    <xf numFmtId="43" fontId="9" fillId="0" borderId="0" xfId="2" applyFont="1" applyFill="1" applyBorder="1" applyAlignment="1">
      <alignment horizontal="right"/>
    </xf>
    <xf numFmtId="0" fontId="5" fillId="2" borderId="4" xfId="1" applyFont="1" applyFill="1" applyBorder="1" applyAlignment="1">
      <alignment horizontal="left" vertical="center"/>
    </xf>
    <xf numFmtId="0" fontId="5" fillId="0" borderId="4" xfId="1" applyFont="1" applyFill="1" applyBorder="1" applyAlignment="1">
      <alignment horizontal="center"/>
    </xf>
    <xf numFmtId="0" fontId="5" fillId="0" borderId="4" xfId="1" applyFont="1" applyFill="1" applyBorder="1"/>
    <xf numFmtId="0" fontId="5" fillId="0" borderId="4" xfId="1" applyFont="1" applyFill="1" applyBorder="1" applyAlignment="1">
      <alignment horizontal="right"/>
    </xf>
    <xf numFmtId="0" fontId="5" fillId="2" borderId="4" xfId="1" applyFont="1" applyFill="1" applyBorder="1" applyAlignment="1">
      <alignment horizontal="center" vertical="center"/>
    </xf>
    <xf numFmtId="0" fontId="12" fillId="0" borderId="0" xfId="1" applyFont="1" applyFill="1" applyBorder="1"/>
    <xf numFmtId="0" fontId="0" fillId="0" borderId="4" xfId="0" applyBorder="1" applyAlignment="1">
      <alignment horizontal="center"/>
    </xf>
    <xf numFmtId="164" fontId="3" fillId="0" borderId="4" xfId="2" applyNumberForma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3" fillId="3" borderId="4" xfId="2" applyNumberFormat="1" applyFill="1" applyBorder="1"/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/>
    <xf numFmtId="164" fontId="3" fillId="0" borderId="1" xfId="2" applyNumberFormat="1" applyBorder="1"/>
    <xf numFmtId="43" fontId="2" fillId="0" borderId="0" xfId="0" applyNumberFormat="1" applyFont="1"/>
    <xf numFmtId="0" fontId="5" fillId="0" borderId="4" xfId="0" applyFont="1" applyBorder="1" applyAlignment="1">
      <alignment horizontal="right"/>
    </xf>
    <xf numFmtId="43" fontId="3" fillId="0" borderId="4" xfId="2" applyBorder="1"/>
    <xf numFmtId="0" fontId="13" fillId="0" borderId="4" xfId="1" applyFont="1" applyFill="1" applyBorder="1" applyAlignment="1">
      <alignment horizontal="right"/>
    </xf>
    <xf numFmtId="0" fontId="13" fillId="0" borderId="4" xfId="1" applyFont="1" applyFill="1" applyBorder="1"/>
    <xf numFmtId="0" fontId="13" fillId="0" borderId="4" xfId="1" applyFont="1" applyFill="1" applyBorder="1" applyAlignment="1">
      <alignment horizontal="center"/>
    </xf>
    <xf numFmtId="43" fontId="13" fillId="0" borderId="4" xfId="2" applyFont="1" applyFill="1" applyBorder="1" applyAlignment="1">
      <alignment horizontal="right"/>
    </xf>
    <xf numFmtId="0" fontId="14" fillId="2" borderId="4" xfId="1" applyFont="1" applyFill="1" applyBorder="1" applyAlignment="1">
      <alignment horizontal="center" vertical="center"/>
    </xf>
    <xf numFmtId="0" fontId="14" fillId="2" borderId="4" xfId="1" applyFont="1" applyFill="1" applyBorder="1" applyAlignment="1">
      <alignment horizontal="left" vertical="center"/>
    </xf>
    <xf numFmtId="0" fontId="13" fillId="2" borderId="4" xfId="1" applyFont="1" applyFill="1" applyBorder="1" applyAlignment="1">
      <alignment horizontal="center" vertical="center"/>
    </xf>
    <xf numFmtId="43" fontId="13" fillId="0" borderId="4" xfId="2" applyFont="1" applyFill="1" applyBorder="1" applyAlignment="1">
      <alignment horizontal="right" vertical="center"/>
    </xf>
    <xf numFmtId="43" fontId="13" fillId="2" borderId="4" xfId="2" applyFont="1" applyFill="1" applyBorder="1" applyAlignment="1">
      <alignment horizontal="right" vertical="center"/>
    </xf>
    <xf numFmtId="0" fontId="14" fillId="0" borderId="4" xfId="1" applyFont="1" applyFill="1" applyBorder="1" applyAlignment="1">
      <alignment horizontal="right"/>
    </xf>
    <xf numFmtId="43" fontId="15" fillId="0" borderId="4" xfId="2" applyFont="1" applyFill="1" applyBorder="1" applyAlignment="1">
      <alignment horizontal="right"/>
    </xf>
    <xf numFmtId="0" fontId="14" fillId="0" borderId="4" xfId="1" applyFont="1" applyFill="1" applyBorder="1" applyAlignment="1">
      <alignment horizontal="center"/>
    </xf>
    <xf numFmtId="0" fontId="14" fillId="0" borderId="4" xfId="1" applyFont="1" applyFill="1" applyBorder="1"/>
    <xf numFmtId="43" fontId="13" fillId="0" borderId="3" xfId="2" applyFont="1" applyFill="1" applyBorder="1" applyAlignment="1">
      <alignment horizontal="right"/>
    </xf>
    <xf numFmtId="0" fontId="13" fillId="0" borderId="0" xfId="1" applyFont="1" applyFill="1" applyBorder="1" applyAlignment="1">
      <alignment horizontal="right"/>
    </xf>
    <xf numFmtId="0" fontId="14" fillId="0" borderId="0" xfId="1" applyFont="1" applyFill="1" applyBorder="1" applyAlignment="1">
      <alignment horizontal="right"/>
    </xf>
    <xf numFmtId="0" fontId="13" fillId="0" borderId="0" xfId="1" applyFont="1" applyFill="1" applyBorder="1" applyAlignment="1">
      <alignment horizontal="center"/>
    </xf>
    <xf numFmtId="43" fontId="15" fillId="0" borderId="0" xfId="2" applyFont="1" applyFill="1" applyBorder="1" applyAlignment="1">
      <alignment horizontal="right"/>
    </xf>
    <xf numFmtId="0" fontId="14" fillId="2" borderId="3" xfId="1" applyFont="1" applyFill="1" applyBorder="1" applyAlignment="1">
      <alignment horizontal="left" vertical="center"/>
    </xf>
    <xf numFmtId="0" fontId="13" fillId="0" borderId="4" xfId="0" applyFont="1" applyBorder="1" applyAlignment="1">
      <alignment horizontal="center"/>
    </xf>
    <xf numFmtId="164" fontId="13" fillId="0" borderId="4" xfId="2" applyNumberFormat="1" applyFont="1" applyBorder="1"/>
    <xf numFmtId="0" fontId="16" fillId="0" borderId="4" xfId="0" applyFont="1" applyBorder="1"/>
    <xf numFmtId="0" fontId="13" fillId="0" borderId="4" xfId="0" applyFont="1" applyBorder="1"/>
    <xf numFmtId="0" fontId="14" fillId="0" borderId="4" xfId="0" applyFont="1" applyBorder="1" applyAlignment="1">
      <alignment horizontal="right"/>
    </xf>
    <xf numFmtId="0" fontId="16" fillId="0" borderId="4" xfId="0" applyFont="1" applyBorder="1" applyAlignment="1">
      <alignment horizontal="center"/>
    </xf>
    <xf numFmtId="43" fontId="13" fillId="0" borderId="4" xfId="2" applyFont="1" applyBorder="1"/>
    <xf numFmtId="0" fontId="14" fillId="0" borderId="4" xfId="0" applyFont="1" applyBorder="1"/>
    <xf numFmtId="0" fontId="13" fillId="4" borderId="4" xfId="1" applyFont="1" applyFill="1" applyBorder="1" applyAlignment="1">
      <alignment horizontal="right"/>
    </xf>
    <xf numFmtId="0" fontId="13" fillId="4" borderId="4" xfId="1" applyFont="1" applyFill="1" applyBorder="1"/>
    <xf numFmtId="0" fontId="13" fillId="4" borderId="4" xfId="0" applyFont="1" applyFill="1" applyBorder="1" applyAlignment="1">
      <alignment horizontal="center"/>
    </xf>
    <xf numFmtId="164" fontId="13" fillId="4" borderId="4" xfId="2" applyNumberFormat="1" applyFont="1" applyFill="1" applyBorder="1"/>
    <xf numFmtId="0" fontId="13" fillId="4" borderId="4" xfId="0" applyFont="1" applyFill="1" applyBorder="1"/>
    <xf numFmtId="43" fontId="13" fillId="3" borderId="4" xfId="2" applyFont="1" applyFill="1" applyBorder="1" applyAlignment="1">
      <alignment horizontal="right"/>
    </xf>
    <xf numFmtId="0" fontId="13" fillId="3" borderId="4" xfId="1" applyFont="1" applyFill="1" applyBorder="1" applyAlignment="1">
      <alignment horizontal="right"/>
    </xf>
    <xf numFmtId="0" fontId="13" fillId="3" borderId="4" xfId="1" applyFont="1" applyFill="1" applyBorder="1"/>
    <xf numFmtId="0" fontId="13" fillId="3" borderId="4" xfId="1" applyFont="1" applyFill="1" applyBorder="1" applyAlignment="1">
      <alignment horizontal="center"/>
    </xf>
    <xf numFmtId="0" fontId="13" fillId="6" borderId="4" xfId="1" applyFont="1" applyFill="1" applyBorder="1" applyAlignment="1">
      <alignment horizontal="right"/>
    </xf>
    <xf numFmtId="0" fontId="13" fillId="6" borderId="4" xfId="1" applyFont="1" applyFill="1" applyBorder="1"/>
    <xf numFmtId="43" fontId="3" fillId="2" borderId="4" xfId="2" applyFont="1" applyFill="1" applyBorder="1" applyAlignment="1">
      <alignment horizontal="center" vertical="center"/>
    </xf>
    <xf numFmtId="43" fontId="3" fillId="2" borderId="6" xfId="2" applyFont="1" applyFill="1" applyBorder="1" applyAlignment="1">
      <alignment horizontal="center" vertical="center"/>
    </xf>
    <xf numFmtId="0" fontId="0" fillId="0" borderId="6" xfId="0" applyBorder="1"/>
    <xf numFmtId="43" fontId="5" fillId="0" borderId="9" xfId="2" applyFont="1" applyFill="1" applyBorder="1" applyAlignment="1">
      <alignment horizontal="center" vertical="center"/>
    </xf>
    <xf numFmtId="165" fontId="0" fillId="0" borderId="0" xfId="0" applyNumberFormat="1"/>
    <xf numFmtId="165" fontId="10" fillId="0" borderId="4" xfId="0" applyNumberFormat="1" applyFont="1" applyBorder="1"/>
    <xf numFmtId="165" fontId="10" fillId="0" borderId="0" xfId="0" applyNumberFormat="1" applyFont="1"/>
    <xf numFmtId="165" fontId="2" fillId="0" borderId="0" xfId="0" applyNumberFormat="1" applyFont="1"/>
    <xf numFmtId="165" fontId="2" fillId="0" borderId="4" xfId="0" applyNumberFormat="1" applyFont="1" applyBorder="1"/>
    <xf numFmtId="165" fontId="2" fillId="0" borderId="0" xfId="0" applyNumberFormat="1" applyFont="1" applyFill="1"/>
    <xf numFmtId="165" fontId="2" fillId="0" borderId="4" xfId="0" applyNumberFormat="1" applyFont="1" applyFill="1" applyBorder="1"/>
    <xf numFmtId="0" fontId="2" fillId="0" borderId="0" xfId="0" applyFont="1" applyFill="1"/>
    <xf numFmtId="0" fontId="2" fillId="0" borderId="0" xfId="0" applyFont="1"/>
    <xf numFmtId="0" fontId="2" fillId="0" borderId="4" xfId="0" applyFont="1" applyBorder="1"/>
    <xf numFmtId="43" fontId="17" fillId="0" borderId="4" xfId="2" applyFont="1" applyFill="1" applyBorder="1" applyAlignment="1">
      <alignment horizontal="right"/>
    </xf>
    <xf numFmtId="43" fontId="18" fillId="2" borderId="4" xfId="2" applyFont="1" applyFill="1" applyBorder="1" applyAlignment="1">
      <alignment horizontal="right"/>
    </xf>
    <xf numFmtId="43" fontId="17" fillId="0" borderId="0" xfId="2" applyFont="1" applyFill="1" applyBorder="1" applyAlignment="1">
      <alignment horizontal="right"/>
    </xf>
    <xf numFmtId="43" fontId="17" fillId="2" borderId="4" xfId="2" applyFont="1" applyFill="1" applyBorder="1" applyAlignment="1">
      <alignment horizontal="right" vertical="center"/>
    </xf>
    <xf numFmtId="43" fontId="23" fillId="0" borderId="0" xfId="2" applyFont="1" applyFill="1" applyBorder="1" applyAlignment="1">
      <alignment horizontal="right"/>
    </xf>
    <xf numFmtId="43" fontId="24" fillId="0" borderId="0" xfId="2" applyFont="1" applyFill="1" applyBorder="1" applyAlignment="1">
      <alignment horizontal="right"/>
    </xf>
    <xf numFmtId="43" fontId="24" fillId="2" borderId="1" xfId="2" applyFont="1" applyFill="1" applyBorder="1" applyAlignment="1">
      <alignment horizontal="center"/>
    </xf>
    <xf numFmtId="43" fontId="25" fillId="2" borderId="4" xfId="2" applyFont="1" applyFill="1" applyBorder="1" applyAlignment="1">
      <alignment horizontal="center"/>
    </xf>
    <xf numFmtId="43" fontId="23" fillId="2" borderId="4" xfId="2" applyFont="1" applyFill="1" applyBorder="1"/>
    <xf numFmtId="43" fontId="26" fillId="2" borderId="4" xfId="2" applyFont="1" applyFill="1" applyBorder="1" applyAlignment="1">
      <alignment horizontal="right"/>
    </xf>
    <xf numFmtId="43" fontId="24" fillId="2" borderId="4" xfId="2" applyFont="1" applyFill="1" applyBorder="1" applyAlignment="1">
      <alignment horizontal="right"/>
    </xf>
    <xf numFmtId="43" fontId="26" fillId="2" borderId="4" xfId="2" applyFont="1" applyFill="1" applyBorder="1"/>
    <xf numFmtId="43" fontId="24" fillId="2" borderId="4" xfId="2" applyFont="1" applyFill="1" applyBorder="1"/>
    <xf numFmtId="43" fontId="27" fillId="2" borderId="4" xfId="2" applyFont="1" applyFill="1" applyBorder="1" applyAlignment="1">
      <alignment horizontal="right"/>
    </xf>
    <xf numFmtId="43" fontId="28" fillId="2" borderId="4" xfId="2" applyFont="1" applyFill="1" applyBorder="1" applyAlignment="1">
      <alignment horizontal="right"/>
    </xf>
    <xf numFmtId="43" fontId="28" fillId="0" borderId="0" xfId="2" applyFont="1" applyFill="1" applyBorder="1" applyAlignment="1">
      <alignment horizontal="right"/>
    </xf>
    <xf numFmtId="43" fontId="27" fillId="2" borderId="4" xfId="2" applyFont="1" applyFill="1" applyBorder="1" applyAlignment="1">
      <alignment horizontal="right" vertical="center"/>
    </xf>
    <xf numFmtId="165" fontId="27" fillId="2" borderId="4" xfId="2" applyNumberFormat="1" applyFont="1" applyFill="1" applyBorder="1" applyAlignment="1">
      <alignment horizontal="right"/>
    </xf>
    <xf numFmtId="165" fontId="28" fillId="2" borderId="4" xfId="2" applyNumberFormat="1" applyFont="1" applyFill="1" applyBorder="1" applyAlignment="1">
      <alignment horizontal="right"/>
    </xf>
    <xf numFmtId="165" fontId="28" fillId="0" borderId="0" xfId="2" applyNumberFormat="1" applyFont="1" applyFill="1" applyBorder="1" applyAlignment="1">
      <alignment horizontal="right"/>
    </xf>
    <xf numFmtId="165" fontId="27" fillId="2" borderId="4" xfId="2" applyNumberFormat="1" applyFont="1" applyFill="1" applyBorder="1" applyAlignment="1">
      <alignment horizontal="right" vertical="center"/>
    </xf>
    <xf numFmtId="165" fontId="27" fillId="2" borderId="4" xfId="2" applyNumberFormat="1" applyFont="1" applyFill="1" applyBorder="1" applyAlignment="1">
      <alignment horizontal="center"/>
    </xf>
    <xf numFmtId="165" fontId="28" fillId="8" borderId="4" xfId="2" applyNumberFormat="1" applyFont="1" applyFill="1" applyBorder="1" applyAlignment="1">
      <alignment horizontal="right"/>
    </xf>
    <xf numFmtId="165" fontId="28" fillId="8" borderId="4" xfId="2" applyNumberFormat="1" applyFont="1" applyFill="1" applyBorder="1"/>
    <xf numFmtId="165" fontId="28" fillId="2" borderId="4" xfId="2" applyNumberFormat="1" applyFont="1" applyFill="1" applyBorder="1"/>
    <xf numFmtId="165" fontId="10" fillId="7" borderId="4" xfId="0" applyNumberFormat="1" applyFont="1" applyFill="1" applyBorder="1"/>
    <xf numFmtId="43" fontId="27" fillId="0" borderId="4" xfId="2" applyFont="1" applyFill="1" applyBorder="1" applyAlignment="1">
      <alignment horizontal="right"/>
    </xf>
    <xf numFmtId="43" fontId="27" fillId="2" borderId="4" xfId="2" applyNumberFormat="1" applyFont="1" applyFill="1" applyBorder="1" applyAlignment="1">
      <alignment horizontal="right"/>
    </xf>
    <xf numFmtId="43" fontId="27" fillId="3" borderId="4" xfId="2" applyFont="1" applyFill="1" applyBorder="1" applyAlignment="1">
      <alignment horizontal="right"/>
    </xf>
    <xf numFmtId="43" fontId="27" fillId="5" borderId="4" xfId="2" applyFont="1" applyFill="1" applyBorder="1" applyAlignment="1">
      <alignment horizontal="right"/>
    </xf>
    <xf numFmtId="43" fontId="10" fillId="0" borderId="4" xfId="0" applyNumberFormat="1" applyFont="1" applyBorder="1"/>
    <xf numFmtId="43" fontId="27" fillId="0" borderId="0" xfId="2" applyFont="1" applyFill="1" applyBorder="1" applyAlignment="1">
      <alignment horizontal="right"/>
    </xf>
    <xf numFmtId="43" fontId="10" fillId="0" borderId="0" xfId="0" applyNumberFormat="1" applyFont="1" applyBorder="1"/>
    <xf numFmtId="43" fontId="28" fillId="2" borderId="1" xfId="2" applyFont="1" applyFill="1" applyBorder="1" applyAlignment="1">
      <alignment horizontal="center"/>
    </xf>
    <xf numFmtId="43" fontId="27" fillId="2" borderId="4" xfId="2" applyFont="1" applyFill="1" applyBorder="1" applyAlignment="1">
      <alignment horizontal="center"/>
    </xf>
    <xf numFmtId="43" fontId="27" fillId="2" borderId="4" xfId="2" applyFont="1" applyFill="1" applyBorder="1"/>
    <xf numFmtId="43" fontId="28" fillId="2" borderId="4" xfId="2" applyFont="1" applyFill="1" applyBorder="1"/>
    <xf numFmtId="43" fontId="28" fillId="0" borderId="0" xfId="2" applyFont="1" applyFill="1" applyBorder="1" applyAlignment="1">
      <alignment horizontal="left"/>
    </xf>
    <xf numFmtId="43" fontId="27" fillId="0" borderId="0" xfId="2" applyFont="1" applyFill="1" applyBorder="1"/>
    <xf numFmtId="43" fontId="28" fillId="0" borderId="0" xfId="2" applyFont="1" applyFill="1" applyBorder="1"/>
    <xf numFmtId="166" fontId="2" fillId="0" borderId="4" xfId="0" applyNumberFormat="1" applyFont="1" applyBorder="1"/>
    <xf numFmtId="167" fontId="2" fillId="0" borderId="4" xfId="0" applyNumberFormat="1" applyFont="1" applyBorder="1"/>
    <xf numFmtId="43" fontId="27" fillId="0" borderId="5" xfId="2" applyFont="1" applyFill="1" applyBorder="1" applyAlignment="1">
      <alignment horizontal="right"/>
    </xf>
    <xf numFmtId="43" fontId="29" fillId="0" borderId="4" xfId="2" applyFont="1" applyFill="1" applyBorder="1" applyAlignment="1">
      <alignment horizontal="right"/>
    </xf>
    <xf numFmtId="43" fontId="0" fillId="0" borderId="0" xfId="0" applyNumberFormat="1"/>
    <xf numFmtId="0" fontId="30" fillId="0" borderId="0" xfId="1" applyFont="1" applyFill="1"/>
    <xf numFmtId="41" fontId="30" fillId="0" borderId="0" xfId="3" applyFont="1" applyFill="1"/>
    <xf numFmtId="0" fontId="31" fillId="0" borderId="0" xfId="3" applyNumberFormat="1" applyFont="1" applyFill="1" applyAlignment="1">
      <alignment horizontal="center"/>
    </xf>
    <xf numFmtId="0" fontId="0" fillId="0" borderId="0" xfId="0" applyFont="1"/>
    <xf numFmtId="0" fontId="31" fillId="0" borderId="0" xfId="3" applyNumberFormat="1" applyFont="1" applyFill="1"/>
    <xf numFmtId="0" fontId="31" fillId="0" borderId="0" xfId="1" applyFont="1" applyFill="1" applyAlignment="1">
      <alignment horizontal="left" vertical="center"/>
    </xf>
    <xf numFmtId="0" fontId="31" fillId="0" borderId="0" xfId="1" applyFont="1" applyFill="1" applyAlignment="1">
      <alignment horizontal="left" vertical="center" wrapText="1"/>
    </xf>
    <xf numFmtId="0" fontId="30" fillId="0" borderId="0" xfId="1" applyFont="1" applyFill="1" applyAlignment="1">
      <alignment horizontal="left" vertical="center" wrapText="1"/>
    </xf>
    <xf numFmtId="0" fontId="31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43" fontId="17" fillId="0" borderId="4" xfId="2" applyFont="1" applyFill="1" applyBorder="1"/>
    <xf numFmtId="43" fontId="27" fillId="0" borderId="4" xfId="2" applyFont="1" applyFill="1" applyBorder="1"/>
    <xf numFmtId="165" fontId="27" fillId="0" borderId="4" xfId="2" applyNumberFormat="1" applyFont="1" applyFill="1" applyBorder="1"/>
    <xf numFmtId="164" fontId="27" fillId="0" borderId="4" xfId="2" applyNumberFormat="1" applyFont="1" applyFill="1" applyBorder="1"/>
    <xf numFmtId="41" fontId="2" fillId="0" borderId="4" xfId="2" applyNumberFormat="1" applyFont="1" applyFill="1" applyBorder="1"/>
    <xf numFmtId="165" fontId="2" fillId="0" borderId="4" xfId="2" applyNumberFormat="1" applyFont="1" applyFill="1" applyBorder="1"/>
    <xf numFmtId="41" fontId="19" fillId="0" borderId="4" xfId="2" applyNumberFormat="1" applyFont="1" applyFill="1" applyBorder="1"/>
    <xf numFmtId="41" fontId="10" fillId="0" borderId="4" xfId="2" applyNumberFormat="1" applyFont="1" applyFill="1" applyBorder="1"/>
    <xf numFmtId="165" fontId="10" fillId="0" borderId="4" xfId="2" applyNumberFormat="1" applyFont="1" applyFill="1" applyBorder="1"/>
    <xf numFmtId="0" fontId="2" fillId="0" borderId="4" xfId="0" applyFont="1" applyFill="1" applyBorder="1"/>
    <xf numFmtId="41" fontId="20" fillId="0" borderId="4" xfId="2" applyNumberFormat="1" applyFont="1" applyFill="1" applyBorder="1"/>
    <xf numFmtId="41" fontId="21" fillId="0" borderId="4" xfId="2" applyNumberFormat="1" applyFont="1" applyFill="1" applyBorder="1"/>
    <xf numFmtId="41" fontId="22" fillId="0" borderId="4" xfId="2" applyNumberFormat="1" applyFont="1" applyFill="1" applyBorder="1"/>
    <xf numFmtId="0" fontId="13" fillId="0" borderId="4" xfId="0" applyFont="1" applyFill="1" applyBorder="1" applyAlignment="1">
      <alignment horizontal="center"/>
    </xf>
    <xf numFmtId="164" fontId="13" fillId="0" borderId="4" xfId="2" applyNumberFormat="1" applyFont="1" applyFill="1" applyBorder="1"/>
    <xf numFmtId="165" fontId="27" fillId="0" borderId="4" xfId="2" applyNumberFormat="1" applyFont="1" applyFill="1" applyBorder="1" applyAlignment="1">
      <alignment horizontal="right"/>
    </xf>
    <xf numFmtId="43" fontId="28" fillId="0" borderId="4" xfId="2" applyFont="1" applyFill="1" applyBorder="1" applyAlignment="1">
      <alignment horizontal="right"/>
    </xf>
    <xf numFmtId="165" fontId="28" fillId="0" borderId="4" xfId="2" applyNumberFormat="1" applyFont="1" applyFill="1" applyBorder="1" applyAlignment="1">
      <alignment horizontal="right"/>
    </xf>
    <xf numFmtId="0" fontId="16" fillId="0" borderId="4" xfId="0" applyFont="1" applyFill="1" applyBorder="1" applyAlignment="1">
      <alignment horizontal="center"/>
    </xf>
    <xf numFmtId="43" fontId="13" fillId="0" borderId="4" xfId="2" applyFont="1" applyFill="1" applyBorder="1"/>
    <xf numFmtId="165" fontId="10" fillId="0" borderId="0" xfId="0" applyNumberFormat="1" applyFont="1" applyAlignment="1">
      <alignment horizontal="right"/>
    </xf>
    <xf numFmtId="43" fontId="2" fillId="0" borderId="0" xfId="0" applyNumberFormat="1" applyFont="1" applyAlignment="1">
      <alignment horizontal="right"/>
    </xf>
    <xf numFmtId="43" fontId="13" fillId="0" borderId="0" xfId="2" applyFont="1" applyFill="1" applyBorder="1" applyAlignment="1">
      <alignment horizontal="right"/>
    </xf>
    <xf numFmtId="0" fontId="0" fillId="0" borderId="0" xfId="0" applyBorder="1"/>
    <xf numFmtId="43" fontId="0" fillId="0" borderId="0" xfId="0" applyNumberFormat="1" applyBorder="1"/>
    <xf numFmtId="43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3" fontId="10" fillId="0" borderId="0" xfId="0" applyNumberFormat="1" applyFont="1" applyFill="1" applyBorder="1"/>
    <xf numFmtId="0" fontId="13" fillId="4" borderId="4" xfId="0" applyFont="1" applyFill="1" applyBorder="1" applyAlignment="1">
      <alignment horizontal="left" indent="1"/>
    </xf>
    <xf numFmtId="165" fontId="2" fillId="9" borderId="4" xfId="0" applyNumberFormat="1" applyFont="1" applyFill="1" applyBorder="1"/>
    <xf numFmtId="164" fontId="13" fillId="9" borderId="4" xfId="2" applyNumberFormat="1" applyFont="1" applyFill="1" applyBorder="1"/>
    <xf numFmtId="165" fontId="28" fillId="9" borderId="4" xfId="2" applyNumberFormat="1" applyFont="1" applyFill="1" applyBorder="1" applyAlignment="1">
      <alignment horizontal="right"/>
    </xf>
    <xf numFmtId="165" fontId="10" fillId="9" borderId="4" xfId="0" applyNumberFormat="1" applyFont="1" applyFill="1" applyBorder="1"/>
    <xf numFmtId="164" fontId="13" fillId="0" borderId="0" xfId="2" applyNumberFormat="1" applyFont="1" applyFill="1" applyBorder="1"/>
    <xf numFmtId="43" fontId="32" fillId="0" borderId="4" xfId="2" applyFont="1" applyFill="1" applyBorder="1" applyAlignment="1">
      <alignment horizontal="right"/>
    </xf>
    <xf numFmtId="43" fontId="1" fillId="0" borderId="0" xfId="0" applyNumberFormat="1" applyFont="1"/>
    <xf numFmtId="43" fontId="13" fillId="9" borderId="4" xfId="2" applyFont="1" applyFill="1" applyBorder="1" applyAlignment="1">
      <alignment horizontal="right"/>
    </xf>
    <xf numFmtId="0" fontId="33" fillId="0" borderId="0" xfId="1" applyFont="1" applyFill="1" applyAlignment="1">
      <alignment horizontal="left" vertical="center"/>
    </xf>
    <xf numFmtId="0" fontId="33" fillId="0" borderId="0" xfId="3" applyNumberFormat="1" applyFont="1" applyFill="1" applyAlignment="1">
      <alignment horizontal="center"/>
    </xf>
    <xf numFmtId="0" fontId="35" fillId="0" borderId="0" xfId="0" applyFont="1"/>
    <xf numFmtId="0" fontId="33" fillId="0" borderId="0" xfId="3" applyNumberFormat="1" applyFont="1" applyFill="1"/>
    <xf numFmtId="0" fontId="33" fillId="0" borderId="0" xfId="0" applyFont="1" applyAlignment="1">
      <alignment vertical="center" wrapText="1"/>
    </xf>
    <xf numFmtId="0" fontId="34" fillId="0" borderId="0" xfId="1" applyFont="1" applyFill="1"/>
    <xf numFmtId="41" fontId="34" fillId="0" borderId="0" xfId="3" applyFont="1" applyFill="1"/>
    <xf numFmtId="0" fontId="33" fillId="0" borderId="0" xfId="1" applyFont="1" applyFill="1" applyAlignment="1">
      <alignment horizontal="left" vertical="center" wrapText="1"/>
    </xf>
    <xf numFmtId="0" fontId="33" fillId="0" borderId="0" xfId="0" applyFont="1" applyAlignment="1">
      <alignment horizontal="center" vertical="center" wrapText="1"/>
    </xf>
    <xf numFmtId="0" fontId="34" fillId="0" borderId="0" xfId="1" applyFont="1" applyFill="1" applyAlignment="1">
      <alignment horizontal="left" vertical="center" wrapText="1"/>
    </xf>
    <xf numFmtId="0" fontId="34" fillId="0" borderId="0" xfId="0" applyFont="1" applyAlignment="1">
      <alignment horizontal="center" vertical="center" wrapText="1"/>
    </xf>
    <xf numFmtId="4" fontId="35" fillId="0" borderId="0" xfId="0" applyNumberFormat="1" applyFont="1"/>
    <xf numFmtId="43" fontId="35" fillId="0" borderId="0" xfId="0" applyNumberFormat="1" applyFont="1"/>
    <xf numFmtId="43" fontId="36" fillId="0" borderId="0" xfId="0" applyNumberFormat="1" applyFont="1"/>
    <xf numFmtId="43" fontId="28" fillId="10" borderId="4" xfId="2" applyFont="1" applyFill="1" applyBorder="1" applyAlignment="1">
      <alignment horizontal="right"/>
    </xf>
    <xf numFmtId="43" fontId="28" fillId="10" borderId="4" xfId="2" applyFont="1" applyFill="1" applyBorder="1"/>
    <xf numFmtId="41" fontId="30" fillId="0" borderId="0" xfId="3" applyFont="1" applyFill="1" applyAlignment="1">
      <alignment horizontal="center"/>
    </xf>
    <xf numFmtId="0" fontId="31" fillId="0" borderId="0" xfId="3" applyNumberFormat="1" applyFont="1" applyFill="1" applyAlignment="1">
      <alignment horizontal="left" indent="7"/>
    </xf>
    <xf numFmtId="0" fontId="31" fillId="0" borderId="0" xfId="3" applyNumberFormat="1" applyFont="1" applyFill="1" applyAlignment="1">
      <alignment horizontal="center" vertical="center"/>
    </xf>
    <xf numFmtId="43" fontId="5" fillId="0" borderId="5" xfId="2" applyFont="1" applyFill="1" applyBorder="1" applyAlignment="1">
      <alignment horizontal="center" vertical="center"/>
    </xf>
    <xf numFmtId="43" fontId="5" fillId="0" borderId="7" xfId="2" applyFont="1" applyFill="1" applyBorder="1" applyAlignment="1">
      <alignment horizontal="center" vertical="center"/>
    </xf>
    <xf numFmtId="43" fontId="5" fillId="0" borderId="8" xfId="2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43" fontId="5" fillId="0" borderId="1" xfId="2" applyFont="1" applyFill="1" applyBorder="1" applyAlignment="1">
      <alignment horizontal="center" vertical="center"/>
    </xf>
    <xf numFmtId="43" fontId="5" fillId="0" borderId="2" xfId="2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0" xfId="3" applyNumberFormat="1" applyFont="1" applyFill="1" applyAlignment="1">
      <alignment horizontal="center" vertical="center" wrapText="1"/>
    </xf>
    <xf numFmtId="0" fontId="31" fillId="0" borderId="0" xfId="3" applyNumberFormat="1" applyFont="1" applyFill="1" applyAlignment="1">
      <alignment horizontal="center" vertical="center" wrapText="1"/>
    </xf>
    <xf numFmtId="41" fontId="30" fillId="0" borderId="0" xfId="3" applyFont="1" applyFill="1" applyAlignment="1">
      <alignment horizontal="center" vertical="center" wrapText="1"/>
    </xf>
    <xf numFmtId="0" fontId="31" fillId="0" borderId="0" xfId="1" applyFont="1" applyFill="1" applyAlignment="1">
      <alignment horizontal="center" vertical="center" wrapText="1"/>
    </xf>
    <xf numFmtId="0" fontId="30" fillId="0" borderId="0" xfId="1" applyFont="1" applyFill="1" applyAlignment="1">
      <alignment horizontal="center" vertical="center" wrapText="1"/>
    </xf>
    <xf numFmtId="41" fontId="34" fillId="0" borderId="0" xfId="3" applyFont="1" applyFill="1" applyAlignment="1">
      <alignment horizontal="center" vertical="center" wrapText="1"/>
    </xf>
    <xf numFmtId="0" fontId="34" fillId="0" borderId="0" xfId="3" applyNumberFormat="1" applyFont="1" applyFill="1" applyAlignment="1">
      <alignment horizontal="center" vertical="center" wrapText="1"/>
    </xf>
    <xf numFmtId="0" fontId="34" fillId="0" borderId="0" xfId="1" applyFont="1" applyFill="1" applyAlignment="1">
      <alignment horizontal="center" vertical="center" wrapText="1"/>
    </xf>
    <xf numFmtId="41" fontId="34" fillId="0" borderId="0" xfId="3" applyFont="1" applyFill="1" applyAlignment="1">
      <alignment horizontal="center"/>
    </xf>
    <xf numFmtId="0" fontId="33" fillId="0" borderId="0" xfId="3" applyNumberFormat="1" applyFont="1" applyFill="1" applyAlignment="1">
      <alignment horizontal="left" indent="7"/>
    </xf>
    <xf numFmtId="0" fontId="33" fillId="0" borderId="0" xfId="3" applyNumberFormat="1" applyFont="1" applyFill="1" applyAlignment="1">
      <alignment horizontal="center" vertical="center" wrapText="1"/>
    </xf>
    <xf numFmtId="0" fontId="33" fillId="0" borderId="0" xfId="3" applyNumberFormat="1" applyFont="1" applyFill="1" applyAlignment="1">
      <alignment horizontal="center" vertical="center"/>
    </xf>
    <xf numFmtId="0" fontId="33" fillId="0" borderId="0" xfId="1" applyFont="1" applyFill="1" applyAlignment="1">
      <alignment horizontal="center" vertical="center" wrapText="1"/>
    </xf>
    <xf numFmtId="41" fontId="0" fillId="0" borderId="0" xfId="4" applyFont="1"/>
  </cellXfs>
  <cellStyles count="5">
    <cellStyle name="Comma [0]" xfId="4" builtinId="6"/>
    <cellStyle name="Comma [0] 3" xfId="3"/>
    <cellStyle name="Comma 3" xfId="2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44"/>
  <sheetViews>
    <sheetView zoomScale="80" zoomScaleNormal="80" workbookViewId="0">
      <pane xSplit="5" ySplit="6" topLeftCell="F103" activePane="bottomRight" state="frozen"/>
      <selection pane="topRight" activeCell="F1" sqref="F1"/>
      <selection pane="bottomLeft" activeCell="A7" sqref="A7"/>
      <selection pane="bottomRight" activeCell="F116" sqref="F116:F119"/>
    </sheetView>
  </sheetViews>
  <sheetFormatPr defaultRowHeight="15" x14ac:dyDescent="0.25"/>
  <cols>
    <col min="1" max="1" width="3.140625" customWidth="1"/>
    <col min="2" max="2" width="4.140625" customWidth="1"/>
    <col min="3" max="3" width="44.42578125" customWidth="1"/>
    <col min="4" max="4" width="7.28515625" customWidth="1"/>
    <col min="5" max="5" width="11.28515625" customWidth="1"/>
    <col min="6" max="6" width="17.42578125" customWidth="1"/>
    <col min="7" max="8" width="15.5703125" customWidth="1"/>
    <col min="9" max="9" width="16.7109375" customWidth="1"/>
    <col min="10" max="10" width="16.42578125" customWidth="1"/>
    <col min="11" max="11" width="17.7109375" customWidth="1"/>
    <col min="12" max="12" width="17.85546875" customWidth="1"/>
    <col min="13" max="13" width="17.28515625" customWidth="1"/>
    <col min="14" max="14" width="17.5703125" customWidth="1"/>
    <col min="15" max="15" width="17.7109375" customWidth="1"/>
  </cols>
  <sheetData>
    <row r="1" spans="2:15" ht="18" x14ac:dyDescent="0.25">
      <c r="B1" s="46" t="s">
        <v>0</v>
      </c>
      <c r="C1" s="2"/>
      <c r="D1" s="3"/>
      <c r="E1" s="4"/>
      <c r="F1" s="4"/>
      <c r="G1" s="4"/>
    </row>
    <row r="2" spans="2:15" ht="18" x14ac:dyDescent="0.25">
      <c r="B2" s="46" t="s">
        <v>54</v>
      </c>
      <c r="C2" s="2"/>
      <c r="D2" s="3"/>
      <c r="E2" s="4"/>
      <c r="F2" s="4"/>
      <c r="G2" s="4"/>
    </row>
    <row r="3" spans="2:15" ht="18" x14ac:dyDescent="0.25">
      <c r="B3" s="46" t="s">
        <v>1</v>
      </c>
      <c r="C3" s="2"/>
      <c r="D3" s="3"/>
      <c r="E3" s="4"/>
      <c r="F3" s="4"/>
      <c r="G3" s="4"/>
    </row>
    <row r="4" spans="2:15" ht="18.75" x14ac:dyDescent="0.3">
      <c r="B4" s="3"/>
      <c r="C4" s="5"/>
      <c r="D4" s="3"/>
      <c r="E4" s="6"/>
      <c r="F4" s="6"/>
      <c r="G4" s="7"/>
    </row>
    <row r="5" spans="2:15" x14ac:dyDescent="0.25">
      <c r="B5" s="227" t="s">
        <v>2</v>
      </c>
      <c r="C5" s="227" t="s">
        <v>3</v>
      </c>
      <c r="D5" s="227" t="s">
        <v>4</v>
      </c>
      <c r="E5" s="229" t="s">
        <v>5</v>
      </c>
      <c r="F5" s="224" t="s">
        <v>130</v>
      </c>
      <c r="G5" s="225"/>
      <c r="H5" s="225"/>
      <c r="I5" s="225"/>
      <c r="J5" s="226"/>
      <c r="K5" s="224" t="s">
        <v>6</v>
      </c>
      <c r="L5" s="225"/>
      <c r="M5" s="225"/>
      <c r="N5" s="225"/>
      <c r="O5" s="226"/>
    </row>
    <row r="6" spans="2:15" ht="15.75" thickBot="1" x14ac:dyDescent="0.3">
      <c r="B6" s="228"/>
      <c r="C6" s="228"/>
      <c r="D6" s="228"/>
      <c r="E6" s="230"/>
      <c r="F6" s="99" t="s">
        <v>131</v>
      </c>
      <c r="G6" s="99" t="s">
        <v>132</v>
      </c>
      <c r="H6" s="99" t="s">
        <v>133</v>
      </c>
      <c r="I6" s="99" t="s">
        <v>134</v>
      </c>
      <c r="J6" s="99" t="s">
        <v>135</v>
      </c>
      <c r="K6" s="99" t="s">
        <v>131</v>
      </c>
      <c r="L6" s="99" t="s">
        <v>132</v>
      </c>
      <c r="M6" s="99" t="s">
        <v>133</v>
      </c>
      <c r="N6" s="99" t="s">
        <v>134</v>
      </c>
      <c r="O6" s="99" t="s">
        <v>135</v>
      </c>
    </row>
    <row r="7" spans="2:15" ht="16.5" thickTop="1" x14ac:dyDescent="0.25">
      <c r="B7" s="8"/>
      <c r="C7" s="9"/>
      <c r="D7" s="10"/>
      <c r="E7" s="11"/>
      <c r="F7" s="97"/>
      <c r="G7" s="97"/>
      <c r="H7" s="98"/>
      <c r="I7" s="98"/>
      <c r="J7" s="98"/>
      <c r="K7" s="98"/>
      <c r="L7" s="98"/>
      <c r="M7" s="98"/>
      <c r="N7" s="98"/>
      <c r="O7" s="98"/>
    </row>
    <row r="8" spans="2:15" x14ac:dyDescent="0.25">
      <c r="B8" s="45" t="s">
        <v>7</v>
      </c>
      <c r="C8" s="41" t="s">
        <v>8</v>
      </c>
      <c r="D8" s="14"/>
      <c r="E8" s="15"/>
      <c r="F8" s="16"/>
      <c r="G8" s="16"/>
      <c r="H8" s="38"/>
      <c r="I8" s="38"/>
      <c r="J8" s="38"/>
      <c r="K8" s="38"/>
      <c r="L8" s="38"/>
      <c r="M8" s="38"/>
      <c r="N8" s="38"/>
      <c r="O8" s="38"/>
    </row>
    <row r="9" spans="2:15" x14ac:dyDescent="0.25">
      <c r="B9" s="58">
        <v>1</v>
      </c>
      <c r="C9" s="59" t="s">
        <v>9</v>
      </c>
      <c r="D9" s="60" t="s">
        <v>10</v>
      </c>
      <c r="E9" s="61">
        <v>1</v>
      </c>
      <c r="F9" s="136">
        <v>8000000</v>
      </c>
      <c r="G9" s="123">
        <v>33000000</v>
      </c>
      <c r="H9" s="104">
        <v>8000000</v>
      </c>
      <c r="I9" s="104">
        <v>12000000</v>
      </c>
      <c r="J9" s="104">
        <v>12000000</v>
      </c>
      <c r="K9" s="123">
        <f>F9*E9</f>
        <v>8000000</v>
      </c>
      <c r="L9" s="123">
        <f>G9*E9</f>
        <v>33000000</v>
      </c>
      <c r="M9" s="123">
        <f>H9*E9</f>
        <v>8000000</v>
      </c>
      <c r="N9" s="123">
        <f>I9*E9</f>
        <v>12000000</v>
      </c>
      <c r="O9" s="123">
        <f>J9*E9</f>
        <v>12000000</v>
      </c>
    </row>
    <row r="10" spans="2:15" x14ac:dyDescent="0.25">
      <c r="B10" s="58">
        <v>2</v>
      </c>
      <c r="C10" s="59" t="s">
        <v>11</v>
      </c>
      <c r="D10" s="60" t="s">
        <v>10</v>
      </c>
      <c r="E10" s="61">
        <v>1</v>
      </c>
      <c r="F10" s="152">
        <v>6000000</v>
      </c>
      <c r="G10" s="123">
        <v>25000000</v>
      </c>
      <c r="H10" s="104">
        <v>5000000</v>
      </c>
      <c r="I10" s="104">
        <v>20000000</v>
      </c>
      <c r="J10" s="104"/>
      <c r="K10" s="123">
        <f t="shared" ref="K10:K12" si="0">F10*E10</f>
        <v>6000000</v>
      </c>
      <c r="L10" s="123">
        <f t="shared" ref="L10:L12" si="1">G10*E10</f>
        <v>25000000</v>
      </c>
      <c r="M10" s="123">
        <f t="shared" ref="M10:M12" si="2">H10*E10</f>
        <v>5000000</v>
      </c>
      <c r="N10" s="123">
        <f t="shared" ref="N10:N12" si="3">I10*E10</f>
        <v>20000000</v>
      </c>
      <c r="O10" s="123">
        <f t="shared" ref="O10:O12" si="4">J10*E10</f>
        <v>0</v>
      </c>
    </row>
    <row r="11" spans="2:15" x14ac:dyDescent="0.25">
      <c r="B11" s="58">
        <v>3</v>
      </c>
      <c r="C11" s="59" t="s">
        <v>12</v>
      </c>
      <c r="D11" s="60" t="s">
        <v>10</v>
      </c>
      <c r="E11" s="61">
        <v>1</v>
      </c>
      <c r="F11" s="152">
        <v>15000000</v>
      </c>
      <c r="G11" s="123">
        <v>36000000</v>
      </c>
      <c r="H11" s="104">
        <v>20000000</v>
      </c>
      <c r="I11" s="104">
        <v>50000000</v>
      </c>
      <c r="J11" s="104">
        <v>3853876</v>
      </c>
      <c r="K11" s="123">
        <f t="shared" si="0"/>
        <v>15000000</v>
      </c>
      <c r="L11" s="123">
        <f t="shared" si="1"/>
        <v>36000000</v>
      </c>
      <c r="M11" s="123">
        <f t="shared" si="2"/>
        <v>20000000</v>
      </c>
      <c r="N11" s="123">
        <f t="shared" si="3"/>
        <v>50000000</v>
      </c>
      <c r="O11" s="123">
        <f t="shared" si="4"/>
        <v>3853876</v>
      </c>
    </row>
    <row r="12" spans="2:15" x14ac:dyDescent="0.25">
      <c r="B12" s="58">
        <v>4</v>
      </c>
      <c r="C12" s="59" t="s">
        <v>35</v>
      </c>
      <c r="D12" s="60" t="s">
        <v>36</v>
      </c>
      <c r="E12" s="61">
        <v>15</v>
      </c>
      <c r="F12" s="152">
        <v>100000</v>
      </c>
      <c r="G12" s="123">
        <v>175000</v>
      </c>
      <c r="H12" s="104">
        <v>100000</v>
      </c>
      <c r="I12" s="104">
        <v>600000</v>
      </c>
      <c r="J12" s="104"/>
      <c r="K12" s="123">
        <f t="shared" si="0"/>
        <v>1500000</v>
      </c>
      <c r="L12" s="123">
        <f t="shared" si="1"/>
        <v>2625000</v>
      </c>
      <c r="M12" s="123">
        <f t="shared" si="2"/>
        <v>1500000</v>
      </c>
      <c r="N12" s="123">
        <f t="shared" si="3"/>
        <v>9000000</v>
      </c>
      <c r="O12" s="123">
        <f t="shared" si="4"/>
        <v>0</v>
      </c>
    </row>
    <row r="13" spans="2:15" x14ac:dyDescent="0.25">
      <c r="B13" s="18"/>
      <c r="C13" s="21" t="s">
        <v>13</v>
      </c>
      <c r="D13" s="19"/>
      <c r="E13" s="22"/>
      <c r="F13" s="136"/>
      <c r="G13" s="124"/>
      <c r="H13" s="104"/>
      <c r="I13" s="104"/>
      <c r="J13" s="104"/>
      <c r="K13" s="124">
        <f>SUM(K9:K12)</f>
        <v>30500000</v>
      </c>
      <c r="L13" s="124">
        <f>SUM(L9:L12)</f>
        <v>96625000</v>
      </c>
      <c r="M13" s="124">
        <f>SUM(M9:M12)</f>
        <v>34500000</v>
      </c>
      <c r="N13" s="124">
        <f>SUM(N9:N12)</f>
        <v>91000000</v>
      </c>
      <c r="O13" s="124">
        <f>SUM(O9:O12)</f>
        <v>15853876</v>
      </c>
    </row>
    <row r="14" spans="2:15" x14ac:dyDescent="0.25">
      <c r="B14" s="42" t="s">
        <v>14</v>
      </c>
      <c r="C14" s="43" t="s">
        <v>60</v>
      </c>
      <c r="D14" s="19"/>
      <c r="E14" s="22"/>
      <c r="F14" s="136"/>
      <c r="G14" s="124"/>
      <c r="H14" s="104"/>
      <c r="I14" s="104"/>
      <c r="J14" s="104"/>
      <c r="K14" s="104"/>
      <c r="L14" s="124"/>
      <c r="M14" s="124"/>
      <c r="N14" s="124"/>
      <c r="O14" s="124"/>
    </row>
    <row r="15" spans="2:15" x14ac:dyDescent="0.25">
      <c r="B15" s="44" t="s">
        <v>22</v>
      </c>
      <c r="C15" s="43" t="s">
        <v>61</v>
      </c>
      <c r="D15" s="18"/>
      <c r="E15" s="22"/>
      <c r="F15" s="123"/>
      <c r="G15" s="123"/>
      <c r="H15" s="104"/>
      <c r="I15" s="104"/>
      <c r="J15" s="104"/>
      <c r="K15" s="104"/>
      <c r="L15" s="123"/>
      <c r="M15" s="123"/>
      <c r="N15" s="123"/>
      <c r="O15" s="123"/>
    </row>
    <row r="16" spans="2:15" x14ac:dyDescent="0.25">
      <c r="B16" s="58">
        <v>1</v>
      </c>
      <c r="C16" s="59" t="s">
        <v>28</v>
      </c>
      <c r="D16" s="60" t="s">
        <v>15</v>
      </c>
      <c r="E16" s="61">
        <v>871.35</v>
      </c>
      <c r="F16" s="136">
        <v>298000</v>
      </c>
      <c r="G16" s="123">
        <v>295890.57</v>
      </c>
      <c r="H16" s="104">
        <v>324150</v>
      </c>
      <c r="I16" s="151">
        <v>279039.20549999998</v>
      </c>
      <c r="J16" s="104">
        <v>277000</v>
      </c>
      <c r="K16" s="123">
        <f t="shared" ref="K16:K27" si="5">F16*E16</f>
        <v>259662300</v>
      </c>
      <c r="L16" s="137">
        <f>G16*E16</f>
        <v>257824248.16950002</v>
      </c>
      <c r="M16" s="123">
        <f>H16*E16</f>
        <v>282448102.5</v>
      </c>
      <c r="N16" s="123">
        <f>I16*E16</f>
        <v>243140811.71242499</v>
      </c>
      <c r="O16" s="123">
        <f>J16*E16</f>
        <v>241363950</v>
      </c>
    </row>
    <row r="17" spans="2:15" x14ac:dyDescent="0.25">
      <c r="B17" s="58">
        <v>2</v>
      </c>
      <c r="C17" s="59" t="s">
        <v>29</v>
      </c>
      <c r="D17" s="60" t="s">
        <v>15</v>
      </c>
      <c r="E17" s="61">
        <v>13.62</v>
      </c>
      <c r="F17" s="136">
        <v>315000</v>
      </c>
      <c r="G17" s="123">
        <v>322052.46000000002</v>
      </c>
      <c r="H17" s="104">
        <v>348000</v>
      </c>
      <c r="I17" s="151">
        <v>304565.69549999997</v>
      </c>
      <c r="J17" s="104">
        <v>295000</v>
      </c>
      <c r="K17" s="123">
        <f t="shared" si="5"/>
        <v>4290300</v>
      </c>
      <c r="L17" s="123">
        <f t="shared" ref="L17:L27" si="6">G17*E17</f>
        <v>4386354.5052000005</v>
      </c>
      <c r="M17" s="123">
        <f t="shared" ref="M17:M27" si="7">H17*E17</f>
        <v>4739760</v>
      </c>
      <c r="N17" s="123">
        <f t="shared" ref="N17:N27" si="8">I17*E17</f>
        <v>4148184.7727099992</v>
      </c>
      <c r="O17" s="123">
        <f t="shared" ref="O17:O27" si="9">J17*E17</f>
        <v>4017900</v>
      </c>
    </row>
    <row r="18" spans="2:15" x14ac:dyDescent="0.25">
      <c r="B18" s="58">
        <v>3</v>
      </c>
      <c r="C18" s="59" t="s">
        <v>27</v>
      </c>
      <c r="D18" s="60" t="s">
        <v>15</v>
      </c>
      <c r="E18" s="61">
        <v>77.459999999999994</v>
      </c>
      <c r="F18" s="136">
        <v>404000</v>
      </c>
      <c r="G18" s="123">
        <v>395265.32</v>
      </c>
      <c r="H18" s="104">
        <v>428500</v>
      </c>
      <c r="I18" s="104">
        <v>384234.29</v>
      </c>
      <c r="J18" s="104">
        <v>375000</v>
      </c>
      <c r="K18" s="123">
        <f t="shared" si="5"/>
        <v>31293839.999999996</v>
      </c>
      <c r="L18" s="123">
        <f t="shared" si="6"/>
        <v>30617251.687199999</v>
      </c>
      <c r="M18" s="123">
        <f t="shared" si="7"/>
        <v>33191609.999999996</v>
      </c>
      <c r="N18" s="123">
        <f t="shared" si="8"/>
        <v>29762788.103399996</v>
      </c>
      <c r="O18" s="123">
        <f t="shared" si="9"/>
        <v>29047499.999999996</v>
      </c>
    </row>
    <row r="19" spans="2:15" x14ac:dyDescent="0.25">
      <c r="B19" s="58">
        <v>4</v>
      </c>
      <c r="C19" s="59" t="s">
        <v>26</v>
      </c>
      <c r="D19" s="60" t="s">
        <v>15</v>
      </c>
      <c r="E19" s="61">
        <v>29.446999999999999</v>
      </c>
      <c r="F19" s="136">
        <v>424000</v>
      </c>
      <c r="G19" s="123">
        <v>422890.32</v>
      </c>
      <c r="H19" s="104">
        <v>451000</v>
      </c>
      <c r="I19" s="151">
        <v>415231.4705</v>
      </c>
      <c r="J19" s="104">
        <v>395000</v>
      </c>
      <c r="K19" s="123">
        <f t="shared" si="5"/>
        <v>12485528</v>
      </c>
      <c r="L19" s="123">
        <f t="shared" si="6"/>
        <v>12452851.253039999</v>
      </c>
      <c r="M19" s="123">
        <f t="shared" si="7"/>
        <v>13280597</v>
      </c>
      <c r="N19" s="123">
        <f t="shared" si="8"/>
        <v>12227321.111813499</v>
      </c>
      <c r="O19" s="123">
        <f t="shared" si="9"/>
        <v>11631565</v>
      </c>
    </row>
    <row r="20" spans="2:15" x14ac:dyDescent="0.25">
      <c r="B20" s="58">
        <v>5</v>
      </c>
      <c r="C20" s="59" t="s">
        <v>31</v>
      </c>
      <c r="D20" s="60" t="s">
        <v>15</v>
      </c>
      <c r="E20" s="61">
        <v>28.71</v>
      </c>
      <c r="F20" s="136">
        <v>655000</v>
      </c>
      <c r="G20" s="123">
        <v>709185.44</v>
      </c>
      <c r="H20" s="104">
        <v>655500</v>
      </c>
      <c r="I20" s="151">
        <v>642948.72180000006</v>
      </c>
      <c r="J20" s="104">
        <v>615000</v>
      </c>
      <c r="K20" s="123">
        <f t="shared" si="5"/>
        <v>18805050</v>
      </c>
      <c r="L20" s="123">
        <f t="shared" si="6"/>
        <v>20360713.9824</v>
      </c>
      <c r="M20" s="123">
        <f t="shared" si="7"/>
        <v>18819405</v>
      </c>
      <c r="N20" s="123">
        <f t="shared" si="8"/>
        <v>18459057.802878004</v>
      </c>
      <c r="O20" s="123">
        <f t="shared" si="9"/>
        <v>17656650</v>
      </c>
    </row>
    <row r="21" spans="2:15" x14ac:dyDescent="0.25">
      <c r="B21" s="58">
        <v>6</v>
      </c>
      <c r="C21" s="59" t="s">
        <v>32</v>
      </c>
      <c r="D21" s="60" t="s">
        <v>15</v>
      </c>
      <c r="E21" s="61">
        <v>13.62</v>
      </c>
      <c r="F21" s="136">
        <v>685000</v>
      </c>
      <c r="G21" s="123">
        <v>709185.44</v>
      </c>
      <c r="H21" s="104">
        <v>750900</v>
      </c>
      <c r="I21" s="151">
        <v>761011.62719999999</v>
      </c>
      <c r="J21" s="104">
        <v>645000</v>
      </c>
      <c r="K21" s="123">
        <f t="shared" si="5"/>
        <v>9329700</v>
      </c>
      <c r="L21" s="123">
        <f t="shared" si="6"/>
        <v>9659105.6927999984</v>
      </c>
      <c r="M21" s="123">
        <f t="shared" si="7"/>
        <v>10227258</v>
      </c>
      <c r="N21" s="123">
        <f t="shared" si="8"/>
        <v>10364978.362464</v>
      </c>
      <c r="O21" s="123">
        <f t="shared" si="9"/>
        <v>8784900</v>
      </c>
    </row>
    <row r="22" spans="2:15" x14ac:dyDescent="0.25">
      <c r="B22" s="58">
        <v>7</v>
      </c>
      <c r="C22" s="59" t="s">
        <v>46</v>
      </c>
      <c r="D22" s="60" t="s">
        <v>15</v>
      </c>
      <c r="E22" s="61">
        <v>13.78</v>
      </c>
      <c r="F22" s="136">
        <v>1466889</v>
      </c>
      <c r="G22" s="123">
        <v>1300982.6299999999</v>
      </c>
      <c r="H22" s="104">
        <v>1235000</v>
      </c>
      <c r="I22" s="104">
        <v>1227686.17</v>
      </c>
      <c r="J22" s="104">
        <v>1180000</v>
      </c>
      <c r="K22" s="123">
        <f t="shared" si="5"/>
        <v>20213730.419999998</v>
      </c>
      <c r="L22" s="123">
        <f t="shared" si="6"/>
        <v>17927540.641399998</v>
      </c>
      <c r="M22" s="123">
        <f t="shared" si="7"/>
        <v>17018300</v>
      </c>
      <c r="N22" s="123">
        <f t="shared" si="8"/>
        <v>16917515.422599997</v>
      </c>
      <c r="O22" s="123">
        <f t="shared" si="9"/>
        <v>16260400</v>
      </c>
    </row>
    <row r="23" spans="2:15" x14ac:dyDescent="0.25">
      <c r="B23" s="58">
        <v>8</v>
      </c>
      <c r="C23" s="59" t="s">
        <v>16</v>
      </c>
      <c r="D23" s="60" t="s">
        <v>17</v>
      </c>
      <c r="E23" s="61">
        <v>113</v>
      </c>
      <c r="F23" s="136">
        <v>702000</v>
      </c>
      <c r="G23" s="123">
        <v>754800</v>
      </c>
      <c r="H23" s="104">
        <v>760000</v>
      </c>
      <c r="I23" s="151">
        <v>680925.63549999997</v>
      </c>
      <c r="J23" s="104">
        <v>700009</v>
      </c>
      <c r="K23" s="123">
        <f t="shared" si="5"/>
        <v>79326000</v>
      </c>
      <c r="L23" s="123">
        <f t="shared" si="6"/>
        <v>85292400</v>
      </c>
      <c r="M23" s="123">
        <f t="shared" si="7"/>
        <v>85880000</v>
      </c>
      <c r="N23" s="123">
        <f t="shared" si="8"/>
        <v>76944596.811499998</v>
      </c>
      <c r="O23" s="123">
        <f t="shared" si="9"/>
        <v>79101017</v>
      </c>
    </row>
    <row r="24" spans="2:15" x14ac:dyDescent="0.25">
      <c r="B24" s="58">
        <v>9</v>
      </c>
      <c r="C24" s="59" t="s">
        <v>18</v>
      </c>
      <c r="D24" s="60" t="s">
        <v>17</v>
      </c>
      <c r="E24" s="61">
        <v>10</v>
      </c>
      <c r="F24" s="136">
        <v>1400000</v>
      </c>
      <c r="G24" s="123">
        <v>696223</v>
      </c>
      <c r="H24" s="104">
        <v>3657500</v>
      </c>
      <c r="I24" s="150">
        <v>1014639.267</v>
      </c>
      <c r="J24" s="104">
        <v>1410000</v>
      </c>
      <c r="K24" s="123">
        <f t="shared" si="5"/>
        <v>14000000</v>
      </c>
      <c r="L24" s="123">
        <f t="shared" si="6"/>
        <v>6962230</v>
      </c>
      <c r="M24" s="123">
        <f t="shared" si="7"/>
        <v>36575000</v>
      </c>
      <c r="N24" s="123">
        <f t="shared" si="8"/>
        <v>10146392.67</v>
      </c>
      <c r="O24" s="123">
        <f t="shared" si="9"/>
        <v>14100000</v>
      </c>
    </row>
    <row r="25" spans="2:15" x14ac:dyDescent="0.25">
      <c r="B25" s="58">
        <v>10</v>
      </c>
      <c r="C25" s="59" t="s">
        <v>19</v>
      </c>
      <c r="D25" s="60" t="s">
        <v>17</v>
      </c>
      <c r="E25" s="61">
        <v>4</v>
      </c>
      <c r="F25" s="136">
        <v>1500000</v>
      </c>
      <c r="G25" s="123">
        <v>890398</v>
      </c>
      <c r="H25" s="104">
        <v>3800000</v>
      </c>
      <c r="I25" s="104">
        <v>1315073.1000000001</v>
      </c>
      <c r="J25" s="104">
        <v>1850000</v>
      </c>
      <c r="K25" s="123">
        <f t="shared" si="5"/>
        <v>6000000</v>
      </c>
      <c r="L25" s="123">
        <f t="shared" si="6"/>
        <v>3561592</v>
      </c>
      <c r="M25" s="123">
        <f t="shared" si="7"/>
        <v>15200000</v>
      </c>
      <c r="N25" s="123">
        <f t="shared" si="8"/>
        <v>5260292.4000000004</v>
      </c>
      <c r="O25" s="123">
        <f t="shared" si="9"/>
        <v>7400000</v>
      </c>
    </row>
    <row r="26" spans="2:15" x14ac:dyDescent="0.25">
      <c r="B26" s="58">
        <v>11</v>
      </c>
      <c r="C26" s="59" t="s">
        <v>21</v>
      </c>
      <c r="D26" s="60" t="s">
        <v>17</v>
      </c>
      <c r="E26" s="61">
        <v>3</v>
      </c>
      <c r="F26" s="136">
        <v>2400000</v>
      </c>
      <c r="G26" s="123">
        <v>1346998</v>
      </c>
      <c r="H26" s="104">
        <v>4512500</v>
      </c>
      <c r="I26" s="150">
        <v>2034475.227</v>
      </c>
      <c r="J26" s="104">
        <v>2520000</v>
      </c>
      <c r="K26" s="123">
        <f t="shared" si="5"/>
        <v>7200000</v>
      </c>
      <c r="L26" s="123">
        <f t="shared" si="6"/>
        <v>4040994</v>
      </c>
      <c r="M26" s="123">
        <f t="shared" si="7"/>
        <v>13537500</v>
      </c>
      <c r="N26" s="123">
        <f t="shared" si="8"/>
        <v>6103425.6809999999</v>
      </c>
      <c r="O26" s="123">
        <f t="shared" si="9"/>
        <v>7560000</v>
      </c>
    </row>
    <row r="27" spans="2:15" x14ac:dyDescent="0.25">
      <c r="B27" s="58">
        <v>12</v>
      </c>
      <c r="C27" s="59" t="s">
        <v>25</v>
      </c>
      <c r="D27" s="60" t="s">
        <v>17</v>
      </c>
      <c r="E27" s="61">
        <v>2</v>
      </c>
      <c r="F27" s="136">
        <v>6964947</v>
      </c>
      <c r="G27" s="123">
        <v>2769007</v>
      </c>
      <c r="H27" s="104">
        <v>5800000</v>
      </c>
      <c r="I27" s="150">
        <v>4093238.1970000002</v>
      </c>
      <c r="J27" s="104">
        <v>4900000</v>
      </c>
      <c r="K27" s="123">
        <f t="shared" si="5"/>
        <v>13929894</v>
      </c>
      <c r="L27" s="123">
        <f t="shared" si="6"/>
        <v>5538014</v>
      </c>
      <c r="M27" s="123">
        <f t="shared" si="7"/>
        <v>11600000</v>
      </c>
      <c r="N27" s="123">
        <f t="shared" si="8"/>
        <v>8186476.3940000003</v>
      </c>
      <c r="O27" s="123">
        <f t="shared" si="9"/>
        <v>9800000</v>
      </c>
    </row>
    <row r="28" spans="2:15" x14ac:dyDescent="0.25">
      <c r="B28" s="17"/>
      <c r="C28" s="21" t="s">
        <v>50</v>
      </c>
      <c r="D28" s="19"/>
      <c r="E28" s="20"/>
      <c r="F28" s="136"/>
      <c r="G28" s="124"/>
      <c r="H28" s="104"/>
      <c r="I28" s="104"/>
      <c r="J28" s="104"/>
      <c r="K28" s="124">
        <f>SUM(K16:K27)</f>
        <v>476536342.42000002</v>
      </c>
      <c r="L28" s="124">
        <f>SUM(L16:L27)</f>
        <v>458623295.93154001</v>
      </c>
      <c r="M28" s="124">
        <f>SUM(M16:M27)</f>
        <v>542517532.5</v>
      </c>
      <c r="N28" s="124">
        <f>SUM(N16:N27)</f>
        <v>441661841.24479049</v>
      </c>
      <c r="O28" s="124">
        <f>SUM(O16:O27)</f>
        <v>446723882</v>
      </c>
    </row>
    <row r="29" spans="2:15" x14ac:dyDescent="0.25">
      <c r="B29" s="44" t="s">
        <v>23</v>
      </c>
      <c r="C29" s="43" t="s">
        <v>62</v>
      </c>
      <c r="D29" s="19"/>
      <c r="E29" s="22"/>
      <c r="F29" s="136"/>
      <c r="G29" s="123"/>
      <c r="H29" s="104"/>
      <c r="I29" s="104"/>
      <c r="J29" s="104"/>
      <c r="K29" s="104"/>
      <c r="L29" s="123"/>
      <c r="M29" s="123"/>
      <c r="N29" s="123"/>
      <c r="O29" s="123"/>
    </row>
    <row r="30" spans="2:15" x14ac:dyDescent="0.25">
      <c r="B30" s="58">
        <v>1</v>
      </c>
      <c r="C30" s="59" t="s">
        <v>37</v>
      </c>
      <c r="D30" s="60" t="s">
        <v>38</v>
      </c>
      <c r="E30" s="90">
        <f>E35*1.5</f>
        <v>1822.9260000000002</v>
      </c>
      <c r="F30" s="138">
        <v>10000</v>
      </c>
      <c r="G30" s="123">
        <v>3750</v>
      </c>
      <c r="H30" s="104">
        <v>5000</v>
      </c>
      <c r="I30" s="104">
        <v>5000</v>
      </c>
      <c r="J30" s="104">
        <v>4000</v>
      </c>
      <c r="K30" s="123">
        <f t="shared" ref="K30:K41" si="10">F30*E30</f>
        <v>18229260</v>
      </c>
      <c r="L30" s="123">
        <f>G30*E30</f>
        <v>6835972.5000000009</v>
      </c>
      <c r="M30" s="123">
        <f t="shared" ref="M30:M41" si="11">H30*E30</f>
        <v>9114630</v>
      </c>
      <c r="N30" s="123">
        <f>I30*E30</f>
        <v>9114630</v>
      </c>
      <c r="O30" s="123">
        <f>J30*E30</f>
        <v>7291704.0000000009</v>
      </c>
    </row>
    <row r="31" spans="2:15" x14ac:dyDescent="0.25">
      <c r="B31" s="58">
        <f>B30+1</f>
        <v>2</v>
      </c>
      <c r="C31" s="59" t="s">
        <v>40</v>
      </c>
      <c r="D31" s="60" t="s">
        <v>41</v>
      </c>
      <c r="E31" s="61">
        <f>E34*0.25</f>
        <v>920.654</v>
      </c>
      <c r="F31" s="136">
        <v>204763</v>
      </c>
      <c r="G31" s="123">
        <v>287000</v>
      </c>
      <c r="H31" s="104">
        <v>250000</v>
      </c>
      <c r="I31" s="104">
        <v>242801.9</v>
      </c>
      <c r="J31" s="104">
        <v>222000</v>
      </c>
      <c r="K31" s="123">
        <f t="shared" si="10"/>
        <v>188515875.002</v>
      </c>
      <c r="L31" s="123">
        <f t="shared" ref="L31:L41" si="12">G31*E31</f>
        <v>264227698</v>
      </c>
      <c r="M31" s="123">
        <f t="shared" si="11"/>
        <v>230163500</v>
      </c>
      <c r="N31" s="123">
        <f t="shared" ref="N31:N41" si="13">I31*E31</f>
        <v>223536540.44259998</v>
      </c>
      <c r="O31" s="123">
        <f t="shared" ref="O31:O41" si="14">J31*E31</f>
        <v>204385188</v>
      </c>
    </row>
    <row r="32" spans="2:15" x14ac:dyDescent="0.25">
      <c r="B32" s="58">
        <f t="shared" ref="B32:B39" si="15">B31+1</f>
        <v>3</v>
      </c>
      <c r="C32" s="59" t="s">
        <v>42</v>
      </c>
      <c r="D32" s="60" t="s">
        <v>41</v>
      </c>
      <c r="E32" s="61">
        <f>(E34+E39)*0.2</f>
        <v>959.75020000000006</v>
      </c>
      <c r="F32" s="136">
        <v>342925</v>
      </c>
      <c r="G32" s="123">
        <v>313000</v>
      </c>
      <c r="H32" s="104">
        <v>300000</v>
      </c>
      <c r="I32" s="104">
        <v>314520.8</v>
      </c>
      <c r="J32" s="104">
        <v>332000</v>
      </c>
      <c r="K32" s="123">
        <f t="shared" si="10"/>
        <v>329122337.33500004</v>
      </c>
      <c r="L32" s="123">
        <f t="shared" si="12"/>
        <v>300401812.60000002</v>
      </c>
      <c r="M32" s="123">
        <f>H32*736.52</f>
        <v>220956000</v>
      </c>
      <c r="N32" s="123">
        <f t="shared" si="13"/>
        <v>301861400.70416003</v>
      </c>
      <c r="O32" s="123">
        <f t="shared" si="14"/>
        <v>318637066.40000004</v>
      </c>
    </row>
    <row r="33" spans="2:15" x14ac:dyDescent="0.25">
      <c r="B33" s="58">
        <f t="shared" si="15"/>
        <v>4</v>
      </c>
      <c r="C33" s="59" t="s">
        <v>43</v>
      </c>
      <c r="D33" s="60" t="s">
        <v>38</v>
      </c>
      <c r="E33" s="61">
        <f>E34</f>
        <v>3682.616</v>
      </c>
      <c r="F33" s="136"/>
      <c r="G33" s="123"/>
      <c r="H33" s="104"/>
      <c r="I33" s="104"/>
      <c r="J33" s="104"/>
      <c r="K33" s="123">
        <f t="shared" si="10"/>
        <v>0</v>
      </c>
      <c r="L33" s="123">
        <f t="shared" si="12"/>
        <v>0</v>
      </c>
      <c r="M33" s="123">
        <f t="shared" si="11"/>
        <v>0</v>
      </c>
      <c r="N33" s="123">
        <f t="shared" si="13"/>
        <v>0</v>
      </c>
      <c r="O33" s="123">
        <f t="shared" si="14"/>
        <v>0</v>
      </c>
    </row>
    <row r="34" spans="2:15" x14ac:dyDescent="0.25">
      <c r="B34" s="58">
        <f t="shared" si="15"/>
        <v>5</v>
      </c>
      <c r="C34" s="59" t="s">
        <v>44</v>
      </c>
      <c r="D34" s="60" t="s">
        <v>38</v>
      </c>
      <c r="E34" s="61">
        <v>3682.616</v>
      </c>
      <c r="F34" s="136"/>
      <c r="G34" s="123"/>
      <c r="H34" s="104"/>
      <c r="I34" s="151"/>
      <c r="J34" s="104"/>
      <c r="K34" s="123">
        <f t="shared" si="10"/>
        <v>0</v>
      </c>
      <c r="L34" s="123">
        <f t="shared" si="12"/>
        <v>0</v>
      </c>
      <c r="M34" s="123">
        <f t="shared" si="11"/>
        <v>0</v>
      </c>
      <c r="N34" s="123">
        <f t="shared" si="13"/>
        <v>0</v>
      </c>
      <c r="O34" s="123">
        <f t="shared" si="14"/>
        <v>0</v>
      </c>
    </row>
    <row r="35" spans="2:15" x14ac:dyDescent="0.25">
      <c r="B35" s="58">
        <f t="shared" si="15"/>
        <v>6</v>
      </c>
      <c r="C35" s="59" t="s">
        <v>45</v>
      </c>
      <c r="D35" s="60" t="s">
        <v>15</v>
      </c>
      <c r="E35" s="61">
        <v>1215.2840000000001</v>
      </c>
      <c r="F35" s="136">
        <v>169875</v>
      </c>
      <c r="G35" s="123">
        <v>130000</v>
      </c>
      <c r="H35" s="104">
        <v>82500</v>
      </c>
      <c r="I35" s="150">
        <v>87043.857999999993</v>
      </c>
      <c r="J35" s="104">
        <v>158500</v>
      </c>
      <c r="K35" s="123">
        <f t="shared" si="10"/>
        <v>206446369.50000003</v>
      </c>
      <c r="L35" s="123">
        <f t="shared" si="12"/>
        <v>157986920</v>
      </c>
      <c r="M35" s="123">
        <f t="shared" si="11"/>
        <v>100260930.00000001</v>
      </c>
      <c r="N35" s="123">
        <f t="shared" si="13"/>
        <v>105783007.92567199</v>
      </c>
      <c r="O35" s="123">
        <f t="shared" si="14"/>
        <v>192622514.00000003</v>
      </c>
    </row>
    <row r="36" spans="2:15" x14ac:dyDescent="0.25">
      <c r="B36" s="58">
        <f t="shared" si="15"/>
        <v>7</v>
      </c>
      <c r="C36" s="59" t="s">
        <v>58</v>
      </c>
      <c r="D36" s="60" t="s">
        <v>41</v>
      </c>
      <c r="E36" s="61">
        <f>E39*0.2</f>
        <v>223.227</v>
      </c>
      <c r="F36" s="136">
        <v>298000</v>
      </c>
      <c r="G36" s="123">
        <v>287000</v>
      </c>
      <c r="H36" s="104">
        <v>250000</v>
      </c>
      <c r="I36" s="150">
        <v>256369.57500000001</v>
      </c>
      <c r="J36" s="104">
        <v>222000</v>
      </c>
      <c r="K36" s="123">
        <f t="shared" si="10"/>
        <v>66521646</v>
      </c>
      <c r="L36" s="123">
        <f t="shared" si="12"/>
        <v>64066149</v>
      </c>
      <c r="M36" s="123">
        <f t="shared" si="11"/>
        <v>55806750</v>
      </c>
      <c r="N36" s="123">
        <f t="shared" si="13"/>
        <v>57228611.118525006</v>
      </c>
      <c r="O36" s="123">
        <f t="shared" si="14"/>
        <v>49556394</v>
      </c>
    </row>
    <row r="37" spans="2:15" x14ac:dyDescent="0.25">
      <c r="B37" s="58">
        <f t="shared" si="15"/>
        <v>8</v>
      </c>
      <c r="C37" s="59" t="s">
        <v>59</v>
      </c>
      <c r="D37" s="60" t="s">
        <v>41</v>
      </c>
      <c r="E37" s="61">
        <f>E39*0.15</f>
        <v>167.42024999999998</v>
      </c>
      <c r="F37" s="136">
        <v>345000</v>
      </c>
      <c r="G37" s="123">
        <v>313000</v>
      </c>
      <c r="H37" s="104">
        <v>300000</v>
      </c>
      <c r="I37" s="104">
        <v>354039.84</v>
      </c>
      <c r="J37" s="104">
        <v>317000</v>
      </c>
      <c r="K37" s="123">
        <f t="shared" si="10"/>
        <v>57759986.249999993</v>
      </c>
      <c r="L37" s="123">
        <f t="shared" si="12"/>
        <v>52402538.249999993</v>
      </c>
      <c r="M37" s="123">
        <f t="shared" si="11"/>
        <v>50226074.999999993</v>
      </c>
      <c r="N37" s="123">
        <f t="shared" si="13"/>
        <v>59273438.522759996</v>
      </c>
      <c r="O37" s="123">
        <f t="shared" si="14"/>
        <v>53072219.249999993</v>
      </c>
    </row>
    <row r="38" spans="2:15" x14ac:dyDescent="0.25">
      <c r="B38" s="58">
        <f t="shared" si="15"/>
        <v>9</v>
      </c>
      <c r="C38" s="59" t="s">
        <v>57</v>
      </c>
      <c r="D38" s="60" t="s">
        <v>41</v>
      </c>
      <c r="E38" s="61">
        <f>E39*0.05</f>
        <v>55.806750000000001</v>
      </c>
      <c r="F38" s="136">
        <v>200000</v>
      </c>
      <c r="G38" s="123">
        <v>210000</v>
      </c>
      <c r="H38" s="104">
        <v>260000</v>
      </c>
      <c r="I38" s="104">
        <v>445042.4</v>
      </c>
      <c r="J38" s="104">
        <v>200000</v>
      </c>
      <c r="K38" s="123">
        <f t="shared" si="10"/>
        <v>11161350</v>
      </c>
      <c r="L38" s="123">
        <f t="shared" si="12"/>
        <v>11719417.5</v>
      </c>
      <c r="M38" s="123">
        <f t="shared" si="11"/>
        <v>14509755</v>
      </c>
      <c r="N38" s="123">
        <f t="shared" si="13"/>
        <v>24836369.9562</v>
      </c>
      <c r="O38" s="123">
        <f t="shared" si="14"/>
        <v>11161350</v>
      </c>
    </row>
    <row r="39" spans="2:15" x14ac:dyDescent="0.25">
      <c r="B39" s="58">
        <f t="shared" si="15"/>
        <v>10</v>
      </c>
      <c r="C39" s="59" t="s">
        <v>56</v>
      </c>
      <c r="D39" s="60" t="s">
        <v>38</v>
      </c>
      <c r="E39" s="61">
        <v>1116.135</v>
      </c>
      <c r="F39" s="136">
        <v>150000</v>
      </c>
      <c r="G39" s="123">
        <v>171680</v>
      </c>
      <c r="H39" s="104">
        <v>148500</v>
      </c>
      <c r="I39" s="104">
        <v>168431.78</v>
      </c>
      <c r="J39" s="104">
        <v>150000</v>
      </c>
      <c r="K39" s="123">
        <f t="shared" si="10"/>
        <v>167420250</v>
      </c>
      <c r="L39" s="123">
        <f t="shared" si="12"/>
        <v>191618056.80000001</v>
      </c>
      <c r="M39" s="123">
        <f t="shared" si="11"/>
        <v>165746047.5</v>
      </c>
      <c r="N39" s="123">
        <f t="shared" si="13"/>
        <v>187992604.7703</v>
      </c>
      <c r="O39" s="123">
        <f t="shared" si="14"/>
        <v>167420250</v>
      </c>
    </row>
    <row r="40" spans="2:15" x14ac:dyDescent="0.25">
      <c r="B40" s="58">
        <v>11</v>
      </c>
      <c r="C40" s="86" t="s">
        <v>126</v>
      </c>
      <c r="D40" s="60" t="s">
        <v>101</v>
      </c>
      <c r="E40" s="61">
        <f>E33</f>
        <v>3682.616</v>
      </c>
      <c r="F40" s="136">
        <v>5000</v>
      </c>
      <c r="G40" s="123">
        <v>3750</v>
      </c>
      <c r="H40" s="104">
        <v>5000</v>
      </c>
      <c r="I40" s="104">
        <v>8000</v>
      </c>
      <c r="J40" s="104">
        <v>4000</v>
      </c>
      <c r="K40" s="123">
        <f t="shared" si="10"/>
        <v>18413080</v>
      </c>
      <c r="L40" s="123">
        <f t="shared" si="12"/>
        <v>13809810</v>
      </c>
      <c r="M40" s="123">
        <f t="shared" si="11"/>
        <v>18413080</v>
      </c>
      <c r="N40" s="123">
        <f t="shared" si="13"/>
        <v>29460928</v>
      </c>
      <c r="O40" s="123">
        <f t="shared" si="14"/>
        <v>14730464</v>
      </c>
    </row>
    <row r="41" spans="2:15" x14ac:dyDescent="0.25">
      <c r="B41" s="58">
        <v>12</v>
      </c>
      <c r="C41" s="86" t="s">
        <v>125</v>
      </c>
      <c r="D41" s="60" t="s">
        <v>38</v>
      </c>
      <c r="E41" s="61">
        <v>3682.62</v>
      </c>
      <c r="F41" s="136">
        <v>115000</v>
      </c>
      <c r="G41" s="123">
        <v>149500</v>
      </c>
      <c r="H41" s="104">
        <v>110000</v>
      </c>
      <c r="I41" s="151">
        <v>114694.6974</v>
      </c>
      <c r="J41" s="104">
        <v>89000</v>
      </c>
      <c r="K41" s="123">
        <f t="shared" si="10"/>
        <v>423501300</v>
      </c>
      <c r="L41" s="123">
        <f t="shared" si="12"/>
        <v>550551690</v>
      </c>
      <c r="M41" s="123">
        <f t="shared" si="11"/>
        <v>405088200</v>
      </c>
      <c r="N41" s="123">
        <f t="shared" si="13"/>
        <v>422376986.53918803</v>
      </c>
      <c r="O41" s="123">
        <f t="shared" si="14"/>
        <v>327753180</v>
      </c>
    </row>
    <row r="42" spans="2:15" x14ac:dyDescent="0.25">
      <c r="B42" s="17"/>
      <c r="C42" s="21" t="s">
        <v>50</v>
      </c>
      <c r="D42" s="19"/>
      <c r="E42" s="22"/>
      <c r="F42" s="136"/>
      <c r="G42" s="124"/>
      <c r="H42" s="104"/>
      <c r="I42" s="104"/>
      <c r="J42" s="104"/>
      <c r="K42" s="124">
        <f>SUM(K30:K41)</f>
        <v>1487091454.0869999</v>
      </c>
      <c r="L42" s="124">
        <f>SUM(L30:L41)</f>
        <v>1613620064.6500001</v>
      </c>
      <c r="M42" s="124">
        <f>SUM(M30:M41)</f>
        <v>1270284967.5</v>
      </c>
      <c r="N42" s="124">
        <f>SUM(N30:N41)</f>
        <v>1421464517.9794052</v>
      </c>
      <c r="O42" s="124">
        <f>SUM(O30:O41)</f>
        <v>1346630329.6500001</v>
      </c>
    </row>
    <row r="43" spans="2:15" x14ac:dyDescent="0.25">
      <c r="B43" s="17"/>
      <c r="C43" s="21"/>
      <c r="D43" s="19"/>
      <c r="E43" s="22"/>
      <c r="F43" s="136"/>
      <c r="G43" s="124"/>
      <c r="H43" s="104"/>
      <c r="I43" s="104"/>
      <c r="J43" s="104"/>
      <c r="K43" s="104"/>
      <c r="L43" s="124"/>
      <c r="M43" s="124"/>
      <c r="N43" s="124"/>
      <c r="O43" s="124"/>
    </row>
    <row r="44" spans="2:15" x14ac:dyDescent="0.25">
      <c r="B44" s="42" t="s">
        <v>39</v>
      </c>
      <c r="C44" s="43" t="s">
        <v>63</v>
      </c>
      <c r="D44" s="19"/>
      <c r="E44" s="22"/>
      <c r="F44" s="136"/>
      <c r="G44" s="123"/>
      <c r="H44" s="104"/>
      <c r="I44" s="104"/>
      <c r="J44" s="104"/>
      <c r="K44" s="104"/>
      <c r="L44" s="123"/>
      <c r="M44" s="123"/>
      <c r="N44" s="123"/>
      <c r="O44" s="123"/>
    </row>
    <row r="45" spans="2:15" x14ac:dyDescent="0.25">
      <c r="B45" s="44" t="s">
        <v>22</v>
      </c>
      <c r="C45" s="43" t="s">
        <v>64</v>
      </c>
      <c r="D45" s="18"/>
      <c r="E45" s="22"/>
      <c r="F45" s="136"/>
      <c r="G45" s="123"/>
      <c r="H45" s="104"/>
      <c r="I45" s="104"/>
      <c r="J45" s="104"/>
      <c r="K45" s="104"/>
      <c r="L45" s="123"/>
      <c r="M45" s="123"/>
      <c r="N45" s="123"/>
      <c r="O45" s="123"/>
    </row>
    <row r="46" spans="2:15" x14ac:dyDescent="0.25">
      <c r="B46" s="91">
        <v>1</v>
      </c>
      <c r="C46" s="92" t="s">
        <v>28</v>
      </c>
      <c r="D46" s="93" t="s">
        <v>15</v>
      </c>
      <c r="E46" s="90">
        <v>1068.3499999999999</v>
      </c>
      <c r="F46" s="136">
        <v>298000</v>
      </c>
      <c r="G46" s="139">
        <v>295890.57</v>
      </c>
      <c r="H46" s="104">
        <v>324150</v>
      </c>
      <c r="I46" s="104">
        <v>279039.20549999998</v>
      </c>
      <c r="J46" s="104">
        <v>277000</v>
      </c>
      <c r="K46" s="123">
        <f t="shared" ref="K46:K54" si="16">F46*E46</f>
        <v>318368300</v>
      </c>
      <c r="L46" s="139">
        <f>G46*E46</f>
        <v>316114690.45949996</v>
      </c>
      <c r="M46" s="123">
        <f t="shared" ref="M46:M54" si="17">H46*E46</f>
        <v>346305652.5</v>
      </c>
      <c r="N46" s="123">
        <f>I46*E46</f>
        <v>298111535.19592494</v>
      </c>
      <c r="O46" s="123">
        <f t="shared" ref="O46:O54" si="18">J46*E46</f>
        <v>295932950</v>
      </c>
    </row>
    <row r="47" spans="2:15" x14ac:dyDescent="0.25">
      <c r="B47" s="91">
        <v>2</v>
      </c>
      <c r="C47" s="92" t="s">
        <v>29</v>
      </c>
      <c r="D47" s="93" t="s">
        <v>15</v>
      </c>
      <c r="E47" s="90">
        <v>11.9</v>
      </c>
      <c r="F47" s="136">
        <v>315000</v>
      </c>
      <c r="G47" s="139">
        <v>322052.46000000002</v>
      </c>
      <c r="H47" s="104">
        <v>348000</v>
      </c>
      <c r="I47" s="104">
        <v>304565.69549999997</v>
      </c>
      <c r="J47" s="104">
        <v>295000</v>
      </c>
      <c r="K47" s="123">
        <f t="shared" si="16"/>
        <v>3748500</v>
      </c>
      <c r="L47" s="139">
        <f t="shared" ref="L47:L54" si="19">G47*E47</f>
        <v>3832424.2740000002</v>
      </c>
      <c r="M47" s="123">
        <f t="shared" si="17"/>
        <v>4141200</v>
      </c>
      <c r="N47" s="123">
        <f t="shared" ref="N47:N54" si="20">I47*E47</f>
        <v>3624331.7764499998</v>
      </c>
      <c r="O47" s="123">
        <f t="shared" si="18"/>
        <v>3510500</v>
      </c>
    </row>
    <row r="48" spans="2:15" x14ac:dyDescent="0.25">
      <c r="B48" s="91">
        <v>3</v>
      </c>
      <c r="C48" s="92" t="s">
        <v>27</v>
      </c>
      <c r="D48" s="93" t="s">
        <v>15</v>
      </c>
      <c r="E48" s="90">
        <v>24.51</v>
      </c>
      <c r="F48" s="136">
        <v>404000</v>
      </c>
      <c r="G48" s="139">
        <v>395265.32</v>
      </c>
      <c r="H48" s="104">
        <v>428500</v>
      </c>
      <c r="I48" s="104">
        <v>384234.29</v>
      </c>
      <c r="J48" s="104">
        <v>375000</v>
      </c>
      <c r="K48" s="123">
        <f t="shared" si="16"/>
        <v>9902040</v>
      </c>
      <c r="L48" s="139">
        <f t="shared" si="19"/>
        <v>9687952.9932000004</v>
      </c>
      <c r="M48" s="123">
        <f t="shared" si="17"/>
        <v>10502535</v>
      </c>
      <c r="N48" s="123">
        <f t="shared" si="20"/>
        <v>9417582.447900001</v>
      </c>
      <c r="O48" s="123">
        <f t="shared" si="18"/>
        <v>9191250</v>
      </c>
    </row>
    <row r="49" spans="2:15" x14ac:dyDescent="0.25">
      <c r="B49" s="91">
        <v>4</v>
      </c>
      <c r="C49" s="92" t="s">
        <v>33</v>
      </c>
      <c r="D49" s="93" t="s">
        <v>15</v>
      </c>
      <c r="E49" s="90">
        <v>55.37</v>
      </c>
      <c r="F49" s="136">
        <v>997350</v>
      </c>
      <c r="G49" s="139">
        <v>1030363.51</v>
      </c>
      <c r="H49" s="104">
        <v>922500</v>
      </c>
      <c r="I49" s="104">
        <v>933428.62139999995</v>
      </c>
      <c r="J49" s="104">
        <v>885000</v>
      </c>
      <c r="K49" s="123">
        <f t="shared" si="16"/>
        <v>55223269.5</v>
      </c>
      <c r="L49" s="139">
        <f t="shared" si="19"/>
        <v>57051227.548699997</v>
      </c>
      <c r="M49" s="123">
        <f t="shared" si="17"/>
        <v>51078825</v>
      </c>
      <c r="N49" s="123">
        <f t="shared" si="20"/>
        <v>51683942.766917996</v>
      </c>
      <c r="O49" s="123">
        <f t="shared" si="18"/>
        <v>49002450</v>
      </c>
    </row>
    <row r="50" spans="2:15" x14ac:dyDescent="0.25">
      <c r="B50" s="91">
        <v>5</v>
      </c>
      <c r="C50" s="92" t="s">
        <v>34</v>
      </c>
      <c r="D50" s="93" t="s">
        <v>15</v>
      </c>
      <c r="E50" s="90">
        <v>25.77</v>
      </c>
      <c r="F50" s="136">
        <v>1077219</v>
      </c>
      <c r="G50" s="139">
        <v>1030363.51</v>
      </c>
      <c r="H50" s="104">
        <v>1082000</v>
      </c>
      <c r="I50" s="104">
        <v>1131044.442</v>
      </c>
      <c r="J50" s="104">
        <v>905000</v>
      </c>
      <c r="K50" s="123">
        <f t="shared" si="16"/>
        <v>27759933.629999999</v>
      </c>
      <c r="L50" s="139">
        <f t="shared" si="19"/>
        <v>26552467.6527</v>
      </c>
      <c r="M50" s="123">
        <f t="shared" si="17"/>
        <v>27883140</v>
      </c>
      <c r="N50" s="123">
        <f t="shared" si="20"/>
        <v>29147015.270339999</v>
      </c>
      <c r="O50" s="123">
        <f t="shared" si="18"/>
        <v>23321850</v>
      </c>
    </row>
    <row r="51" spans="2:15" x14ac:dyDescent="0.25">
      <c r="B51" s="91">
        <v>6</v>
      </c>
      <c r="C51" s="92" t="s">
        <v>16</v>
      </c>
      <c r="D51" s="93" t="s">
        <v>17</v>
      </c>
      <c r="E51" s="90">
        <v>123</v>
      </c>
      <c r="F51" s="136">
        <v>702000</v>
      </c>
      <c r="G51" s="139">
        <v>754800</v>
      </c>
      <c r="H51" s="104">
        <v>800000</v>
      </c>
      <c r="I51" s="104">
        <v>680925.63549999997</v>
      </c>
      <c r="J51" s="104">
        <v>700009</v>
      </c>
      <c r="K51" s="123">
        <f t="shared" si="16"/>
        <v>86346000</v>
      </c>
      <c r="L51" s="139">
        <f t="shared" si="19"/>
        <v>92840400</v>
      </c>
      <c r="M51" s="123">
        <f t="shared" si="17"/>
        <v>98400000</v>
      </c>
      <c r="N51" s="123">
        <f t="shared" si="20"/>
        <v>83753853.166500002</v>
      </c>
      <c r="O51" s="123">
        <f t="shared" si="18"/>
        <v>86101107</v>
      </c>
    </row>
    <row r="52" spans="2:15" x14ac:dyDescent="0.25">
      <c r="B52" s="91">
        <v>7</v>
      </c>
      <c r="C52" s="92" t="s">
        <v>18</v>
      </c>
      <c r="D52" s="93" t="s">
        <v>17</v>
      </c>
      <c r="E52" s="90">
        <v>6</v>
      </c>
      <c r="F52" s="136">
        <v>1400000</v>
      </c>
      <c r="G52" s="139">
        <v>696223</v>
      </c>
      <c r="H52" s="104">
        <v>3800000</v>
      </c>
      <c r="I52" s="104">
        <v>1014639.267</v>
      </c>
      <c r="J52" s="104">
        <v>1410000</v>
      </c>
      <c r="K52" s="123">
        <f t="shared" si="16"/>
        <v>8400000</v>
      </c>
      <c r="L52" s="139">
        <f t="shared" si="19"/>
        <v>4177338</v>
      </c>
      <c r="M52" s="123">
        <f t="shared" si="17"/>
        <v>22800000</v>
      </c>
      <c r="N52" s="123">
        <f t="shared" si="20"/>
        <v>6087835.602</v>
      </c>
      <c r="O52" s="123">
        <f t="shared" si="18"/>
        <v>8460000</v>
      </c>
    </row>
    <row r="53" spans="2:15" x14ac:dyDescent="0.25">
      <c r="B53" s="91">
        <v>8</v>
      </c>
      <c r="C53" s="92" t="s">
        <v>19</v>
      </c>
      <c r="D53" s="93" t="s">
        <v>17</v>
      </c>
      <c r="E53" s="90">
        <v>1</v>
      </c>
      <c r="F53" s="136">
        <v>1500000</v>
      </c>
      <c r="G53" s="139">
        <v>890398</v>
      </c>
      <c r="H53" s="104">
        <v>4000000</v>
      </c>
      <c r="I53" s="104">
        <v>1315073.1000000001</v>
      </c>
      <c r="J53" s="104">
        <v>1850000</v>
      </c>
      <c r="K53" s="123">
        <f t="shared" si="16"/>
        <v>1500000</v>
      </c>
      <c r="L53" s="139">
        <f t="shared" si="19"/>
        <v>890398</v>
      </c>
      <c r="M53" s="123">
        <f t="shared" si="17"/>
        <v>4000000</v>
      </c>
      <c r="N53" s="123">
        <f t="shared" si="20"/>
        <v>1315073.1000000001</v>
      </c>
      <c r="O53" s="123">
        <f t="shared" si="18"/>
        <v>1850000</v>
      </c>
    </row>
    <row r="54" spans="2:15" x14ac:dyDescent="0.25">
      <c r="B54" s="91">
        <v>10</v>
      </c>
      <c r="C54" s="92" t="s">
        <v>24</v>
      </c>
      <c r="D54" s="93" t="s">
        <v>17</v>
      </c>
      <c r="E54" s="90">
        <v>6</v>
      </c>
      <c r="F54" s="136">
        <v>5568530</v>
      </c>
      <c r="G54" s="139">
        <v>2071247</v>
      </c>
      <c r="H54" s="104">
        <v>5250000</v>
      </c>
      <c r="I54" s="104">
        <v>2834120.19</v>
      </c>
      <c r="J54" s="104">
        <v>4300000</v>
      </c>
      <c r="K54" s="123">
        <f t="shared" si="16"/>
        <v>33411180</v>
      </c>
      <c r="L54" s="139">
        <f t="shared" si="19"/>
        <v>12427482</v>
      </c>
      <c r="M54" s="123">
        <f t="shared" si="17"/>
        <v>31500000</v>
      </c>
      <c r="N54" s="123">
        <f t="shared" si="20"/>
        <v>17004721.140000001</v>
      </c>
      <c r="O54" s="123">
        <f t="shared" si="18"/>
        <v>25800000</v>
      </c>
    </row>
    <row r="55" spans="2:15" x14ac:dyDescent="0.25">
      <c r="B55" s="17"/>
      <c r="C55" s="21" t="s">
        <v>50</v>
      </c>
      <c r="D55" s="19"/>
      <c r="E55" s="20"/>
      <c r="F55" s="136"/>
      <c r="G55" s="124"/>
      <c r="H55" s="104"/>
      <c r="I55" s="104"/>
      <c r="J55" s="104"/>
      <c r="K55" s="124">
        <f>SUM(K46:K54)</f>
        <v>544659223.13</v>
      </c>
      <c r="L55" s="124">
        <f>SUM(L46:L54)</f>
        <v>523574380.92809993</v>
      </c>
      <c r="M55" s="124">
        <f>SUM(M46:M54)</f>
        <v>596611352.5</v>
      </c>
      <c r="N55" s="124">
        <f>SUM(N46:N54)</f>
        <v>500145890.46603298</v>
      </c>
      <c r="O55" s="124">
        <f>SUM(O46:O54)</f>
        <v>503170107</v>
      </c>
    </row>
    <row r="56" spans="2:15" x14ac:dyDescent="0.25">
      <c r="B56" s="44" t="s">
        <v>23</v>
      </c>
      <c r="C56" s="43" t="s">
        <v>65</v>
      </c>
      <c r="D56" s="19"/>
      <c r="E56" s="22"/>
      <c r="F56" s="153"/>
      <c r="G56" s="123"/>
      <c r="H56" s="104"/>
      <c r="I56" s="104"/>
      <c r="J56" s="104"/>
      <c r="K56" s="123"/>
      <c r="L56" s="123"/>
      <c r="M56" s="123"/>
      <c r="N56" s="123"/>
      <c r="O56" s="123"/>
    </row>
    <row r="57" spans="2:15" x14ac:dyDescent="0.25">
      <c r="B57" s="91">
        <v>1</v>
      </c>
      <c r="C57" s="92" t="s">
        <v>37</v>
      </c>
      <c r="D57" s="93" t="s">
        <v>38</v>
      </c>
      <c r="E57" s="90">
        <f>E62*1.5</f>
        <v>1386.354</v>
      </c>
      <c r="F57" s="136">
        <v>10000</v>
      </c>
      <c r="G57" s="139">
        <v>3750</v>
      </c>
      <c r="H57" s="104">
        <v>5000</v>
      </c>
      <c r="I57" s="104">
        <v>5000</v>
      </c>
      <c r="J57" s="104">
        <v>4000</v>
      </c>
      <c r="K57" s="123">
        <f t="shared" ref="K57:K64" si="21">F57*E57</f>
        <v>13863540</v>
      </c>
      <c r="L57" s="139">
        <f>G57*E57</f>
        <v>5198827.5</v>
      </c>
      <c r="M57" s="123">
        <f t="shared" ref="M57:M64" si="22">H57*E57</f>
        <v>6931770</v>
      </c>
      <c r="N57" s="123">
        <f>I57*E57</f>
        <v>6931770</v>
      </c>
      <c r="O57" s="123">
        <f t="shared" ref="O57:O64" si="23">J57*E57</f>
        <v>5545416</v>
      </c>
    </row>
    <row r="58" spans="2:15" x14ac:dyDescent="0.25">
      <c r="B58" s="91">
        <v>2</v>
      </c>
      <c r="C58" s="92" t="s">
        <v>40</v>
      </c>
      <c r="D58" s="93" t="s">
        <v>41</v>
      </c>
      <c r="E58" s="90">
        <f>E61*0.25</f>
        <v>945.20249999999999</v>
      </c>
      <c r="F58" s="136">
        <v>204763</v>
      </c>
      <c r="G58" s="139">
        <v>287000</v>
      </c>
      <c r="H58" s="104">
        <v>250000</v>
      </c>
      <c r="I58" s="104">
        <v>242801.9</v>
      </c>
      <c r="J58" s="104">
        <v>222000</v>
      </c>
      <c r="K58" s="123">
        <f t="shared" si="21"/>
        <v>193542499.50749999</v>
      </c>
      <c r="L58" s="139">
        <f t="shared" ref="L58:L64" si="24">G58*E58</f>
        <v>271273117.5</v>
      </c>
      <c r="M58" s="123">
        <f t="shared" si="22"/>
        <v>236300625</v>
      </c>
      <c r="N58" s="123">
        <f t="shared" ref="N58:N64" si="25">I58*E58</f>
        <v>229496962.88474998</v>
      </c>
      <c r="O58" s="123">
        <f t="shared" si="23"/>
        <v>209834955</v>
      </c>
    </row>
    <row r="59" spans="2:15" x14ac:dyDescent="0.25">
      <c r="B59" s="91">
        <v>3</v>
      </c>
      <c r="C59" s="92" t="s">
        <v>42</v>
      </c>
      <c r="D59" s="93" t="s">
        <v>41</v>
      </c>
      <c r="E59" s="90">
        <f>E61*0.2</f>
        <v>756.16200000000003</v>
      </c>
      <c r="F59" s="136">
        <v>342925</v>
      </c>
      <c r="G59" s="139">
        <v>313000</v>
      </c>
      <c r="H59" s="104">
        <v>300000</v>
      </c>
      <c r="I59" s="104">
        <v>314520.8</v>
      </c>
      <c r="J59" s="104">
        <v>332000</v>
      </c>
      <c r="K59" s="123">
        <f t="shared" si="21"/>
        <v>259306853.85000002</v>
      </c>
      <c r="L59" s="139">
        <f t="shared" si="24"/>
        <v>236678706</v>
      </c>
      <c r="M59" s="123">
        <f t="shared" si="22"/>
        <v>226848600</v>
      </c>
      <c r="N59" s="123">
        <f t="shared" si="25"/>
        <v>237828677.16960001</v>
      </c>
      <c r="O59" s="123">
        <f t="shared" si="23"/>
        <v>251045784</v>
      </c>
    </row>
    <row r="60" spans="2:15" x14ac:dyDescent="0.25">
      <c r="B60" s="91">
        <v>4</v>
      </c>
      <c r="C60" s="92" t="s">
        <v>43</v>
      </c>
      <c r="D60" s="93" t="s">
        <v>38</v>
      </c>
      <c r="E60" s="90">
        <f>E61</f>
        <v>3780.81</v>
      </c>
      <c r="F60" s="136"/>
      <c r="G60" s="139"/>
      <c r="H60" s="104"/>
      <c r="I60" s="104"/>
      <c r="J60" s="104"/>
      <c r="K60" s="123">
        <f t="shared" si="21"/>
        <v>0</v>
      </c>
      <c r="L60" s="139">
        <f t="shared" si="24"/>
        <v>0</v>
      </c>
      <c r="M60" s="123">
        <f t="shared" si="22"/>
        <v>0</v>
      </c>
      <c r="N60" s="123">
        <f t="shared" si="25"/>
        <v>0</v>
      </c>
      <c r="O60" s="123">
        <f t="shared" si="23"/>
        <v>0</v>
      </c>
    </row>
    <row r="61" spans="2:15" x14ac:dyDescent="0.25">
      <c r="B61" s="91">
        <v>5</v>
      </c>
      <c r="C61" s="92" t="s">
        <v>44</v>
      </c>
      <c r="D61" s="93" t="s">
        <v>38</v>
      </c>
      <c r="E61" s="90">
        <v>3780.81</v>
      </c>
      <c r="F61" s="136"/>
      <c r="G61" s="139"/>
      <c r="H61" s="104"/>
      <c r="I61" s="104"/>
      <c r="J61" s="104"/>
      <c r="K61" s="123">
        <f t="shared" si="21"/>
        <v>0</v>
      </c>
      <c r="L61" s="139">
        <f t="shared" si="24"/>
        <v>0</v>
      </c>
      <c r="M61" s="123">
        <f t="shared" si="22"/>
        <v>0</v>
      </c>
      <c r="N61" s="123">
        <f t="shared" si="25"/>
        <v>0</v>
      </c>
      <c r="O61" s="123">
        <f t="shared" si="23"/>
        <v>0</v>
      </c>
    </row>
    <row r="62" spans="2:15" x14ac:dyDescent="0.25">
      <c r="B62" s="91">
        <v>6</v>
      </c>
      <c r="C62" s="92" t="s">
        <v>45</v>
      </c>
      <c r="D62" s="93" t="s">
        <v>15</v>
      </c>
      <c r="E62" s="90">
        <v>924.23599999999999</v>
      </c>
      <c r="F62" s="136">
        <v>169875</v>
      </c>
      <c r="G62" s="139">
        <v>130000</v>
      </c>
      <c r="H62" s="104">
        <v>82500</v>
      </c>
      <c r="I62" s="104">
        <v>87043.857999999993</v>
      </c>
      <c r="J62" s="104">
        <v>158500</v>
      </c>
      <c r="K62" s="123">
        <f t="shared" si="21"/>
        <v>157004590.5</v>
      </c>
      <c r="L62" s="139">
        <f t="shared" si="24"/>
        <v>120150680</v>
      </c>
      <c r="M62" s="123">
        <f t="shared" si="22"/>
        <v>76249470</v>
      </c>
      <c r="N62" s="123">
        <f t="shared" si="25"/>
        <v>80449067.142487988</v>
      </c>
      <c r="O62" s="123">
        <f t="shared" si="23"/>
        <v>146491406</v>
      </c>
    </row>
    <row r="63" spans="2:15" x14ac:dyDescent="0.25">
      <c r="B63" s="91">
        <v>7</v>
      </c>
      <c r="C63" s="86" t="s">
        <v>126</v>
      </c>
      <c r="D63" s="60" t="s">
        <v>38</v>
      </c>
      <c r="E63" s="61">
        <f>E60</f>
        <v>3780.81</v>
      </c>
      <c r="F63" s="136">
        <v>5000</v>
      </c>
      <c r="G63" s="139">
        <v>3750</v>
      </c>
      <c r="H63" s="104">
        <v>5000</v>
      </c>
      <c r="I63" s="104">
        <v>8000</v>
      </c>
      <c r="J63" s="104">
        <v>4000</v>
      </c>
      <c r="K63" s="123">
        <f t="shared" si="21"/>
        <v>18904050</v>
      </c>
      <c r="L63" s="139">
        <f t="shared" si="24"/>
        <v>14178037.5</v>
      </c>
      <c r="M63" s="123">
        <f t="shared" si="22"/>
        <v>18904050</v>
      </c>
      <c r="N63" s="123">
        <f t="shared" si="25"/>
        <v>30246480</v>
      </c>
      <c r="O63" s="123">
        <f t="shared" si="23"/>
        <v>15123240</v>
      </c>
    </row>
    <row r="64" spans="2:15" x14ac:dyDescent="0.25">
      <c r="B64" s="91">
        <v>8</v>
      </c>
      <c r="C64" s="86" t="s">
        <v>125</v>
      </c>
      <c r="D64" s="60" t="s">
        <v>38</v>
      </c>
      <c r="E64" s="61">
        <v>3780.01</v>
      </c>
      <c r="F64" s="136">
        <v>115000</v>
      </c>
      <c r="G64" s="139">
        <v>149500</v>
      </c>
      <c r="H64" s="104">
        <v>110000</v>
      </c>
      <c r="I64" s="104">
        <v>114694.6974</v>
      </c>
      <c r="J64" s="104">
        <v>89000</v>
      </c>
      <c r="K64" s="123">
        <f t="shared" si="21"/>
        <v>434701150</v>
      </c>
      <c r="L64" s="139">
        <f t="shared" si="24"/>
        <v>565111495</v>
      </c>
      <c r="M64" s="123">
        <f t="shared" si="22"/>
        <v>415801100</v>
      </c>
      <c r="N64" s="123">
        <f t="shared" si="25"/>
        <v>433547103.11897403</v>
      </c>
      <c r="O64" s="123">
        <f t="shared" si="23"/>
        <v>336420890</v>
      </c>
    </row>
    <row r="65" spans="2:15" x14ac:dyDescent="0.25">
      <c r="B65" s="17"/>
      <c r="C65" s="21" t="s">
        <v>50</v>
      </c>
      <c r="D65" s="19"/>
      <c r="E65" s="37"/>
      <c r="F65" s="136"/>
      <c r="G65" s="124"/>
      <c r="H65" s="104"/>
      <c r="I65" s="104"/>
      <c r="J65" s="104"/>
      <c r="K65" s="124">
        <f>SUM(K57:K64)</f>
        <v>1077322683.8575001</v>
      </c>
      <c r="L65" s="124">
        <f>SUM(L57:L64)</f>
        <v>1212590863.5</v>
      </c>
      <c r="M65" s="124">
        <f>SUM(M57:M64)</f>
        <v>981035615</v>
      </c>
      <c r="N65" s="124">
        <f>SUM(N57:N64)</f>
        <v>1018500060.3158121</v>
      </c>
      <c r="O65" s="124">
        <f>SUM(O57:O64)</f>
        <v>964461691</v>
      </c>
    </row>
    <row r="66" spans="2:15" x14ac:dyDescent="0.25">
      <c r="B66" s="17"/>
      <c r="C66" s="21"/>
      <c r="D66" s="19"/>
      <c r="E66" s="37"/>
      <c r="F66" s="136"/>
      <c r="G66" s="124"/>
      <c r="H66" s="104"/>
      <c r="I66" s="104"/>
      <c r="J66" s="104"/>
      <c r="K66" s="124"/>
      <c r="L66" s="124"/>
      <c r="M66" s="124"/>
      <c r="N66" s="124"/>
      <c r="O66" s="124"/>
    </row>
    <row r="67" spans="2:15" x14ac:dyDescent="0.25">
      <c r="B67" s="42" t="s">
        <v>55</v>
      </c>
      <c r="C67" s="43" t="s">
        <v>66</v>
      </c>
      <c r="D67" s="19"/>
      <c r="E67" s="20"/>
      <c r="F67" s="136"/>
      <c r="G67" s="123"/>
      <c r="H67" s="104"/>
      <c r="I67" s="104"/>
      <c r="J67" s="104"/>
      <c r="K67" s="123"/>
      <c r="L67" s="123"/>
      <c r="M67" s="123"/>
      <c r="N67" s="123"/>
      <c r="O67" s="123"/>
    </row>
    <row r="68" spans="2:15" x14ac:dyDescent="0.25">
      <c r="B68" s="44" t="s">
        <v>22</v>
      </c>
      <c r="C68" s="43" t="s">
        <v>61</v>
      </c>
      <c r="D68" s="18"/>
      <c r="E68" s="22"/>
      <c r="F68" s="136"/>
      <c r="G68" s="123"/>
      <c r="H68" s="104"/>
      <c r="I68" s="104"/>
      <c r="J68" s="104"/>
      <c r="K68" s="123"/>
      <c r="L68" s="123"/>
      <c r="M68" s="123"/>
      <c r="N68" s="123"/>
      <c r="O68" s="123"/>
    </row>
    <row r="69" spans="2:15" x14ac:dyDescent="0.25">
      <c r="B69" s="58">
        <v>1</v>
      </c>
      <c r="C69" s="59" t="s">
        <v>28</v>
      </c>
      <c r="D69" s="60" t="s">
        <v>15</v>
      </c>
      <c r="E69" s="61">
        <v>1264.01</v>
      </c>
      <c r="F69" s="136">
        <v>298000</v>
      </c>
      <c r="G69" s="123">
        <v>295890.57</v>
      </c>
      <c r="H69" s="104">
        <v>324150</v>
      </c>
      <c r="I69" s="104">
        <v>279039.20549999998</v>
      </c>
      <c r="J69" s="104">
        <v>277000</v>
      </c>
      <c r="K69" s="123">
        <f t="shared" ref="K69:K81" si="26">F69*E69</f>
        <v>376674980</v>
      </c>
      <c r="L69" s="123">
        <f>G69*E69</f>
        <v>374008639.38569999</v>
      </c>
      <c r="M69" s="123">
        <f t="shared" ref="M69:M81" si="27">H69*E69</f>
        <v>409728841.5</v>
      </c>
      <c r="N69" s="123">
        <f t="shared" ref="N69:N81" si="28">I69*E69</f>
        <v>352708346.14405495</v>
      </c>
      <c r="O69" s="123">
        <f t="shared" ref="O69:O81" si="29">J69*E69</f>
        <v>350130770</v>
      </c>
    </row>
    <row r="70" spans="2:15" x14ac:dyDescent="0.25">
      <c r="B70" s="58">
        <v>2</v>
      </c>
      <c r="C70" s="59" t="s">
        <v>27</v>
      </c>
      <c r="D70" s="60" t="s">
        <v>15</v>
      </c>
      <c r="E70" s="61">
        <v>29.78</v>
      </c>
      <c r="F70" s="136">
        <v>404000</v>
      </c>
      <c r="G70" s="123">
        <v>395265.32</v>
      </c>
      <c r="H70" s="104">
        <v>428500</v>
      </c>
      <c r="I70" s="104">
        <v>384234.29</v>
      </c>
      <c r="J70" s="104">
        <v>375000</v>
      </c>
      <c r="K70" s="123">
        <f t="shared" si="26"/>
        <v>12031120</v>
      </c>
      <c r="L70" s="123">
        <f t="shared" ref="L70:L81" si="30">G70*E70</f>
        <v>11771001.229600001</v>
      </c>
      <c r="M70" s="123">
        <f t="shared" si="27"/>
        <v>12760730</v>
      </c>
      <c r="N70" s="123">
        <f t="shared" si="28"/>
        <v>11442497.156199999</v>
      </c>
      <c r="O70" s="123">
        <f t="shared" si="29"/>
        <v>11167500</v>
      </c>
    </row>
    <row r="71" spans="2:15" x14ac:dyDescent="0.25">
      <c r="B71" s="58">
        <v>3</v>
      </c>
      <c r="C71" s="59" t="s">
        <v>26</v>
      </c>
      <c r="D71" s="60" t="s">
        <v>15</v>
      </c>
      <c r="E71" s="61">
        <v>9.17</v>
      </c>
      <c r="F71" s="136">
        <v>450296</v>
      </c>
      <c r="G71" s="123">
        <v>422890.32</v>
      </c>
      <c r="H71" s="104">
        <v>451000</v>
      </c>
      <c r="I71" s="104">
        <v>415231.4705</v>
      </c>
      <c r="J71" s="104">
        <v>395000</v>
      </c>
      <c r="K71" s="123">
        <f t="shared" si="26"/>
        <v>4129214.32</v>
      </c>
      <c r="L71" s="123">
        <f t="shared" si="30"/>
        <v>3877904.2344</v>
      </c>
      <c r="M71" s="123">
        <f t="shared" si="27"/>
        <v>4135670</v>
      </c>
      <c r="N71" s="123">
        <f t="shared" si="28"/>
        <v>3807672.584485</v>
      </c>
      <c r="O71" s="123">
        <f t="shared" si="29"/>
        <v>3622150</v>
      </c>
    </row>
    <row r="72" spans="2:15" x14ac:dyDescent="0.25">
      <c r="B72" s="58">
        <v>4</v>
      </c>
      <c r="C72" s="59" t="s">
        <v>30</v>
      </c>
      <c r="D72" s="60" t="s">
        <v>15</v>
      </c>
      <c r="E72" s="61">
        <v>18.329999999999998</v>
      </c>
      <c r="F72" s="136">
        <v>598153</v>
      </c>
      <c r="G72" s="123">
        <v>550407.94999999995</v>
      </c>
      <c r="H72" s="104">
        <v>558450</v>
      </c>
      <c r="I72" s="104">
        <v>551002.25950000004</v>
      </c>
      <c r="J72" s="104">
        <v>540000</v>
      </c>
      <c r="K72" s="123">
        <f t="shared" si="26"/>
        <v>10964144.489999998</v>
      </c>
      <c r="L72" s="123">
        <f t="shared" si="30"/>
        <v>10088977.723499998</v>
      </c>
      <c r="M72" s="123">
        <f t="shared" si="27"/>
        <v>10236388.499999998</v>
      </c>
      <c r="N72" s="123">
        <f t="shared" si="28"/>
        <v>10099871.416634999</v>
      </c>
      <c r="O72" s="123">
        <f t="shared" si="29"/>
        <v>9898200</v>
      </c>
    </row>
    <row r="73" spans="2:15" x14ac:dyDescent="0.25">
      <c r="B73" s="58">
        <v>5</v>
      </c>
      <c r="C73" s="59" t="s">
        <v>31</v>
      </c>
      <c r="D73" s="60" t="s">
        <v>15</v>
      </c>
      <c r="E73" s="61">
        <v>95.12</v>
      </c>
      <c r="F73" s="136">
        <v>672487</v>
      </c>
      <c r="G73" s="123">
        <v>709185.44</v>
      </c>
      <c r="H73" s="104">
        <v>655500</v>
      </c>
      <c r="I73" s="104">
        <v>642948.72180000006</v>
      </c>
      <c r="J73" s="104">
        <v>615000</v>
      </c>
      <c r="K73" s="123">
        <f t="shared" si="26"/>
        <v>63966963.440000005</v>
      </c>
      <c r="L73" s="123">
        <f t="shared" si="30"/>
        <v>67457719.0528</v>
      </c>
      <c r="M73" s="123">
        <f t="shared" si="27"/>
        <v>62351160</v>
      </c>
      <c r="N73" s="123">
        <f t="shared" si="28"/>
        <v>61157282.41761601</v>
      </c>
      <c r="O73" s="123">
        <f t="shared" si="29"/>
        <v>58498800</v>
      </c>
    </row>
    <row r="74" spans="2:15" x14ac:dyDescent="0.25">
      <c r="B74" s="58">
        <v>6</v>
      </c>
      <c r="C74" s="59" t="s">
        <v>32</v>
      </c>
      <c r="D74" s="60" t="s">
        <v>15</v>
      </c>
      <c r="E74" s="61">
        <v>8.3699999999999992</v>
      </c>
      <c r="F74" s="136">
        <v>760422</v>
      </c>
      <c r="G74" s="123">
        <v>709185.44</v>
      </c>
      <c r="H74" s="104">
        <v>750900</v>
      </c>
      <c r="I74" s="104">
        <v>761011.62719999999</v>
      </c>
      <c r="J74" s="104">
        <v>645000</v>
      </c>
      <c r="K74" s="123">
        <f t="shared" si="26"/>
        <v>6364732.1399999997</v>
      </c>
      <c r="L74" s="123">
        <f t="shared" si="30"/>
        <v>5935882.1327999989</v>
      </c>
      <c r="M74" s="123">
        <f t="shared" si="27"/>
        <v>6285032.9999999991</v>
      </c>
      <c r="N74" s="123">
        <f t="shared" si="28"/>
        <v>6369667.3196639996</v>
      </c>
      <c r="O74" s="123">
        <f t="shared" si="29"/>
        <v>5398649.9999999991</v>
      </c>
    </row>
    <row r="75" spans="2:15" x14ac:dyDescent="0.25">
      <c r="B75" s="58">
        <v>7</v>
      </c>
      <c r="C75" s="59" t="s">
        <v>34</v>
      </c>
      <c r="D75" s="60" t="s">
        <v>15</v>
      </c>
      <c r="E75" s="61">
        <v>16.420000000000002</v>
      </c>
      <c r="F75" s="136">
        <v>1077219</v>
      </c>
      <c r="G75" s="123">
        <v>1030363.51</v>
      </c>
      <c r="H75" s="104">
        <v>1082000</v>
      </c>
      <c r="I75" s="104">
        <v>1131044.442</v>
      </c>
      <c r="J75" s="104">
        <v>905000</v>
      </c>
      <c r="K75" s="123">
        <f t="shared" si="26"/>
        <v>17687935.98</v>
      </c>
      <c r="L75" s="123">
        <f t="shared" si="30"/>
        <v>16918568.834200002</v>
      </c>
      <c r="M75" s="123">
        <f t="shared" si="27"/>
        <v>17766440</v>
      </c>
      <c r="N75" s="123">
        <f t="shared" si="28"/>
        <v>18571749.737640001</v>
      </c>
      <c r="O75" s="123">
        <f t="shared" si="29"/>
        <v>14860100.000000002</v>
      </c>
    </row>
    <row r="76" spans="2:15" x14ac:dyDescent="0.25">
      <c r="B76" s="58">
        <v>8</v>
      </c>
      <c r="C76" s="59" t="s">
        <v>16</v>
      </c>
      <c r="D76" s="60" t="s">
        <v>17</v>
      </c>
      <c r="E76" s="61">
        <v>182</v>
      </c>
      <c r="F76" s="136">
        <v>702000</v>
      </c>
      <c r="G76" s="123">
        <v>754800</v>
      </c>
      <c r="H76" s="104">
        <v>800000</v>
      </c>
      <c r="I76" s="104">
        <v>680925.63549999997</v>
      </c>
      <c r="J76" s="104">
        <v>700009</v>
      </c>
      <c r="K76" s="123">
        <f t="shared" si="26"/>
        <v>127764000</v>
      </c>
      <c r="L76" s="123">
        <f t="shared" si="30"/>
        <v>137373600</v>
      </c>
      <c r="M76" s="123">
        <f t="shared" si="27"/>
        <v>145600000</v>
      </c>
      <c r="N76" s="123">
        <f t="shared" si="28"/>
        <v>123928465.661</v>
      </c>
      <c r="O76" s="123">
        <f t="shared" si="29"/>
        <v>127401638</v>
      </c>
    </row>
    <row r="77" spans="2:15" x14ac:dyDescent="0.25">
      <c r="B77" s="58">
        <v>9</v>
      </c>
      <c r="C77" s="59" t="s">
        <v>18</v>
      </c>
      <c r="D77" s="60" t="s">
        <v>17</v>
      </c>
      <c r="E77" s="61">
        <v>12</v>
      </c>
      <c r="F77" s="136">
        <v>1400000</v>
      </c>
      <c r="G77" s="123">
        <v>696223</v>
      </c>
      <c r="H77" s="104">
        <v>3800000</v>
      </c>
      <c r="I77" s="104">
        <v>1014639.267</v>
      </c>
      <c r="J77" s="104">
        <v>1410000</v>
      </c>
      <c r="K77" s="123">
        <f t="shared" si="26"/>
        <v>16800000</v>
      </c>
      <c r="L77" s="123">
        <f t="shared" si="30"/>
        <v>8354676</v>
      </c>
      <c r="M77" s="123">
        <f t="shared" si="27"/>
        <v>45600000</v>
      </c>
      <c r="N77" s="123">
        <f t="shared" si="28"/>
        <v>12175671.204</v>
      </c>
      <c r="O77" s="123">
        <f t="shared" si="29"/>
        <v>16920000</v>
      </c>
    </row>
    <row r="78" spans="2:15" x14ac:dyDescent="0.25">
      <c r="B78" s="58">
        <v>10</v>
      </c>
      <c r="C78" s="59" t="s">
        <v>19</v>
      </c>
      <c r="D78" s="60" t="s">
        <v>17</v>
      </c>
      <c r="E78" s="61">
        <v>2</v>
      </c>
      <c r="F78" s="136">
        <v>1500000</v>
      </c>
      <c r="G78" s="123">
        <v>890398</v>
      </c>
      <c r="H78" s="104">
        <v>4000000</v>
      </c>
      <c r="I78" s="104">
        <v>1315073.1000000001</v>
      </c>
      <c r="J78" s="104">
        <v>1850000</v>
      </c>
      <c r="K78" s="123">
        <f t="shared" si="26"/>
        <v>3000000</v>
      </c>
      <c r="L78" s="123">
        <f t="shared" si="30"/>
        <v>1780796</v>
      </c>
      <c r="M78" s="123">
        <f t="shared" si="27"/>
        <v>8000000</v>
      </c>
      <c r="N78" s="123">
        <f t="shared" si="28"/>
        <v>2630146.2000000002</v>
      </c>
      <c r="O78" s="123">
        <f t="shared" si="29"/>
        <v>3700000</v>
      </c>
    </row>
    <row r="79" spans="2:15" x14ac:dyDescent="0.25">
      <c r="B79" s="58">
        <v>11</v>
      </c>
      <c r="C79" s="59" t="s">
        <v>20</v>
      </c>
      <c r="D79" s="60" t="s">
        <v>17</v>
      </c>
      <c r="E79" s="61">
        <v>2</v>
      </c>
      <c r="F79" s="136">
        <v>3454792</v>
      </c>
      <c r="G79" s="123">
        <v>1107323</v>
      </c>
      <c r="H79" s="104">
        <v>4132500</v>
      </c>
      <c r="I79" s="104">
        <v>2034475.227</v>
      </c>
      <c r="J79" s="104">
        <v>2200000</v>
      </c>
      <c r="K79" s="123">
        <f t="shared" si="26"/>
        <v>6909584</v>
      </c>
      <c r="L79" s="123">
        <f t="shared" si="30"/>
        <v>2214646</v>
      </c>
      <c r="M79" s="123">
        <f t="shared" si="27"/>
        <v>8265000</v>
      </c>
      <c r="N79" s="123">
        <f t="shared" si="28"/>
        <v>4068950.4539999999</v>
      </c>
      <c r="O79" s="123">
        <f t="shared" si="29"/>
        <v>4400000</v>
      </c>
    </row>
    <row r="80" spans="2:15" x14ac:dyDescent="0.25">
      <c r="B80" s="58">
        <v>12</v>
      </c>
      <c r="C80" s="59" t="s">
        <v>21</v>
      </c>
      <c r="D80" s="60" t="s">
        <v>17</v>
      </c>
      <c r="E80" s="61">
        <v>5</v>
      </c>
      <c r="F80" s="136">
        <v>4188350</v>
      </c>
      <c r="G80" s="123">
        <v>1346998</v>
      </c>
      <c r="H80" s="104">
        <v>4512500</v>
      </c>
      <c r="I80" s="104">
        <v>2034475.227</v>
      </c>
      <c r="J80" s="104">
        <v>2520000</v>
      </c>
      <c r="K80" s="123">
        <f t="shared" si="26"/>
        <v>20941750</v>
      </c>
      <c r="L80" s="123">
        <f t="shared" si="30"/>
        <v>6734990</v>
      </c>
      <c r="M80" s="123">
        <f t="shared" si="27"/>
        <v>22562500</v>
      </c>
      <c r="N80" s="123">
        <f t="shared" si="28"/>
        <v>10172376.135</v>
      </c>
      <c r="O80" s="123">
        <f t="shared" si="29"/>
        <v>12600000</v>
      </c>
    </row>
    <row r="81" spans="2:15" x14ac:dyDescent="0.25">
      <c r="B81" s="58">
        <v>13</v>
      </c>
      <c r="C81" s="59" t="s">
        <v>24</v>
      </c>
      <c r="D81" s="60" t="s">
        <v>17</v>
      </c>
      <c r="E81" s="61">
        <v>2</v>
      </c>
      <c r="F81" s="136">
        <v>5568530</v>
      </c>
      <c r="G81" s="123">
        <v>2071247</v>
      </c>
      <c r="H81" s="104">
        <v>5250000</v>
      </c>
      <c r="I81" s="104">
        <v>2834120.19</v>
      </c>
      <c r="J81" s="104">
        <v>4300000</v>
      </c>
      <c r="K81" s="123">
        <f t="shared" si="26"/>
        <v>11137060</v>
      </c>
      <c r="L81" s="123">
        <f t="shared" si="30"/>
        <v>4142494</v>
      </c>
      <c r="M81" s="123">
        <f t="shared" si="27"/>
        <v>10500000</v>
      </c>
      <c r="N81" s="123">
        <f t="shared" si="28"/>
        <v>5668240.3799999999</v>
      </c>
      <c r="O81" s="123">
        <f t="shared" si="29"/>
        <v>8600000</v>
      </c>
    </row>
    <row r="82" spans="2:15" x14ac:dyDescent="0.25">
      <c r="B82" s="17"/>
      <c r="C82" s="21" t="s">
        <v>50</v>
      </c>
      <c r="D82" s="19"/>
      <c r="E82" s="20"/>
      <c r="F82" s="136"/>
      <c r="G82" s="124"/>
      <c r="H82" s="104"/>
      <c r="I82" s="104"/>
      <c r="J82" s="104"/>
      <c r="K82" s="124">
        <f>SUM(K69:K81)</f>
        <v>678371484.37</v>
      </c>
      <c r="L82" s="124">
        <f>SUM(L69:L81)</f>
        <v>650659894.59299994</v>
      </c>
      <c r="M82" s="124">
        <f>SUM(M69:M81)</f>
        <v>763791763</v>
      </c>
      <c r="N82" s="124">
        <f>SUM(N69:N81)</f>
        <v>622800936.81029499</v>
      </c>
      <c r="O82" s="124">
        <f>SUM(O69:O81)</f>
        <v>627197808</v>
      </c>
    </row>
    <row r="83" spans="2:15" x14ac:dyDescent="0.25">
      <c r="B83" s="44" t="s">
        <v>23</v>
      </c>
      <c r="C83" s="43" t="s">
        <v>65</v>
      </c>
      <c r="D83" s="19"/>
      <c r="E83" s="22"/>
      <c r="F83" s="136"/>
      <c r="G83" s="123"/>
      <c r="H83" s="104"/>
      <c r="I83" s="104"/>
      <c r="J83" s="104"/>
      <c r="K83" s="123"/>
      <c r="L83" s="123"/>
      <c r="M83" s="123"/>
      <c r="N83" s="123"/>
      <c r="O83" s="123"/>
    </row>
    <row r="84" spans="2:15" x14ac:dyDescent="0.25">
      <c r="B84" s="58">
        <v>1</v>
      </c>
      <c r="C84" s="59" t="s">
        <v>37</v>
      </c>
      <c r="D84" s="60" t="s">
        <v>38</v>
      </c>
      <c r="E84" s="61">
        <f>E89*1.5</f>
        <v>1832.6955</v>
      </c>
      <c r="F84" s="202">
        <v>10000</v>
      </c>
      <c r="G84" s="123">
        <v>3750</v>
      </c>
      <c r="H84" s="104">
        <v>5000</v>
      </c>
      <c r="I84" s="104">
        <v>5000</v>
      </c>
      <c r="J84" s="104">
        <v>4000</v>
      </c>
      <c r="K84" s="123">
        <f t="shared" ref="K84:K91" si="31">F84*E84</f>
        <v>18326955</v>
      </c>
      <c r="L84" s="123">
        <f>G84*E84</f>
        <v>6872608.125</v>
      </c>
      <c r="M84" s="123">
        <f t="shared" ref="M84:M91" si="32">H84*E84</f>
        <v>9163477.5</v>
      </c>
      <c r="N84" s="123">
        <f t="shared" ref="N84:N91" si="33">I84*E84</f>
        <v>9163477.5</v>
      </c>
      <c r="O84" s="123">
        <f t="shared" ref="O84:O91" si="34">J84*E84</f>
        <v>7330782</v>
      </c>
    </row>
    <row r="85" spans="2:15" x14ac:dyDescent="0.25">
      <c r="B85" s="58">
        <f>B84+1</f>
        <v>2</v>
      </c>
      <c r="C85" s="59" t="s">
        <v>40</v>
      </c>
      <c r="D85" s="60" t="s">
        <v>41</v>
      </c>
      <c r="E85" s="61">
        <f>E88*0.25</f>
        <v>1261.8489999999999</v>
      </c>
      <c r="F85" s="202">
        <v>204763</v>
      </c>
      <c r="G85" s="123">
        <v>287000</v>
      </c>
      <c r="H85" s="104">
        <v>250000</v>
      </c>
      <c r="I85" s="104">
        <v>242801.9</v>
      </c>
      <c r="J85" s="104">
        <v>222000</v>
      </c>
      <c r="K85" s="123">
        <f t="shared" si="31"/>
        <v>258379986.787</v>
      </c>
      <c r="L85" s="123">
        <f t="shared" ref="L85:L91" si="35">G85*E85</f>
        <v>362150663</v>
      </c>
      <c r="M85" s="123">
        <f t="shared" si="32"/>
        <v>315462250</v>
      </c>
      <c r="N85" s="123">
        <f t="shared" si="33"/>
        <v>306379334.71309996</v>
      </c>
      <c r="O85" s="123">
        <f t="shared" si="34"/>
        <v>280130478</v>
      </c>
    </row>
    <row r="86" spans="2:15" x14ac:dyDescent="0.25">
      <c r="B86" s="58">
        <f t="shared" ref="B86:B89" si="36">B85+1</f>
        <v>3</v>
      </c>
      <c r="C86" s="59" t="s">
        <v>42</v>
      </c>
      <c r="D86" s="60" t="s">
        <v>41</v>
      </c>
      <c r="E86" s="61">
        <f>E88*0.2</f>
        <v>1009.4792</v>
      </c>
      <c r="F86" s="202">
        <v>342925</v>
      </c>
      <c r="G86" s="123">
        <v>313000</v>
      </c>
      <c r="H86" s="104">
        <v>300000</v>
      </c>
      <c r="I86" s="104">
        <v>314520.8</v>
      </c>
      <c r="J86" s="104">
        <v>332000</v>
      </c>
      <c r="K86" s="123">
        <f t="shared" si="31"/>
        <v>346175654.66000003</v>
      </c>
      <c r="L86" s="123">
        <f t="shared" si="35"/>
        <v>315966989.60000002</v>
      </c>
      <c r="M86" s="123">
        <f t="shared" si="32"/>
        <v>302843760</v>
      </c>
      <c r="N86" s="123">
        <f t="shared" si="33"/>
        <v>317502205.56735998</v>
      </c>
      <c r="O86" s="123">
        <f t="shared" si="34"/>
        <v>335147094.39999998</v>
      </c>
    </row>
    <row r="87" spans="2:15" x14ac:dyDescent="0.25">
      <c r="B87" s="58">
        <f t="shared" si="36"/>
        <v>4</v>
      </c>
      <c r="C87" s="59" t="s">
        <v>43</v>
      </c>
      <c r="D87" s="60" t="s">
        <v>38</v>
      </c>
      <c r="E87" s="61">
        <f>E88</f>
        <v>5047.3959999999997</v>
      </c>
      <c r="F87" s="202"/>
      <c r="G87" s="123"/>
      <c r="H87" s="104"/>
      <c r="I87" s="104"/>
      <c r="J87" s="104"/>
      <c r="K87" s="123">
        <f t="shared" si="31"/>
        <v>0</v>
      </c>
      <c r="L87" s="123">
        <f t="shared" si="35"/>
        <v>0</v>
      </c>
      <c r="M87" s="123">
        <f t="shared" si="32"/>
        <v>0</v>
      </c>
      <c r="N87" s="123">
        <f t="shared" si="33"/>
        <v>0</v>
      </c>
      <c r="O87" s="123">
        <f t="shared" si="34"/>
        <v>0</v>
      </c>
    </row>
    <row r="88" spans="2:15" x14ac:dyDescent="0.25">
      <c r="B88" s="58">
        <f t="shared" si="36"/>
        <v>5</v>
      </c>
      <c r="C88" s="59" t="s">
        <v>44</v>
      </c>
      <c r="D88" s="60" t="s">
        <v>38</v>
      </c>
      <c r="E88" s="61">
        <v>5047.3959999999997</v>
      </c>
      <c r="F88" s="202"/>
      <c r="G88" s="123"/>
      <c r="H88" s="104"/>
      <c r="I88" s="104"/>
      <c r="J88" s="104"/>
      <c r="K88" s="123">
        <f t="shared" si="31"/>
        <v>0</v>
      </c>
      <c r="L88" s="123">
        <f t="shared" si="35"/>
        <v>0</v>
      </c>
      <c r="M88" s="123">
        <f t="shared" si="32"/>
        <v>0</v>
      </c>
      <c r="N88" s="123">
        <f t="shared" si="33"/>
        <v>0</v>
      </c>
      <c r="O88" s="123">
        <f t="shared" si="34"/>
        <v>0</v>
      </c>
    </row>
    <row r="89" spans="2:15" x14ac:dyDescent="0.25">
      <c r="B89" s="58">
        <f t="shared" si="36"/>
        <v>6</v>
      </c>
      <c r="C89" s="59" t="s">
        <v>45</v>
      </c>
      <c r="D89" s="60" t="s">
        <v>15</v>
      </c>
      <c r="E89" s="61">
        <v>1221.797</v>
      </c>
      <c r="F89" s="202">
        <v>169875</v>
      </c>
      <c r="G89" s="123">
        <v>130000</v>
      </c>
      <c r="H89" s="104">
        <v>82500</v>
      </c>
      <c r="I89" s="104">
        <v>87043.857999999993</v>
      </c>
      <c r="J89" s="104">
        <v>158500</v>
      </c>
      <c r="K89" s="123">
        <f t="shared" si="31"/>
        <v>207552765.375</v>
      </c>
      <c r="L89" s="123">
        <f t="shared" si="35"/>
        <v>158833610</v>
      </c>
      <c r="M89" s="123">
        <f t="shared" si="32"/>
        <v>100798252.5</v>
      </c>
      <c r="N89" s="123">
        <f t="shared" si="33"/>
        <v>106349924.572826</v>
      </c>
      <c r="O89" s="123">
        <f t="shared" si="34"/>
        <v>193654824.5</v>
      </c>
    </row>
    <row r="90" spans="2:15" x14ac:dyDescent="0.25">
      <c r="B90" s="58">
        <v>7</v>
      </c>
      <c r="C90" s="86" t="s">
        <v>126</v>
      </c>
      <c r="D90" s="60" t="s">
        <v>101</v>
      </c>
      <c r="E90" s="61">
        <f>E87</f>
        <v>5047.3959999999997</v>
      </c>
      <c r="F90" s="136">
        <v>5000</v>
      </c>
      <c r="G90" s="123">
        <v>3750</v>
      </c>
      <c r="H90" s="104">
        <v>5000</v>
      </c>
      <c r="I90" s="104">
        <v>8000</v>
      </c>
      <c r="J90" s="104">
        <v>4000</v>
      </c>
      <c r="K90" s="123">
        <f t="shared" si="31"/>
        <v>25236980</v>
      </c>
      <c r="L90" s="123">
        <f t="shared" si="35"/>
        <v>18927735</v>
      </c>
      <c r="M90" s="123">
        <f t="shared" si="32"/>
        <v>25236980</v>
      </c>
      <c r="N90" s="123">
        <f t="shared" si="33"/>
        <v>40379168</v>
      </c>
      <c r="O90" s="123">
        <f t="shared" si="34"/>
        <v>20189584</v>
      </c>
    </row>
    <row r="91" spans="2:15" x14ac:dyDescent="0.25">
      <c r="B91" s="58"/>
      <c r="C91" s="86" t="s">
        <v>125</v>
      </c>
      <c r="D91" s="60" t="s">
        <v>38</v>
      </c>
      <c r="E91" s="61">
        <v>5047.3999999999996</v>
      </c>
      <c r="F91" s="136">
        <v>115000</v>
      </c>
      <c r="G91" s="123">
        <v>149500</v>
      </c>
      <c r="H91" s="104">
        <v>110000</v>
      </c>
      <c r="I91" s="104">
        <v>114694.6974</v>
      </c>
      <c r="J91" s="104">
        <v>89000</v>
      </c>
      <c r="K91" s="123">
        <f t="shared" si="31"/>
        <v>580451000</v>
      </c>
      <c r="L91" s="123">
        <f t="shared" si="35"/>
        <v>754586300</v>
      </c>
      <c r="M91" s="123">
        <f t="shared" si="32"/>
        <v>555214000</v>
      </c>
      <c r="N91" s="123">
        <f t="shared" si="33"/>
        <v>578910015.65675998</v>
      </c>
      <c r="O91" s="123">
        <f t="shared" si="34"/>
        <v>449218599.99999994</v>
      </c>
    </row>
    <row r="92" spans="2:15" x14ac:dyDescent="0.25">
      <c r="B92" s="17"/>
      <c r="C92" s="21" t="s">
        <v>50</v>
      </c>
      <c r="D92" s="19"/>
      <c r="E92" s="22"/>
      <c r="F92" s="136"/>
      <c r="G92" s="140"/>
      <c r="H92" s="104"/>
      <c r="I92" s="104"/>
      <c r="J92" s="104"/>
      <c r="K92" s="140">
        <f>SUM(K84:K91)</f>
        <v>1436123341.822</v>
      </c>
      <c r="L92" s="140">
        <f>SUM(L84:L91)</f>
        <v>1617337905.7249999</v>
      </c>
      <c r="M92" s="140">
        <f>SUM(M84:M91)</f>
        <v>1308718720</v>
      </c>
      <c r="N92" s="140">
        <f>SUM(N84:N91)</f>
        <v>1358684126.010046</v>
      </c>
      <c r="O92" s="140">
        <f>SUM(O84:O91)</f>
        <v>1285671362.8999999</v>
      </c>
    </row>
    <row r="93" spans="2:15" x14ac:dyDescent="0.25">
      <c r="B93" s="52" t="s">
        <v>73</v>
      </c>
      <c r="C93" s="53" t="s">
        <v>74</v>
      </c>
      <c r="D93" s="39"/>
      <c r="E93" s="54"/>
      <c r="F93" s="141"/>
      <c r="G93" s="142"/>
      <c r="H93" s="103"/>
      <c r="I93" s="103"/>
      <c r="J93" s="103"/>
      <c r="K93" s="142"/>
      <c r="L93" s="142"/>
      <c r="M93" s="142"/>
      <c r="N93" s="142"/>
      <c r="O93" s="142"/>
    </row>
    <row r="94" spans="2:15" x14ac:dyDescent="0.25">
      <c r="B94" s="17">
        <v>1</v>
      </c>
      <c r="C94" s="49" t="s">
        <v>69</v>
      </c>
      <c r="D94" s="50"/>
      <c r="E94" s="48"/>
      <c r="F94" s="136"/>
      <c r="G94" s="140"/>
      <c r="H94" s="104"/>
      <c r="I94" s="104"/>
      <c r="J94" s="104"/>
      <c r="K94" s="140"/>
      <c r="L94" s="140"/>
      <c r="M94" s="140"/>
      <c r="N94" s="140"/>
      <c r="O94" s="140"/>
    </row>
    <row r="95" spans="2:15" x14ac:dyDescent="0.25">
      <c r="B95" s="17"/>
      <c r="C95" s="49" t="s">
        <v>70</v>
      </c>
      <c r="D95" s="47"/>
      <c r="E95" s="51"/>
      <c r="F95" s="136"/>
      <c r="G95" s="140"/>
      <c r="H95" s="104"/>
      <c r="I95" s="104"/>
      <c r="J95" s="104"/>
      <c r="K95" s="140"/>
      <c r="L95" s="140"/>
      <c r="M95" s="140"/>
      <c r="N95" s="140"/>
      <c r="O95" s="140"/>
    </row>
    <row r="96" spans="2:15" x14ac:dyDescent="0.25">
      <c r="B96" s="17"/>
      <c r="C96" s="49" t="s">
        <v>71</v>
      </c>
      <c r="D96" s="47" t="s">
        <v>72</v>
      </c>
      <c r="E96" s="51">
        <f>2102</f>
        <v>2102</v>
      </c>
      <c r="F96" s="136">
        <v>25000</v>
      </c>
      <c r="G96" s="123">
        <v>26500</v>
      </c>
      <c r="H96" s="104">
        <v>26000</v>
      </c>
      <c r="I96" s="104">
        <v>16000</v>
      </c>
      <c r="J96" s="104">
        <v>21000</v>
      </c>
      <c r="K96" s="123">
        <f t="shared" ref="K96" si="37">F96*E96</f>
        <v>52550000</v>
      </c>
      <c r="L96" s="123">
        <f>G96*E96</f>
        <v>55703000</v>
      </c>
      <c r="M96" s="123">
        <f t="shared" ref="M96" si="38">H96*E96</f>
        <v>54652000</v>
      </c>
      <c r="N96" s="123">
        <f t="shared" ref="N96" si="39">I96*E96</f>
        <v>33632000</v>
      </c>
      <c r="O96" s="123">
        <f t="shared" ref="O96" si="40">J96*E96</f>
        <v>44142000</v>
      </c>
    </row>
    <row r="97" spans="2:15" x14ac:dyDescent="0.25">
      <c r="B97" s="17"/>
      <c r="C97" s="21" t="s">
        <v>50</v>
      </c>
      <c r="D97" s="19"/>
      <c r="E97" s="22"/>
      <c r="F97" s="136"/>
      <c r="G97" s="140"/>
      <c r="H97" s="104"/>
      <c r="I97" s="104"/>
      <c r="J97" s="104"/>
      <c r="K97" s="140">
        <f>SUM(K96)</f>
        <v>52550000</v>
      </c>
      <c r="L97" s="140">
        <f>SUM(L96)</f>
        <v>55703000</v>
      </c>
      <c r="M97" s="140">
        <f>SUM(M96)</f>
        <v>54652000</v>
      </c>
      <c r="N97" s="140">
        <f>SUM(N96)</f>
        <v>33632000</v>
      </c>
      <c r="O97" s="140">
        <f>SUM(O96)</f>
        <v>44142000</v>
      </c>
    </row>
    <row r="98" spans="2:15" x14ac:dyDescent="0.25">
      <c r="B98" s="30"/>
      <c r="C98" s="31"/>
      <c r="D98" s="32"/>
      <c r="E98" s="40"/>
      <c r="F98" s="141"/>
      <c r="G98" s="142"/>
      <c r="H98" s="108"/>
      <c r="I98" s="108"/>
      <c r="J98" s="108"/>
      <c r="K98" s="142"/>
      <c r="L98" s="142"/>
      <c r="M98" s="142"/>
      <c r="N98" s="142"/>
      <c r="O98" s="142"/>
    </row>
    <row r="99" spans="2:15" x14ac:dyDescent="0.25">
      <c r="B99" s="2" t="s">
        <v>48</v>
      </c>
      <c r="F99" s="108"/>
      <c r="G99" s="108"/>
      <c r="H99" s="108"/>
      <c r="I99" s="108"/>
      <c r="J99" s="108"/>
      <c r="K99" s="108"/>
      <c r="L99" s="108"/>
      <c r="M99" s="108"/>
      <c r="N99" s="108"/>
      <c r="O99" s="108"/>
    </row>
    <row r="100" spans="2:15" x14ac:dyDescent="0.25">
      <c r="B100" s="25"/>
      <c r="C100" s="26"/>
      <c r="D100" s="26"/>
      <c r="E100" s="27"/>
      <c r="F100" s="143" t="s">
        <v>47</v>
      </c>
      <c r="G100" s="144"/>
      <c r="H100" s="109"/>
      <c r="I100" s="109"/>
      <c r="J100" s="109"/>
      <c r="K100" s="144"/>
      <c r="L100" s="144"/>
      <c r="M100" s="144"/>
      <c r="N100" s="144"/>
      <c r="O100" s="144"/>
    </row>
    <row r="101" spans="2:15" x14ac:dyDescent="0.25">
      <c r="B101" s="45" t="s">
        <v>7</v>
      </c>
      <c r="C101" s="41" t="str">
        <f>C8</f>
        <v>PEKERJAAN PERSIAPAN</v>
      </c>
      <c r="D101" s="28"/>
      <c r="E101" s="29"/>
      <c r="F101" s="145"/>
      <c r="G101" s="124"/>
      <c r="H101" s="109"/>
      <c r="I101" s="109"/>
      <c r="J101" s="109"/>
      <c r="K101" s="124">
        <f>K13</f>
        <v>30500000</v>
      </c>
      <c r="L101" s="124">
        <f>L13</f>
        <v>96625000</v>
      </c>
      <c r="M101" s="124">
        <f>M13</f>
        <v>34500000</v>
      </c>
      <c r="N101" s="124">
        <f>N13</f>
        <v>91000000</v>
      </c>
      <c r="O101" s="124">
        <f>O13</f>
        <v>15853876</v>
      </c>
    </row>
    <row r="102" spans="2:15" x14ac:dyDescent="0.25">
      <c r="B102" s="42" t="s">
        <v>14</v>
      </c>
      <c r="C102" s="43" t="str">
        <f>C14</f>
        <v>PEKERJAAN JALAN DAN SALURAN NEW LIVISTONA</v>
      </c>
      <c r="D102" s="28"/>
      <c r="E102" s="29"/>
      <c r="F102" s="145"/>
      <c r="G102" s="146"/>
      <c r="H102" s="109"/>
      <c r="I102" s="109"/>
      <c r="J102" s="109"/>
      <c r="K102" s="146">
        <f>K103+K104</f>
        <v>1963627796.507</v>
      </c>
      <c r="L102" s="146">
        <f>L103+L104</f>
        <v>2072243360.5815401</v>
      </c>
      <c r="M102" s="146">
        <f>M103+M104</f>
        <v>1812802500</v>
      </c>
      <c r="N102" s="146">
        <f>N103+N104</f>
        <v>1863126359.2241957</v>
      </c>
      <c r="O102" s="146">
        <f>O103+O104</f>
        <v>1793354211.6500001</v>
      </c>
    </row>
    <row r="103" spans="2:15" x14ac:dyDescent="0.25">
      <c r="B103" s="42" t="s">
        <v>22</v>
      </c>
      <c r="C103" s="43" t="s">
        <v>67</v>
      </c>
      <c r="D103" s="28"/>
      <c r="E103" s="29"/>
      <c r="F103" s="145"/>
      <c r="G103" s="146"/>
      <c r="H103" s="109"/>
      <c r="I103" s="109"/>
      <c r="J103" s="109"/>
      <c r="K103" s="146">
        <f>K28</f>
        <v>476536342.42000002</v>
      </c>
      <c r="L103" s="146">
        <f>L28</f>
        <v>458623295.93154001</v>
      </c>
      <c r="M103" s="146">
        <f>M28</f>
        <v>542517532.5</v>
      </c>
      <c r="N103" s="146">
        <f>N28</f>
        <v>441661841.24479049</v>
      </c>
      <c r="O103" s="146">
        <f>O28</f>
        <v>446723882</v>
      </c>
    </row>
    <row r="104" spans="2:15" x14ac:dyDescent="0.25">
      <c r="B104" s="42" t="s">
        <v>23</v>
      </c>
      <c r="C104" s="43" t="s">
        <v>68</v>
      </c>
      <c r="D104" s="28"/>
      <c r="E104" s="29"/>
      <c r="F104" s="145"/>
      <c r="G104" s="146"/>
      <c r="H104" s="109"/>
      <c r="I104" s="109"/>
      <c r="J104" s="109"/>
      <c r="K104" s="146">
        <f>K42</f>
        <v>1487091454.0869999</v>
      </c>
      <c r="L104" s="146">
        <f>L42</f>
        <v>1613620064.6500001</v>
      </c>
      <c r="M104" s="146">
        <f>M42</f>
        <v>1270284967.5</v>
      </c>
      <c r="N104" s="146">
        <f>N42</f>
        <v>1421464517.9794052</v>
      </c>
      <c r="O104" s="146">
        <f>O42</f>
        <v>1346630329.6500001</v>
      </c>
    </row>
    <row r="105" spans="2:15" x14ac:dyDescent="0.25">
      <c r="B105" s="42" t="s">
        <v>39</v>
      </c>
      <c r="C105" s="43" t="str">
        <f>C44</f>
        <v>PEKERJAAN JALAN DAN SALURAN NEW ATALEYA</v>
      </c>
      <c r="D105" s="28"/>
      <c r="E105" s="29"/>
      <c r="F105" s="145"/>
      <c r="G105" s="146"/>
      <c r="H105" s="109"/>
      <c r="I105" s="109"/>
      <c r="J105" s="109"/>
      <c r="K105" s="146">
        <f>K106+K107</f>
        <v>1621981906.9875002</v>
      </c>
      <c r="L105" s="146">
        <f>L106+L107</f>
        <v>1736165244.4280999</v>
      </c>
      <c r="M105" s="146">
        <f>M106+M107</f>
        <v>1577646967.5</v>
      </c>
      <c r="N105" s="146">
        <f>N106+N107</f>
        <v>1518645950.7818451</v>
      </c>
      <c r="O105" s="146">
        <f>O106+O107</f>
        <v>1467631798</v>
      </c>
    </row>
    <row r="106" spans="2:15" x14ac:dyDescent="0.25">
      <c r="B106" s="42" t="s">
        <v>22</v>
      </c>
      <c r="C106" s="43" t="s">
        <v>67</v>
      </c>
      <c r="D106" s="28"/>
      <c r="E106" s="29"/>
      <c r="F106" s="145"/>
      <c r="G106" s="146"/>
      <c r="H106" s="109"/>
      <c r="I106" s="109"/>
      <c r="J106" s="109"/>
      <c r="K106" s="146">
        <f>K55</f>
        <v>544659223.13</v>
      </c>
      <c r="L106" s="146">
        <f>L55</f>
        <v>523574380.92809993</v>
      </c>
      <c r="M106" s="146">
        <f>M55</f>
        <v>596611352.5</v>
      </c>
      <c r="N106" s="146">
        <f>N55</f>
        <v>500145890.46603298</v>
      </c>
      <c r="O106" s="146">
        <f>O55</f>
        <v>503170107</v>
      </c>
    </row>
    <row r="107" spans="2:15" x14ac:dyDescent="0.25">
      <c r="B107" s="42" t="s">
        <v>23</v>
      </c>
      <c r="C107" s="43" t="s">
        <v>68</v>
      </c>
      <c r="D107" s="28"/>
      <c r="E107" s="29"/>
      <c r="F107" s="145"/>
      <c r="G107" s="146"/>
      <c r="H107" s="109"/>
      <c r="I107" s="109"/>
      <c r="J107" s="109"/>
      <c r="K107" s="146">
        <f>K65</f>
        <v>1077322683.8575001</v>
      </c>
      <c r="L107" s="146">
        <f>L65</f>
        <v>1212590863.5</v>
      </c>
      <c r="M107" s="146">
        <f>M65</f>
        <v>981035615</v>
      </c>
      <c r="N107" s="146">
        <f>N65</f>
        <v>1018500060.3158121</v>
      </c>
      <c r="O107" s="146">
        <f>O65</f>
        <v>964461691</v>
      </c>
    </row>
    <row r="108" spans="2:15" x14ac:dyDescent="0.25">
      <c r="B108" s="42" t="s">
        <v>55</v>
      </c>
      <c r="C108" s="43" t="str">
        <f>C67</f>
        <v>PEKERJAAN JALAN DAN SALURAN AREA NEW ARECA</v>
      </c>
      <c r="D108" s="28"/>
      <c r="E108" s="29"/>
      <c r="F108" s="145"/>
      <c r="G108" s="146"/>
      <c r="H108" s="109"/>
      <c r="I108" s="109"/>
      <c r="J108" s="109"/>
      <c r="K108" s="146">
        <f>K109+K110</f>
        <v>2114494826.1919999</v>
      </c>
      <c r="L108" s="146">
        <f>L109+L110</f>
        <v>2267997800.3179998</v>
      </c>
      <c r="M108" s="146">
        <f>M109+M110</f>
        <v>2072510483</v>
      </c>
      <c r="N108" s="146">
        <f>N109+N110</f>
        <v>1981485062.8203411</v>
      </c>
      <c r="O108" s="146">
        <f>O109+O110</f>
        <v>1912869170.8999999</v>
      </c>
    </row>
    <row r="109" spans="2:15" x14ac:dyDescent="0.25">
      <c r="B109" s="42" t="s">
        <v>22</v>
      </c>
      <c r="C109" s="43" t="s">
        <v>67</v>
      </c>
      <c r="D109" s="28"/>
      <c r="E109" s="29"/>
      <c r="F109" s="145"/>
      <c r="G109" s="146"/>
      <c r="H109" s="109"/>
      <c r="I109" s="109"/>
      <c r="J109" s="109"/>
      <c r="K109" s="146">
        <f>K82</f>
        <v>678371484.37</v>
      </c>
      <c r="L109" s="146">
        <f>L82</f>
        <v>650659894.59299994</v>
      </c>
      <c r="M109" s="146">
        <f>M82</f>
        <v>763791763</v>
      </c>
      <c r="N109" s="146">
        <f>N82</f>
        <v>622800936.81029499</v>
      </c>
      <c r="O109" s="146">
        <f>O82</f>
        <v>627197808</v>
      </c>
    </row>
    <row r="110" spans="2:15" x14ac:dyDescent="0.25">
      <c r="B110" s="42" t="s">
        <v>23</v>
      </c>
      <c r="C110" s="43" t="s">
        <v>68</v>
      </c>
      <c r="D110" s="28"/>
      <c r="E110" s="29"/>
      <c r="F110" s="145"/>
      <c r="G110" s="146"/>
      <c r="H110" s="109"/>
      <c r="I110" s="109"/>
      <c r="J110" s="109"/>
      <c r="K110" s="146">
        <f>K92</f>
        <v>1436123341.822</v>
      </c>
      <c r="L110" s="146">
        <f>L92</f>
        <v>1617337905.7249999</v>
      </c>
      <c r="M110" s="146">
        <f>M92</f>
        <v>1308718720</v>
      </c>
      <c r="N110" s="146">
        <f>N92</f>
        <v>1358684126.010046</v>
      </c>
      <c r="O110" s="146">
        <f>O92</f>
        <v>1285671362.8999999</v>
      </c>
    </row>
    <row r="111" spans="2:15" x14ac:dyDescent="0.25">
      <c r="B111" s="42" t="s">
        <v>73</v>
      </c>
      <c r="C111" s="43" t="str">
        <f>C93</f>
        <v>PEKERJAAN CUT n FILL PERUBAHAN CACAHAN KAVLING NEW LIVISTONA</v>
      </c>
      <c r="D111" s="28"/>
      <c r="E111" s="29"/>
      <c r="F111" s="145"/>
      <c r="G111" s="146"/>
      <c r="H111" s="109"/>
      <c r="I111" s="109"/>
      <c r="J111" s="109"/>
      <c r="K111" s="146">
        <f>K97</f>
        <v>52550000</v>
      </c>
      <c r="L111" s="146">
        <f>L97</f>
        <v>55703000</v>
      </c>
      <c r="M111" s="146">
        <f>M97</f>
        <v>54652000</v>
      </c>
      <c r="N111" s="146">
        <f>N97</f>
        <v>33632000</v>
      </c>
      <c r="O111" s="146">
        <f>O97</f>
        <v>44142000</v>
      </c>
    </row>
    <row r="112" spans="2:15" x14ac:dyDescent="0.25">
      <c r="B112" s="23"/>
      <c r="C112" s="24"/>
      <c r="D112" s="28"/>
      <c r="E112" s="29"/>
      <c r="F112" s="145"/>
      <c r="G112" s="146"/>
      <c r="H112" s="109"/>
      <c r="I112" s="109"/>
      <c r="J112" s="109"/>
      <c r="K112" s="109"/>
      <c r="L112" s="109"/>
      <c r="M112" s="109"/>
      <c r="N112" s="109"/>
      <c r="O112" s="109"/>
    </row>
    <row r="113" spans="3:15" x14ac:dyDescent="0.25"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</row>
    <row r="114" spans="3:15" x14ac:dyDescent="0.25">
      <c r="F114" s="147" t="s">
        <v>49</v>
      </c>
      <c r="G114" s="35"/>
      <c r="H114" s="108"/>
      <c r="I114" s="108"/>
      <c r="J114" s="108"/>
      <c r="K114" s="55">
        <f>K101+K102+K105+K108+K111</f>
        <v>5783154529.6865005</v>
      </c>
      <c r="L114" s="55">
        <f>L101+L102+L105+L108+L111</f>
        <v>6228734405.3276396</v>
      </c>
      <c r="M114" s="55">
        <f>M101+M102+M105+M108+M111</f>
        <v>5552111950.5</v>
      </c>
      <c r="N114" s="55">
        <f>N101+N102+N105+N108+N111</f>
        <v>5487889372.8263817</v>
      </c>
      <c r="O114" s="55">
        <v>5233921036</v>
      </c>
    </row>
    <row r="115" spans="3:15" x14ac:dyDescent="0.25">
      <c r="F115" s="147" t="s">
        <v>154</v>
      </c>
      <c r="G115" s="35"/>
      <c r="H115" s="108"/>
      <c r="I115" s="108"/>
      <c r="J115" s="108"/>
      <c r="K115" s="188" t="s">
        <v>155</v>
      </c>
      <c r="L115" s="55">
        <f>L114*0.1</f>
        <v>622873440.53276396</v>
      </c>
      <c r="M115" s="55">
        <f>M114*0.1</f>
        <v>555211195.05000007</v>
      </c>
      <c r="N115" s="188" t="s">
        <v>155</v>
      </c>
      <c r="O115" s="55">
        <f>O114*0.1</f>
        <v>523392103.60000002</v>
      </c>
    </row>
    <row r="116" spans="3:15" x14ac:dyDescent="0.25">
      <c r="F116" s="148" t="s">
        <v>50</v>
      </c>
      <c r="G116" s="55"/>
      <c r="H116" s="108"/>
      <c r="I116" s="108"/>
      <c r="J116" s="108"/>
      <c r="K116" s="35">
        <f>K114</f>
        <v>5783154529.6865005</v>
      </c>
      <c r="L116" s="35">
        <f>L114+L115</f>
        <v>6851607845.8604031</v>
      </c>
      <c r="M116" s="35">
        <f>M114+M115</f>
        <v>6107323145.5500002</v>
      </c>
      <c r="N116" s="35">
        <f>N114</f>
        <v>5487889372.8263817</v>
      </c>
      <c r="O116" s="35">
        <f>O114+O115</f>
        <v>5757313139.6000004</v>
      </c>
    </row>
    <row r="117" spans="3:15" x14ac:dyDescent="0.25">
      <c r="F117" s="149" t="s">
        <v>53</v>
      </c>
      <c r="G117" s="55"/>
      <c r="H117" s="108"/>
      <c r="I117" s="108"/>
      <c r="J117" s="108"/>
      <c r="K117" s="35">
        <f>ROUNDDOWN(K116,-5)</f>
        <v>5783100000</v>
      </c>
      <c r="L117" s="35">
        <f>ROUNDDOWN(L116,-5)</f>
        <v>6851600000</v>
      </c>
      <c r="M117" s="35">
        <f>ROUNDDOWN(M116,-5)</f>
        <v>6107300000</v>
      </c>
      <c r="N117" s="35">
        <f>ROUNDDOWN(N116,-5)</f>
        <v>5487800000</v>
      </c>
      <c r="O117" s="35">
        <f>ROUNDDOWN(O116,-4)</f>
        <v>5757310000</v>
      </c>
    </row>
    <row r="118" spans="3:15" x14ac:dyDescent="0.25">
      <c r="F118" s="148" t="s">
        <v>51</v>
      </c>
      <c r="G118" s="55"/>
      <c r="H118" s="108"/>
      <c r="I118" s="108"/>
      <c r="J118" s="108"/>
      <c r="K118" s="55">
        <f>K117*0.1</f>
        <v>578310000</v>
      </c>
      <c r="L118" s="55">
        <f>L117*0.1</f>
        <v>685160000</v>
      </c>
      <c r="M118" s="55">
        <f>M117*0.1</f>
        <v>610730000</v>
      </c>
      <c r="N118" s="55">
        <f>N117*0.1</f>
        <v>548780000</v>
      </c>
      <c r="O118" s="55">
        <f>O117</f>
        <v>5757310000</v>
      </c>
    </row>
    <row r="119" spans="3:15" x14ac:dyDescent="0.25">
      <c r="F119" s="149" t="s">
        <v>52</v>
      </c>
      <c r="G119" s="35"/>
      <c r="H119" s="108"/>
      <c r="I119" s="108"/>
      <c r="J119" s="108"/>
      <c r="K119" s="35">
        <f>K117+K118</f>
        <v>6361410000</v>
      </c>
      <c r="L119" s="35">
        <f>L117+L118</f>
        <v>7536760000</v>
      </c>
      <c r="M119" s="35">
        <f>M117+M118</f>
        <v>6718030000</v>
      </c>
      <c r="N119" s="35">
        <f>N117+N118</f>
        <v>6036580000</v>
      </c>
      <c r="O119" s="35">
        <f>O118</f>
        <v>5757310000</v>
      </c>
    </row>
    <row r="120" spans="3:15" x14ac:dyDescent="0.25">
      <c r="F120" s="34"/>
      <c r="G120" s="36"/>
      <c r="O120" s="154"/>
    </row>
    <row r="121" spans="3:15" x14ac:dyDescent="0.25">
      <c r="F121" s="33" t="s">
        <v>158</v>
      </c>
      <c r="J121" s="108"/>
      <c r="N121" s="35"/>
      <c r="O121" s="154"/>
    </row>
    <row r="122" spans="3:15" x14ac:dyDescent="0.25">
      <c r="F122" s="33"/>
      <c r="J122" s="108"/>
      <c r="N122" s="35"/>
    </row>
    <row r="123" spans="3:15" x14ac:dyDescent="0.25">
      <c r="F123" s="33"/>
      <c r="J123" s="108"/>
      <c r="N123" s="35"/>
    </row>
    <row r="124" spans="3:15" x14ac:dyDescent="0.25">
      <c r="F124" s="33"/>
    </row>
    <row r="126" spans="3:15" x14ac:dyDescent="0.25">
      <c r="C126" s="160" t="s">
        <v>137</v>
      </c>
      <c r="D126" s="221"/>
      <c r="E126" s="221"/>
      <c r="F126" s="222" t="s">
        <v>138</v>
      </c>
      <c r="G126" s="222"/>
      <c r="H126" s="157"/>
      <c r="I126" s="158"/>
      <c r="J126" s="159"/>
      <c r="K126" s="159"/>
      <c r="L126" s="158"/>
      <c r="M126" s="163" t="s">
        <v>139</v>
      </c>
      <c r="O126" s="163"/>
    </row>
    <row r="127" spans="3:15" x14ac:dyDescent="0.25">
      <c r="C127" s="155"/>
      <c r="D127" s="156"/>
      <c r="E127" s="156"/>
      <c r="F127" s="156"/>
      <c r="G127" s="156"/>
      <c r="H127" s="156"/>
      <c r="I127" s="158"/>
      <c r="J127" s="156"/>
      <c r="K127" s="156"/>
      <c r="L127" s="158"/>
      <c r="M127" s="158"/>
      <c r="O127" s="158"/>
    </row>
    <row r="128" spans="3:15" x14ac:dyDescent="0.25">
      <c r="C128" s="155"/>
      <c r="D128" s="156"/>
      <c r="E128" s="156"/>
      <c r="F128" s="156"/>
      <c r="G128" s="156"/>
      <c r="H128" s="156"/>
      <c r="I128" s="158"/>
      <c r="J128" s="156"/>
      <c r="K128" s="156"/>
      <c r="L128" s="158"/>
      <c r="M128" s="158"/>
      <c r="O128" s="158"/>
    </row>
    <row r="129" spans="3:16" x14ac:dyDescent="0.25">
      <c r="C129" s="155"/>
      <c r="D129" s="156"/>
      <c r="E129" s="156"/>
      <c r="F129" s="156"/>
      <c r="G129" s="156"/>
      <c r="H129" s="156"/>
      <c r="I129" s="158"/>
      <c r="J129" s="156"/>
      <c r="K129" s="156"/>
      <c r="L129" s="158"/>
      <c r="M129" s="158"/>
      <c r="O129" s="158"/>
    </row>
    <row r="130" spans="3:16" x14ac:dyDescent="0.25">
      <c r="C130" s="155"/>
      <c r="D130" s="156"/>
      <c r="E130" s="156"/>
      <c r="F130" s="156"/>
      <c r="G130" s="156"/>
      <c r="H130" s="156"/>
      <c r="I130" s="158"/>
      <c r="J130" s="156"/>
      <c r="K130" s="156"/>
      <c r="L130" s="158"/>
      <c r="M130" s="158"/>
      <c r="O130" s="158"/>
    </row>
    <row r="131" spans="3:16" ht="15.75" customHeight="1" x14ac:dyDescent="0.25">
      <c r="C131" s="161" t="s">
        <v>140</v>
      </c>
      <c r="D131" s="234" t="s">
        <v>141</v>
      </c>
      <c r="E131" s="234"/>
      <c r="F131" s="223" t="s">
        <v>142</v>
      </c>
      <c r="G131" s="223"/>
      <c r="H131" s="223" t="s">
        <v>150</v>
      </c>
      <c r="I131" s="223"/>
      <c r="J131" s="223"/>
      <c r="K131" s="236" t="s">
        <v>143</v>
      </c>
      <c r="L131" s="236"/>
      <c r="M131" s="163" t="s">
        <v>144</v>
      </c>
      <c r="O131" s="231" t="s">
        <v>152</v>
      </c>
      <c r="P131" s="231"/>
    </row>
    <row r="132" spans="3:16" ht="15" customHeight="1" x14ac:dyDescent="0.25">
      <c r="C132" s="162" t="s">
        <v>145</v>
      </c>
      <c r="D132" s="235" t="s">
        <v>146</v>
      </c>
      <c r="E132" s="235"/>
      <c r="F132" s="233" t="s">
        <v>147</v>
      </c>
      <c r="G132" s="233"/>
      <c r="H132" s="233" t="s">
        <v>151</v>
      </c>
      <c r="I132" s="233"/>
      <c r="J132" s="233"/>
      <c r="K132" s="237" t="s">
        <v>148</v>
      </c>
      <c r="L132" s="237"/>
      <c r="M132" s="166" t="s">
        <v>149</v>
      </c>
      <c r="O132" s="232" t="s">
        <v>153</v>
      </c>
      <c r="P132" s="232"/>
    </row>
    <row r="136" spans="3:16" x14ac:dyDescent="0.25">
      <c r="D136" s="194"/>
      <c r="E136" s="189">
        <v>3682.616</v>
      </c>
      <c r="F136" s="125">
        <f>1630905689.25/E136</f>
        <v>442866.07380459976</v>
      </c>
      <c r="G136" s="193">
        <f>E136*F136</f>
        <v>1630905689.25</v>
      </c>
      <c r="H136" s="189">
        <v>3780.81</v>
      </c>
      <c r="I136" s="125">
        <f>1233618039.09/H136</f>
        <v>326284.06058225618</v>
      </c>
      <c r="J136" s="190">
        <f>I136*H136</f>
        <v>1233618039.0899999</v>
      </c>
      <c r="K136" s="189">
        <v>5047.3959999999997</v>
      </c>
      <c r="L136" s="35">
        <f>1645744508.15/K136</f>
        <v>326058.13139091921</v>
      </c>
      <c r="M136">
        <f>L136*K136</f>
        <v>1645744508.1499999</v>
      </c>
    </row>
    <row r="137" spans="3:16" x14ac:dyDescent="0.25">
      <c r="D137" s="194"/>
      <c r="E137" s="189">
        <v>1047.99</v>
      </c>
      <c r="F137" s="192">
        <f>441661841.24/E137</f>
        <v>421437.07596446533</v>
      </c>
      <c r="G137" s="193">
        <f>E137*F137</f>
        <v>441661841.24000001</v>
      </c>
      <c r="H137" s="189">
        <v>1185.9000000000001</v>
      </c>
      <c r="I137" s="192">
        <f>500145890.47/H137</f>
        <v>421743.7308963656</v>
      </c>
      <c r="J137" s="190">
        <f>I137*H137</f>
        <v>500145890.46999997</v>
      </c>
      <c r="K137" s="189">
        <v>1441.2</v>
      </c>
      <c r="L137" s="154">
        <f>622800936.81/K137</f>
        <v>432140.53345129051</v>
      </c>
      <c r="M137">
        <f>L137*K137</f>
        <v>622800936.80999994</v>
      </c>
    </row>
    <row r="138" spans="3:16" x14ac:dyDescent="0.25">
      <c r="D138" s="194"/>
      <c r="E138" s="189">
        <f>(E136+E137)</f>
        <v>4730.6059999999998</v>
      </c>
      <c r="F138" s="195">
        <f>(F136+F137)/2</f>
        <v>432151.57488453254</v>
      </c>
      <c r="G138" s="193">
        <f>F138*E138</f>
        <v>2044338833.058219</v>
      </c>
      <c r="H138" s="189">
        <f>H136+H137</f>
        <v>4966.71</v>
      </c>
      <c r="I138" s="195">
        <f>(I136+I137)/2</f>
        <v>374013.89573931089</v>
      </c>
      <c r="J138" s="190">
        <f>I138*H138</f>
        <v>1857618556.1073928</v>
      </c>
      <c r="K138" s="189">
        <f>K136+K137</f>
        <v>6488.5959999999995</v>
      </c>
      <c r="L138" s="35">
        <f>(L136+L137)/2</f>
        <v>379099.33242110489</v>
      </c>
      <c r="M138">
        <f>L138*K138</f>
        <v>2459822411.9502511</v>
      </c>
    </row>
    <row r="139" spans="3:16" x14ac:dyDescent="0.25">
      <c r="D139" s="194"/>
      <c r="E139" s="189"/>
      <c r="F139" s="193"/>
      <c r="G139" s="193">
        <f>G136+G137</f>
        <v>2072567530.49</v>
      </c>
      <c r="H139" s="189"/>
      <c r="I139" s="189"/>
      <c r="J139" s="190">
        <f>J136+J137</f>
        <v>1733763929.5599999</v>
      </c>
      <c r="K139" s="189"/>
      <c r="M139">
        <f>M136+M137</f>
        <v>2268545444.96</v>
      </c>
    </row>
    <row r="140" spans="3:16" x14ac:dyDescent="0.25">
      <c r="D140" s="194"/>
      <c r="E140" s="189"/>
      <c r="F140" s="193"/>
      <c r="G140" s="193"/>
      <c r="H140" s="189"/>
      <c r="I140" s="193"/>
      <c r="J140" s="190"/>
      <c r="K140" s="189"/>
    </row>
    <row r="141" spans="3:16" x14ac:dyDescent="0.25">
      <c r="E141" s="189"/>
      <c r="F141" s="190"/>
      <c r="G141" s="190"/>
      <c r="H141" s="189"/>
      <c r="I141" s="192"/>
      <c r="J141" s="190"/>
      <c r="K141" s="189"/>
      <c r="L141" s="154"/>
    </row>
    <row r="142" spans="3:16" x14ac:dyDescent="0.25">
      <c r="E142" s="189"/>
      <c r="F142" s="191"/>
      <c r="G142" s="190"/>
      <c r="H142" s="193"/>
      <c r="I142" s="193"/>
      <c r="J142" s="190"/>
      <c r="K142" s="189"/>
    </row>
    <row r="143" spans="3:16" x14ac:dyDescent="0.25">
      <c r="E143" s="189"/>
      <c r="F143" s="191"/>
      <c r="G143" s="190"/>
      <c r="H143" s="190"/>
      <c r="I143" s="190"/>
      <c r="J143" s="190"/>
    </row>
    <row r="144" spans="3:16" x14ac:dyDescent="0.25">
      <c r="E144" s="190"/>
      <c r="F144" s="190"/>
      <c r="G144" s="190"/>
      <c r="H144" s="190"/>
      <c r="I144" s="190"/>
      <c r="J144" s="190"/>
    </row>
  </sheetData>
  <mergeCells count="18">
    <mergeCell ref="O132:P132"/>
    <mergeCell ref="F132:G132"/>
    <mergeCell ref="D131:E131"/>
    <mergeCell ref="D132:E132"/>
    <mergeCell ref="K131:L131"/>
    <mergeCell ref="K132:L132"/>
    <mergeCell ref="H131:J131"/>
    <mergeCell ref="H132:J132"/>
    <mergeCell ref="D126:E126"/>
    <mergeCell ref="F126:G126"/>
    <mergeCell ref="F131:G131"/>
    <mergeCell ref="K5:O5"/>
    <mergeCell ref="B5:B6"/>
    <mergeCell ref="C5:C6"/>
    <mergeCell ref="D5:D6"/>
    <mergeCell ref="E5:E6"/>
    <mergeCell ref="F5:J5"/>
    <mergeCell ref="O131:P131"/>
  </mergeCells>
  <printOptions horizontalCentered="1"/>
  <pageMargins left="0.59055118110236227" right="0.59055118110236227" top="0.78740157480314965" bottom="0.39370078740157483" header="0.31496062992125984" footer="0.31496062992125984"/>
  <pageSetup paperSize="158" scale="79" fitToHeight="0" orientation="landscape" horizontalDpi="4294967293" verticalDpi="4294967293" r:id="rId1"/>
  <rowBreaks count="2" manualBreakCount="2">
    <brk id="55" min="1" max="15" man="1"/>
    <brk id="98" min="1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4"/>
  <sheetViews>
    <sheetView tabSelected="1" topLeftCell="A104" zoomScaleNormal="100" zoomScaleSheetLayoutView="82" workbookViewId="0">
      <selection activeCell="P98" sqref="P98"/>
    </sheetView>
  </sheetViews>
  <sheetFormatPr defaultRowHeight="15" x14ac:dyDescent="0.25"/>
  <cols>
    <col min="1" max="1" width="3.140625" customWidth="1"/>
    <col min="2" max="2" width="4.140625" customWidth="1"/>
    <col min="3" max="3" width="44.42578125" customWidth="1"/>
    <col min="4" max="4" width="7.28515625" customWidth="1"/>
    <col min="5" max="5" width="11.28515625" customWidth="1"/>
    <col min="6" max="6" width="17.42578125" hidden="1" customWidth="1"/>
    <col min="7" max="8" width="15.5703125" hidden="1" customWidth="1"/>
    <col min="9" max="9" width="16.7109375" hidden="1" customWidth="1"/>
    <col min="10" max="10" width="16.42578125" customWidth="1"/>
    <col min="11" max="11" width="17.7109375" hidden="1" customWidth="1"/>
    <col min="12" max="12" width="17.85546875" hidden="1" customWidth="1"/>
    <col min="13" max="13" width="17.28515625" hidden="1" customWidth="1"/>
    <col min="14" max="14" width="17.5703125" hidden="1" customWidth="1"/>
    <col min="15" max="15" width="17.7109375" customWidth="1"/>
    <col min="16" max="16" width="24.42578125" customWidth="1"/>
    <col min="18" max="18" width="16.85546875" bestFit="1" customWidth="1"/>
  </cols>
  <sheetData>
    <row r="1" spans="2:15" ht="18" x14ac:dyDescent="0.25">
      <c r="B1" s="46" t="s">
        <v>171</v>
      </c>
      <c r="C1" s="2"/>
      <c r="D1" s="3"/>
      <c r="E1" s="4"/>
      <c r="F1" s="4"/>
      <c r="G1" s="4"/>
    </row>
    <row r="2" spans="2:15" ht="18" x14ac:dyDescent="0.25">
      <c r="B2" s="46" t="s">
        <v>54</v>
      </c>
      <c r="C2" s="2"/>
      <c r="D2" s="3"/>
      <c r="E2" s="4"/>
      <c r="F2" s="4"/>
      <c r="G2" s="4"/>
    </row>
    <row r="3" spans="2:15" ht="18" x14ac:dyDescent="0.25">
      <c r="B3" s="46" t="s">
        <v>1</v>
      </c>
      <c r="C3" s="2"/>
      <c r="D3" s="3"/>
      <c r="E3" s="4"/>
      <c r="F3" s="4"/>
      <c r="G3" s="4"/>
    </row>
    <row r="4" spans="2:15" ht="18.75" x14ac:dyDescent="0.3">
      <c r="B4" s="3"/>
      <c r="C4" s="5"/>
      <c r="D4" s="3"/>
      <c r="E4" s="6"/>
      <c r="F4" s="6"/>
      <c r="G4" s="7"/>
    </row>
    <row r="5" spans="2:15" x14ac:dyDescent="0.25">
      <c r="B5" s="227" t="s">
        <v>2</v>
      </c>
      <c r="C5" s="227" t="s">
        <v>3</v>
      </c>
      <c r="D5" s="227" t="s">
        <v>4</v>
      </c>
      <c r="E5" s="229" t="s">
        <v>5</v>
      </c>
      <c r="F5" s="224" t="s">
        <v>130</v>
      </c>
      <c r="G5" s="225"/>
      <c r="H5" s="225"/>
      <c r="I5" s="225"/>
      <c r="J5" s="226"/>
      <c r="K5" s="224" t="s">
        <v>6</v>
      </c>
      <c r="L5" s="225"/>
      <c r="M5" s="225"/>
      <c r="N5" s="225"/>
      <c r="O5" s="226"/>
    </row>
    <row r="6" spans="2:15" ht="15.75" thickBot="1" x14ac:dyDescent="0.3">
      <c r="B6" s="228"/>
      <c r="C6" s="228"/>
      <c r="D6" s="228"/>
      <c r="E6" s="230"/>
      <c r="F6" s="99" t="s">
        <v>131</v>
      </c>
      <c r="G6" s="99" t="s">
        <v>132</v>
      </c>
      <c r="H6" s="99" t="s">
        <v>133</v>
      </c>
      <c r="I6" s="99" t="s">
        <v>134</v>
      </c>
      <c r="J6" s="99" t="s">
        <v>135</v>
      </c>
      <c r="K6" s="99" t="s">
        <v>131</v>
      </c>
      <c r="L6" s="99" t="s">
        <v>132</v>
      </c>
      <c r="M6" s="99" t="s">
        <v>133</v>
      </c>
      <c r="N6" s="99" t="s">
        <v>134</v>
      </c>
      <c r="O6" s="99" t="s">
        <v>135</v>
      </c>
    </row>
    <row r="7" spans="2:15" ht="16.5" thickTop="1" x14ac:dyDescent="0.25">
      <c r="B7" s="8"/>
      <c r="C7" s="9"/>
      <c r="D7" s="10"/>
      <c r="E7" s="11"/>
      <c r="F7" s="97"/>
      <c r="G7" s="97"/>
      <c r="H7" s="98"/>
      <c r="I7" s="98"/>
      <c r="J7" s="98"/>
      <c r="K7" s="98"/>
      <c r="L7" s="98"/>
      <c r="M7" s="98"/>
      <c r="N7" s="98"/>
      <c r="O7" s="98"/>
    </row>
    <row r="8" spans="2:15" x14ac:dyDescent="0.25">
      <c r="B8" s="45" t="s">
        <v>7</v>
      </c>
      <c r="C8" s="41" t="s">
        <v>8</v>
      </c>
      <c r="D8" s="14"/>
      <c r="E8" s="15"/>
      <c r="F8" s="16"/>
      <c r="G8" s="16"/>
      <c r="H8" s="38"/>
      <c r="I8" s="38"/>
      <c r="J8" s="38"/>
      <c r="K8" s="38"/>
      <c r="L8" s="38"/>
      <c r="M8" s="38"/>
      <c r="N8" s="38"/>
      <c r="O8" s="38"/>
    </row>
    <row r="9" spans="2:15" x14ac:dyDescent="0.25">
      <c r="B9" s="58">
        <v>1</v>
      </c>
      <c r="C9" s="59" t="s">
        <v>9</v>
      </c>
      <c r="D9" s="60" t="s">
        <v>10</v>
      </c>
      <c r="E9" s="61">
        <v>1</v>
      </c>
      <c r="F9" s="136">
        <v>8000000</v>
      </c>
      <c r="G9" s="123">
        <v>33000000</v>
      </c>
      <c r="H9" s="104">
        <v>8000000</v>
      </c>
      <c r="I9" s="104">
        <v>12000000</v>
      </c>
      <c r="J9" s="104">
        <v>12000000</v>
      </c>
      <c r="K9" s="123">
        <f>F9*E9</f>
        <v>8000000</v>
      </c>
      <c r="L9" s="123">
        <f>G9*E9</f>
        <v>33000000</v>
      </c>
      <c r="M9" s="123">
        <f>H9*E9</f>
        <v>8000000</v>
      </c>
      <c r="N9" s="123">
        <f>I9*E9</f>
        <v>12000000</v>
      </c>
      <c r="O9" s="123">
        <f>J9*E9</f>
        <v>12000000</v>
      </c>
    </row>
    <row r="10" spans="2:15" x14ac:dyDescent="0.25">
      <c r="B10" s="58">
        <v>2</v>
      </c>
      <c r="C10" s="59" t="s">
        <v>11</v>
      </c>
      <c r="D10" s="60" t="s">
        <v>10</v>
      </c>
      <c r="E10" s="61">
        <v>1</v>
      </c>
      <c r="F10" s="152">
        <v>6000000</v>
      </c>
      <c r="G10" s="123">
        <v>25000000</v>
      </c>
      <c r="H10" s="104">
        <v>5000000</v>
      </c>
      <c r="I10" s="104">
        <v>20000000</v>
      </c>
      <c r="J10" s="104"/>
      <c r="K10" s="123">
        <f t="shared" ref="K10:K12" si="0">F10*E10</f>
        <v>6000000</v>
      </c>
      <c r="L10" s="123">
        <f t="shared" ref="L10:L12" si="1">G10*E10</f>
        <v>25000000</v>
      </c>
      <c r="M10" s="123">
        <f t="shared" ref="M10:M12" si="2">H10*E10</f>
        <v>5000000</v>
      </c>
      <c r="N10" s="123">
        <f t="shared" ref="N10:N12" si="3">I10*E10</f>
        <v>20000000</v>
      </c>
      <c r="O10" s="123">
        <f t="shared" ref="O10:O12" si="4">J10*E10</f>
        <v>0</v>
      </c>
    </row>
    <row r="11" spans="2:15" x14ac:dyDescent="0.25">
      <c r="B11" s="58">
        <v>3</v>
      </c>
      <c r="C11" s="59" t="s">
        <v>12</v>
      </c>
      <c r="D11" s="60" t="s">
        <v>10</v>
      </c>
      <c r="E11" s="61">
        <v>1</v>
      </c>
      <c r="F11" s="152">
        <v>15000000</v>
      </c>
      <c r="G11" s="123">
        <v>36000000</v>
      </c>
      <c r="H11" s="104">
        <v>20000000</v>
      </c>
      <c r="I11" s="104">
        <v>50000000</v>
      </c>
      <c r="J11" s="104">
        <v>3853876</v>
      </c>
      <c r="K11" s="123">
        <f t="shared" si="0"/>
        <v>15000000</v>
      </c>
      <c r="L11" s="123">
        <f t="shared" si="1"/>
        <v>36000000</v>
      </c>
      <c r="M11" s="123">
        <f t="shared" si="2"/>
        <v>20000000</v>
      </c>
      <c r="N11" s="123">
        <f t="shared" si="3"/>
        <v>50000000</v>
      </c>
      <c r="O11" s="123">
        <f t="shared" si="4"/>
        <v>3853876</v>
      </c>
    </row>
    <row r="12" spans="2:15" x14ac:dyDescent="0.25">
      <c r="B12" s="58">
        <v>4</v>
      </c>
      <c r="C12" s="59" t="s">
        <v>35</v>
      </c>
      <c r="D12" s="60" t="s">
        <v>36</v>
      </c>
      <c r="E12" s="61">
        <v>15</v>
      </c>
      <c r="F12" s="152">
        <v>100000</v>
      </c>
      <c r="G12" s="123">
        <v>175000</v>
      </c>
      <c r="H12" s="104">
        <v>100000</v>
      </c>
      <c r="I12" s="104">
        <v>600000</v>
      </c>
      <c r="J12" s="104"/>
      <c r="K12" s="123">
        <f t="shared" si="0"/>
        <v>1500000</v>
      </c>
      <c r="L12" s="123">
        <f t="shared" si="1"/>
        <v>2625000</v>
      </c>
      <c r="M12" s="123">
        <f t="shared" si="2"/>
        <v>1500000</v>
      </c>
      <c r="N12" s="123">
        <f t="shared" si="3"/>
        <v>9000000</v>
      </c>
      <c r="O12" s="123">
        <f t="shared" si="4"/>
        <v>0</v>
      </c>
    </row>
    <row r="13" spans="2:15" x14ac:dyDescent="0.25">
      <c r="B13" s="18"/>
      <c r="C13" s="21" t="s">
        <v>13</v>
      </c>
      <c r="D13" s="19"/>
      <c r="E13" s="22"/>
      <c r="F13" s="136"/>
      <c r="G13" s="124"/>
      <c r="H13" s="104"/>
      <c r="I13" s="104"/>
      <c r="J13" s="104"/>
      <c r="K13" s="124">
        <f>SUM(K9:K12)</f>
        <v>30500000</v>
      </c>
      <c r="L13" s="124">
        <f>SUM(L9:L12)</f>
        <v>96625000</v>
      </c>
      <c r="M13" s="124">
        <f>SUM(M9:M12)</f>
        <v>34500000</v>
      </c>
      <c r="N13" s="124">
        <f>SUM(N9:N12)</f>
        <v>91000000</v>
      </c>
      <c r="O13" s="124">
        <f>SUM(O9:O12)</f>
        <v>15853876</v>
      </c>
    </row>
    <row r="14" spans="2:15" x14ac:dyDescent="0.25">
      <c r="B14" s="42" t="s">
        <v>14</v>
      </c>
      <c r="C14" s="43" t="s">
        <v>60</v>
      </c>
      <c r="D14" s="19"/>
      <c r="E14" s="22"/>
      <c r="F14" s="136"/>
      <c r="G14" s="124"/>
      <c r="H14" s="104"/>
      <c r="I14" s="104"/>
      <c r="J14" s="104"/>
      <c r="K14" s="104"/>
      <c r="L14" s="124"/>
      <c r="M14" s="124"/>
      <c r="N14" s="124"/>
      <c r="O14" s="124"/>
    </row>
    <row r="15" spans="2:15" x14ac:dyDescent="0.25">
      <c r="B15" s="44" t="s">
        <v>22</v>
      </c>
      <c r="C15" s="43" t="s">
        <v>61</v>
      </c>
      <c r="D15" s="18"/>
      <c r="E15" s="22"/>
      <c r="F15" s="123"/>
      <c r="G15" s="123"/>
      <c r="H15" s="104"/>
      <c r="I15" s="104"/>
      <c r="J15" s="104"/>
      <c r="K15" s="104"/>
      <c r="L15" s="123"/>
      <c r="M15" s="123"/>
      <c r="N15" s="123"/>
      <c r="O15" s="123"/>
    </row>
    <row r="16" spans="2:15" x14ac:dyDescent="0.25">
      <c r="B16" s="58">
        <v>1</v>
      </c>
      <c r="C16" s="59" t="s">
        <v>28</v>
      </c>
      <c r="D16" s="60" t="s">
        <v>15</v>
      </c>
      <c r="E16" s="61">
        <v>871.35</v>
      </c>
      <c r="F16" s="136">
        <v>298000</v>
      </c>
      <c r="G16" s="123">
        <v>295890.57</v>
      </c>
      <c r="H16" s="104">
        <v>324150</v>
      </c>
      <c r="I16" s="151">
        <v>279039.20549999998</v>
      </c>
      <c r="J16" s="104">
        <v>277000</v>
      </c>
      <c r="K16" s="123">
        <f t="shared" ref="K16:K27" si="5">F16*E16</f>
        <v>259662300</v>
      </c>
      <c r="L16" s="137">
        <f>G16*E16</f>
        <v>257824248.16950002</v>
      </c>
      <c r="M16" s="123">
        <f>H16*E16</f>
        <v>282448102.5</v>
      </c>
      <c r="N16" s="123">
        <f>I16*E16</f>
        <v>243140811.71242499</v>
      </c>
      <c r="O16" s="123">
        <f>J16*E16</f>
        <v>241363950</v>
      </c>
    </row>
    <row r="17" spans="2:15" x14ac:dyDescent="0.25">
      <c r="B17" s="58">
        <v>2</v>
      </c>
      <c r="C17" s="59" t="s">
        <v>29</v>
      </c>
      <c r="D17" s="60" t="s">
        <v>15</v>
      </c>
      <c r="E17" s="61">
        <v>13.62</v>
      </c>
      <c r="F17" s="136">
        <v>315000</v>
      </c>
      <c r="G17" s="123">
        <v>322052.46000000002</v>
      </c>
      <c r="H17" s="104">
        <v>348000</v>
      </c>
      <c r="I17" s="151">
        <v>304565.69549999997</v>
      </c>
      <c r="J17" s="104">
        <v>295000</v>
      </c>
      <c r="K17" s="123">
        <f t="shared" si="5"/>
        <v>4290300</v>
      </c>
      <c r="L17" s="123">
        <f t="shared" ref="L17:L27" si="6">G17*E17</f>
        <v>4386354.5052000005</v>
      </c>
      <c r="M17" s="123">
        <f t="shared" ref="M17:M27" si="7">H17*E17</f>
        <v>4739760</v>
      </c>
      <c r="N17" s="123">
        <f t="shared" ref="N17:N27" si="8">I17*E17</f>
        <v>4148184.7727099992</v>
      </c>
      <c r="O17" s="123">
        <f t="shared" ref="O17:O27" si="9">J17*E17</f>
        <v>4017900</v>
      </c>
    </row>
    <row r="18" spans="2:15" x14ac:dyDescent="0.25">
      <c r="B18" s="58">
        <v>3</v>
      </c>
      <c r="C18" s="59" t="s">
        <v>27</v>
      </c>
      <c r="D18" s="60" t="s">
        <v>15</v>
      </c>
      <c r="E18" s="61">
        <v>77.459999999999994</v>
      </c>
      <c r="F18" s="136">
        <v>404000</v>
      </c>
      <c r="G18" s="123">
        <v>395265.32</v>
      </c>
      <c r="H18" s="104">
        <v>428500</v>
      </c>
      <c r="I18" s="104">
        <v>384234.29</v>
      </c>
      <c r="J18" s="104">
        <v>375000</v>
      </c>
      <c r="K18" s="123">
        <f t="shared" si="5"/>
        <v>31293839.999999996</v>
      </c>
      <c r="L18" s="123">
        <f t="shared" si="6"/>
        <v>30617251.687199999</v>
      </c>
      <c r="M18" s="123">
        <f t="shared" si="7"/>
        <v>33191609.999999996</v>
      </c>
      <c r="N18" s="123">
        <f t="shared" si="8"/>
        <v>29762788.103399996</v>
      </c>
      <c r="O18" s="123">
        <f t="shared" si="9"/>
        <v>29047499.999999996</v>
      </c>
    </row>
    <row r="19" spans="2:15" x14ac:dyDescent="0.25">
      <c r="B19" s="58">
        <v>4</v>
      </c>
      <c r="C19" s="59" t="s">
        <v>26</v>
      </c>
      <c r="D19" s="60" t="s">
        <v>15</v>
      </c>
      <c r="E19" s="61">
        <v>29.446999999999999</v>
      </c>
      <c r="F19" s="136">
        <v>424000</v>
      </c>
      <c r="G19" s="123">
        <v>422890.32</v>
      </c>
      <c r="H19" s="104">
        <v>451000</v>
      </c>
      <c r="I19" s="151">
        <v>415231.4705</v>
      </c>
      <c r="J19" s="104">
        <v>395000</v>
      </c>
      <c r="K19" s="123">
        <f t="shared" si="5"/>
        <v>12485528</v>
      </c>
      <c r="L19" s="123">
        <f t="shared" si="6"/>
        <v>12452851.253039999</v>
      </c>
      <c r="M19" s="123">
        <f t="shared" si="7"/>
        <v>13280597</v>
      </c>
      <c r="N19" s="123">
        <f t="shared" si="8"/>
        <v>12227321.111813499</v>
      </c>
      <c r="O19" s="123">
        <f t="shared" si="9"/>
        <v>11631565</v>
      </c>
    </row>
    <row r="20" spans="2:15" x14ac:dyDescent="0.25">
      <c r="B20" s="58">
        <v>5</v>
      </c>
      <c r="C20" s="59" t="s">
        <v>31</v>
      </c>
      <c r="D20" s="60" t="s">
        <v>15</v>
      </c>
      <c r="E20" s="61">
        <v>28.71</v>
      </c>
      <c r="F20" s="136">
        <v>655000</v>
      </c>
      <c r="G20" s="123">
        <v>709185.44</v>
      </c>
      <c r="H20" s="104">
        <v>655500</v>
      </c>
      <c r="I20" s="151">
        <v>642948.72180000006</v>
      </c>
      <c r="J20" s="104">
        <v>615000</v>
      </c>
      <c r="K20" s="123">
        <f t="shared" si="5"/>
        <v>18805050</v>
      </c>
      <c r="L20" s="123">
        <f t="shared" si="6"/>
        <v>20360713.9824</v>
      </c>
      <c r="M20" s="123">
        <f t="shared" si="7"/>
        <v>18819405</v>
      </c>
      <c r="N20" s="123">
        <f t="shared" si="8"/>
        <v>18459057.802878004</v>
      </c>
      <c r="O20" s="123">
        <f t="shared" si="9"/>
        <v>17656650</v>
      </c>
    </row>
    <row r="21" spans="2:15" x14ac:dyDescent="0.25">
      <c r="B21" s="58">
        <v>6</v>
      </c>
      <c r="C21" s="59" t="s">
        <v>32</v>
      </c>
      <c r="D21" s="60" t="s">
        <v>15</v>
      </c>
      <c r="E21" s="61">
        <v>13.62</v>
      </c>
      <c r="F21" s="136">
        <v>685000</v>
      </c>
      <c r="G21" s="123">
        <v>709185.44</v>
      </c>
      <c r="H21" s="104">
        <v>750900</v>
      </c>
      <c r="I21" s="151">
        <v>761011.62719999999</v>
      </c>
      <c r="J21" s="104">
        <v>645000</v>
      </c>
      <c r="K21" s="123">
        <f t="shared" si="5"/>
        <v>9329700</v>
      </c>
      <c r="L21" s="123">
        <f t="shared" si="6"/>
        <v>9659105.6927999984</v>
      </c>
      <c r="M21" s="123">
        <f t="shared" si="7"/>
        <v>10227258</v>
      </c>
      <c r="N21" s="123">
        <f t="shared" si="8"/>
        <v>10364978.362464</v>
      </c>
      <c r="O21" s="123">
        <f t="shared" si="9"/>
        <v>8784900</v>
      </c>
    </row>
    <row r="22" spans="2:15" x14ac:dyDescent="0.25">
      <c r="B22" s="58">
        <v>7</v>
      </c>
      <c r="C22" s="59" t="s">
        <v>46</v>
      </c>
      <c r="D22" s="60" t="s">
        <v>15</v>
      </c>
      <c r="E22" s="61">
        <v>13.78</v>
      </c>
      <c r="F22" s="136">
        <v>1466889</v>
      </c>
      <c r="G22" s="123">
        <v>1300982.6299999999</v>
      </c>
      <c r="H22" s="104">
        <v>1235000</v>
      </c>
      <c r="I22" s="104">
        <v>1227686.17</v>
      </c>
      <c r="J22" s="104">
        <v>1180000</v>
      </c>
      <c r="K22" s="123">
        <f t="shared" si="5"/>
        <v>20213730.419999998</v>
      </c>
      <c r="L22" s="123">
        <f t="shared" si="6"/>
        <v>17927540.641399998</v>
      </c>
      <c r="M22" s="123">
        <f t="shared" si="7"/>
        <v>17018300</v>
      </c>
      <c r="N22" s="123">
        <f t="shared" si="8"/>
        <v>16917515.422599997</v>
      </c>
      <c r="O22" s="123">
        <f t="shared" si="9"/>
        <v>16260400</v>
      </c>
    </row>
    <row r="23" spans="2:15" x14ac:dyDescent="0.25">
      <c r="B23" s="58">
        <v>8</v>
      </c>
      <c r="C23" s="59" t="s">
        <v>16</v>
      </c>
      <c r="D23" s="60" t="s">
        <v>17</v>
      </c>
      <c r="E23" s="61">
        <v>113</v>
      </c>
      <c r="F23" s="136">
        <v>702000</v>
      </c>
      <c r="G23" s="123">
        <v>754800</v>
      </c>
      <c r="H23" s="104">
        <v>760000</v>
      </c>
      <c r="I23" s="151">
        <v>680925.63549999997</v>
      </c>
      <c r="J23" s="104">
        <v>700009</v>
      </c>
      <c r="K23" s="123">
        <f t="shared" si="5"/>
        <v>79326000</v>
      </c>
      <c r="L23" s="123">
        <f t="shared" si="6"/>
        <v>85292400</v>
      </c>
      <c r="M23" s="123">
        <f t="shared" si="7"/>
        <v>85880000</v>
      </c>
      <c r="N23" s="123">
        <f t="shared" si="8"/>
        <v>76944596.811499998</v>
      </c>
      <c r="O23" s="123">
        <f t="shared" si="9"/>
        <v>79101017</v>
      </c>
    </row>
    <row r="24" spans="2:15" x14ac:dyDescent="0.25">
      <c r="B24" s="58">
        <v>9</v>
      </c>
      <c r="C24" s="59" t="s">
        <v>18</v>
      </c>
      <c r="D24" s="60" t="s">
        <v>17</v>
      </c>
      <c r="E24" s="61">
        <v>10</v>
      </c>
      <c r="F24" s="136">
        <v>1400000</v>
      </c>
      <c r="G24" s="123">
        <v>696223</v>
      </c>
      <c r="H24" s="104">
        <v>3657500</v>
      </c>
      <c r="I24" s="150">
        <v>1014639.267</v>
      </c>
      <c r="J24" s="104">
        <v>1410000</v>
      </c>
      <c r="K24" s="123">
        <f t="shared" si="5"/>
        <v>14000000</v>
      </c>
      <c r="L24" s="123">
        <f t="shared" si="6"/>
        <v>6962230</v>
      </c>
      <c r="M24" s="123">
        <f t="shared" si="7"/>
        <v>36575000</v>
      </c>
      <c r="N24" s="123">
        <f t="shared" si="8"/>
        <v>10146392.67</v>
      </c>
      <c r="O24" s="123">
        <f t="shared" si="9"/>
        <v>14100000</v>
      </c>
    </row>
    <row r="25" spans="2:15" x14ac:dyDescent="0.25">
      <c r="B25" s="58">
        <v>10</v>
      </c>
      <c r="C25" s="59" t="s">
        <v>19</v>
      </c>
      <c r="D25" s="60" t="s">
        <v>17</v>
      </c>
      <c r="E25" s="61">
        <v>4</v>
      </c>
      <c r="F25" s="136">
        <v>1500000</v>
      </c>
      <c r="G25" s="123">
        <v>890398</v>
      </c>
      <c r="H25" s="104">
        <v>3800000</v>
      </c>
      <c r="I25" s="104">
        <v>1315073.1000000001</v>
      </c>
      <c r="J25" s="104">
        <v>1850000</v>
      </c>
      <c r="K25" s="123">
        <f t="shared" si="5"/>
        <v>6000000</v>
      </c>
      <c r="L25" s="123">
        <f t="shared" si="6"/>
        <v>3561592</v>
      </c>
      <c r="M25" s="123">
        <f t="shared" si="7"/>
        <v>15200000</v>
      </c>
      <c r="N25" s="123">
        <f t="shared" si="8"/>
        <v>5260292.4000000004</v>
      </c>
      <c r="O25" s="123">
        <f t="shared" si="9"/>
        <v>7400000</v>
      </c>
    </row>
    <row r="26" spans="2:15" x14ac:dyDescent="0.25">
      <c r="B26" s="58">
        <v>11</v>
      </c>
      <c r="C26" s="59" t="s">
        <v>21</v>
      </c>
      <c r="D26" s="60" t="s">
        <v>17</v>
      </c>
      <c r="E26" s="61">
        <v>3</v>
      </c>
      <c r="F26" s="136">
        <v>2400000</v>
      </c>
      <c r="G26" s="123">
        <v>1346998</v>
      </c>
      <c r="H26" s="104">
        <v>4512500</v>
      </c>
      <c r="I26" s="150">
        <v>2034475.227</v>
      </c>
      <c r="J26" s="104">
        <v>2520000</v>
      </c>
      <c r="K26" s="123">
        <f t="shared" si="5"/>
        <v>7200000</v>
      </c>
      <c r="L26" s="123">
        <f t="shared" si="6"/>
        <v>4040994</v>
      </c>
      <c r="M26" s="123">
        <f t="shared" si="7"/>
        <v>13537500</v>
      </c>
      <c r="N26" s="123">
        <f t="shared" si="8"/>
        <v>6103425.6809999999</v>
      </c>
      <c r="O26" s="123">
        <f t="shared" si="9"/>
        <v>7560000</v>
      </c>
    </row>
    <row r="27" spans="2:15" x14ac:dyDescent="0.25">
      <c r="B27" s="58">
        <v>12</v>
      </c>
      <c r="C27" s="59" t="s">
        <v>25</v>
      </c>
      <c r="D27" s="60" t="s">
        <v>17</v>
      </c>
      <c r="E27" s="61">
        <v>2</v>
      </c>
      <c r="F27" s="136">
        <v>6964947</v>
      </c>
      <c r="G27" s="123">
        <v>2769007</v>
      </c>
      <c r="H27" s="104">
        <v>5800000</v>
      </c>
      <c r="I27" s="150">
        <v>4093238.1970000002</v>
      </c>
      <c r="J27" s="104">
        <v>4900000</v>
      </c>
      <c r="K27" s="123">
        <f t="shared" si="5"/>
        <v>13929894</v>
      </c>
      <c r="L27" s="123">
        <f t="shared" si="6"/>
        <v>5538014</v>
      </c>
      <c r="M27" s="123">
        <f t="shared" si="7"/>
        <v>11600000</v>
      </c>
      <c r="N27" s="123">
        <f t="shared" si="8"/>
        <v>8186476.3940000003</v>
      </c>
      <c r="O27" s="123">
        <f t="shared" si="9"/>
        <v>9800000</v>
      </c>
    </row>
    <row r="28" spans="2:15" x14ac:dyDescent="0.25">
      <c r="B28" s="17"/>
      <c r="C28" s="21" t="s">
        <v>50</v>
      </c>
      <c r="D28" s="19"/>
      <c r="E28" s="20"/>
      <c r="F28" s="136"/>
      <c r="G28" s="124"/>
      <c r="H28" s="104"/>
      <c r="I28" s="104"/>
      <c r="J28" s="104"/>
      <c r="K28" s="124">
        <f>SUM(K16:K27)</f>
        <v>476536342.42000002</v>
      </c>
      <c r="L28" s="124">
        <f>SUM(L16:L27)</f>
        <v>458623295.93154001</v>
      </c>
      <c r="M28" s="124">
        <f>SUM(M16:M27)</f>
        <v>542517532.5</v>
      </c>
      <c r="N28" s="124">
        <f>SUM(N16:N27)</f>
        <v>441661841.24479049</v>
      </c>
      <c r="O28" s="124">
        <f>SUM(O16:O27)</f>
        <v>446723882</v>
      </c>
    </row>
    <row r="29" spans="2:15" x14ac:dyDescent="0.25">
      <c r="B29" s="44" t="s">
        <v>23</v>
      </c>
      <c r="C29" s="43" t="s">
        <v>62</v>
      </c>
      <c r="D29" s="19"/>
      <c r="E29" s="22"/>
      <c r="F29" s="136"/>
      <c r="G29" s="123"/>
      <c r="H29" s="104"/>
      <c r="I29" s="104"/>
      <c r="J29" s="104"/>
      <c r="K29" s="104"/>
      <c r="L29" s="123"/>
      <c r="M29" s="123"/>
      <c r="N29" s="123"/>
      <c r="O29" s="123"/>
    </row>
    <row r="30" spans="2:15" x14ac:dyDescent="0.25">
      <c r="B30" s="58">
        <v>1</v>
      </c>
      <c r="C30" s="59" t="s">
        <v>37</v>
      </c>
      <c r="D30" s="60" t="s">
        <v>38</v>
      </c>
      <c r="E30" s="90">
        <f>E35*1.5</f>
        <v>1822.9260000000002</v>
      </c>
      <c r="F30" s="138">
        <v>10000</v>
      </c>
      <c r="G30" s="123">
        <v>3750</v>
      </c>
      <c r="H30" s="104">
        <v>5000</v>
      </c>
      <c r="I30" s="104">
        <v>5000</v>
      </c>
      <c r="J30" s="104">
        <v>4000</v>
      </c>
      <c r="K30" s="123">
        <f t="shared" ref="K30:K41" si="10">F30*E30</f>
        <v>18229260</v>
      </c>
      <c r="L30" s="123">
        <f>G30*E30</f>
        <v>6835972.5000000009</v>
      </c>
      <c r="M30" s="123">
        <f t="shared" ref="M30:M41" si="11">H30*E30</f>
        <v>9114630</v>
      </c>
      <c r="N30" s="123">
        <f>I30*E30</f>
        <v>9114630</v>
      </c>
      <c r="O30" s="123">
        <f>J30*E30</f>
        <v>7291704.0000000009</v>
      </c>
    </row>
    <row r="31" spans="2:15" x14ac:dyDescent="0.25">
      <c r="B31" s="58">
        <f>B30+1</f>
        <v>2</v>
      </c>
      <c r="C31" s="59" t="s">
        <v>40</v>
      </c>
      <c r="D31" s="60" t="s">
        <v>41</v>
      </c>
      <c r="E31" s="61">
        <f>E34*0.25</f>
        <v>920.654</v>
      </c>
      <c r="F31" s="136">
        <v>204763</v>
      </c>
      <c r="G31" s="123">
        <v>287000</v>
      </c>
      <c r="H31" s="104">
        <v>250000</v>
      </c>
      <c r="I31" s="104">
        <v>242801.9</v>
      </c>
      <c r="J31" s="104">
        <v>222000</v>
      </c>
      <c r="K31" s="123">
        <f t="shared" si="10"/>
        <v>188515875.002</v>
      </c>
      <c r="L31" s="123">
        <f t="shared" ref="L31:L41" si="12">G31*E31</f>
        <v>264227698</v>
      </c>
      <c r="M31" s="123">
        <f t="shared" si="11"/>
        <v>230163500</v>
      </c>
      <c r="N31" s="123">
        <f t="shared" ref="N31:N41" si="13">I31*E31</f>
        <v>223536540.44259998</v>
      </c>
      <c r="O31" s="123">
        <f t="shared" ref="O31:O41" si="14">J31*E31</f>
        <v>204385188</v>
      </c>
    </row>
    <row r="32" spans="2:15" x14ac:dyDescent="0.25">
      <c r="B32" s="58">
        <f t="shared" ref="B32:B39" si="15">B31+1</f>
        <v>3</v>
      </c>
      <c r="C32" s="59" t="s">
        <v>42</v>
      </c>
      <c r="D32" s="60" t="s">
        <v>41</v>
      </c>
      <c r="E32" s="61">
        <f>(E34)*0.2</f>
        <v>736.52320000000009</v>
      </c>
      <c r="F32" s="136">
        <v>342925</v>
      </c>
      <c r="G32" s="123">
        <v>313000</v>
      </c>
      <c r="H32" s="104">
        <v>300000</v>
      </c>
      <c r="I32" s="104">
        <v>314520.8</v>
      </c>
      <c r="J32" s="104">
        <v>332000</v>
      </c>
      <c r="K32" s="123">
        <f t="shared" si="10"/>
        <v>252572218.36000004</v>
      </c>
      <c r="L32" s="123">
        <f t="shared" si="12"/>
        <v>230531761.60000002</v>
      </c>
      <c r="M32" s="123">
        <f>H32*736.52</f>
        <v>220956000</v>
      </c>
      <c r="N32" s="123">
        <f t="shared" si="13"/>
        <v>231651866.08256003</v>
      </c>
      <c r="O32" s="123">
        <f t="shared" si="14"/>
        <v>244525702.40000004</v>
      </c>
    </row>
    <row r="33" spans="2:15" x14ac:dyDescent="0.25">
      <c r="B33" s="58">
        <f t="shared" si="15"/>
        <v>4</v>
      </c>
      <c r="C33" s="59" t="s">
        <v>43</v>
      </c>
      <c r="D33" s="60" t="s">
        <v>38</v>
      </c>
      <c r="E33" s="61">
        <f>E34</f>
        <v>3682.616</v>
      </c>
      <c r="F33" s="136"/>
      <c r="G33" s="123"/>
      <c r="H33" s="104"/>
      <c r="I33" s="104"/>
      <c r="J33" s="104"/>
      <c r="K33" s="123">
        <f t="shared" si="10"/>
        <v>0</v>
      </c>
      <c r="L33" s="123">
        <f t="shared" si="12"/>
        <v>0</v>
      </c>
      <c r="M33" s="123">
        <f t="shared" si="11"/>
        <v>0</v>
      </c>
      <c r="N33" s="123">
        <f t="shared" si="13"/>
        <v>0</v>
      </c>
      <c r="O33" s="123">
        <f t="shared" si="14"/>
        <v>0</v>
      </c>
    </row>
    <row r="34" spans="2:15" x14ac:dyDescent="0.25">
      <c r="B34" s="58">
        <f t="shared" si="15"/>
        <v>5</v>
      </c>
      <c r="C34" s="59" t="s">
        <v>44</v>
      </c>
      <c r="D34" s="60" t="s">
        <v>38</v>
      </c>
      <c r="E34" s="61">
        <v>3682.616</v>
      </c>
      <c r="F34" s="136"/>
      <c r="G34" s="123"/>
      <c r="H34" s="104"/>
      <c r="I34" s="151"/>
      <c r="J34" s="104"/>
      <c r="K34" s="123">
        <f t="shared" si="10"/>
        <v>0</v>
      </c>
      <c r="L34" s="123">
        <f t="shared" si="12"/>
        <v>0</v>
      </c>
      <c r="M34" s="123">
        <f t="shared" si="11"/>
        <v>0</v>
      </c>
      <c r="N34" s="123">
        <f t="shared" si="13"/>
        <v>0</v>
      </c>
      <c r="O34" s="123">
        <f t="shared" si="14"/>
        <v>0</v>
      </c>
    </row>
    <row r="35" spans="2:15" x14ac:dyDescent="0.25">
      <c r="B35" s="58">
        <f t="shared" si="15"/>
        <v>6</v>
      </c>
      <c r="C35" s="59" t="s">
        <v>45</v>
      </c>
      <c r="D35" s="60" t="s">
        <v>15</v>
      </c>
      <c r="E35" s="61">
        <v>1215.2840000000001</v>
      </c>
      <c r="F35" s="136">
        <v>169875</v>
      </c>
      <c r="G35" s="123">
        <v>130000</v>
      </c>
      <c r="H35" s="104">
        <v>82500</v>
      </c>
      <c r="I35" s="150">
        <v>87043.857999999993</v>
      </c>
      <c r="J35" s="104">
        <v>158500</v>
      </c>
      <c r="K35" s="123">
        <f t="shared" si="10"/>
        <v>206446369.50000003</v>
      </c>
      <c r="L35" s="123">
        <f t="shared" si="12"/>
        <v>157986920</v>
      </c>
      <c r="M35" s="123">
        <f t="shared" si="11"/>
        <v>100260930.00000001</v>
      </c>
      <c r="N35" s="123">
        <f t="shared" si="13"/>
        <v>105783007.92567199</v>
      </c>
      <c r="O35" s="123">
        <f t="shared" si="14"/>
        <v>192622514.00000003</v>
      </c>
    </row>
    <row r="36" spans="2:15" x14ac:dyDescent="0.25">
      <c r="B36" s="58">
        <f t="shared" si="15"/>
        <v>7</v>
      </c>
      <c r="C36" s="59" t="s">
        <v>58</v>
      </c>
      <c r="D36" s="60" t="s">
        <v>41</v>
      </c>
      <c r="E36" s="204">
        <f>E39*0.2*0</f>
        <v>0</v>
      </c>
      <c r="F36" s="136">
        <v>298000</v>
      </c>
      <c r="G36" s="123">
        <v>287000</v>
      </c>
      <c r="H36" s="104">
        <v>250000</v>
      </c>
      <c r="I36" s="150">
        <v>256369.57500000001</v>
      </c>
      <c r="J36" s="104">
        <v>222000</v>
      </c>
      <c r="K36" s="123">
        <f t="shared" si="10"/>
        <v>0</v>
      </c>
      <c r="L36" s="123">
        <f t="shared" si="12"/>
        <v>0</v>
      </c>
      <c r="M36" s="123">
        <f t="shared" si="11"/>
        <v>0</v>
      </c>
      <c r="N36" s="123">
        <f t="shared" si="13"/>
        <v>0</v>
      </c>
      <c r="O36" s="123">
        <f t="shared" si="14"/>
        <v>0</v>
      </c>
    </row>
    <row r="37" spans="2:15" x14ac:dyDescent="0.25">
      <c r="B37" s="58">
        <f t="shared" si="15"/>
        <v>8</v>
      </c>
      <c r="C37" s="59" t="s">
        <v>59</v>
      </c>
      <c r="D37" s="60" t="s">
        <v>41</v>
      </c>
      <c r="E37" s="204">
        <f>E39*0.15*0</f>
        <v>0</v>
      </c>
      <c r="F37" s="136">
        <v>345000</v>
      </c>
      <c r="G37" s="123">
        <v>313000</v>
      </c>
      <c r="H37" s="104">
        <v>300000</v>
      </c>
      <c r="I37" s="104">
        <v>354039.84</v>
      </c>
      <c r="J37" s="104">
        <v>317000</v>
      </c>
      <c r="K37" s="123">
        <f t="shared" si="10"/>
        <v>0</v>
      </c>
      <c r="L37" s="123">
        <f t="shared" si="12"/>
        <v>0</v>
      </c>
      <c r="M37" s="123">
        <f t="shared" si="11"/>
        <v>0</v>
      </c>
      <c r="N37" s="123">
        <f t="shared" si="13"/>
        <v>0</v>
      </c>
      <c r="O37" s="123">
        <f t="shared" si="14"/>
        <v>0</v>
      </c>
    </row>
    <row r="38" spans="2:15" x14ac:dyDescent="0.25">
      <c r="B38" s="58">
        <f t="shared" si="15"/>
        <v>9</v>
      </c>
      <c r="C38" s="59" t="s">
        <v>57</v>
      </c>
      <c r="D38" s="60" t="s">
        <v>41</v>
      </c>
      <c r="E38" s="204">
        <f>E39*0.05*0</f>
        <v>0</v>
      </c>
      <c r="F38" s="136">
        <v>200000</v>
      </c>
      <c r="G38" s="123">
        <v>210000</v>
      </c>
      <c r="H38" s="104">
        <v>260000</v>
      </c>
      <c r="I38" s="104">
        <v>445042.4</v>
      </c>
      <c r="J38" s="104">
        <v>200000</v>
      </c>
      <c r="K38" s="123">
        <f t="shared" si="10"/>
        <v>0</v>
      </c>
      <c r="L38" s="123">
        <f t="shared" si="12"/>
        <v>0</v>
      </c>
      <c r="M38" s="123">
        <f t="shared" si="11"/>
        <v>0</v>
      </c>
      <c r="N38" s="123">
        <f t="shared" si="13"/>
        <v>0</v>
      </c>
      <c r="O38" s="123">
        <f t="shared" si="14"/>
        <v>0</v>
      </c>
    </row>
    <row r="39" spans="2:15" x14ac:dyDescent="0.25">
      <c r="B39" s="58">
        <f t="shared" si="15"/>
        <v>10</v>
      </c>
      <c r="C39" s="59" t="s">
        <v>56</v>
      </c>
      <c r="D39" s="60" t="s">
        <v>38</v>
      </c>
      <c r="E39" s="204">
        <f>1116.135*0</f>
        <v>0</v>
      </c>
      <c r="F39" s="136">
        <v>150000</v>
      </c>
      <c r="G39" s="123">
        <v>171680</v>
      </c>
      <c r="H39" s="104">
        <v>148500</v>
      </c>
      <c r="I39" s="104">
        <v>168431.78</v>
      </c>
      <c r="J39" s="104">
        <v>150000</v>
      </c>
      <c r="K39" s="123">
        <f t="shared" si="10"/>
        <v>0</v>
      </c>
      <c r="L39" s="123">
        <f t="shared" si="12"/>
        <v>0</v>
      </c>
      <c r="M39" s="123">
        <f t="shared" si="11"/>
        <v>0</v>
      </c>
      <c r="N39" s="123">
        <f t="shared" si="13"/>
        <v>0</v>
      </c>
      <c r="O39" s="123">
        <f t="shared" si="14"/>
        <v>0</v>
      </c>
    </row>
    <row r="40" spans="2:15" x14ac:dyDescent="0.25">
      <c r="B40" s="58">
        <v>11</v>
      </c>
      <c r="C40" s="86" t="s">
        <v>126</v>
      </c>
      <c r="D40" s="60" t="s">
        <v>101</v>
      </c>
      <c r="E40" s="61">
        <f>E33</f>
        <v>3682.616</v>
      </c>
      <c r="F40" s="136">
        <v>5000</v>
      </c>
      <c r="G40" s="123">
        <v>3750</v>
      </c>
      <c r="H40" s="104">
        <v>5000</v>
      </c>
      <c r="I40" s="104">
        <v>8000</v>
      </c>
      <c r="J40" s="104">
        <v>4000</v>
      </c>
      <c r="K40" s="123">
        <f t="shared" si="10"/>
        <v>18413080</v>
      </c>
      <c r="L40" s="123">
        <f t="shared" si="12"/>
        <v>13809810</v>
      </c>
      <c r="M40" s="123">
        <f t="shared" si="11"/>
        <v>18413080</v>
      </c>
      <c r="N40" s="123">
        <f t="shared" si="13"/>
        <v>29460928</v>
      </c>
      <c r="O40" s="123">
        <f t="shared" si="14"/>
        <v>14730464</v>
      </c>
    </row>
    <row r="41" spans="2:15" x14ac:dyDescent="0.25">
      <c r="B41" s="58">
        <v>12</v>
      </c>
      <c r="C41" s="86" t="s">
        <v>125</v>
      </c>
      <c r="D41" s="60" t="s">
        <v>38</v>
      </c>
      <c r="E41" s="61">
        <v>3682.62</v>
      </c>
      <c r="F41" s="136">
        <v>115000</v>
      </c>
      <c r="G41" s="123">
        <v>149500</v>
      </c>
      <c r="H41" s="104">
        <v>110000</v>
      </c>
      <c r="I41" s="151">
        <v>114694.6974</v>
      </c>
      <c r="J41" s="104">
        <v>89000</v>
      </c>
      <c r="K41" s="123">
        <f t="shared" si="10"/>
        <v>423501300</v>
      </c>
      <c r="L41" s="123">
        <f t="shared" si="12"/>
        <v>550551690</v>
      </c>
      <c r="M41" s="123">
        <f t="shared" si="11"/>
        <v>405088200</v>
      </c>
      <c r="N41" s="123">
        <f t="shared" si="13"/>
        <v>422376986.53918803</v>
      </c>
      <c r="O41" s="123">
        <f t="shared" si="14"/>
        <v>327753180</v>
      </c>
    </row>
    <row r="42" spans="2:15" x14ac:dyDescent="0.25">
      <c r="B42" s="17"/>
      <c r="C42" s="21" t="s">
        <v>50</v>
      </c>
      <c r="D42" s="19"/>
      <c r="E42" s="22"/>
      <c r="F42" s="136"/>
      <c r="G42" s="124"/>
      <c r="H42" s="104"/>
      <c r="I42" s="104"/>
      <c r="J42" s="104"/>
      <c r="K42" s="124">
        <f>SUM(K30:K41)</f>
        <v>1107678102.862</v>
      </c>
      <c r="L42" s="124">
        <f>SUM(L30:L41)</f>
        <v>1223943852.0999999</v>
      </c>
      <c r="M42" s="124">
        <f>SUM(M30:M41)</f>
        <v>983996340</v>
      </c>
      <c r="N42" s="124">
        <f>SUM(N30:N41)</f>
        <v>1021923958.99002</v>
      </c>
      <c r="O42" s="124">
        <f>SUM(O30:O41)</f>
        <v>991308752.4000001</v>
      </c>
    </row>
    <row r="43" spans="2:15" x14ac:dyDescent="0.25">
      <c r="B43" s="17"/>
      <c r="C43" s="21"/>
      <c r="D43" s="19"/>
      <c r="E43" s="22"/>
      <c r="F43" s="136"/>
      <c r="G43" s="124"/>
      <c r="H43" s="104"/>
      <c r="I43" s="104"/>
      <c r="J43" s="104"/>
      <c r="K43" s="104"/>
      <c r="L43" s="124"/>
      <c r="M43" s="124"/>
      <c r="N43" s="124"/>
      <c r="O43" s="124"/>
    </row>
    <row r="44" spans="2:15" x14ac:dyDescent="0.25">
      <c r="B44" s="42" t="s">
        <v>39</v>
      </c>
      <c r="C44" s="43" t="s">
        <v>63</v>
      </c>
      <c r="D44" s="19"/>
      <c r="E44" s="22"/>
      <c r="F44" s="136"/>
      <c r="G44" s="123"/>
      <c r="H44" s="104"/>
      <c r="I44" s="104"/>
      <c r="J44" s="104"/>
      <c r="K44" s="104"/>
      <c r="L44" s="123"/>
      <c r="M44" s="123"/>
      <c r="N44" s="123"/>
      <c r="O44" s="123"/>
    </row>
    <row r="45" spans="2:15" x14ac:dyDescent="0.25">
      <c r="B45" s="44" t="s">
        <v>22</v>
      </c>
      <c r="C45" s="43" t="s">
        <v>64</v>
      </c>
      <c r="D45" s="18"/>
      <c r="E45" s="22"/>
      <c r="F45" s="136"/>
      <c r="G45" s="123"/>
      <c r="H45" s="104"/>
      <c r="I45" s="104"/>
      <c r="J45" s="104"/>
      <c r="K45" s="104"/>
      <c r="L45" s="123"/>
      <c r="M45" s="123"/>
      <c r="N45" s="123"/>
      <c r="O45" s="123"/>
    </row>
    <row r="46" spans="2:15" x14ac:dyDescent="0.25">
      <c r="B46" s="91">
        <v>1</v>
      </c>
      <c r="C46" s="92" t="s">
        <v>28</v>
      </c>
      <c r="D46" s="93" t="s">
        <v>15</v>
      </c>
      <c r="E46" s="90">
        <v>1068.3499999999999</v>
      </c>
      <c r="F46" s="136">
        <v>298000</v>
      </c>
      <c r="G46" s="139">
        <v>295890.57</v>
      </c>
      <c r="H46" s="104">
        <v>324150</v>
      </c>
      <c r="I46" s="104">
        <v>279039.20549999998</v>
      </c>
      <c r="J46" s="104">
        <v>277000</v>
      </c>
      <c r="K46" s="123">
        <f t="shared" ref="K46:K54" si="16">F46*E46</f>
        <v>318368300</v>
      </c>
      <c r="L46" s="139">
        <f>G46*E46</f>
        <v>316114690.45949996</v>
      </c>
      <c r="M46" s="123">
        <f t="shared" ref="M46:M54" si="17">H46*E46</f>
        <v>346305652.5</v>
      </c>
      <c r="N46" s="123">
        <f>I46*E46</f>
        <v>298111535.19592494</v>
      </c>
      <c r="O46" s="123">
        <f t="shared" ref="O46:O54" si="18">J46*E46</f>
        <v>295932950</v>
      </c>
    </row>
    <row r="47" spans="2:15" x14ac:dyDescent="0.25">
      <c r="B47" s="91">
        <v>2</v>
      </c>
      <c r="C47" s="92" t="s">
        <v>29</v>
      </c>
      <c r="D47" s="93" t="s">
        <v>15</v>
      </c>
      <c r="E47" s="90">
        <v>11.9</v>
      </c>
      <c r="F47" s="136">
        <v>315000</v>
      </c>
      <c r="G47" s="139">
        <v>322052.46000000002</v>
      </c>
      <c r="H47" s="104">
        <v>348000</v>
      </c>
      <c r="I47" s="104">
        <v>304565.69549999997</v>
      </c>
      <c r="J47" s="104">
        <v>295000</v>
      </c>
      <c r="K47" s="123">
        <f t="shared" si="16"/>
        <v>3748500</v>
      </c>
      <c r="L47" s="139">
        <f t="shared" ref="L47:L54" si="19">G47*E47</f>
        <v>3832424.2740000002</v>
      </c>
      <c r="M47" s="123">
        <f t="shared" si="17"/>
        <v>4141200</v>
      </c>
      <c r="N47" s="123">
        <f t="shared" ref="N47:N54" si="20">I47*E47</f>
        <v>3624331.7764499998</v>
      </c>
      <c r="O47" s="123">
        <f t="shared" si="18"/>
        <v>3510500</v>
      </c>
    </row>
    <row r="48" spans="2:15" x14ac:dyDescent="0.25">
      <c r="B48" s="91">
        <v>3</v>
      </c>
      <c r="C48" s="92" t="s">
        <v>27</v>
      </c>
      <c r="D48" s="93" t="s">
        <v>15</v>
      </c>
      <c r="E48" s="90">
        <v>24.51</v>
      </c>
      <c r="F48" s="136">
        <v>404000</v>
      </c>
      <c r="G48" s="139">
        <v>395265.32</v>
      </c>
      <c r="H48" s="104">
        <v>428500</v>
      </c>
      <c r="I48" s="104">
        <v>384234.29</v>
      </c>
      <c r="J48" s="104">
        <v>375000</v>
      </c>
      <c r="K48" s="123">
        <f t="shared" si="16"/>
        <v>9902040</v>
      </c>
      <c r="L48" s="139">
        <f t="shared" si="19"/>
        <v>9687952.9932000004</v>
      </c>
      <c r="M48" s="123">
        <f t="shared" si="17"/>
        <v>10502535</v>
      </c>
      <c r="N48" s="123">
        <f t="shared" si="20"/>
        <v>9417582.447900001</v>
      </c>
      <c r="O48" s="123">
        <f t="shared" si="18"/>
        <v>9191250</v>
      </c>
    </row>
    <row r="49" spans="2:15" x14ac:dyDescent="0.25">
      <c r="B49" s="91">
        <v>4</v>
      </c>
      <c r="C49" s="92" t="s">
        <v>33</v>
      </c>
      <c r="D49" s="93" t="s">
        <v>15</v>
      </c>
      <c r="E49" s="90">
        <v>55.37</v>
      </c>
      <c r="F49" s="136">
        <v>997350</v>
      </c>
      <c r="G49" s="139">
        <v>1030363.51</v>
      </c>
      <c r="H49" s="104">
        <v>922500</v>
      </c>
      <c r="I49" s="104">
        <v>933428.62139999995</v>
      </c>
      <c r="J49" s="104">
        <v>885000</v>
      </c>
      <c r="K49" s="123">
        <f t="shared" si="16"/>
        <v>55223269.5</v>
      </c>
      <c r="L49" s="139">
        <f t="shared" si="19"/>
        <v>57051227.548699997</v>
      </c>
      <c r="M49" s="123">
        <f t="shared" si="17"/>
        <v>51078825</v>
      </c>
      <c r="N49" s="123">
        <f t="shared" si="20"/>
        <v>51683942.766917996</v>
      </c>
      <c r="O49" s="123">
        <f t="shared" si="18"/>
        <v>49002450</v>
      </c>
    </row>
    <row r="50" spans="2:15" x14ac:dyDescent="0.25">
      <c r="B50" s="91">
        <v>5</v>
      </c>
      <c r="C50" s="92" t="s">
        <v>34</v>
      </c>
      <c r="D50" s="93" t="s">
        <v>15</v>
      </c>
      <c r="E50" s="90">
        <v>25.77</v>
      </c>
      <c r="F50" s="136">
        <v>1077219</v>
      </c>
      <c r="G50" s="139">
        <v>1030363.51</v>
      </c>
      <c r="H50" s="104">
        <v>1082000</v>
      </c>
      <c r="I50" s="104">
        <v>1131044.442</v>
      </c>
      <c r="J50" s="104">
        <v>905000</v>
      </c>
      <c r="K50" s="123">
        <f t="shared" si="16"/>
        <v>27759933.629999999</v>
      </c>
      <c r="L50" s="139">
        <f t="shared" si="19"/>
        <v>26552467.6527</v>
      </c>
      <c r="M50" s="123">
        <f t="shared" si="17"/>
        <v>27883140</v>
      </c>
      <c r="N50" s="123">
        <f t="shared" si="20"/>
        <v>29147015.270339999</v>
      </c>
      <c r="O50" s="123">
        <f t="shared" si="18"/>
        <v>23321850</v>
      </c>
    </row>
    <row r="51" spans="2:15" x14ac:dyDescent="0.25">
      <c r="B51" s="91">
        <v>6</v>
      </c>
      <c r="C51" s="92" t="s">
        <v>16</v>
      </c>
      <c r="D51" s="93" t="s">
        <v>17</v>
      </c>
      <c r="E51" s="90">
        <v>123</v>
      </c>
      <c r="F51" s="136">
        <v>702000</v>
      </c>
      <c r="G51" s="139">
        <v>754800</v>
      </c>
      <c r="H51" s="104">
        <v>800000</v>
      </c>
      <c r="I51" s="104">
        <v>680925.63549999997</v>
      </c>
      <c r="J51" s="104">
        <v>700009</v>
      </c>
      <c r="K51" s="123">
        <f t="shared" si="16"/>
        <v>86346000</v>
      </c>
      <c r="L51" s="139">
        <f t="shared" si="19"/>
        <v>92840400</v>
      </c>
      <c r="M51" s="123">
        <f t="shared" si="17"/>
        <v>98400000</v>
      </c>
      <c r="N51" s="123">
        <f t="shared" si="20"/>
        <v>83753853.166500002</v>
      </c>
      <c r="O51" s="123">
        <f t="shared" si="18"/>
        <v>86101107</v>
      </c>
    </row>
    <row r="52" spans="2:15" x14ac:dyDescent="0.25">
      <c r="B52" s="91">
        <v>7</v>
      </c>
      <c r="C52" s="92" t="s">
        <v>18</v>
      </c>
      <c r="D52" s="93" t="s">
        <v>17</v>
      </c>
      <c r="E52" s="90">
        <v>6</v>
      </c>
      <c r="F52" s="136">
        <v>1400000</v>
      </c>
      <c r="G52" s="139">
        <v>696223</v>
      </c>
      <c r="H52" s="104">
        <v>3800000</v>
      </c>
      <c r="I52" s="104">
        <v>1014639.267</v>
      </c>
      <c r="J52" s="104">
        <v>1410000</v>
      </c>
      <c r="K52" s="123">
        <f t="shared" si="16"/>
        <v>8400000</v>
      </c>
      <c r="L52" s="139">
        <f t="shared" si="19"/>
        <v>4177338</v>
      </c>
      <c r="M52" s="123">
        <f t="shared" si="17"/>
        <v>22800000</v>
      </c>
      <c r="N52" s="123">
        <f t="shared" si="20"/>
        <v>6087835.602</v>
      </c>
      <c r="O52" s="123">
        <f t="shared" si="18"/>
        <v>8460000</v>
      </c>
    </row>
    <row r="53" spans="2:15" x14ac:dyDescent="0.25">
      <c r="B53" s="91">
        <v>8</v>
      </c>
      <c r="C53" s="92" t="s">
        <v>19</v>
      </c>
      <c r="D53" s="93" t="s">
        <v>17</v>
      </c>
      <c r="E53" s="90">
        <v>1</v>
      </c>
      <c r="F53" s="136">
        <v>1500000</v>
      </c>
      <c r="G53" s="139">
        <v>890398</v>
      </c>
      <c r="H53" s="104">
        <v>4000000</v>
      </c>
      <c r="I53" s="104">
        <v>1315073.1000000001</v>
      </c>
      <c r="J53" s="104">
        <v>1850000</v>
      </c>
      <c r="K53" s="123">
        <f t="shared" si="16"/>
        <v>1500000</v>
      </c>
      <c r="L53" s="139">
        <f t="shared" si="19"/>
        <v>890398</v>
      </c>
      <c r="M53" s="123">
        <f t="shared" si="17"/>
        <v>4000000</v>
      </c>
      <c r="N53" s="123">
        <f t="shared" si="20"/>
        <v>1315073.1000000001</v>
      </c>
      <c r="O53" s="123">
        <f t="shared" si="18"/>
        <v>1850000</v>
      </c>
    </row>
    <row r="54" spans="2:15" x14ac:dyDescent="0.25">
      <c r="B54" s="91">
        <v>10</v>
      </c>
      <c r="C54" s="92" t="s">
        <v>24</v>
      </c>
      <c r="D54" s="93" t="s">
        <v>17</v>
      </c>
      <c r="E54" s="90">
        <v>6</v>
      </c>
      <c r="F54" s="136">
        <v>5568530</v>
      </c>
      <c r="G54" s="139">
        <v>2071247</v>
      </c>
      <c r="H54" s="104">
        <v>5250000</v>
      </c>
      <c r="I54" s="104">
        <v>2834120.19</v>
      </c>
      <c r="J54" s="104">
        <v>4300000</v>
      </c>
      <c r="K54" s="123">
        <f t="shared" si="16"/>
        <v>33411180</v>
      </c>
      <c r="L54" s="139">
        <f t="shared" si="19"/>
        <v>12427482</v>
      </c>
      <c r="M54" s="123">
        <f t="shared" si="17"/>
        <v>31500000</v>
      </c>
      <c r="N54" s="123">
        <f t="shared" si="20"/>
        <v>17004721.140000001</v>
      </c>
      <c r="O54" s="123">
        <f t="shared" si="18"/>
        <v>25800000</v>
      </c>
    </row>
    <row r="55" spans="2:15" x14ac:dyDescent="0.25">
      <c r="B55" s="17"/>
      <c r="C55" s="21" t="s">
        <v>50</v>
      </c>
      <c r="D55" s="19"/>
      <c r="E55" s="20"/>
      <c r="F55" s="136"/>
      <c r="G55" s="124"/>
      <c r="H55" s="104"/>
      <c r="I55" s="104"/>
      <c r="J55" s="104"/>
      <c r="K55" s="124">
        <f>SUM(K46:K54)</f>
        <v>544659223.13</v>
      </c>
      <c r="L55" s="124">
        <f>SUM(L46:L54)</f>
        <v>523574380.92809993</v>
      </c>
      <c r="M55" s="124">
        <f>SUM(M46:M54)</f>
        <v>596611352.5</v>
      </c>
      <c r="N55" s="124">
        <f>SUM(N46:N54)</f>
        <v>500145890.46603298</v>
      </c>
      <c r="O55" s="124">
        <f>SUM(O46:O54)</f>
        <v>503170107</v>
      </c>
    </row>
    <row r="56" spans="2:15" x14ac:dyDescent="0.25">
      <c r="B56" s="44" t="s">
        <v>23</v>
      </c>
      <c r="C56" s="43" t="s">
        <v>65</v>
      </c>
      <c r="D56" s="19"/>
      <c r="E56" s="22"/>
      <c r="F56" s="153"/>
      <c r="G56" s="123"/>
      <c r="H56" s="104"/>
      <c r="I56" s="104"/>
      <c r="J56" s="104"/>
      <c r="K56" s="123"/>
      <c r="L56" s="123"/>
      <c r="M56" s="123"/>
      <c r="N56" s="123"/>
      <c r="O56" s="123"/>
    </row>
    <row r="57" spans="2:15" x14ac:dyDescent="0.25">
      <c r="B57" s="91">
        <v>1</v>
      </c>
      <c r="C57" s="92" t="s">
        <v>37</v>
      </c>
      <c r="D57" s="93" t="s">
        <v>38</v>
      </c>
      <c r="E57" s="90">
        <f>E62*1.5</f>
        <v>1386.354</v>
      </c>
      <c r="F57" s="136">
        <v>10000</v>
      </c>
      <c r="G57" s="139">
        <v>3750</v>
      </c>
      <c r="H57" s="104">
        <v>5000</v>
      </c>
      <c r="I57" s="104">
        <v>5000</v>
      </c>
      <c r="J57" s="104">
        <v>4000</v>
      </c>
      <c r="K57" s="123">
        <f t="shared" ref="K57:K64" si="21">F57*E57</f>
        <v>13863540</v>
      </c>
      <c r="L57" s="139">
        <f>G57*E57</f>
        <v>5198827.5</v>
      </c>
      <c r="M57" s="123">
        <f t="shared" ref="M57:M64" si="22">H57*E57</f>
        <v>6931770</v>
      </c>
      <c r="N57" s="123">
        <f>I57*E57</f>
        <v>6931770</v>
      </c>
      <c r="O57" s="123">
        <f t="shared" ref="O57:O64" si="23">J57*E57</f>
        <v>5545416</v>
      </c>
    </row>
    <row r="58" spans="2:15" x14ac:dyDescent="0.25">
      <c r="B58" s="91">
        <v>2</v>
      </c>
      <c r="C58" s="92" t="s">
        <v>40</v>
      </c>
      <c r="D58" s="93" t="s">
        <v>41</v>
      </c>
      <c r="E58" s="90">
        <f>E61*0.25</f>
        <v>945.20249999999999</v>
      </c>
      <c r="F58" s="136">
        <v>204763</v>
      </c>
      <c r="G58" s="139">
        <v>287000</v>
      </c>
      <c r="H58" s="104">
        <v>250000</v>
      </c>
      <c r="I58" s="104">
        <v>242801.9</v>
      </c>
      <c r="J58" s="104">
        <v>222000</v>
      </c>
      <c r="K58" s="123">
        <f t="shared" si="21"/>
        <v>193542499.50749999</v>
      </c>
      <c r="L58" s="139">
        <f t="shared" ref="L58:L64" si="24">G58*E58</f>
        <v>271273117.5</v>
      </c>
      <c r="M58" s="123">
        <f t="shared" si="22"/>
        <v>236300625</v>
      </c>
      <c r="N58" s="123">
        <f t="shared" ref="N58:N64" si="25">I58*E58</f>
        <v>229496962.88474998</v>
      </c>
      <c r="O58" s="123">
        <f t="shared" si="23"/>
        <v>209834955</v>
      </c>
    </row>
    <row r="59" spans="2:15" x14ac:dyDescent="0.25">
      <c r="B59" s="91">
        <v>3</v>
      </c>
      <c r="C59" s="92" t="s">
        <v>42</v>
      </c>
      <c r="D59" s="93" t="s">
        <v>41</v>
      </c>
      <c r="E59" s="90">
        <f>E61*0.2</f>
        <v>756.16200000000003</v>
      </c>
      <c r="F59" s="136">
        <v>342925</v>
      </c>
      <c r="G59" s="139">
        <v>313000</v>
      </c>
      <c r="H59" s="104">
        <v>300000</v>
      </c>
      <c r="I59" s="104">
        <v>314520.8</v>
      </c>
      <c r="J59" s="104">
        <v>332000</v>
      </c>
      <c r="K59" s="123">
        <f t="shared" si="21"/>
        <v>259306853.85000002</v>
      </c>
      <c r="L59" s="139">
        <f t="shared" si="24"/>
        <v>236678706</v>
      </c>
      <c r="M59" s="123">
        <f t="shared" si="22"/>
        <v>226848600</v>
      </c>
      <c r="N59" s="123">
        <f t="shared" si="25"/>
        <v>237828677.16960001</v>
      </c>
      <c r="O59" s="123">
        <f t="shared" si="23"/>
        <v>251045784</v>
      </c>
    </row>
    <row r="60" spans="2:15" x14ac:dyDescent="0.25">
      <c r="B60" s="91">
        <v>4</v>
      </c>
      <c r="C60" s="92" t="s">
        <v>43</v>
      </c>
      <c r="D60" s="93" t="s">
        <v>38</v>
      </c>
      <c r="E60" s="90">
        <f>E61</f>
        <v>3780.81</v>
      </c>
      <c r="F60" s="136"/>
      <c r="G60" s="139"/>
      <c r="H60" s="104"/>
      <c r="I60" s="104"/>
      <c r="J60" s="104"/>
      <c r="K60" s="123">
        <f t="shared" si="21"/>
        <v>0</v>
      </c>
      <c r="L60" s="139">
        <f t="shared" si="24"/>
        <v>0</v>
      </c>
      <c r="M60" s="123">
        <f t="shared" si="22"/>
        <v>0</v>
      </c>
      <c r="N60" s="123">
        <f t="shared" si="25"/>
        <v>0</v>
      </c>
      <c r="O60" s="123">
        <f t="shared" si="23"/>
        <v>0</v>
      </c>
    </row>
    <row r="61" spans="2:15" x14ac:dyDescent="0.25">
      <c r="B61" s="91">
        <v>5</v>
      </c>
      <c r="C61" s="92" t="s">
        <v>44</v>
      </c>
      <c r="D61" s="93" t="s">
        <v>38</v>
      </c>
      <c r="E61" s="90">
        <v>3780.81</v>
      </c>
      <c r="F61" s="136"/>
      <c r="G61" s="139"/>
      <c r="H61" s="104"/>
      <c r="I61" s="104"/>
      <c r="J61" s="104"/>
      <c r="K61" s="123">
        <f t="shared" si="21"/>
        <v>0</v>
      </c>
      <c r="L61" s="139">
        <f t="shared" si="24"/>
        <v>0</v>
      </c>
      <c r="M61" s="123">
        <f t="shared" si="22"/>
        <v>0</v>
      </c>
      <c r="N61" s="123">
        <f t="shared" si="25"/>
        <v>0</v>
      </c>
      <c r="O61" s="123">
        <f t="shared" si="23"/>
        <v>0</v>
      </c>
    </row>
    <row r="62" spans="2:15" x14ac:dyDescent="0.25">
      <c r="B62" s="91">
        <v>6</v>
      </c>
      <c r="C62" s="92" t="s">
        <v>45</v>
      </c>
      <c r="D62" s="93" t="s">
        <v>15</v>
      </c>
      <c r="E62" s="90">
        <v>924.23599999999999</v>
      </c>
      <c r="F62" s="136">
        <v>169875</v>
      </c>
      <c r="G62" s="139">
        <v>130000</v>
      </c>
      <c r="H62" s="104">
        <v>82500</v>
      </c>
      <c r="I62" s="104">
        <v>87043.857999999993</v>
      </c>
      <c r="J62" s="104">
        <v>158500</v>
      </c>
      <c r="K62" s="123">
        <f t="shared" si="21"/>
        <v>157004590.5</v>
      </c>
      <c r="L62" s="139">
        <f t="shared" si="24"/>
        <v>120150680</v>
      </c>
      <c r="M62" s="123">
        <f t="shared" si="22"/>
        <v>76249470</v>
      </c>
      <c r="N62" s="123">
        <f t="shared" si="25"/>
        <v>80449067.142487988</v>
      </c>
      <c r="O62" s="123">
        <f t="shared" si="23"/>
        <v>146491406</v>
      </c>
    </row>
    <row r="63" spans="2:15" x14ac:dyDescent="0.25">
      <c r="B63" s="91">
        <v>7</v>
      </c>
      <c r="C63" s="86" t="s">
        <v>126</v>
      </c>
      <c r="D63" s="60" t="s">
        <v>38</v>
      </c>
      <c r="E63" s="61">
        <f>E60</f>
        <v>3780.81</v>
      </c>
      <c r="F63" s="136">
        <v>5000</v>
      </c>
      <c r="G63" s="139">
        <v>3750</v>
      </c>
      <c r="H63" s="104">
        <v>5000</v>
      </c>
      <c r="I63" s="104">
        <v>8000</v>
      </c>
      <c r="J63" s="104">
        <v>4000</v>
      </c>
      <c r="K63" s="123">
        <f t="shared" si="21"/>
        <v>18904050</v>
      </c>
      <c r="L63" s="139">
        <f t="shared" si="24"/>
        <v>14178037.5</v>
      </c>
      <c r="M63" s="123">
        <f t="shared" si="22"/>
        <v>18904050</v>
      </c>
      <c r="N63" s="123">
        <f t="shared" si="25"/>
        <v>30246480</v>
      </c>
      <c r="O63" s="123">
        <f t="shared" si="23"/>
        <v>15123240</v>
      </c>
    </row>
    <row r="64" spans="2:15" x14ac:dyDescent="0.25">
      <c r="B64" s="91">
        <v>8</v>
      </c>
      <c r="C64" s="86" t="s">
        <v>125</v>
      </c>
      <c r="D64" s="60" t="s">
        <v>38</v>
      </c>
      <c r="E64" s="61">
        <v>3780.01</v>
      </c>
      <c r="F64" s="136">
        <v>115000</v>
      </c>
      <c r="G64" s="139">
        <v>149500</v>
      </c>
      <c r="H64" s="104">
        <v>110000</v>
      </c>
      <c r="I64" s="104">
        <v>114694.6974</v>
      </c>
      <c r="J64" s="104">
        <v>89000</v>
      </c>
      <c r="K64" s="123">
        <f t="shared" si="21"/>
        <v>434701150</v>
      </c>
      <c r="L64" s="139">
        <f t="shared" si="24"/>
        <v>565111495</v>
      </c>
      <c r="M64" s="123">
        <f t="shared" si="22"/>
        <v>415801100</v>
      </c>
      <c r="N64" s="123">
        <f t="shared" si="25"/>
        <v>433547103.11897403</v>
      </c>
      <c r="O64" s="123">
        <f t="shared" si="23"/>
        <v>336420890</v>
      </c>
    </row>
    <row r="65" spans="2:15" x14ac:dyDescent="0.25">
      <c r="B65" s="17"/>
      <c r="C65" s="21" t="s">
        <v>50</v>
      </c>
      <c r="D65" s="19"/>
      <c r="E65" s="37"/>
      <c r="F65" s="136"/>
      <c r="G65" s="124"/>
      <c r="H65" s="104"/>
      <c r="I65" s="104"/>
      <c r="J65" s="104"/>
      <c r="K65" s="124">
        <f>SUM(K57:K64)</f>
        <v>1077322683.8575001</v>
      </c>
      <c r="L65" s="124">
        <f>SUM(L57:L64)</f>
        <v>1212590863.5</v>
      </c>
      <c r="M65" s="124">
        <f>SUM(M57:M64)</f>
        <v>981035615</v>
      </c>
      <c r="N65" s="124">
        <f>SUM(N57:N64)</f>
        <v>1018500060.3158121</v>
      </c>
      <c r="O65" s="124">
        <f>SUM(O57:O64)</f>
        <v>964461691</v>
      </c>
    </row>
    <row r="66" spans="2:15" x14ac:dyDescent="0.25">
      <c r="B66" s="17"/>
      <c r="C66" s="21"/>
      <c r="D66" s="19"/>
      <c r="E66" s="37"/>
      <c r="F66" s="136"/>
      <c r="G66" s="124"/>
      <c r="H66" s="104"/>
      <c r="I66" s="104"/>
      <c r="J66" s="104"/>
      <c r="K66" s="124"/>
      <c r="L66" s="124"/>
      <c r="M66" s="124"/>
      <c r="N66" s="124"/>
      <c r="O66" s="124"/>
    </row>
    <row r="67" spans="2:15" x14ac:dyDescent="0.25">
      <c r="B67" s="42" t="s">
        <v>55</v>
      </c>
      <c r="C67" s="43" t="s">
        <v>66</v>
      </c>
      <c r="D67" s="19"/>
      <c r="E67" s="20"/>
      <c r="F67" s="136"/>
      <c r="G67" s="123"/>
      <c r="H67" s="104"/>
      <c r="I67" s="104"/>
      <c r="J67" s="104"/>
      <c r="K67" s="123"/>
      <c r="L67" s="123"/>
      <c r="M67" s="123"/>
      <c r="N67" s="123"/>
      <c r="O67" s="123"/>
    </row>
    <row r="68" spans="2:15" x14ac:dyDescent="0.25">
      <c r="B68" s="44" t="s">
        <v>22</v>
      </c>
      <c r="C68" s="43" t="s">
        <v>61</v>
      </c>
      <c r="D68" s="18"/>
      <c r="E68" s="22"/>
      <c r="F68" s="136"/>
      <c r="G68" s="123"/>
      <c r="H68" s="104"/>
      <c r="I68" s="104"/>
      <c r="J68" s="104"/>
      <c r="K68" s="123"/>
      <c r="L68" s="123"/>
      <c r="M68" s="123"/>
      <c r="N68" s="123"/>
      <c r="O68" s="123"/>
    </row>
    <row r="69" spans="2:15" x14ac:dyDescent="0.25">
      <c r="B69" s="58">
        <v>1</v>
      </c>
      <c r="C69" s="59" t="s">
        <v>28</v>
      </c>
      <c r="D69" s="60" t="s">
        <v>15</v>
      </c>
      <c r="E69" s="61">
        <v>1264.01</v>
      </c>
      <c r="F69" s="136">
        <v>298000</v>
      </c>
      <c r="G69" s="123">
        <v>295890.57</v>
      </c>
      <c r="H69" s="104">
        <v>324150</v>
      </c>
      <c r="I69" s="104">
        <v>279039.20549999998</v>
      </c>
      <c r="J69" s="104">
        <v>277000</v>
      </c>
      <c r="K69" s="123">
        <f t="shared" ref="K69:K81" si="26">F69*E69</f>
        <v>376674980</v>
      </c>
      <c r="L69" s="123">
        <f>G69*E69</f>
        <v>374008639.38569999</v>
      </c>
      <c r="M69" s="123">
        <f t="shared" ref="M69:M81" si="27">H69*E69</f>
        <v>409728841.5</v>
      </c>
      <c r="N69" s="123">
        <f t="shared" ref="N69:N81" si="28">I69*E69</f>
        <v>352708346.14405495</v>
      </c>
      <c r="O69" s="123">
        <f t="shared" ref="O69:O81" si="29">J69*E69</f>
        <v>350130770</v>
      </c>
    </row>
    <row r="70" spans="2:15" x14ac:dyDescent="0.25">
      <c r="B70" s="58">
        <v>2</v>
      </c>
      <c r="C70" s="59" t="s">
        <v>27</v>
      </c>
      <c r="D70" s="60" t="s">
        <v>15</v>
      </c>
      <c r="E70" s="61">
        <v>29.78</v>
      </c>
      <c r="F70" s="136">
        <v>404000</v>
      </c>
      <c r="G70" s="123">
        <v>395265.32</v>
      </c>
      <c r="H70" s="104">
        <v>428500</v>
      </c>
      <c r="I70" s="104">
        <v>384234.29</v>
      </c>
      <c r="J70" s="104">
        <v>375000</v>
      </c>
      <c r="K70" s="123">
        <f t="shared" si="26"/>
        <v>12031120</v>
      </c>
      <c r="L70" s="123">
        <f t="shared" ref="L70:L81" si="30">G70*E70</f>
        <v>11771001.229600001</v>
      </c>
      <c r="M70" s="123">
        <f t="shared" si="27"/>
        <v>12760730</v>
      </c>
      <c r="N70" s="123">
        <f t="shared" si="28"/>
        <v>11442497.156199999</v>
      </c>
      <c r="O70" s="123">
        <f t="shared" si="29"/>
        <v>11167500</v>
      </c>
    </row>
    <row r="71" spans="2:15" x14ac:dyDescent="0.25">
      <c r="B71" s="58">
        <v>3</v>
      </c>
      <c r="C71" s="59" t="s">
        <v>26</v>
      </c>
      <c r="D71" s="60" t="s">
        <v>15</v>
      </c>
      <c r="E71" s="61">
        <v>9.17</v>
      </c>
      <c r="F71" s="136">
        <v>450296</v>
      </c>
      <c r="G71" s="123">
        <v>422890.32</v>
      </c>
      <c r="H71" s="104">
        <v>451000</v>
      </c>
      <c r="I71" s="104">
        <v>415231.4705</v>
      </c>
      <c r="J71" s="104">
        <v>395000</v>
      </c>
      <c r="K71" s="123">
        <f t="shared" si="26"/>
        <v>4129214.32</v>
      </c>
      <c r="L71" s="123">
        <f t="shared" si="30"/>
        <v>3877904.2344</v>
      </c>
      <c r="M71" s="123">
        <f t="shared" si="27"/>
        <v>4135670</v>
      </c>
      <c r="N71" s="123">
        <f t="shared" si="28"/>
        <v>3807672.584485</v>
      </c>
      <c r="O71" s="123">
        <f t="shared" si="29"/>
        <v>3622150</v>
      </c>
    </row>
    <row r="72" spans="2:15" x14ac:dyDescent="0.25">
      <c r="B72" s="58">
        <v>4</v>
      </c>
      <c r="C72" s="59" t="s">
        <v>30</v>
      </c>
      <c r="D72" s="60" t="s">
        <v>15</v>
      </c>
      <c r="E72" s="61">
        <v>18.329999999999998</v>
      </c>
      <c r="F72" s="136">
        <v>598153</v>
      </c>
      <c r="G72" s="123">
        <v>550407.94999999995</v>
      </c>
      <c r="H72" s="104">
        <v>558450</v>
      </c>
      <c r="I72" s="104">
        <v>551002.25950000004</v>
      </c>
      <c r="J72" s="104">
        <v>540000</v>
      </c>
      <c r="K72" s="123">
        <f t="shared" si="26"/>
        <v>10964144.489999998</v>
      </c>
      <c r="L72" s="123">
        <f t="shared" si="30"/>
        <v>10088977.723499998</v>
      </c>
      <c r="M72" s="123">
        <f t="shared" si="27"/>
        <v>10236388.499999998</v>
      </c>
      <c r="N72" s="123">
        <f t="shared" si="28"/>
        <v>10099871.416634999</v>
      </c>
      <c r="O72" s="123">
        <f t="shared" si="29"/>
        <v>9898200</v>
      </c>
    </row>
    <row r="73" spans="2:15" x14ac:dyDescent="0.25">
      <c r="B73" s="58">
        <v>5</v>
      </c>
      <c r="C73" s="59" t="s">
        <v>31</v>
      </c>
      <c r="D73" s="60" t="s">
        <v>15</v>
      </c>
      <c r="E73" s="61">
        <v>95.12</v>
      </c>
      <c r="F73" s="136">
        <v>672487</v>
      </c>
      <c r="G73" s="123">
        <v>709185.44</v>
      </c>
      <c r="H73" s="104">
        <v>655500</v>
      </c>
      <c r="I73" s="104">
        <v>642948.72180000006</v>
      </c>
      <c r="J73" s="104">
        <v>615000</v>
      </c>
      <c r="K73" s="123">
        <f t="shared" si="26"/>
        <v>63966963.440000005</v>
      </c>
      <c r="L73" s="123">
        <f t="shared" si="30"/>
        <v>67457719.0528</v>
      </c>
      <c r="M73" s="123">
        <f t="shared" si="27"/>
        <v>62351160</v>
      </c>
      <c r="N73" s="123">
        <f t="shared" si="28"/>
        <v>61157282.41761601</v>
      </c>
      <c r="O73" s="123">
        <f t="shared" si="29"/>
        <v>58498800</v>
      </c>
    </row>
    <row r="74" spans="2:15" x14ac:dyDescent="0.25">
      <c r="B74" s="58">
        <v>6</v>
      </c>
      <c r="C74" s="59" t="s">
        <v>32</v>
      </c>
      <c r="D74" s="60" t="s">
        <v>15</v>
      </c>
      <c r="E74" s="61">
        <v>8.3699999999999992</v>
      </c>
      <c r="F74" s="136">
        <v>760422</v>
      </c>
      <c r="G74" s="123">
        <v>709185.44</v>
      </c>
      <c r="H74" s="104">
        <v>750900</v>
      </c>
      <c r="I74" s="104">
        <v>761011.62719999999</v>
      </c>
      <c r="J74" s="104">
        <v>645000</v>
      </c>
      <c r="K74" s="123">
        <f t="shared" si="26"/>
        <v>6364732.1399999997</v>
      </c>
      <c r="L74" s="123">
        <f t="shared" si="30"/>
        <v>5935882.1327999989</v>
      </c>
      <c r="M74" s="123">
        <f t="shared" si="27"/>
        <v>6285032.9999999991</v>
      </c>
      <c r="N74" s="123">
        <f t="shared" si="28"/>
        <v>6369667.3196639996</v>
      </c>
      <c r="O74" s="123">
        <f t="shared" si="29"/>
        <v>5398649.9999999991</v>
      </c>
    </row>
    <row r="75" spans="2:15" x14ac:dyDescent="0.25">
      <c r="B75" s="58">
        <v>7</v>
      </c>
      <c r="C75" s="59" t="s">
        <v>34</v>
      </c>
      <c r="D75" s="60" t="s">
        <v>15</v>
      </c>
      <c r="E75" s="61">
        <v>16.420000000000002</v>
      </c>
      <c r="F75" s="136">
        <v>1077219</v>
      </c>
      <c r="G75" s="123">
        <v>1030363.51</v>
      </c>
      <c r="H75" s="104">
        <v>1082000</v>
      </c>
      <c r="I75" s="104">
        <v>1131044.442</v>
      </c>
      <c r="J75" s="104">
        <v>905000</v>
      </c>
      <c r="K75" s="123">
        <f t="shared" si="26"/>
        <v>17687935.98</v>
      </c>
      <c r="L75" s="123">
        <f t="shared" si="30"/>
        <v>16918568.834200002</v>
      </c>
      <c r="M75" s="123">
        <f t="shared" si="27"/>
        <v>17766440</v>
      </c>
      <c r="N75" s="123">
        <f t="shared" si="28"/>
        <v>18571749.737640001</v>
      </c>
      <c r="O75" s="123">
        <f t="shared" si="29"/>
        <v>14860100.000000002</v>
      </c>
    </row>
    <row r="76" spans="2:15" x14ac:dyDescent="0.25">
      <c r="B76" s="58">
        <v>8</v>
      </c>
      <c r="C76" s="59" t="s">
        <v>16</v>
      </c>
      <c r="D76" s="60" t="s">
        <v>17</v>
      </c>
      <c r="E76" s="61">
        <v>182</v>
      </c>
      <c r="F76" s="136">
        <v>702000</v>
      </c>
      <c r="G76" s="123">
        <v>754800</v>
      </c>
      <c r="H76" s="104">
        <v>800000</v>
      </c>
      <c r="I76" s="104">
        <v>680925.63549999997</v>
      </c>
      <c r="J76" s="104">
        <v>700009</v>
      </c>
      <c r="K76" s="123">
        <f t="shared" si="26"/>
        <v>127764000</v>
      </c>
      <c r="L76" s="123">
        <f t="shared" si="30"/>
        <v>137373600</v>
      </c>
      <c r="M76" s="123">
        <f t="shared" si="27"/>
        <v>145600000</v>
      </c>
      <c r="N76" s="123">
        <f t="shared" si="28"/>
        <v>123928465.661</v>
      </c>
      <c r="O76" s="123">
        <f t="shared" si="29"/>
        <v>127401638</v>
      </c>
    </row>
    <row r="77" spans="2:15" x14ac:dyDescent="0.25">
      <c r="B77" s="58">
        <v>9</v>
      </c>
      <c r="C77" s="59" t="s">
        <v>18</v>
      </c>
      <c r="D77" s="60" t="s">
        <v>17</v>
      </c>
      <c r="E77" s="61">
        <v>12</v>
      </c>
      <c r="F77" s="136">
        <v>1400000</v>
      </c>
      <c r="G77" s="123">
        <v>696223</v>
      </c>
      <c r="H77" s="104">
        <v>3800000</v>
      </c>
      <c r="I77" s="104">
        <v>1014639.267</v>
      </c>
      <c r="J77" s="104">
        <v>1410000</v>
      </c>
      <c r="K77" s="123">
        <f t="shared" si="26"/>
        <v>16800000</v>
      </c>
      <c r="L77" s="123">
        <f t="shared" si="30"/>
        <v>8354676</v>
      </c>
      <c r="M77" s="123">
        <f t="shared" si="27"/>
        <v>45600000</v>
      </c>
      <c r="N77" s="123">
        <f t="shared" si="28"/>
        <v>12175671.204</v>
      </c>
      <c r="O77" s="123">
        <f t="shared" si="29"/>
        <v>16920000</v>
      </c>
    </row>
    <row r="78" spans="2:15" x14ac:dyDescent="0.25">
      <c r="B78" s="58">
        <v>10</v>
      </c>
      <c r="C78" s="59" t="s">
        <v>19</v>
      </c>
      <c r="D78" s="60" t="s">
        <v>17</v>
      </c>
      <c r="E78" s="61">
        <v>2</v>
      </c>
      <c r="F78" s="136">
        <v>1500000</v>
      </c>
      <c r="G78" s="123">
        <v>890398</v>
      </c>
      <c r="H78" s="104">
        <v>4000000</v>
      </c>
      <c r="I78" s="104">
        <v>1315073.1000000001</v>
      </c>
      <c r="J78" s="104">
        <v>1850000</v>
      </c>
      <c r="K78" s="123">
        <f t="shared" si="26"/>
        <v>3000000</v>
      </c>
      <c r="L78" s="123">
        <f t="shared" si="30"/>
        <v>1780796</v>
      </c>
      <c r="M78" s="123">
        <f t="shared" si="27"/>
        <v>8000000</v>
      </c>
      <c r="N78" s="123">
        <f t="shared" si="28"/>
        <v>2630146.2000000002</v>
      </c>
      <c r="O78" s="123">
        <f t="shared" si="29"/>
        <v>3700000</v>
      </c>
    </row>
    <row r="79" spans="2:15" x14ac:dyDescent="0.25">
      <c r="B79" s="58">
        <v>11</v>
      </c>
      <c r="C79" s="59" t="s">
        <v>20</v>
      </c>
      <c r="D79" s="60" t="s">
        <v>17</v>
      </c>
      <c r="E79" s="61">
        <v>2</v>
      </c>
      <c r="F79" s="136">
        <v>3454792</v>
      </c>
      <c r="G79" s="123">
        <v>1107323</v>
      </c>
      <c r="H79" s="104">
        <v>4132500</v>
      </c>
      <c r="I79" s="104">
        <v>2034475.227</v>
      </c>
      <c r="J79" s="104">
        <v>2200000</v>
      </c>
      <c r="K79" s="123">
        <f t="shared" si="26"/>
        <v>6909584</v>
      </c>
      <c r="L79" s="123">
        <f t="shared" si="30"/>
        <v>2214646</v>
      </c>
      <c r="M79" s="123">
        <f t="shared" si="27"/>
        <v>8265000</v>
      </c>
      <c r="N79" s="123">
        <f t="shared" si="28"/>
        <v>4068950.4539999999</v>
      </c>
      <c r="O79" s="123">
        <f t="shared" si="29"/>
        <v>4400000</v>
      </c>
    </row>
    <row r="80" spans="2:15" x14ac:dyDescent="0.25">
      <c r="B80" s="58">
        <v>12</v>
      </c>
      <c r="C80" s="59" t="s">
        <v>21</v>
      </c>
      <c r="D80" s="60" t="s">
        <v>17</v>
      </c>
      <c r="E80" s="61">
        <v>5</v>
      </c>
      <c r="F80" s="136">
        <v>4188350</v>
      </c>
      <c r="G80" s="123">
        <v>1346998</v>
      </c>
      <c r="H80" s="104">
        <v>4512500</v>
      </c>
      <c r="I80" s="104">
        <v>2034475.227</v>
      </c>
      <c r="J80" s="104">
        <v>2520000</v>
      </c>
      <c r="K80" s="123">
        <f t="shared" si="26"/>
        <v>20941750</v>
      </c>
      <c r="L80" s="123">
        <f t="shared" si="30"/>
        <v>6734990</v>
      </c>
      <c r="M80" s="123">
        <f t="shared" si="27"/>
        <v>22562500</v>
      </c>
      <c r="N80" s="123">
        <f t="shared" si="28"/>
        <v>10172376.135</v>
      </c>
      <c r="O80" s="123">
        <f t="shared" si="29"/>
        <v>12600000</v>
      </c>
    </row>
    <row r="81" spans="2:18" x14ac:dyDescent="0.25">
      <c r="B81" s="58">
        <v>13</v>
      </c>
      <c r="C81" s="59" t="s">
        <v>24</v>
      </c>
      <c r="D81" s="60" t="s">
        <v>17</v>
      </c>
      <c r="E81" s="61">
        <v>2</v>
      </c>
      <c r="F81" s="136">
        <v>5568530</v>
      </c>
      <c r="G81" s="123">
        <v>2071247</v>
      </c>
      <c r="H81" s="104">
        <v>5250000</v>
      </c>
      <c r="I81" s="104">
        <v>2834120.19</v>
      </c>
      <c r="J81" s="104">
        <v>4300000</v>
      </c>
      <c r="K81" s="123">
        <f t="shared" si="26"/>
        <v>11137060</v>
      </c>
      <c r="L81" s="123">
        <f t="shared" si="30"/>
        <v>4142494</v>
      </c>
      <c r="M81" s="123">
        <f t="shared" si="27"/>
        <v>10500000</v>
      </c>
      <c r="N81" s="123">
        <f t="shared" si="28"/>
        <v>5668240.3799999999</v>
      </c>
      <c r="O81" s="123">
        <f t="shared" si="29"/>
        <v>8600000</v>
      </c>
    </row>
    <row r="82" spans="2:18" x14ac:dyDescent="0.25">
      <c r="B82" s="17"/>
      <c r="C82" s="21" t="s">
        <v>50</v>
      </c>
      <c r="D82" s="19"/>
      <c r="E82" s="20"/>
      <c r="F82" s="136"/>
      <c r="G82" s="124"/>
      <c r="H82" s="104"/>
      <c r="I82" s="104"/>
      <c r="J82" s="104"/>
      <c r="K82" s="124">
        <f>SUM(K69:K81)</f>
        <v>678371484.37</v>
      </c>
      <c r="L82" s="124">
        <f>SUM(L69:L81)</f>
        <v>650659894.59299994</v>
      </c>
      <c r="M82" s="124">
        <f>SUM(M69:M81)</f>
        <v>763791763</v>
      </c>
      <c r="N82" s="124">
        <f>SUM(N69:N81)</f>
        <v>622800936.81029499</v>
      </c>
      <c r="O82" s="124">
        <f>SUM(O69:O81)</f>
        <v>627197808</v>
      </c>
    </row>
    <row r="83" spans="2:18" x14ac:dyDescent="0.25">
      <c r="B83" s="44" t="s">
        <v>23</v>
      </c>
      <c r="C83" s="43" t="s">
        <v>65</v>
      </c>
      <c r="D83" s="19"/>
      <c r="E83" s="22"/>
      <c r="F83" s="136"/>
      <c r="G83" s="123"/>
      <c r="H83" s="104"/>
      <c r="I83" s="104"/>
      <c r="J83" s="104"/>
      <c r="K83" s="123"/>
      <c r="L83" s="123"/>
      <c r="M83" s="123"/>
      <c r="N83" s="123"/>
      <c r="O83" s="123"/>
    </row>
    <row r="84" spans="2:18" x14ac:dyDescent="0.25">
      <c r="B84" s="58">
        <v>1</v>
      </c>
      <c r="C84" s="59" t="s">
        <v>37</v>
      </c>
      <c r="D84" s="60" t="s">
        <v>38</v>
      </c>
      <c r="E84" s="61">
        <f>E89*1.5</f>
        <v>1832.6955</v>
      </c>
      <c r="F84" s="202">
        <v>10000</v>
      </c>
      <c r="G84" s="123">
        <v>3750</v>
      </c>
      <c r="H84" s="104">
        <v>5000</v>
      </c>
      <c r="I84" s="104">
        <v>5000</v>
      </c>
      <c r="J84" s="104">
        <v>4000</v>
      </c>
      <c r="K84" s="123">
        <f t="shared" ref="K84:K91" si="31">F84*E84</f>
        <v>18326955</v>
      </c>
      <c r="L84" s="123">
        <f>G84*E84</f>
        <v>6872608.125</v>
      </c>
      <c r="M84" s="123">
        <f t="shared" ref="M84:M91" si="32">H84*E84</f>
        <v>9163477.5</v>
      </c>
      <c r="N84" s="123">
        <f t="shared" ref="N84:N91" si="33">I84*E84</f>
        <v>9163477.5</v>
      </c>
      <c r="O84" s="123">
        <f t="shared" ref="O84:O91" si="34">J84*E84</f>
        <v>7330782</v>
      </c>
    </row>
    <row r="85" spans="2:18" x14ac:dyDescent="0.25">
      <c r="B85" s="58">
        <f>B84+1</f>
        <v>2</v>
      </c>
      <c r="C85" s="59" t="s">
        <v>40</v>
      </c>
      <c r="D85" s="60" t="s">
        <v>41</v>
      </c>
      <c r="E85" s="61">
        <f>E88*0.25</f>
        <v>1261.8489999999999</v>
      </c>
      <c r="F85" s="202">
        <v>204763</v>
      </c>
      <c r="G85" s="123">
        <v>287000</v>
      </c>
      <c r="H85" s="104">
        <v>250000</v>
      </c>
      <c r="I85" s="104">
        <v>242801.9</v>
      </c>
      <c r="J85" s="104">
        <v>222000</v>
      </c>
      <c r="K85" s="123">
        <f t="shared" si="31"/>
        <v>258379986.787</v>
      </c>
      <c r="L85" s="123">
        <f t="shared" ref="L85:L91" si="35">G85*E85</f>
        <v>362150663</v>
      </c>
      <c r="M85" s="123">
        <f t="shared" si="32"/>
        <v>315462250</v>
      </c>
      <c r="N85" s="123">
        <f t="shared" si="33"/>
        <v>306379334.71309996</v>
      </c>
      <c r="O85" s="123">
        <f t="shared" si="34"/>
        <v>280130478</v>
      </c>
    </row>
    <row r="86" spans="2:18" x14ac:dyDescent="0.25">
      <c r="B86" s="58">
        <f t="shared" ref="B86:B89" si="36">B85+1</f>
        <v>3</v>
      </c>
      <c r="C86" s="59" t="s">
        <v>42</v>
      </c>
      <c r="D86" s="60" t="s">
        <v>41</v>
      </c>
      <c r="E86" s="61">
        <f>E88*0.2</f>
        <v>1009.4792</v>
      </c>
      <c r="F86" s="202">
        <v>342925</v>
      </c>
      <c r="G86" s="123">
        <v>313000</v>
      </c>
      <c r="H86" s="104">
        <v>300000</v>
      </c>
      <c r="I86" s="104">
        <v>314520.8</v>
      </c>
      <c r="J86" s="104">
        <v>332000</v>
      </c>
      <c r="K86" s="123">
        <f t="shared" si="31"/>
        <v>346175654.66000003</v>
      </c>
      <c r="L86" s="123">
        <f t="shared" si="35"/>
        <v>315966989.60000002</v>
      </c>
      <c r="M86" s="123">
        <f t="shared" si="32"/>
        <v>302843760</v>
      </c>
      <c r="N86" s="123">
        <f t="shared" si="33"/>
        <v>317502205.56735998</v>
      </c>
      <c r="O86" s="123">
        <f t="shared" si="34"/>
        <v>335147094.39999998</v>
      </c>
    </row>
    <row r="87" spans="2:18" x14ac:dyDescent="0.25">
      <c r="B87" s="58">
        <f t="shared" si="36"/>
        <v>4</v>
      </c>
      <c r="C87" s="59" t="s">
        <v>43</v>
      </c>
      <c r="D87" s="60" t="s">
        <v>38</v>
      </c>
      <c r="E87" s="61">
        <f>E88</f>
        <v>5047.3959999999997</v>
      </c>
      <c r="F87" s="202"/>
      <c r="G87" s="123"/>
      <c r="H87" s="104"/>
      <c r="I87" s="104"/>
      <c r="J87" s="104"/>
      <c r="K87" s="123">
        <f t="shared" si="31"/>
        <v>0</v>
      </c>
      <c r="L87" s="123">
        <f t="shared" si="35"/>
        <v>0</v>
      </c>
      <c r="M87" s="123">
        <f t="shared" si="32"/>
        <v>0</v>
      </c>
      <c r="N87" s="123">
        <f t="shared" si="33"/>
        <v>0</v>
      </c>
      <c r="O87" s="123">
        <f t="shared" si="34"/>
        <v>0</v>
      </c>
    </row>
    <row r="88" spans="2:18" x14ac:dyDescent="0.25">
      <c r="B88" s="58">
        <f t="shared" si="36"/>
        <v>5</v>
      </c>
      <c r="C88" s="59" t="s">
        <v>44</v>
      </c>
      <c r="D88" s="60" t="s">
        <v>38</v>
      </c>
      <c r="E88" s="61">
        <v>5047.3959999999997</v>
      </c>
      <c r="F88" s="202"/>
      <c r="G88" s="123"/>
      <c r="H88" s="104"/>
      <c r="I88" s="104"/>
      <c r="J88" s="104"/>
      <c r="K88" s="123">
        <f t="shared" si="31"/>
        <v>0</v>
      </c>
      <c r="L88" s="123">
        <f t="shared" si="35"/>
        <v>0</v>
      </c>
      <c r="M88" s="123">
        <f t="shared" si="32"/>
        <v>0</v>
      </c>
      <c r="N88" s="123">
        <f t="shared" si="33"/>
        <v>0</v>
      </c>
      <c r="O88" s="123">
        <f t="shared" si="34"/>
        <v>0</v>
      </c>
    </row>
    <row r="89" spans="2:18" x14ac:dyDescent="0.25">
      <c r="B89" s="58">
        <f t="shared" si="36"/>
        <v>6</v>
      </c>
      <c r="C89" s="59" t="s">
        <v>45</v>
      </c>
      <c r="D89" s="60" t="s">
        <v>15</v>
      </c>
      <c r="E89" s="61">
        <v>1221.797</v>
      </c>
      <c r="F89" s="202">
        <v>169875</v>
      </c>
      <c r="G89" s="123">
        <v>130000</v>
      </c>
      <c r="H89" s="104">
        <v>82500</v>
      </c>
      <c r="I89" s="104">
        <v>87043.857999999993</v>
      </c>
      <c r="J89" s="104">
        <v>158500</v>
      </c>
      <c r="K89" s="123">
        <f t="shared" si="31"/>
        <v>207552765.375</v>
      </c>
      <c r="L89" s="123">
        <f t="shared" si="35"/>
        <v>158833610</v>
      </c>
      <c r="M89" s="123">
        <f t="shared" si="32"/>
        <v>100798252.5</v>
      </c>
      <c r="N89" s="123">
        <f t="shared" si="33"/>
        <v>106349924.572826</v>
      </c>
      <c r="O89" s="123">
        <f t="shared" si="34"/>
        <v>193654824.5</v>
      </c>
    </row>
    <row r="90" spans="2:18" x14ac:dyDescent="0.25">
      <c r="B90" s="58">
        <v>7</v>
      </c>
      <c r="C90" s="86" t="s">
        <v>126</v>
      </c>
      <c r="D90" s="60" t="s">
        <v>101</v>
      </c>
      <c r="E90" s="61">
        <f>E87</f>
        <v>5047.3959999999997</v>
      </c>
      <c r="F90" s="136">
        <v>5000</v>
      </c>
      <c r="G90" s="123">
        <v>3750</v>
      </c>
      <c r="H90" s="104">
        <v>5000</v>
      </c>
      <c r="I90" s="104">
        <v>8000</v>
      </c>
      <c r="J90" s="104">
        <v>4000</v>
      </c>
      <c r="K90" s="123">
        <f t="shared" si="31"/>
        <v>25236980</v>
      </c>
      <c r="L90" s="123">
        <f t="shared" si="35"/>
        <v>18927735</v>
      </c>
      <c r="M90" s="123">
        <f t="shared" si="32"/>
        <v>25236980</v>
      </c>
      <c r="N90" s="123">
        <f t="shared" si="33"/>
        <v>40379168</v>
      </c>
      <c r="O90" s="123">
        <f t="shared" si="34"/>
        <v>20189584</v>
      </c>
    </row>
    <row r="91" spans="2:18" x14ac:dyDescent="0.25">
      <c r="B91" s="58"/>
      <c r="C91" s="86" t="s">
        <v>125</v>
      </c>
      <c r="D91" s="60" t="s">
        <v>38</v>
      </c>
      <c r="E91" s="61">
        <v>5047.3999999999996</v>
      </c>
      <c r="F91" s="136">
        <v>115000</v>
      </c>
      <c r="G91" s="123">
        <v>149500</v>
      </c>
      <c r="H91" s="104">
        <v>110000</v>
      </c>
      <c r="I91" s="104">
        <v>114694.6974</v>
      </c>
      <c r="J91" s="104">
        <v>89000</v>
      </c>
      <c r="K91" s="123">
        <f t="shared" si="31"/>
        <v>580451000</v>
      </c>
      <c r="L91" s="123">
        <f t="shared" si="35"/>
        <v>754586300</v>
      </c>
      <c r="M91" s="123">
        <f t="shared" si="32"/>
        <v>555214000</v>
      </c>
      <c r="N91" s="123">
        <f t="shared" si="33"/>
        <v>578910015.65675998</v>
      </c>
      <c r="O91" s="123">
        <f t="shared" si="34"/>
        <v>449218599.99999994</v>
      </c>
    </row>
    <row r="92" spans="2:18" x14ac:dyDescent="0.25">
      <c r="B92" s="17"/>
      <c r="C92" s="21" t="s">
        <v>50</v>
      </c>
      <c r="D92" s="19"/>
      <c r="E92" s="22"/>
      <c r="F92" s="136"/>
      <c r="G92" s="140"/>
      <c r="H92" s="104"/>
      <c r="I92" s="104"/>
      <c r="J92" s="104"/>
      <c r="K92" s="140">
        <f>SUM(K84:K91)</f>
        <v>1436123341.822</v>
      </c>
      <c r="L92" s="140">
        <f>SUM(L84:L91)</f>
        <v>1617337905.7249999</v>
      </c>
      <c r="M92" s="140">
        <f>SUM(M84:M91)</f>
        <v>1308718720</v>
      </c>
      <c r="N92" s="140">
        <f>SUM(N84:N91)</f>
        <v>1358684126.010046</v>
      </c>
      <c r="O92" s="140">
        <f>SUM(O84:O91)</f>
        <v>1285671362.8999999</v>
      </c>
    </row>
    <row r="93" spans="2:18" x14ac:dyDescent="0.25">
      <c r="B93" s="52" t="s">
        <v>73</v>
      </c>
      <c r="C93" s="53" t="s">
        <v>74</v>
      </c>
      <c r="D93" s="39"/>
      <c r="E93" s="54"/>
      <c r="F93" s="141"/>
      <c r="G93" s="142"/>
      <c r="H93" s="103"/>
      <c r="I93" s="103"/>
      <c r="J93" s="103"/>
      <c r="K93" s="142"/>
      <c r="L93" s="142"/>
      <c r="M93" s="142"/>
      <c r="N93" s="142"/>
      <c r="O93" s="142"/>
      <c r="Q93" s="246">
        <v>70343.75</v>
      </c>
      <c r="R93" s="246">
        <f>O114</f>
        <v>4878529479.3000002</v>
      </c>
    </row>
    <row r="94" spans="2:18" x14ac:dyDescent="0.25">
      <c r="B94" s="17">
        <v>1</v>
      </c>
      <c r="C94" s="49" t="s">
        <v>69</v>
      </c>
      <c r="D94" s="50"/>
      <c r="E94" s="48"/>
      <c r="F94" s="136"/>
      <c r="G94" s="140"/>
      <c r="H94" s="104"/>
      <c r="I94" s="104"/>
      <c r="J94" s="104"/>
      <c r="K94" s="140"/>
      <c r="L94" s="140"/>
      <c r="M94" s="140"/>
      <c r="N94" s="140"/>
      <c r="O94" s="140"/>
      <c r="R94" s="246">
        <f>R93/Q93</f>
        <v>69352.706946956911</v>
      </c>
    </row>
    <row r="95" spans="2:18" x14ac:dyDescent="0.25">
      <c r="B95" s="17"/>
      <c r="C95" s="49" t="s">
        <v>70</v>
      </c>
      <c r="D95" s="47"/>
      <c r="E95" s="51"/>
      <c r="F95" s="136"/>
      <c r="G95" s="140"/>
      <c r="H95" s="104"/>
      <c r="I95" s="104"/>
      <c r="J95" s="104"/>
      <c r="K95" s="140"/>
      <c r="L95" s="140"/>
      <c r="M95" s="140"/>
      <c r="N95" s="140"/>
      <c r="O95" s="140"/>
    </row>
    <row r="96" spans="2:18" x14ac:dyDescent="0.25">
      <c r="B96" s="17"/>
      <c r="C96" s="49" t="s">
        <v>71</v>
      </c>
      <c r="D96" s="47" t="s">
        <v>72</v>
      </c>
      <c r="E96" s="51">
        <f>2102</f>
        <v>2102</v>
      </c>
      <c r="F96" s="136">
        <v>25000</v>
      </c>
      <c r="G96" s="123">
        <v>26500</v>
      </c>
      <c r="H96" s="104">
        <v>26000</v>
      </c>
      <c r="I96" s="104">
        <v>16000</v>
      </c>
      <c r="J96" s="104">
        <v>21000</v>
      </c>
      <c r="K96" s="123">
        <f t="shared" ref="K96" si="37">F96*E96</f>
        <v>52550000</v>
      </c>
      <c r="L96" s="123">
        <f>G96*E96</f>
        <v>55703000</v>
      </c>
      <c r="M96" s="123">
        <f t="shared" ref="M96" si="38">H96*E96</f>
        <v>54652000</v>
      </c>
      <c r="N96" s="123">
        <f t="shared" ref="N96" si="39">I96*E96</f>
        <v>33632000</v>
      </c>
      <c r="O96" s="123">
        <f t="shared" ref="O96" si="40">J96*E96</f>
        <v>44142000</v>
      </c>
    </row>
    <row r="97" spans="2:16" x14ac:dyDescent="0.25">
      <c r="B97" s="17"/>
      <c r="C97" s="21" t="s">
        <v>50</v>
      </c>
      <c r="D97" s="19"/>
      <c r="E97" s="22"/>
      <c r="F97" s="136"/>
      <c r="G97" s="140"/>
      <c r="H97" s="104"/>
      <c r="I97" s="104"/>
      <c r="J97" s="104"/>
      <c r="K97" s="140">
        <f>SUM(K96)</f>
        <v>52550000</v>
      </c>
      <c r="L97" s="140">
        <f>SUM(L96)</f>
        <v>55703000</v>
      </c>
      <c r="M97" s="140">
        <f>SUM(M96)</f>
        <v>54652000</v>
      </c>
      <c r="N97" s="140">
        <f>SUM(N96)</f>
        <v>33632000</v>
      </c>
      <c r="O97" s="140">
        <f>SUM(O96)</f>
        <v>44142000</v>
      </c>
    </row>
    <row r="98" spans="2:16" x14ac:dyDescent="0.25">
      <c r="B98" s="30"/>
      <c r="C98" s="31"/>
      <c r="D98" s="32"/>
      <c r="E98" s="40"/>
      <c r="F98" s="141"/>
      <c r="G98" s="142"/>
      <c r="H98" s="108"/>
      <c r="I98" s="108"/>
      <c r="J98" s="108"/>
      <c r="K98" s="142"/>
      <c r="L98" s="142"/>
      <c r="M98" s="142"/>
      <c r="N98" s="142"/>
      <c r="O98" s="142"/>
    </row>
    <row r="99" spans="2:16" x14ac:dyDescent="0.25">
      <c r="B99" s="2" t="s">
        <v>48</v>
      </c>
      <c r="F99" s="108"/>
      <c r="G99" s="108"/>
      <c r="H99" s="108"/>
      <c r="I99" s="108"/>
      <c r="J99" s="108"/>
      <c r="K99" s="108"/>
      <c r="L99" s="108"/>
      <c r="M99" s="108"/>
      <c r="N99" s="108"/>
      <c r="O99" s="108"/>
    </row>
    <row r="100" spans="2:16" x14ac:dyDescent="0.25">
      <c r="B100" s="25"/>
      <c r="C100" s="26"/>
      <c r="D100" s="26"/>
      <c r="E100" s="27"/>
      <c r="F100" s="143" t="s">
        <v>47</v>
      </c>
      <c r="G100" s="144"/>
      <c r="H100" s="109"/>
      <c r="I100" s="109"/>
      <c r="J100" s="109"/>
      <c r="K100" s="144"/>
      <c r="L100" s="144"/>
      <c r="M100" s="144"/>
      <c r="N100" s="144"/>
      <c r="O100" s="144"/>
    </row>
    <row r="101" spans="2:16" x14ac:dyDescent="0.25">
      <c r="B101" s="45" t="s">
        <v>7</v>
      </c>
      <c r="C101" s="41" t="str">
        <f>C8</f>
        <v>PEKERJAAN PERSIAPAN</v>
      </c>
      <c r="D101" s="28"/>
      <c r="E101" s="29"/>
      <c r="F101" s="145"/>
      <c r="G101" s="124"/>
      <c r="H101" s="109"/>
      <c r="I101" s="109"/>
      <c r="J101" s="109"/>
      <c r="K101" s="124">
        <f>K13</f>
        <v>30500000</v>
      </c>
      <c r="L101" s="124">
        <f>L13</f>
        <v>96625000</v>
      </c>
      <c r="M101" s="124">
        <f>M13</f>
        <v>34500000</v>
      </c>
      <c r="N101" s="124">
        <f>N13</f>
        <v>91000000</v>
      </c>
      <c r="O101" s="219">
        <f>O13*2</f>
        <v>31707752</v>
      </c>
      <c r="P101">
        <v>31707752</v>
      </c>
    </row>
    <row r="102" spans="2:16" x14ac:dyDescent="0.25">
      <c r="B102" s="42" t="s">
        <v>14</v>
      </c>
      <c r="C102" s="43" t="str">
        <f>C14</f>
        <v>PEKERJAAN JALAN DAN SALURAN NEW LIVISTONA</v>
      </c>
      <c r="D102" s="28"/>
      <c r="E102" s="29"/>
      <c r="F102" s="145"/>
      <c r="G102" s="146"/>
      <c r="H102" s="109"/>
      <c r="I102" s="109"/>
      <c r="J102" s="109"/>
      <c r="K102" s="146">
        <f t="shared" ref="K102:P102" si="41">K103+K104</f>
        <v>1584214445.2820001</v>
      </c>
      <c r="L102" s="146">
        <f t="shared" si="41"/>
        <v>1682567148.0315399</v>
      </c>
      <c r="M102" s="146">
        <f t="shared" si="41"/>
        <v>1526513872.5</v>
      </c>
      <c r="N102" s="146">
        <f t="shared" si="41"/>
        <v>1463585800.2348106</v>
      </c>
      <c r="O102" s="146">
        <f t="shared" si="41"/>
        <v>1438032634.4000001</v>
      </c>
      <c r="P102">
        <f t="shared" si="41"/>
        <v>2417525787</v>
      </c>
    </row>
    <row r="103" spans="2:16" x14ac:dyDescent="0.25">
      <c r="B103" s="42" t="s">
        <v>22</v>
      </c>
      <c r="C103" s="43" t="s">
        <v>67</v>
      </c>
      <c r="D103" s="28"/>
      <c r="E103" s="29"/>
      <c r="F103" s="145"/>
      <c r="G103" s="146"/>
      <c r="H103" s="109"/>
      <c r="I103" s="109"/>
      <c r="J103" s="109"/>
      <c r="K103" s="146">
        <f>K28</f>
        <v>476536342.42000002</v>
      </c>
      <c r="L103" s="146">
        <f>L28</f>
        <v>458623295.93154001</v>
      </c>
      <c r="M103" s="146">
        <f>M28</f>
        <v>542517532.5</v>
      </c>
      <c r="N103" s="146">
        <f>N28</f>
        <v>441661841.24479049</v>
      </c>
      <c r="O103" s="146">
        <f>O28</f>
        <v>446723882</v>
      </c>
      <c r="P103">
        <v>446723882</v>
      </c>
    </row>
    <row r="104" spans="2:16" x14ac:dyDescent="0.25">
      <c r="B104" s="42" t="s">
        <v>23</v>
      </c>
      <c r="C104" s="43" t="s">
        <v>68</v>
      </c>
      <c r="D104" s="28"/>
      <c r="E104" s="29"/>
      <c r="F104" s="145"/>
      <c r="G104" s="146"/>
      <c r="H104" s="109"/>
      <c r="I104" s="109"/>
      <c r="J104" s="109"/>
      <c r="K104" s="146">
        <f>K42</f>
        <v>1107678102.862</v>
      </c>
      <c r="L104" s="146">
        <f>L42</f>
        <v>1223943852.0999999</v>
      </c>
      <c r="M104" s="146">
        <f>M42</f>
        <v>983996340</v>
      </c>
      <c r="N104" s="146">
        <f>N42</f>
        <v>1021923958.99002</v>
      </c>
      <c r="O104" s="146">
        <f>O42</f>
        <v>991308752.4000001</v>
      </c>
      <c r="P104">
        <f>P105+P106</f>
        <v>1970801905</v>
      </c>
    </row>
    <row r="105" spans="2:16" x14ac:dyDescent="0.25">
      <c r="B105" s="42" t="s">
        <v>39</v>
      </c>
      <c r="C105" s="43" t="str">
        <f>C44</f>
        <v>PEKERJAAN JALAN DAN SALURAN NEW ATALEYA</v>
      </c>
      <c r="D105" s="28"/>
      <c r="E105" s="29"/>
      <c r="F105" s="145"/>
      <c r="G105" s="146"/>
      <c r="H105" s="109"/>
      <c r="I105" s="109"/>
      <c r="J105" s="109"/>
      <c r="K105" s="146">
        <f>K106+K107</f>
        <v>1621981906.9875002</v>
      </c>
      <c r="L105" s="146">
        <f>L106+L107</f>
        <v>1736165244.4280999</v>
      </c>
      <c r="M105" s="146">
        <f>M106+M107</f>
        <v>1577646967.5</v>
      </c>
      <c r="N105" s="146">
        <f>N106+N107</f>
        <v>1518645950.7818451</v>
      </c>
      <c r="O105" s="146">
        <f>O106+O107</f>
        <v>1467631798</v>
      </c>
      <c r="P105">
        <v>1467631798</v>
      </c>
    </row>
    <row r="106" spans="2:16" x14ac:dyDescent="0.25">
      <c r="B106" s="42" t="s">
        <v>22</v>
      </c>
      <c r="C106" s="43" t="s">
        <v>67</v>
      </c>
      <c r="D106" s="28"/>
      <c r="E106" s="29"/>
      <c r="F106" s="145"/>
      <c r="G106" s="146"/>
      <c r="H106" s="109"/>
      <c r="I106" s="109"/>
      <c r="J106" s="109"/>
      <c r="K106" s="146">
        <f>K55</f>
        <v>544659223.13</v>
      </c>
      <c r="L106" s="146">
        <f>L55</f>
        <v>523574380.92809993</v>
      </c>
      <c r="M106" s="146">
        <f>M55</f>
        <v>596611352.5</v>
      </c>
      <c r="N106" s="146">
        <f>N55</f>
        <v>500145890.46603298</v>
      </c>
      <c r="O106" s="146">
        <f>O55</f>
        <v>503170107</v>
      </c>
      <c r="P106">
        <v>503170107</v>
      </c>
    </row>
    <row r="107" spans="2:16" x14ac:dyDescent="0.25">
      <c r="B107" s="42" t="s">
        <v>23</v>
      </c>
      <c r="C107" s="43" t="s">
        <v>68</v>
      </c>
      <c r="D107" s="28"/>
      <c r="E107" s="29"/>
      <c r="F107" s="145"/>
      <c r="G107" s="146"/>
      <c r="H107" s="109"/>
      <c r="I107" s="109"/>
      <c r="J107" s="109"/>
      <c r="K107" s="146">
        <f>K65</f>
        <v>1077322683.8575001</v>
      </c>
      <c r="L107" s="146">
        <f>L65</f>
        <v>1212590863.5</v>
      </c>
      <c r="M107" s="146">
        <f>M65</f>
        <v>981035615</v>
      </c>
      <c r="N107" s="146">
        <f>N65</f>
        <v>1018500060.3158121</v>
      </c>
      <c r="O107" s="146">
        <f>O65</f>
        <v>964461691</v>
      </c>
      <c r="P107">
        <v>964461691</v>
      </c>
    </row>
    <row r="108" spans="2:16" x14ac:dyDescent="0.25">
      <c r="B108" s="42" t="s">
        <v>55</v>
      </c>
      <c r="C108" s="43" t="str">
        <f>C67</f>
        <v>PEKERJAAN JALAN DAN SALURAN AREA NEW ARECA</v>
      </c>
      <c r="D108" s="28"/>
      <c r="E108" s="29"/>
      <c r="F108" s="145"/>
      <c r="G108" s="146"/>
      <c r="H108" s="109"/>
      <c r="I108" s="109"/>
      <c r="J108" s="109"/>
      <c r="K108" s="146">
        <f>K109+K110</f>
        <v>2114494826.1919999</v>
      </c>
      <c r="L108" s="146">
        <f>L109+L110</f>
        <v>2267997800.3179998</v>
      </c>
      <c r="M108" s="146">
        <f>M109+M110</f>
        <v>2072510483</v>
      </c>
      <c r="N108" s="146">
        <f>N109+N110</f>
        <v>1981485062.8203411</v>
      </c>
      <c r="O108" s="146">
        <f>O109+O110</f>
        <v>1912869170.8999999</v>
      </c>
      <c r="P108">
        <v>1912869170.8999999</v>
      </c>
    </row>
    <row r="109" spans="2:16" x14ac:dyDescent="0.25">
      <c r="B109" s="42" t="s">
        <v>22</v>
      </c>
      <c r="C109" s="43" t="s">
        <v>67</v>
      </c>
      <c r="D109" s="28"/>
      <c r="E109" s="29"/>
      <c r="F109" s="145"/>
      <c r="G109" s="146"/>
      <c r="H109" s="109"/>
      <c r="I109" s="109"/>
      <c r="J109" s="109"/>
      <c r="K109" s="146">
        <f>K82</f>
        <v>678371484.37</v>
      </c>
      <c r="L109" s="146">
        <f>L82</f>
        <v>650659894.59299994</v>
      </c>
      <c r="M109" s="146">
        <f>M82</f>
        <v>763791763</v>
      </c>
      <c r="N109" s="146">
        <f>N82</f>
        <v>622800936.81029499</v>
      </c>
      <c r="O109" s="146">
        <f>O82</f>
        <v>627197808</v>
      </c>
      <c r="P109">
        <v>627197808</v>
      </c>
    </row>
    <row r="110" spans="2:16" x14ac:dyDescent="0.25">
      <c r="B110" s="42" t="s">
        <v>23</v>
      </c>
      <c r="C110" s="43" t="s">
        <v>68</v>
      </c>
      <c r="D110" s="28"/>
      <c r="E110" s="29"/>
      <c r="F110" s="145"/>
      <c r="G110" s="146"/>
      <c r="H110" s="109"/>
      <c r="I110" s="109"/>
      <c r="J110" s="109"/>
      <c r="K110" s="146">
        <f>K92</f>
        <v>1436123341.822</v>
      </c>
      <c r="L110" s="146">
        <f>L92</f>
        <v>1617337905.7249999</v>
      </c>
      <c r="M110" s="146">
        <f>M92</f>
        <v>1308718720</v>
      </c>
      <c r="N110" s="146">
        <f>N92</f>
        <v>1358684126.010046</v>
      </c>
      <c r="O110" s="146">
        <f>O92</f>
        <v>1285671362.8999999</v>
      </c>
      <c r="P110">
        <v>1285671362.8999999</v>
      </c>
    </row>
    <row r="111" spans="2:16" x14ac:dyDescent="0.25">
      <c r="B111" s="42" t="s">
        <v>73</v>
      </c>
      <c r="C111" s="43" t="str">
        <f>C93</f>
        <v>PEKERJAAN CUT n FILL PERUBAHAN CACAHAN KAVLING NEW LIVISTONA</v>
      </c>
      <c r="D111" s="28"/>
      <c r="E111" s="29"/>
      <c r="F111" s="145"/>
      <c r="G111" s="146"/>
      <c r="H111" s="109"/>
      <c r="I111" s="109"/>
      <c r="J111" s="109"/>
      <c r="K111" s="146">
        <f>K97</f>
        <v>52550000</v>
      </c>
      <c r="L111" s="146">
        <f>L97</f>
        <v>55703000</v>
      </c>
      <c r="M111" s="146">
        <f>M97</f>
        <v>54652000</v>
      </c>
      <c r="N111" s="146">
        <f>N97</f>
        <v>33632000</v>
      </c>
      <c r="O111" s="220">
        <f>O97*2</f>
        <v>88284000</v>
      </c>
      <c r="P111">
        <v>88284000</v>
      </c>
    </row>
    <row r="112" spans="2:16" x14ac:dyDescent="0.25">
      <c r="B112" s="23"/>
      <c r="C112" s="24"/>
      <c r="D112" s="28"/>
      <c r="E112" s="29"/>
      <c r="F112" s="145"/>
      <c r="G112" s="146"/>
      <c r="H112" s="109"/>
      <c r="I112" s="109"/>
      <c r="J112" s="109"/>
      <c r="K112" s="109"/>
      <c r="L112" s="109"/>
      <c r="M112" s="109"/>
      <c r="N112" s="109"/>
      <c r="O112" s="109"/>
    </row>
    <row r="113" spans="3:16" x14ac:dyDescent="0.25">
      <c r="F113" s="108"/>
      <c r="G113" s="108"/>
      <c r="H113" s="108"/>
      <c r="I113" s="108"/>
      <c r="J113" s="108"/>
      <c r="K113" s="108"/>
      <c r="L113" s="108"/>
      <c r="M113" s="108"/>
      <c r="N113" s="108"/>
      <c r="O113" s="203"/>
    </row>
    <row r="114" spans="3:16" x14ac:dyDescent="0.25">
      <c r="C114" s="207" t="s">
        <v>163</v>
      </c>
      <c r="E114" s="148" t="s">
        <v>50</v>
      </c>
      <c r="F114" s="147"/>
      <c r="G114" s="35"/>
      <c r="H114" s="108"/>
      <c r="I114" s="147" t="s">
        <v>49</v>
      </c>
      <c r="J114" s="108"/>
      <c r="K114" s="55">
        <f>K101+K102+K105+K108+K111</f>
        <v>5403741178.4615002</v>
      </c>
      <c r="L114" s="55">
        <f>L101+L102+L105+L108+L111</f>
        <v>5839058192.7776394</v>
      </c>
      <c r="M114" s="55">
        <f>M101+M102+M105+M108+M111</f>
        <v>5265823323</v>
      </c>
      <c r="N114" s="55">
        <f>N101+N102+N105+N108+N111</f>
        <v>5088348813.836997</v>
      </c>
      <c r="O114" s="55">
        <f>SUM(O101:O111)/2</f>
        <v>4878529479.3000002</v>
      </c>
      <c r="P114">
        <v>4878529479.3000002</v>
      </c>
    </row>
    <row r="115" spans="3:16" x14ac:dyDescent="0.25">
      <c r="C115" s="207" t="s">
        <v>164</v>
      </c>
      <c r="F115" s="147"/>
      <c r="G115" s="35"/>
      <c r="H115" s="108"/>
      <c r="I115" s="147" t="s">
        <v>154</v>
      </c>
      <c r="J115" s="108"/>
      <c r="K115" s="188" t="s">
        <v>155</v>
      </c>
      <c r="L115" s="55">
        <f>L114*0.1</f>
        <v>583905819.27776396</v>
      </c>
      <c r="M115" s="55">
        <f>M114*0.1</f>
        <v>526582332.30000001</v>
      </c>
      <c r="N115" s="188" t="s">
        <v>155</v>
      </c>
      <c r="O115" s="203" t="s">
        <v>170</v>
      </c>
      <c r="P115" t="s">
        <v>170</v>
      </c>
    </row>
    <row r="116" spans="3:16" x14ac:dyDescent="0.25">
      <c r="C116" s="207" t="s">
        <v>172</v>
      </c>
      <c r="E116" s="148" t="s">
        <v>50</v>
      </c>
      <c r="F116" s="148"/>
      <c r="G116" s="55"/>
      <c r="H116" s="108"/>
      <c r="I116" s="148" t="s">
        <v>50</v>
      </c>
      <c r="J116" s="108"/>
      <c r="K116" s="35">
        <f>K114</f>
        <v>5403741178.4615002</v>
      </c>
      <c r="L116" s="35">
        <f>L114+L115</f>
        <v>6422964012.0554037</v>
      </c>
      <c r="M116" s="35">
        <f>M114+M115</f>
        <v>5792405655.3000002</v>
      </c>
      <c r="N116" s="35">
        <f>N114</f>
        <v>5088348813.836997</v>
      </c>
      <c r="O116" s="35">
        <f>O114</f>
        <v>4878529479.3000002</v>
      </c>
      <c r="P116">
        <v>4878529479.3000002</v>
      </c>
    </row>
    <row r="117" spans="3:16" x14ac:dyDescent="0.25">
      <c r="E117" s="149" t="s">
        <v>53</v>
      </c>
      <c r="G117" s="203"/>
      <c r="H117" s="108"/>
      <c r="I117" s="149" t="s">
        <v>53</v>
      </c>
      <c r="J117" s="108"/>
      <c r="K117" s="35">
        <f>ROUNDDOWN(K116,-5)</f>
        <v>5403700000</v>
      </c>
      <c r="L117" s="35">
        <f>ROUNDDOWN(L116,-5)</f>
        <v>6422900000</v>
      </c>
      <c r="M117" s="35">
        <f>ROUNDDOWN(M116,-5)</f>
        <v>5792400000</v>
      </c>
      <c r="N117" s="35">
        <f>ROUNDDOWN(N116,-5)</f>
        <v>5088300000</v>
      </c>
      <c r="O117" s="35">
        <f>ROUNDDOWN(O116,-4)</f>
        <v>4878520000</v>
      </c>
      <c r="P117">
        <v>4878520000</v>
      </c>
    </row>
    <row r="118" spans="3:16" x14ac:dyDescent="0.25">
      <c r="C118" s="33"/>
      <c r="E118" s="148" t="s">
        <v>51</v>
      </c>
      <c r="F118" s="148"/>
      <c r="G118" s="55"/>
      <c r="H118" s="108"/>
      <c r="I118" s="148" t="s">
        <v>51</v>
      </c>
      <c r="J118" s="108"/>
      <c r="K118" s="55">
        <f>K117*0.1</f>
        <v>540370000</v>
      </c>
      <c r="L118" s="55">
        <f>L117*0.1</f>
        <v>642290000</v>
      </c>
      <c r="M118" s="55">
        <f>M117*0.1</f>
        <v>579240000</v>
      </c>
      <c r="N118" s="55">
        <f>N117*0.1</f>
        <v>508830000</v>
      </c>
      <c r="O118" s="55">
        <f>O117*0.1</f>
        <v>487852000</v>
      </c>
      <c r="P118">
        <v>487852000</v>
      </c>
    </row>
    <row r="119" spans="3:16" x14ac:dyDescent="0.25">
      <c r="C119" s="33"/>
      <c r="E119" s="149" t="s">
        <v>52</v>
      </c>
      <c r="F119" s="149"/>
      <c r="G119" s="35"/>
      <c r="H119" s="108"/>
      <c r="I119" s="149" t="s">
        <v>52</v>
      </c>
      <c r="J119" s="108"/>
      <c r="K119" s="35">
        <f>K117+K118</f>
        <v>5944070000</v>
      </c>
      <c r="L119" s="35">
        <f>L117+L118</f>
        <v>7065190000</v>
      </c>
      <c r="M119" s="35">
        <f>M117+M118</f>
        <v>6371640000</v>
      </c>
      <c r="N119" s="35">
        <f>N117+N118</f>
        <v>5597130000</v>
      </c>
      <c r="O119" s="35">
        <f>O118+O117</f>
        <v>5366372000</v>
      </c>
      <c r="P119">
        <v>5366372000</v>
      </c>
    </row>
    <row r="120" spans="3:16" x14ac:dyDescent="0.25">
      <c r="F120" s="34"/>
      <c r="G120" s="36"/>
      <c r="I120" s="34"/>
      <c r="J120" s="207" t="s">
        <v>166</v>
      </c>
      <c r="K120" s="207" t="s">
        <v>165</v>
      </c>
      <c r="L120" s="207"/>
      <c r="M120" s="207"/>
      <c r="N120" s="207"/>
      <c r="O120" s="207" t="s">
        <v>165</v>
      </c>
    </row>
    <row r="121" spans="3:16" ht="18.75" x14ac:dyDescent="0.3">
      <c r="F121" s="33"/>
      <c r="H121" s="33" t="s">
        <v>167</v>
      </c>
      <c r="I121" s="33"/>
      <c r="J121" s="216">
        <f>3682</f>
        <v>3682</v>
      </c>
      <c r="K121" s="217">
        <f>K102/J121</f>
        <v>430259.21925095061</v>
      </c>
      <c r="L121" s="217">
        <f>(L102*1.1)/J121</f>
        <v>502668.0779018724</v>
      </c>
      <c r="M121" s="217">
        <f>(M102*1.1)/J121</f>
        <v>456047.05587995664</v>
      </c>
      <c r="N121" s="217">
        <f>N102/J121</f>
        <v>397497.50142173021</v>
      </c>
      <c r="O121" s="218">
        <f>O102/J121</f>
        <v>390557.47810972302</v>
      </c>
    </row>
    <row r="122" spans="3:16" ht="18.75" x14ac:dyDescent="0.3">
      <c r="F122" s="33"/>
      <c r="H122" t="s">
        <v>168</v>
      </c>
      <c r="I122" s="33"/>
      <c r="J122" s="216">
        <v>3780</v>
      </c>
      <c r="K122" s="217">
        <f>K105/J122</f>
        <v>429095.74258928577</v>
      </c>
      <c r="L122" s="217">
        <f>(L105*1.1)/J122</f>
        <v>505233.27218807139</v>
      </c>
      <c r="M122" s="217">
        <f>(M105*1.1)/J122</f>
        <v>459103.61488095246</v>
      </c>
      <c r="N122" s="217">
        <f>N105/J122</f>
        <v>401758.18803752516</v>
      </c>
      <c r="O122" s="218">
        <f>O105/J122</f>
        <v>388262.38042328041</v>
      </c>
    </row>
    <row r="123" spans="3:16" ht="18.75" x14ac:dyDescent="0.3">
      <c r="F123" s="33"/>
      <c r="H123" t="s">
        <v>169</v>
      </c>
      <c r="J123" s="216">
        <v>5047</v>
      </c>
      <c r="K123" s="217">
        <f>K108/J123</f>
        <v>418960.73433564493</v>
      </c>
      <c r="L123" s="217">
        <f>(L108*1.1)/J123</f>
        <v>494312.97411329503</v>
      </c>
      <c r="M123" s="217">
        <f>(M108*1.1)/J123</f>
        <v>451706.26734693884</v>
      </c>
      <c r="N123" s="217">
        <f>N108/J123</f>
        <v>392606.51135730953</v>
      </c>
      <c r="O123" s="218">
        <f>O108/J123</f>
        <v>379011.12956211605</v>
      </c>
    </row>
    <row r="124" spans="3:16" x14ac:dyDescent="0.25">
      <c r="F124" s="33"/>
    </row>
    <row r="126" spans="3:16" x14ac:dyDescent="0.25">
      <c r="C126" s="205" t="s">
        <v>137</v>
      </c>
      <c r="D126" s="241"/>
      <c r="E126" s="241"/>
      <c r="F126" s="242" t="s">
        <v>138</v>
      </c>
      <c r="G126" s="242"/>
      <c r="H126" s="206"/>
      <c r="I126" s="207"/>
      <c r="J126" s="208"/>
      <c r="K126" s="208"/>
      <c r="L126" s="207"/>
      <c r="M126" s="209" t="s">
        <v>139</v>
      </c>
      <c r="N126" s="207"/>
      <c r="O126" s="209"/>
    </row>
    <row r="127" spans="3:16" x14ac:dyDescent="0.25">
      <c r="C127" s="210"/>
      <c r="D127" s="211"/>
      <c r="E127" s="211"/>
      <c r="F127" s="211"/>
      <c r="G127" s="211"/>
      <c r="H127" s="211"/>
      <c r="I127" s="207"/>
      <c r="J127" s="211"/>
      <c r="K127" s="211"/>
      <c r="L127" s="207"/>
      <c r="M127" s="207"/>
      <c r="N127" s="207"/>
      <c r="O127" s="207"/>
    </row>
    <row r="128" spans="3:16" x14ac:dyDescent="0.25">
      <c r="C128" s="210"/>
      <c r="D128" s="211"/>
      <c r="E128" s="211"/>
      <c r="F128" s="211"/>
      <c r="G128" s="211"/>
      <c r="H128" s="211"/>
      <c r="I128" s="207"/>
      <c r="J128" s="211"/>
      <c r="K128" s="211"/>
      <c r="L128" s="207"/>
      <c r="M128" s="207"/>
      <c r="N128" s="207"/>
      <c r="O128" s="207"/>
    </row>
    <row r="129" spans="3:15" x14ac:dyDescent="0.25">
      <c r="C129" s="210"/>
      <c r="D129" s="211"/>
      <c r="E129" s="211"/>
      <c r="F129" s="211"/>
      <c r="G129" s="211"/>
      <c r="H129" s="211"/>
      <c r="I129" s="207"/>
      <c r="J129" s="211"/>
      <c r="K129" s="211"/>
      <c r="L129" s="207"/>
      <c r="M129" s="207"/>
      <c r="N129" s="207"/>
      <c r="O129" s="207"/>
    </row>
    <row r="130" spans="3:15" x14ac:dyDescent="0.25">
      <c r="C130" s="210"/>
      <c r="D130" s="211"/>
      <c r="E130" s="211"/>
      <c r="F130" s="211"/>
      <c r="G130" s="211"/>
      <c r="H130" s="211"/>
      <c r="I130" s="207"/>
      <c r="J130" s="211"/>
      <c r="K130" s="211"/>
      <c r="L130" s="207"/>
      <c r="M130" s="207"/>
      <c r="N130" s="207"/>
      <c r="O130" s="207"/>
    </row>
    <row r="131" spans="3:15" ht="15.75" customHeight="1" x14ac:dyDescent="0.25">
      <c r="C131" s="212" t="s">
        <v>140</v>
      </c>
      <c r="D131" s="243" t="s">
        <v>141</v>
      </c>
      <c r="E131" s="243"/>
      <c r="F131" s="244" t="s">
        <v>142</v>
      </c>
      <c r="G131" s="244"/>
      <c r="H131" s="244" t="s">
        <v>150</v>
      </c>
      <c r="I131" s="244"/>
      <c r="J131" s="244"/>
      <c r="K131" s="245" t="s">
        <v>143</v>
      </c>
      <c r="L131" s="245"/>
      <c r="M131" s="209" t="s">
        <v>144</v>
      </c>
      <c r="N131" s="207"/>
      <c r="O131" s="213" t="s">
        <v>152</v>
      </c>
    </row>
    <row r="132" spans="3:15" ht="15" customHeight="1" x14ac:dyDescent="0.25">
      <c r="C132" s="214" t="s">
        <v>145</v>
      </c>
      <c r="D132" s="238" t="s">
        <v>146</v>
      </c>
      <c r="E132" s="238"/>
      <c r="F132" s="239" t="s">
        <v>147</v>
      </c>
      <c r="G132" s="239"/>
      <c r="H132" s="239" t="s">
        <v>151</v>
      </c>
      <c r="I132" s="239"/>
      <c r="J132" s="239"/>
      <c r="K132" s="240" t="s">
        <v>148</v>
      </c>
      <c r="L132" s="240"/>
      <c r="M132" s="215" t="s">
        <v>149</v>
      </c>
      <c r="N132" s="207"/>
      <c r="O132" s="215" t="s">
        <v>153</v>
      </c>
    </row>
    <row r="136" spans="3:15" x14ac:dyDescent="0.25">
      <c r="D136" s="194"/>
      <c r="E136" s="189">
        <v>3682.616</v>
      </c>
      <c r="F136" s="125">
        <f>1630905689.25/E136</f>
        <v>442866.07380459976</v>
      </c>
      <c r="G136" s="193">
        <f>E136*F136</f>
        <v>1630905689.25</v>
      </c>
      <c r="H136" s="189">
        <v>3780.81</v>
      </c>
      <c r="I136" s="125">
        <f>1233618039.09/H136</f>
        <v>326284.06058225618</v>
      </c>
      <c r="J136" s="190">
        <f>I136*H136</f>
        <v>1233618039.0899999</v>
      </c>
      <c r="K136" s="189">
        <v>5047.3959999999997</v>
      </c>
      <c r="L136" s="35">
        <f>1645744508.15/K136</f>
        <v>326058.13139091921</v>
      </c>
      <c r="M136">
        <f>L136*K136</f>
        <v>1645744508.1499999</v>
      </c>
    </row>
    <row r="137" spans="3:15" x14ac:dyDescent="0.25">
      <c r="D137" s="194"/>
      <c r="E137" s="189">
        <v>1047.99</v>
      </c>
      <c r="F137" s="192">
        <f>441661841.24/E137</f>
        <v>421437.07596446533</v>
      </c>
      <c r="G137" s="193">
        <f>E137*F137</f>
        <v>441661841.24000001</v>
      </c>
      <c r="H137" s="189">
        <v>1185.9000000000001</v>
      </c>
      <c r="I137" s="192">
        <f>500145890.47/H137</f>
        <v>421743.7308963656</v>
      </c>
      <c r="J137" s="190">
        <f>I137*H137</f>
        <v>500145890.46999997</v>
      </c>
      <c r="K137" s="189">
        <v>1441.2</v>
      </c>
      <c r="L137" s="154">
        <f>622800936.81/K137</f>
        <v>432140.53345129051</v>
      </c>
      <c r="M137">
        <f>L137*K137</f>
        <v>622800936.80999994</v>
      </c>
    </row>
    <row r="138" spans="3:15" x14ac:dyDescent="0.25">
      <c r="D138" s="194"/>
      <c r="E138" s="189">
        <f>(E136+E137)</f>
        <v>4730.6059999999998</v>
      </c>
      <c r="F138" s="195">
        <f>(F136+F137)/2</f>
        <v>432151.57488453254</v>
      </c>
      <c r="G138" s="193">
        <f>F138*E138</f>
        <v>2044338833.058219</v>
      </c>
      <c r="H138" s="189">
        <f>H136+H137</f>
        <v>4966.71</v>
      </c>
      <c r="I138" s="195">
        <f>(I136+I137)/2</f>
        <v>374013.89573931089</v>
      </c>
      <c r="J138" s="190">
        <f>I138*H138</f>
        <v>1857618556.1073928</v>
      </c>
      <c r="K138" s="189">
        <f>K136+K137</f>
        <v>6488.5959999999995</v>
      </c>
      <c r="L138" s="35">
        <f>(L136+L137)/2</f>
        <v>379099.33242110489</v>
      </c>
      <c r="M138">
        <f>L138*K138</f>
        <v>2459822411.9502511</v>
      </c>
    </row>
    <row r="139" spans="3:15" x14ac:dyDescent="0.25">
      <c r="D139" s="194"/>
      <c r="E139" s="189"/>
      <c r="F139" s="193"/>
      <c r="G139" s="193">
        <f>G136+G137</f>
        <v>2072567530.49</v>
      </c>
      <c r="H139" s="189"/>
      <c r="I139" s="189"/>
      <c r="J139" s="190">
        <f>J136+J137</f>
        <v>1733763929.5599999</v>
      </c>
      <c r="K139" s="189"/>
      <c r="M139">
        <f>M136+M137</f>
        <v>2268545444.96</v>
      </c>
    </row>
    <row r="140" spans="3:15" x14ac:dyDescent="0.25">
      <c r="D140" s="194"/>
      <c r="E140" s="189"/>
      <c r="F140" s="193"/>
      <c r="G140" s="193"/>
      <c r="H140" s="189"/>
      <c r="I140" s="193"/>
      <c r="J140" s="190"/>
      <c r="K140" s="189"/>
    </row>
    <row r="141" spans="3:15" x14ac:dyDescent="0.25">
      <c r="E141" s="189"/>
      <c r="F141" s="190"/>
      <c r="G141" s="190"/>
      <c r="H141" s="189"/>
      <c r="I141" s="192"/>
      <c r="J141" s="190"/>
      <c r="K141" s="189"/>
      <c r="L141" s="154"/>
    </row>
    <row r="142" spans="3:15" x14ac:dyDescent="0.25">
      <c r="E142" s="189"/>
      <c r="F142" s="191"/>
      <c r="G142" s="190"/>
      <c r="H142" s="193"/>
      <c r="I142" s="193"/>
      <c r="J142" s="190"/>
      <c r="K142" s="189"/>
    </row>
    <row r="143" spans="3:15" x14ac:dyDescent="0.25">
      <c r="E143" s="189"/>
      <c r="F143" s="191"/>
      <c r="G143" s="190"/>
      <c r="H143" s="190"/>
      <c r="I143" s="190"/>
      <c r="J143" s="190"/>
    </row>
    <row r="144" spans="3:15" x14ac:dyDescent="0.25">
      <c r="E144" s="190"/>
      <c r="F144" s="190"/>
      <c r="G144" s="190"/>
      <c r="H144" s="190"/>
      <c r="I144" s="190"/>
      <c r="J144" s="190"/>
    </row>
  </sheetData>
  <mergeCells count="16">
    <mergeCell ref="K5:O5"/>
    <mergeCell ref="B5:B6"/>
    <mergeCell ref="C5:C6"/>
    <mergeCell ref="D5:D6"/>
    <mergeCell ref="E5:E6"/>
    <mergeCell ref="F5:J5"/>
    <mergeCell ref="D132:E132"/>
    <mergeCell ref="F132:G132"/>
    <mergeCell ref="H132:J132"/>
    <mergeCell ref="K132:L132"/>
    <mergeCell ref="D126:E126"/>
    <mergeCell ref="F126:G126"/>
    <mergeCell ref="D131:E131"/>
    <mergeCell ref="F131:G131"/>
    <mergeCell ref="H131:J131"/>
    <mergeCell ref="K131:L131"/>
  </mergeCells>
  <pageMargins left="0.893700787" right="0.39370078740157499" top="0.78740157480314998" bottom="0.39370078740157499" header="0.31496062992126" footer="0.31496062992126"/>
  <pageSetup paperSize="158" scale="85" fitToHeight="0" orientation="portrait" horizontalDpi="4294967293" verticalDpi="4294967293" r:id="rId1"/>
  <rowBreaks count="2" manualBreakCount="2">
    <brk id="55" min="1" max="14" man="1"/>
    <brk id="98" min="1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159"/>
  <sheetViews>
    <sheetView zoomScale="90" zoomScaleNormal="90" workbookViewId="0">
      <pane xSplit="5" ySplit="7" topLeftCell="H107" activePane="bottomRight" state="frozen"/>
      <selection pane="topRight" activeCell="F1" sqref="F1"/>
      <selection pane="bottomLeft" activeCell="A8" sqref="A8"/>
      <selection pane="bottomRight" activeCell="N72" sqref="N72"/>
    </sheetView>
  </sheetViews>
  <sheetFormatPr defaultRowHeight="15" x14ac:dyDescent="0.25"/>
  <cols>
    <col min="1" max="1" width="3.140625" customWidth="1"/>
    <col min="2" max="2" width="6.5703125" customWidth="1"/>
    <col min="3" max="3" width="41.42578125" customWidth="1"/>
    <col min="4" max="4" width="7.42578125" customWidth="1"/>
    <col min="6" max="6" width="14.85546875" customWidth="1"/>
    <col min="7" max="7" width="14.5703125" customWidth="1"/>
    <col min="8" max="8" width="14.85546875" customWidth="1"/>
    <col min="9" max="9" width="15.28515625" customWidth="1"/>
    <col min="10" max="10" width="14.7109375" customWidth="1"/>
    <col min="11" max="11" width="17.42578125" customWidth="1"/>
    <col min="12" max="12" width="17.7109375" customWidth="1"/>
    <col min="13" max="13" width="17.28515625" customWidth="1"/>
    <col min="14" max="14" width="18.42578125" customWidth="1"/>
    <col min="15" max="15" width="18.5703125" customWidth="1"/>
    <col min="17" max="17" width="17.28515625" customWidth="1"/>
  </cols>
  <sheetData>
    <row r="1" spans="2:15" ht="15.75" x14ac:dyDescent="0.25">
      <c r="B1" s="1" t="s">
        <v>0</v>
      </c>
      <c r="C1" s="2"/>
      <c r="D1" s="3"/>
      <c r="E1" s="4"/>
      <c r="F1" s="4"/>
      <c r="G1" s="4"/>
    </row>
    <row r="2" spans="2:15" ht="15.75" x14ac:dyDescent="0.25">
      <c r="B2" s="1" t="s">
        <v>114</v>
      </c>
      <c r="C2" s="2"/>
      <c r="D2" s="3"/>
      <c r="E2" s="4"/>
      <c r="F2" s="4"/>
      <c r="G2" s="4"/>
    </row>
    <row r="3" spans="2:15" ht="15.75" x14ac:dyDescent="0.25">
      <c r="B3" s="1" t="s">
        <v>78</v>
      </c>
      <c r="C3" s="2"/>
      <c r="D3" s="3"/>
      <c r="E3" s="4"/>
      <c r="F3" s="4"/>
      <c r="G3" s="4"/>
    </row>
    <row r="4" spans="2:15" ht="15.75" x14ac:dyDescent="0.25">
      <c r="B4" s="1" t="s">
        <v>1</v>
      </c>
      <c r="C4" s="2"/>
      <c r="D4" s="3"/>
      <c r="E4" s="4"/>
      <c r="F4" s="4"/>
      <c r="G4" s="4"/>
    </row>
    <row r="5" spans="2:15" ht="18.75" x14ac:dyDescent="0.3">
      <c r="B5" s="3"/>
      <c r="C5" s="5"/>
      <c r="D5" s="3"/>
      <c r="E5" s="6"/>
      <c r="F5" s="6"/>
      <c r="G5" s="7"/>
    </row>
    <row r="6" spans="2:15" x14ac:dyDescent="0.25">
      <c r="B6" s="227" t="s">
        <v>2</v>
      </c>
      <c r="C6" s="227" t="s">
        <v>3</v>
      </c>
      <c r="D6" s="227" t="s">
        <v>4</v>
      </c>
      <c r="E6" s="229" t="s">
        <v>5</v>
      </c>
      <c r="F6" s="224" t="s">
        <v>130</v>
      </c>
      <c r="G6" s="225"/>
      <c r="H6" s="225"/>
      <c r="I6" s="225"/>
      <c r="J6" s="226"/>
      <c r="K6" s="224" t="s">
        <v>6</v>
      </c>
      <c r="L6" s="225"/>
      <c r="M6" s="225"/>
      <c r="N6" s="225"/>
      <c r="O6" s="226"/>
    </row>
    <row r="7" spans="2:15" ht="15.75" thickBot="1" x14ac:dyDescent="0.3">
      <c r="B7" s="228"/>
      <c r="C7" s="228"/>
      <c r="D7" s="228"/>
      <c r="E7" s="230"/>
      <c r="F7" s="99" t="s">
        <v>131</v>
      </c>
      <c r="G7" s="99" t="s">
        <v>132</v>
      </c>
      <c r="H7" s="99" t="s">
        <v>133</v>
      </c>
      <c r="I7" s="99" t="s">
        <v>134</v>
      </c>
      <c r="J7" s="99" t="s">
        <v>135</v>
      </c>
      <c r="K7" s="99" t="s">
        <v>131</v>
      </c>
      <c r="L7" s="99" t="s">
        <v>132</v>
      </c>
      <c r="M7" s="99" t="s">
        <v>133</v>
      </c>
      <c r="N7" s="99" t="s">
        <v>134</v>
      </c>
      <c r="O7" s="99" t="s">
        <v>135</v>
      </c>
    </row>
    <row r="8" spans="2:15" ht="16.5" thickTop="1" x14ac:dyDescent="0.25">
      <c r="B8" s="8"/>
      <c r="C8" s="9"/>
      <c r="D8" s="10"/>
      <c r="E8" s="11"/>
      <c r="F8" s="97"/>
      <c r="G8" s="97"/>
      <c r="H8" s="98"/>
      <c r="I8" s="98"/>
      <c r="J8" s="98"/>
      <c r="K8" s="98"/>
      <c r="L8" s="98"/>
      <c r="M8" s="98"/>
      <c r="N8" s="98"/>
      <c r="O8" s="98"/>
    </row>
    <row r="9" spans="2:15" ht="15.75" x14ac:dyDescent="0.25">
      <c r="B9" s="8" t="s">
        <v>7</v>
      </c>
      <c r="C9" s="9" t="s">
        <v>82</v>
      </c>
      <c r="D9" s="10"/>
      <c r="E9" s="11"/>
      <c r="F9" s="96"/>
      <c r="G9" s="96"/>
      <c r="H9" s="38"/>
      <c r="I9" s="38"/>
      <c r="J9" s="38"/>
      <c r="K9" s="38"/>
      <c r="L9" s="38"/>
      <c r="M9" s="38"/>
      <c r="N9" s="38"/>
      <c r="O9" s="38"/>
    </row>
    <row r="10" spans="2:15" x14ac:dyDescent="0.25">
      <c r="B10" s="62" t="s">
        <v>22</v>
      </c>
      <c r="C10" s="63" t="s">
        <v>8</v>
      </c>
      <c r="D10" s="64"/>
      <c r="E10" s="65"/>
      <c r="F10" s="66"/>
      <c r="G10" s="66"/>
      <c r="H10" s="38"/>
      <c r="I10" s="38"/>
      <c r="J10" s="38"/>
      <c r="K10" s="38"/>
      <c r="L10" s="38"/>
      <c r="M10" s="38"/>
      <c r="N10" s="38"/>
      <c r="O10" s="38"/>
    </row>
    <row r="11" spans="2:15" x14ac:dyDescent="0.25">
      <c r="B11" s="58">
        <v>1</v>
      </c>
      <c r="C11" s="59" t="s">
        <v>9</v>
      </c>
      <c r="D11" s="60" t="s">
        <v>10</v>
      </c>
      <c r="E11" s="61">
        <v>1</v>
      </c>
      <c r="F11" s="136">
        <v>8000000</v>
      </c>
      <c r="G11" s="123">
        <v>1650000</v>
      </c>
      <c r="H11" s="104">
        <v>8000000</v>
      </c>
      <c r="I11" s="104">
        <v>9000000</v>
      </c>
      <c r="J11" s="104">
        <v>6000000</v>
      </c>
      <c r="K11" s="104">
        <f>F11*E11</f>
        <v>8000000</v>
      </c>
      <c r="L11" s="104">
        <f>G11*E11</f>
        <v>1650000</v>
      </c>
      <c r="M11" s="104">
        <f>H11*E11</f>
        <v>8000000</v>
      </c>
      <c r="N11" s="104">
        <f>I11*E11</f>
        <v>9000000</v>
      </c>
      <c r="O11" s="104">
        <f>J11*E11</f>
        <v>6000000</v>
      </c>
    </row>
    <row r="12" spans="2:15" x14ac:dyDescent="0.25">
      <c r="B12" s="58">
        <v>2</v>
      </c>
      <c r="C12" s="59" t="s">
        <v>12</v>
      </c>
      <c r="D12" s="60" t="s">
        <v>10</v>
      </c>
      <c r="E12" s="61">
        <v>1</v>
      </c>
      <c r="F12" s="152">
        <v>6000000</v>
      </c>
      <c r="G12" s="123">
        <v>1650000</v>
      </c>
      <c r="H12" s="104">
        <v>25000000</v>
      </c>
      <c r="I12" s="104">
        <v>10000000</v>
      </c>
      <c r="J12" s="104">
        <v>28066000</v>
      </c>
      <c r="K12" s="104">
        <f t="shared" ref="K12:K14" si="0">F12*E12</f>
        <v>6000000</v>
      </c>
      <c r="L12" s="104">
        <f t="shared" ref="L12:L14" si="1">G12*E12</f>
        <v>1650000</v>
      </c>
      <c r="M12" s="104">
        <f t="shared" ref="M12:M14" si="2">H12*E12</f>
        <v>25000000</v>
      </c>
      <c r="N12" s="104">
        <f t="shared" ref="N12:N14" si="3">I12*E12</f>
        <v>10000000</v>
      </c>
      <c r="O12" s="104">
        <f t="shared" ref="O12:O14" si="4">J12*E12</f>
        <v>28066000</v>
      </c>
    </row>
    <row r="13" spans="2:15" x14ac:dyDescent="0.25">
      <c r="B13" s="58">
        <v>3</v>
      </c>
      <c r="C13" s="59" t="s">
        <v>35</v>
      </c>
      <c r="D13" s="60" t="s">
        <v>36</v>
      </c>
      <c r="E13" s="61">
        <v>7</v>
      </c>
      <c r="F13" s="152">
        <v>100000</v>
      </c>
      <c r="G13" s="123">
        <v>192500</v>
      </c>
      <c r="H13" s="104">
        <v>100000</v>
      </c>
      <c r="I13" s="104">
        <v>600000</v>
      </c>
      <c r="J13" s="104">
        <v>150000</v>
      </c>
      <c r="K13" s="104">
        <f t="shared" si="0"/>
        <v>700000</v>
      </c>
      <c r="L13" s="104">
        <f t="shared" si="1"/>
        <v>1347500</v>
      </c>
      <c r="M13" s="104">
        <f t="shared" si="2"/>
        <v>700000</v>
      </c>
      <c r="N13" s="104">
        <f t="shared" si="3"/>
        <v>4200000</v>
      </c>
      <c r="O13" s="104">
        <f t="shared" si="4"/>
        <v>1050000</v>
      </c>
    </row>
    <row r="14" spans="2:15" x14ac:dyDescent="0.25">
      <c r="B14" s="58">
        <v>4</v>
      </c>
      <c r="C14" s="59" t="s">
        <v>37</v>
      </c>
      <c r="D14" s="60" t="s">
        <v>38</v>
      </c>
      <c r="E14" s="61">
        <f>E33*1.5</f>
        <v>533.76</v>
      </c>
      <c r="F14" s="152">
        <v>10000</v>
      </c>
      <c r="G14" s="123">
        <v>4125</v>
      </c>
      <c r="H14" s="104">
        <v>6000</v>
      </c>
      <c r="I14" s="104">
        <v>5000</v>
      </c>
      <c r="J14" s="104">
        <v>4000</v>
      </c>
      <c r="K14" s="104">
        <f t="shared" si="0"/>
        <v>5337600</v>
      </c>
      <c r="L14" s="104">
        <f t="shared" si="1"/>
        <v>2201760</v>
      </c>
      <c r="M14" s="104">
        <f t="shared" si="2"/>
        <v>3202560</v>
      </c>
      <c r="N14" s="104">
        <f t="shared" si="3"/>
        <v>2668800</v>
      </c>
      <c r="O14" s="104">
        <f t="shared" si="4"/>
        <v>2135040</v>
      </c>
    </row>
    <row r="15" spans="2:15" x14ac:dyDescent="0.25">
      <c r="B15" s="59"/>
      <c r="C15" s="67" t="s">
        <v>13</v>
      </c>
      <c r="D15" s="60"/>
      <c r="E15" s="68"/>
      <c r="F15" s="153"/>
      <c r="G15" s="111"/>
      <c r="H15" s="104"/>
      <c r="I15" s="104"/>
      <c r="J15" s="104"/>
      <c r="K15" s="101">
        <f>SUM(K11:K14)</f>
        <v>20037600</v>
      </c>
      <c r="L15" s="101">
        <f>SUM(L11:L14)</f>
        <v>6849260</v>
      </c>
      <c r="M15" s="101">
        <f>SUM(M11:M14)</f>
        <v>36902560</v>
      </c>
      <c r="N15" s="101">
        <f>SUM(N11:N14)</f>
        <v>25868800</v>
      </c>
      <c r="O15" s="101">
        <f>SUM(O11:O14)</f>
        <v>37251040</v>
      </c>
    </row>
    <row r="16" spans="2:15" x14ac:dyDescent="0.25">
      <c r="B16" s="69" t="s">
        <v>23</v>
      </c>
      <c r="C16" s="70" t="s">
        <v>87</v>
      </c>
      <c r="D16" s="60"/>
      <c r="E16" s="68"/>
      <c r="F16" s="153"/>
      <c r="G16" s="111"/>
      <c r="H16" s="104"/>
      <c r="I16" s="104"/>
      <c r="J16" s="104"/>
      <c r="K16" s="104"/>
      <c r="L16" s="104"/>
      <c r="M16" s="104"/>
      <c r="N16" s="104"/>
      <c r="O16" s="104"/>
    </row>
    <row r="17" spans="2:15" x14ac:dyDescent="0.25">
      <c r="B17" s="58">
        <v>1</v>
      </c>
      <c r="C17" s="59" t="s">
        <v>28</v>
      </c>
      <c r="D17" s="60" t="s">
        <v>15</v>
      </c>
      <c r="E17" s="61">
        <v>342.2</v>
      </c>
      <c r="F17" s="136">
        <v>298000</v>
      </c>
      <c r="G17" s="123">
        <v>325479.63</v>
      </c>
      <c r="H17" s="104">
        <v>325000</v>
      </c>
      <c r="I17" s="104">
        <v>279039</v>
      </c>
      <c r="J17" s="104">
        <v>277000</v>
      </c>
      <c r="K17" s="104">
        <f>F17*E17</f>
        <v>101975600</v>
      </c>
      <c r="L17" s="127">
        <f>G17*E17</f>
        <v>111379129.38599999</v>
      </c>
      <c r="M17" s="104">
        <f>H17*E17</f>
        <v>111215000</v>
      </c>
      <c r="N17" s="104">
        <f>I17*E17</f>
        <v>95487145.799999997</v>
      </c>
      <c r="O17" s="104">
        <f>J17*E17</f>
        <v>94789400</v>
      </c>
    </row>
    <row r="18" spans="2:15" x14ac:dyDescent="0.25">
      <c r="B18" s="58">
        <f>B17+1</f>
        <v>2</v>
      </c>
      <c r="C18" s="59" t="s">
        <v>29</v>
      </c>
      <c r="D18" s="60" t="s">
        <v>15</v>
      </c>
      <c r="E18" s="71">
        <v>65.66</v>
      </c>
      <c r="F18" s="136">
        <v>315000</v>
      </c>
      <c r="G18" s="123">
        <v>354257.7</v>
      </c>
      <c r="H18" s="104">
        <v>347900</v>
      </c>
      <c r="I18" s="104">
        <v>304566</v>
      </c>
      <c r="J18" s="104">
        <v>295000</v>
      </c>
      <c r="K18" s="104">
        <f t="shared" ref="K18:K26" si="5">F18*E18</f>
        <v>20682900</v>
      </c>
      <c r="L18" s="127">
        <f t="shared" ref="L18:L26" si="6">G18*E18</f>
        <v>23260560.581999999</v>
      </c>
      <c r="M18" s="104">
        <f t="shared" ref="M18:M26" si="7">H18*E18</f>
        <v>22843114</v>
      </c>
      <c r="N18" s="104">
        <f t="shared" ref="N18:N26" si="8">I18*E18</f>
        <v>19997803.559999999</v>
      </c>
      <c r="O18" s="104">
        <f t="shared" ref="O18:O26" si="9">J18*E18</f>
        <v>19369700</v>
      </c>
    </row>
    <row r="19" spans="2:15" x14ac:dyDescent="0.25">
      <c r="B19" s="58">
        <f t="shared" ref="B19:B26" si="10">B18+1</f>
        <v>3</v>
      </c>
      <c r="C19" s="59" t="s">
        <v>27</v>
      </c>
      <c r="D19" s="60" t="s">
        <v>15</v>
      </c>
      <c r="E19" s="61">
        <v>12.03</v>
      </c>
      <c r="F19" s="136">
        <v>404000</v>
      </c>
      <c r="G19" s="123">
        <v>434791.8</v>
      </c>
      <c r="H19" s="104">
        <v>427500</v>
      </c>
      <c r="I19" s="104">
        <v>384234</v>
      </c>
      <c r="J19" s="104">
        <v>375000</v>
      </c>
      <c r="K19" s="104">
        <f t="shared" si="5"/>
        <v>4860120</v>
      </c>
      <c r="L19" s="127">
        <f t="shared" si="6"/>
        <v>5230545.3539999994</v>
      </c>
      <c r="M19" s="104">
        <f t="shared" si="7"/>
        <v>5142825</v>
      </c>
      <c r="N19" s="104">
        <f t="shared" si="8"/>
        <v>4622335.0199999996</v>
      </c>
      <c r="O19" s="104">
        <f t="shared" si="9"/>
        <v>4511250</v>
      </c>
    </row>
    <row r="20" spans="2:15" x14ac:dyDescent="0.25">
      <c r="B20" s="58">
        <f t="shared" si="10"/>
        <v>4</v>
      </c>
      <c r="C20" s="59" t="s">
        <v>75</v>
      </c>
      <c r="D20" s="60" t="s">
        <v>15</v>
      </c>
      <c r="E20" s="61">
        <v>118.25</v>
      </c>
      <c r="F20" s="136">
        <v>577746</v>
      </c>
      <c r="G20" s="123">
        <v>571459.18999999994</v>
      </c>
      <c r="H20" s="104">
        <v>532000</v>
      </c>
      <c r="I20" s="104">
        <v>516331</v>
      </c>
      <c r="J20" s="104">
        <v>546000</v>
      </c>
      <c r="K20" s="104">
        <f t="shared" si="5"/>
        <v>68318464.5</v>
      </c>
      <c r="L20" s="127">
        <f t="shared" si="6"/>
        <v>67575049.217499986</v>
      </c>
      <c r="M20" s="104">
        <f t="shared" si="7"/>
        <v>62909000</v>
      </c>
      <c r="N20" s="104">
        <f t="shared" si="8"/>
        <v>61056140.75</v>
      </c>
      <c r="O20" s="104">
        <f t="shared" si="9"/>
        <v>64564500</v>
      </c>
    </row>
    <row r="21" spans="2:15" x14ac:dyDescent="0.25">
      <c r="B21" s="58">
        <f t="shared" si="10"/>
        <v>5</v>
      </c>
      <c r="C21" s="59" t="s">
        <v>31</v>
      </c>
      <c r="D21" s="60" t="s">
        <v>15</v>
      </c>
      <c r="E21" s="61">
        <v>119.99</v>
      </c>
      <c r="F21" s="136">
        <v>655000</v>
      </c>
      <c r="G21" s="123">
        <v>780103.99</v>
      </c>
      <c r="H21" s="104">
        <v>655500</v>
      </c>
      <c r="I21" s="104">
        <v>642949</v>
      </c>
      <c r="J21" s="104">
        <v>615000</v>
      </c>
      <c r="K21" s="104">
        <f t="shared" si="5"/>
        <v>78593450</v>
      </c>
      <c r="L21" s="127">
        <f t="shared" si="6"/>
        <v>93604677.760099992</v>
      </c>
      <c r="M21" s="104">
        <f t="shared" si="7"/>
        <v>78653445</v>
      </c>
      <c r="N21" s="104">
        <f t="shared" si="8"/>
        <v>77147450.50999999</v>
      </c>
      <c r="O21" s="104">
        <f t="shared" si="9"/>
        <v>73793850</v>
      </c>
    </row>
    <row r="22" spans="2:15" x14ac:dyDescent="0.25">
      <c r="B22" s="58">
        <f t="shared" si="10"/>
        <v>6</v>
      </c>
      <c r="C22" s="59" t="s">
        <v>16</v>
      </c>
      <c r="D22" s="60" t="s">
        <v>17</v>
      </c>
      <c r="E22" s="61">
        <v>72</v>
      </c>
      <c r="F22" s="136">
        <v>702000</v>
      </c>
      <c r="G22" s="123">
        <v>830280</v>
      </c>
      <c r="H22" s="104">
        <v>800000</v>
      </c>
      <c r="I22" s="104">
        <v>680926</v>
      </c>
      <c r="J22" s="104">
        <v>700009</v>
      </c>
      <c r="K22" s="104">
        <f t="shared" si="5"/>
        <v>50544000</v>
      </c>
      <c r="L22" s="127">
        <f t="shared" si="6"/>
        <v>59780160</v>
      </c>
      <c r="M22" s="104">
        <f t="shared" si="7"/>
        <v>57600000</v>
      </c>
      <c r="N22" s="104">
        <f t="shared" si="8"/>
        <v>49026672</v>
      </c>
      <c r="O22" s="104">
        <f t="shared" si="9"/>
        <v>50400648</v>
      </c>
    </row>
    <row r="23" spans="2:15" x14ac:dyDescent="0.25">
      <c r="B23" s="58">
        <f t="shared" si="10"/>
        <v>7</v>
      </c>
      <c r="C23" s="59" t="s">
        <v>18</v>
      </c>
      <c r="D23" s="60" t="s">
        <v>17</v>
      </c>
      <c r="E23" s="61">
        <v>18</v>
      </c>
      <c r="F23" s="136">
        <v>1400000</v>
      </c>
      <c r="G23" s="123">
        <v>765845.3</v>
      </c>
      <c r="H23" s="104">
        <v>3658000</v>
      </c>
      <c r="I23" s="104">
        <v>1014639</v>
      </c>
      <c r="J23" s="104">
        <v>1410000</v>
      </c>
      <c r="K23" s="104">
        <f t="shared" si="5"/>
        <v>25200000</v>
      </c>
      <c r="L23" s="127">
        <f t="shared" si="6"/>
        <v>13785215.4</v>
      </c>
      <c r="M23" s="104">
        <f t="shared" si="7"/>
        <v>65844000</v>
      </c>
      <c r="N23" s="104">
        <f t="shared" si="8"/>
        <v>18263502</v>
      </c>
      <c r="O23" s="104">
        <f t="shared" si="9"/>
        <v>25380000</v>
      </c>
    </row>
    <row r="24" spans="2:15" x14ac:dyDescent="0.25">
      <c r="B24" s="58">
        <f t="shared" si="10"/>
        <v>8</v>
      </c>
      <c r="C24" s="59" t="s">
        <v>19</v>
      </c>
      <c r="D24" s="60" t="s">
        <v>17</v>
      </c>
      <c r="E24" s="61">
        <v>4</v>
      </c>
      <c r="F24" s="136">
        <v>1500000</v>
      </c>
      <c r="G24" s="123">
        <v>979437.8</v>
      </c>
      <c r="H24" s="104">
        <v>3800000</v>
      </c>
      <c r="I24" s="104">
        <v>1315073</v>
      </c>
      <c r="J24" s="104">
        <v>1850000</v>
      </c>
      <c r="K24" s="104">
        <f t="shared" si="5"/>
        <v>6000000</v>
      </c>
      <c r="L24" s="127">
        <f t="shared" si="6"/>
        <v>3917751.2</v>
      </c>
      <c r="M24" s="104">
        <f t="shared" si="7"/>
        <v>15200000</v>
      </c>
      <c r="N24" s="104">
        <f t="shared" si="8"/>
        <v>5260292</v>
      </c>
      <c r="O24" s="104">
        <f t="shared" si="9"/>
        <v>7400000</v>
      </c>
    </row>
    <row r="25" spans="2:15" x14ac:dyDescent="0.25">
      <c r="B25" s="58">
        <f t="shared" si="10"/>
        <v>9</v>
      </c>
      <c r="C25" s="59" t="s">
        <v>20</v>
      </c>
      <c r="D25" s="60" t="s">
        <v>17</v>
      </c>
      <c r="E25" s="61">
        <v>4</v>
      </c>
      <c r="F25" s="136">
        <v>3454792</v>
      </c>
      <c r="G25" s="123">
        <v>1218055.3</v>
      </c>
      <c r="H25" s="104">
        <v>4132500</v>
      </c>
      <c r="I25" s="104">
        <v>1613392</v>
      </c>
      <c r="J25" s="104">
        <v>2200000</v>
      </c>
      <c r="K25" s="104">
        <f t="shared" si="5"/>
        <v>13819168</v>
      </c>
      <c r="L25" s="127">
        <f t="shared" si="6"/>
        <v>4872221.2</v>
      </c>
      <c r="M25" s="104">
        <f t="shared" si="7"/>
        <v>16530000</v>
      </c>
      <c r="N25" s="104">
        <f t="shared" si="8"/>
        <v>6453568</v>
      </c>
      <c r="O25" s="104">
        <f t="shared" si="9"/>
        <v>8800000</v>
      </c>
    </row>
    <row r="26" spans="2:15" x14ac:dyDescent="0.25">
      <c r="B26" s="58">
        <f t="shared" si="10"/>
        <v>10</v>
      </c>
      <c r="C26" s="59" t="s">
        <v>21</v>
      </c>
      <c r="D26" s="60" t="s">
        <v>17</v>
      </c>
      <c r="E26" s="61">
        <v>4</v>
      </c>
      <c r="F26" s="136">
        <v>4188350</v>
      </c>
      <c r="G26" s="123">
        <v>1481697.8</v>
      </c>
      <c r="H26" s="104">
        <v>4512500</v>
      </c>
      <c r="I26" s="104">
        <v>2034475</v>
      </c>
      <c r="J26" s="104">
        <v>2520000</v>
      </c>
      <c r="K26" s="104">
        <f t="shared" si="5"/>
        <v>16753400</v>
      </c>
      <c r="L26" s="127">
        <f t="shared" si="6"/>
        <v>5926791.2000000002</v>
      </c>
      <c r="M26" s="104">
        <f t="shared" si="7"/>
        <v>18050000</v>
      </c>
      <c r="N26" s="104">
        <f t="shared" si="8"/>
        <v>8137900</v>
      </c>
      <c r="O26" s="104">
        <f t="shared" si="9"/>
        <v>10080000</v>
      </c>
    </row>
    <row r="27" spans="2:15" x14ac:dyDescent="0.25">
      <c r="B27" s="58"/>
      <c r="C27" s="67" t="s">
        <v>76</v>
      </c>
      <c r="D27" s="60"/>
      <c r="E27" s="61"/>
      <c r="F27" s="136"/>
      <c r="G27" s="124"/>
      <c r="H27" s="104"/>
      <c r="I27" s="104"/>
      <c r="J27" s="104"/>
      <c r="K27" s="128">
        <f>SUM(K17:K26)</f>
        <v>386747102.5</v>
      </c>
      <c r="L27" s="128">
        <f>SUM(L17:L26)</f>
        <v>389332101.29959995</v>
      </c>
      <c r="M27" s="101">
        <f>SUM(M17:M26)</f>
        <v>453987384</v>
      </c>
      <c r="N27" s="101">
        <f>SUM(N17:N26)</f>
        <v>345452809.63999999</v>
      </c>
      <c r="O27" s="101">
        <f>SUM(O17:O26)</f>
        <v>359089348</v>
      </c>
    </row>
    <row r="28" spans="2:15" x14ac:dyDescent="0.25">
      <c r="B28" s="69" t="s">
        <v>83</v>
      </c>
      <c r="C28" s="70" t="s">
        <v>88</v>
      </c>
      <c r="D28" s="60"/>
      <c r="E28" s="68"/>
      <c r="F28" s="153"/>
      <c r="G28" s="123"/>
      <c r="H28" s="104"/>
      <c r="I28" s="104"/>
      <c r="J28" s="104"/>
      <c r="K28" s="127"/>
      <c r="L28" s="127"/>
      <c r="M28" s="104"/>
      <c r="N28" s="104"/>
      <c r="O28" s="104"/>
    </row>
    <row r="29" spans="2:15" x14ac:dyDescent="0.25">
      <c r="B29" s="58">
        <v>1</v>
      </c>
      <c r="C29" s="59" t="s">
        <v>40</v>
      </c>
      <c r="D29" s="60" t="s">
        <v>41</v>
      </c>
      <c r="E29" s="61">
        <f>E32*0.25</f>
        <v>1547.904</v>
      </c>
      <c r="F29" s="136">
        <v>204763</v>
      </c>
      <c r="G29" s="123">
        <v>315700</v>
      </c>
      <c r="H29" s="104">
        <v>250000</v>
      </c>
      <c r="I29" s="104">
        <v>242802</v>
      </c>
      <c r="J29" s="104">
        <v>222000</v>
      </c>
      <c r="K29" s="104">
        <f t="shared" ref="K29:K34" si="11">F29*E29</f>
        <v>316953466.75199997</v>
      </c>
      <c r="L29" s="127">
        <f>G29*E29</f>
        <v>488673292.80000001</v>
      </c>
      <c r="M29" s="104">
        <f>H29*E29</f>
        <v>386976000</v>
      </c>
      <c r="N29" s="104">
        <f t="shared" ref="N29:N34" si="12">I29*E29</f>
        <v>375834187.00800002</v>
      </c>
      <c r="O29" s="104">
        <f t="shared" ref="O29:O34" si="13">J29*E29</f>
        <v>343634688</v>
      </c>
    </row>
    <row r="30" spans="2:15" x14ac:dyDescent="0.25">
      <c r="B30" s="58">
        <v>2</v>
      </c>
      <c r="C30" s="59" t="s">
        <v>42</v>
      </c>
      <c r="D30" s="60" t="s">
        <v>41</v>
      </c>
      <c r="E30" s="61">
        <f>E32*0.2</f>
        <v>1238.3232</v>
      </c>
      <c r="F30" s="136">
        <v>342925</v>
      </c>
      <c r="G30" s="123">
        <v>344300</v>
      </c>
      <c r="H30" s="104">
        <v>300000</v>
      </c>
      <c r="I30" s="104">
        <v>314521</v>
      </c>
      <c r="J30" s="104">
        <v>332000</v>
      </c>
      <c r="K30" s="104">
        <f t="shared" si="11"/>
        <v>424651983.36000001</v>
      </c>
      <c r="L30" s="127">
        <f t="shared" ref="L30:L33" si="14">G30*E30</f>
        <v>426354677.75999999</v>
      </c>
      <c r="M30" s="104">
        <f t="shared" ref="M30:M34" si="15">H30*E30</f>
        <v>371496960</v>
      </c>
      <c r="N30" s="104">
        <f t="shared" si="12"/>
        <v>389478651.18720001</v>
      </c>
      <c r="O30" s="104">
        <f t="shared" si="13"/>
        <v>411123302.40000004</v>
      </c>
    </row>
    <row r="31" spans="2:15" x14ac:dyDescent="0.25">
      <c r="B31" s="58">
        <v>3</v>
      </c>
      <c r="C31" s="59" t="s">
        <v>43</v>
      </c>
      <c r="D31" s="60" t="s">
        <v>38</v>
      </c>
      <c r="E31" s="61">
        <f>E32</f>
        <v>6191.616</v>
      </c>
      <c r="F31" s="136"/>
      <c r="G31" s="123"/>
      <c r="H31" s="104"/>
      <c r="I31" s="104"/>
      <c r="J31" s="104"/>
      <c r="K31" s="104">
        <f t="shared" si="11"/>
        <v>0</v>
      </c>
      <c r="L31" s="127">
        <f t="shared" si="14"/>
        <v>0</v>
      </c>
      <c r="M31" s="104">
        <f t="shared" si="15"/>
        <v>0</v>
      </c>
      <c r="N31" s="104">
        <f t="shared" si="12"/>
        <v>0</v>
      </c>
      <c r="O31" s="104">
        <f t="shared" si="13"/>
        <v>0</v>
      </c>
    </row>
    <row r="32" spans="2:15" x14ac:dyDescent="0.25">
      <c r="B32" s="58">
        <v>4</v>
      </c>
      <c r="C32" s="59" t="s">
        <v>44</v>
      </c>
      <c r="D32" s="60" t="s">
        <v>38</v>
      </c>
      <c r="E32" s="61">
        <v>6191.616</v>
      </c>
      <c r="F32" s="136"/>
      <c r="G32" s="123"/>
      <c r="H32" s="104"/>
      <c r="I32" s="104"/>
      <c r="J32" s="104"/>
      <c r="K32" s="104">
        <f t="shared" si="11"/>
        <v>0</v>
      </c>
      <c r="L32" s="127">
        <f t="shared" si="14"/>
        <v>0</v>
      </c>
      <c r="M32" s="104">
        <f t="shared" si="15"/>
        <v>0</v>
      </c>
      <c r="N32" s="104">
        <f t="shared" si="12"/>
        <v>0</v>
      </c>
      <c r="O32" s="104">
        <f t="shared" si="13"/>
        <v>0</v>
      </c>
    </row>
    <row r="33" spans="2:15" x14ac:dyDescent="0.25">
      <c r="B33" s="58">
        <v>5</v>
      </c>
      <c r="C33" s="59" t="s">
        <v>89</v>
      </c>
      <c r="D33" s="60" t="s">
        <v>15</v>
      </c>
      <c r="E33" s="61">
        <v>355.84</v>
      </c>
      <c r="F33" s="136">
        <v>169875</v>
      </c>
      <c r="G33" s="123">
        <v>137500</v>
      </c>
      <c r="H33" s="104">
        <v>82500</v>
      </c>
      <c r="I33" s="104">
        <v>87044</v>
      </c>
      <c r="J33" s="104">
        <v>158500</v>
      </c>
      <c r="K33" s="104">
        <f t="shared" si="11"/>
        <v>60448319.999999993</v>
      </c>
      <c r="L33" s="127">
        <f t="shared" si="14"/>
        <v>48928000</v>
      </c>
      <c r="M33" s="104">
        <f t="shared" si="15"/>
        <v>29356799.999999996</v>
      </c>
      <c r="N33" s="104">
        <f t="shared" si="12"/>
        <v>30973736.959999997</v>
      </c>
      <c r="O33" s="104">
        <f t="shared" si="13"/>
        <v>56400639.999999993</v>
      </c>
    </row>
    <row r="34" spans="2:15" x14ac:dyDescent="0.25">
      <c r="B34" s="58"/>
      <c r="C34" s="86" t="s">
        <v>125</v>
      </c>
      <c r="D34" s="60" t="s">
        <v>38</v>
      </c>
      <c r="E34" s="61">
        <v>6191.62</v>
      </c>
      <c r="F34" s="136">
        <v>115000</v>
      </c>
      <c r="G34" s="136">
        <v>149500</v>
      </c>
      <c r="H34" s="104">
        <v>110000</v>
      </c>
      <c r="I34" s="104">
        <v>114695</v>
      </c>
      <c r="J34" s="104">
        <v>89000</v>
      </c>
      <c r="K34" s="104">
        <f t="shared" si="11"/>
        <v>712036300</v>
      </c>
      <c r="L34" s="127">
        <f>G34*E34</f>
        <v>925647190</v>
      </c>
      <c r="M34" s="104">
        <f t="shared" si="15"/>
        <v>681078200</v>
      </c>
      <c r="N34" s="104">
        <f t="shared" si="12"/>
        <v>710147855.89999998</v>
      </c>
      <c r="O34" s="104">
        <f t="shared" si="13"/>
        <v>551054180</v>
      </c>
    </row>
    <row r="35" spans="2:15" x14ac:dyDescent="0.25">
      <c r="B35" s="58"/>
      <c r="C35" s="67" t="s">
        <v>77</v>
      </c>
      <c r="D35" s="60"/>
      <c r="E35" s="68"/>
      <c r="F35" s="110"/>
      <c r="G35" s="124"/>
      <c r="H35" s="104"/>
      <c r="I35" s="104"/>
      <c r="J35" s="104"/>
      <c r="K35" s="128">
        <f>SUM(K29:K34)</f>
        <v>1514090070.112</v>
      </c>
      <c r="L35" s="128">
        <f>SUM(L29:L34)</f>
        <v>1889603160.5599999</v>
      </c>
      <c r="M35" s="101">
        <f>SUM(M29:M34)</f>
        <v>1468907960</v>
      </c>
      <c r="N35" s="101">
        <f>SUM(N29:N34)</f>
        <v>1506434431.0552001</v>
      </c>
      <c r="O35" s="101">
        <f>SUM(O29:O34)</f>
        <v>1362212810.4000001</v>
      </c>
    </row>
    <row r="36" spans="2:15" x14ac:dyDescent="0.25">
      <c r="B36" s="72"/>
      <c r="C36" s="73"/>
      <c r="D36" s="74"/>
      <c r="E36" s="75"/>
      <c r="F36" s="112"/>
      <c r="G36" s="125"/>
      <c r="H36" s="103"/>
      <c r="I36" s="103"/>
      <c r="J36" s="103"/>
      <c r="K36" s="129"/>
      <c r="L36" s="129"/>
      <c r="M36" s="103"/>
      <c r="N36" s="103"/>
      <c r="O36" s="103"/>
    </row>
    <row r="37" spans="2:15" x14ac:dyDescent="0.25">
      <c r="B37" s="73" t="s">
        <v>14</v>
      </c>
      <c r="C37" s="76" t="s">
        <v>84</v>
      </c>
      <c r="D37" s="74"/>
      <c r="E37" s="75"/>
      <c r="F37" s="112"/>
      <c r="G37" s="125"/>
      <c r="H37" s="103"/>
      <c r="I37" s="103"/>
      <c r="J37" s="103"/>
      <c r="K37" s="129"/>
      <c r="L37" s="129"/>
      <c r="M37" s="103"/>
      <c r="N37" s="103"/>
      <c r="O37" s="103"/>
    </row>
    <row r="38" spans="2:15" x14ac:dyDescent="0.25">
      <c r="B38" s="62" t="s">
        <v>22</v>
      </c>
      <c r="C38" s="63" t="s">
        <v>8</v>
      </c>
      <c r="D38" s="64"/>
      <c r="E38" s="65"/>
      <c r="F38" s="113"/>
      <c r="G38" s="126"/>
      <c r="H38" s="104"/>
      <c r="I38" s="104"/>
      <c r="J38" s="104"/>
      <c r="K38" s="130"/>
      <c r="L38" s="130"/>
      <c r="M38" s="104"/>
      <c r="N38" s="104"/>
      <c r="O38" s="104"/>
    </row>
    <row r="39" spans="2:15" x14ac:dyDescent="0.25">
      <c r="B39" s="58">
        <v>1</v>
      </c>
      <c r="C39" s="59" t="s">
        <v>9</v>
      </c>
      <c r="D39" s="60" t="s">
        <v>10</v>
      </c>
      <c r="E39" s="61">
        <v>1</v>
      </c>
      <c r="F39" s="136">
        <v>8000000</v>
      </c>
      <c r="G39" s="123">
        <v>16500000</v>
      </c>
      <c r="H39" s="104">
        <v>8000000</v>
      </c>
      <c r="I39" s="104">
        <v>7000000</v>
      </c>
      <c r="J39" s="104">
        <v>6000000</v>
      </c>
      <c r="K39" s="104">
        <f t="shared" ref="K39:K41" si="16">F39*E39</f>
        <v>8000000</v>
      </c>
      <c r="L39" s="127">
        <f>G39*E39</f>
        <v>16500000</v>
      </c>
      <c r="M39" s="104">
        <f>H39*E39</f>
        <v>8000000</v>
      </c>
      <c r="N39" s="104">
        <f t="shared" ref="N39:N41" si="17">I39*E39</f>
        <v>7000000</v>
      </c>
      <c r="O39" s="104">
        <f t="shared" ref="O39:O41" si="18">J39*E39</f>
        <v>6000000</v>
      </c>
    </row>
    <row r="40" spans="2:15" x14ac:dyDescent="0.25">
      <c r="B40" s="58">
        <v>2</v>
      </c>
      <c r="C40" s="59" t="s">
        <v>12</v>
      </c>
      <c r="D40" s="60" t="s">
        <v>10</v>
      </c>
      <c r="E40" s="61">
        <v>1</v>
      </c>
      <c r="F40" s="152">
        <v>6000000</v>
      </c>
      <c r="G40" s="123">
        <v>16500000</v>
      </c>
      <c r="H40" s="104">
        <v>25000000</v>
      </c>
      <c r="I40" s="104">
        <v>20000000</v>
      </c>
      <c r="J40" s="104">
        <v>4900000</v>
      </c>
      <c r="K40" s="104">
        <f t="shared" si="16"/>
        <v>6000000</v>
      </c>
      <c r="L40" s="127">
        <f t="shared" ref="L40:L41" si="19">G40*E40</f>
        <v>16500000</v>
      </c>
      <c r="M40" s="104">
        <f t="shared" ref="M40:M41" si="20">H40*E40</f>
        <v>25000000</v>
      </c>
      <c r="N40" s="104">
        <f t="shared" si="17"/>
        <v>20000000</v>
      </c>
      <c r="O40" s="104">
        <f t="shared" si="18"/>
        <v>4900000</v>
      </c>
    </row>
    <row r="41" spans="2:15" x14ac:dyDescent="0.25">
      <c r="B41" s="58">
        <v>3</v>
      </c>
      <c r="C41" s="59" t="s">
        <v>35</v>
      </c>
      <c r="D41" s="60" t="s">
        <v>36</v>
      </c>
      <c r="E41" s="61">
        <v>5</v>
      </c>
      <c r="F41" s="152">
        <v>100000</v>
      </c>
      <c r="G41" s="123">
        <v>192500</v>
      </c>
      <c r="H41" s="104">
        <v>100000</v>
      </c>
      <c r="I41" s="104">
        <v>600000</v>
      </c>
      <c r="J41" s="104">
        <v>150000</v>
      </c>
      <c r="K41" s="104">
        <f t="shared" si="16"/>
        <v>500000</v>
      </c>
      <c r="L41" s="127">
        <f t="shared" si="19"/>
        <v>962500</v>
      </c>
      <c r="M41" s="104">
        <f t="shared" si="20"/>
        <v>500000</v>
      </c>
      <c r="N41" s="104">
        <f t="shared" si="17"/>
        <v>3000000</v>
      </c>
      <c r="O41" s="104">
        <f t="shared" si="18"/>
        <v>750000</v>
      </c>
    </row>
    <row r="42" spans="2:15" x14ac:dyDescent="0.25">
      <c r="B42" s="59"/>
      <c r="C42" s="67" t="s">
        <v>13</v>
      </c>
      <c r="D42" s="60"/>
      <c r="E42" s="68"/>
      <c r="F42" s="110"/>
      <c r="G42" s="124"/>
      <c r="H42" s="104"/>
      <c r="I42" s="104"/>
      <c r="J42" s="104"/>
      <c r="K42" s="128">
        <f>SUM(K39:K41)</f>
        <v>14500000</v>
      </c>
      <c r="L42" s="128">
        <f>SUM(L39:L41)</f>
        <v>33962500</v>
      </c>
      <c r="M42" s="101">
        <f>SUM(M39:M41)</f>
        <v>33500000</v>
      </c>
      <c r="N42" s="101">
        <f>SUM(N39:N41)</f>
        <v>30000000</v>
      </c>
      <c r="O42" s="101">
        <f>SUM(O39:O41)</f>
        <v>11650000</v>
      </c>
    </row>
    <row r="43" spans="2:15" x14ac:dyDescent="0.25">
      <c r="B43" s="69" t="s">
        <v>23</v>
      </c>
      <c r="C43" s="70" t="s">
        <v>87</v>
      </c>
      <c r="D43" s="60"/>
      <c r="E43" s="68"/>
      <c r="F43" s="110"/>
      <c r="G43" s="123"/>
      <c r="H43" s="104"/>
      <c r="I43" s="104"/>
      <c r="J43" s="104"/>
      <c r="K43" s="127"/>
      <c r="L43" s="127"/>
      <c r="M43" s="104"/>
      <c r="N43" s="104"/>
      <c r="O43" s="104"/>
    </row>
    <row r="44" spans="2:15" x14ac:dyDescent="0.25">
      <c r="B44" s="58">
        <v>1</v>
      </c>
      <c r="C44" s="59" t="s">
        <v>85</v>
      </c>
      <c r="D44" s="60" t="s">
        <v>86</v>
      </c>
      <c r="E44" s="61">
        <f>E47+10</f>
        <v>133</v>
      </c>
      <c r="F44" s="136">
        <v>50000</v>
      </c>
      <c r="G44" s="123">
        <v>163350</v>
      </c>
      <c r="H44" s="104">
        <v>50000</v>
      </c>
      <c r="I44" s="104">
        <v>200000</v>
      </c>
      <c r="J44" s="104">
        <v>130000</v>
      </c>
      <c r="K44" s="104">
        <f t="shared" ref="K44:K61" si="21">F44*E44</f>
        <v>6650000</v>
      </c>
      <c r="L44" s="127">
        <f>G44*E44</f>
        <v>21725550</v>
      </c>
      <c r="M44" s="104">
        <f t="shared" ref="M44" si="22">H44*E44</f>
        <v>6650000</v>
      </c>
      <c r="N44" s="104">
        <f t="shared" ref="N44:N61" si="23">I44*E44</f>
        <v>26600000</v>
      </c>
      <c r="O44" s="104">
        <f t="shared" ref="O44" si="24">J44*E44</f>
        <v>17290000</v>
      </c>
    </row>
    <row r="45" spans="2:15" x14ac:dyDescent="0.25">
      <c r="B45" s="85">
        <v>2</v>
      </c>
      <c r="C45" s="86" t="s">
        <v>123</v>
      </c>
      <c r="D45" s="60"/>
      <c r="E45" s="61"/>
      <c r="F45" s="110"/>
      <c r="G45" s="136"/>
      <c r="H45" s="104"/>
      <c r="I45" s="104"/>
      <c r="J45" s="104"/>
      <c r="K45" s="127"/>
      <c r="L45" s="127"/>
      <c r="M45" s="104"/>
      <c r="N45" s="104"/>
      <c r="O45" s="104"/>
    </row>
    <row r="46" spans="2:15" x14ac:dyDescent="0.25">
      <c r="B46" s="85"/>
      <c r="C46" s="86" t="s">
        <v>124</v>
      </c>
      <c r="D46" s="60" t="s">
        <v>15</v>
      </c>
      <c r="E46" s="61">
        <f>10</f>
        <v>10</v>
      </c>
      <c r="F46" s="136">
        <v>16744600</v>
      </c>
      <c r="G46" s="136">
        <v>17499636</v>
      </c>
      <c r="H46" s="104">
        <v>13976675</v>
      </c>
      <c r="I46" s="104">
        <v>17989520</v>
      </c>
      <c r="J46" s="104">
        <v>16600000</v>
      </c>
      <c r="K46" s="104">
        <f t="shared" si="21"/>
        <v>167446000</v>
      </c>
      <c r="L46" s="127">
        <f t="shared" ref="L46:L61" si="25">G46*E46</f>
        <v>174996360</v>
      </c>
      <c r="M46" s="104">
        <f t="shared" ref="M46:M54" si="26">H46*E46</f>
        <v>139766750</v>
      </c>
      <c r="N46" s="104">
        <f t="shared" si="23"/>
        <v>179895200</v>
      </c>
      <c r="O46" s="104">
        <f t="shared" ref="O46:O61" si="27">J46*E46</f>
        <v>166000000</v>
      </c>
    </row>
    <row r="47" spans="2:15" x14ac:dyDescent="0.25">
      <c r="B47" s="58">
        <v>3</v>
      </c>
      <c r="C47" s="59" t="s">
        <v>79</v>
      </c>
      <c r="D47" s="60" t="s">
        <v>15</v>
      </c>
      <c r="E47" s="61">
        <v>123</v>
      </c>
      <c r="F47" s="136">
        <v>8472800</v>
      </c>
      <c r="G47" s="136">
        <v>8620876</v>
      </c>
      <c r="H47" s="104">
        <v>7650000</v>
      </c>
      <c r="I47" s="104">
        <v>8583303</v>
      </c>
      <c r="J47" s="104">
        <v>7135000</v>
      </c>
      <c r="K47" s="104">
        <f t="shared" si="21"/>
        <v>1042154400</v>
      </c>
      <c r="L47" s="127">
        <f t="shared" si="25"/>
        <v>1060367748</v>
      </c>
      <c r="M47" s="104">
        <f t="shared" si="26"/>
        <v>940950000</v>
      </c>
      <c r="N47" s="104">
        <f t="shared" si="23"/>
        <v>1055746269</v>
      </c>
      <c r="O47" s="104">
        <f t="shared" si="27"/>
        <v>877605000</v>
      </c>
    </row>
    <row r="48" spans="2:15" x14ac:dyDescent="0.25">
      <c r="B48" s="58">
        <v>4</v>
      </c>
      <c r="C48" s="59" t="s">
        <v>27</v>
      </c>
      <c r="D48" s="60" t="s">
        <v>15</v>
      </c>
      <c r="E48" s="61">
        <v>88.82</v>
      </c>
      <c r="F48" s="136">
        <v>404000</v>
      </c>
      <c r="G48" s="123">
        <v>434791.85</v>
      </c>
      <c r="H48" s="104">
        <v>427500</v>
      </c>
      <c r="I48" s="104">
        <v>384234</v>
      </c>
      <c r="J48" s="104">
        <v>375000</v>
      </c>
      <c r="K48" s="104">
        <f t="shared" si="21"/>
        <v>35883280</v>
      </c>
      <c r="L48" s="127">
        <f t="shared" si="25"/>
        <v>38618212.116999999</v>
      </c>
      <c r="M48" s="104">
        <f t="shared" si="26"/>
        <v>37970550</v>
      </c>
      <c r="N48" s="104">
        <f t="shared" si="23"/>
        <v>34127663.879999995</v>
      </c>
      <c r="O48" s="104">
        <f t="shared" si="27"/>
        <v>33307499.999999996</v>
      </c>
    </row>
    <row r="49" spans="2:15" x14ac:dyDescent="0.25">
      <c r="B49" s="58">
        <v>5</v>
      </c>
      <c r="C49" s="59" t="s">
        <v>75</v>
      </c>
      <c r="D49" s="60" t="s">
        <v>15</v>
      </c>
      <c r="E49" s="61">
        <v>82.5</v>
      </c>
      <c r="F49" s="136">
        <v>577746</v>
      </c>
      <c r="G49" s="123">
        <v>571459.18999999994</v>
      </c>
      <c r="H49" s="104">
        <v>532000</v>
      </c>
      <c r="I49" s="104">
        <v>516331</v>
      </c>
      <c r="J49" s="104">
        <v>546000</v>
      </c>
      <c r="K49" s="104">
        <f t="shared" si="21"/>
        <v>47664045</v>
      </c>
      <c r="L49" s="127">
        <f t="shared" si="25"/>
        <v>47145383.174999997</v>
      </c>
      <c r="M49" s="104">
        <f t="shared" si="26"/>
        <v>43890000</v>
      </c>
      <c r="N49" s="104">
        <f t="shared" si="23"/>
        <v>42597307.5</v>
      </c>
      <c r="O49" s="104">
        <f t="shared" si="27"/>
        <v>45045000</v>
      </c>
    </row>
    <row r="50" spans="2:15" x14ac:dyDescent="0.25">
      <c r="B50" s="58">
        <v>6</v>
      </c>
      <c r="C50" s="59" t="s">
        <v>19</v>
      </c>
      <c r="D50" s="60" t="s">
        <v>80</v>
      </c>
      <c r="E50" s="61">
        <v>4</v>
      </c>
      <c r="F50" s="136">
        <v>1500000</v>
      </c>
      <c r="G50" s="123">
        <v>979437.8</v>
      </c>
      <c r="H50" s="104">
        <v>3800000</v>
      </c>
      <c r="I50" s="104">
        <v>1315073</v>
      </c>
      <c r="J50" s="104">
        <v>1850000</v>
      </c>
      <c r="K50" s="104">
        <f t="shared" si="21"/>
        <v>6000000</v>
      </c>
      <c r="L50" s="127">
        <f t="shared" si="25"/>
        <v>3917751.2</v>
      </c>
      <c r="M50" s="104">
        <f t="shared" si="26"/>
        <v>15200000</v>
      </c>
      <c r="N50" s="104">
        <f t="shared" si="23"/>
        <v>5260292</v>
      </c>
      <c r="O50" s="104">
        <f t="shared" si="27"/>
        <v>7400000</v>
      </c>
    </row>
    <row r="51" spans="2:15" x14ac:dyDescent="0.25">
      <c r="B51" s="58">
        <v>7</v>
      </c>
      <c r="C51" s="59" t="s">
        <v>20</v>
      </c>
      <c r="D51" s="60" t="s">
        <v>80</v>
      </c>
      <c r="E51" s="61">
        <v>3</v>
      </c>
      <c r="F51" s="136">
        <v>3454792</v>
      </c>
      <c r="G51" s="123">
        <v>1218055.3</v>
      </c>
      <c r="H51" s="104">
        <v>4132500</v>
      </c>
      <c r="I51" s="104">
        <v>1613392</v>
      </c>
      <c r="J51" s="104">
        <v>2200000</v>
      </c>
      <c r="K51" s="104">
        <f t="shared" si="21"/>
        <v>10364376</v>
      </c>
      <c r="L51" s="127">
        <f t="shared" si="25"/>
        <v>3654165.9000000004</v>
      </c>
      <c r="M51" s="104">
        <f t="shared" si="26"/>
        <v>12397500</v>
      </c>
      <c r="N51" s="104">
        <f t="shared" si="23"/>
        <v>4840176</v>
      </c>
      <c r="O51" s="104">
        <f t="shared" si="27"/>
        <v>6600000</v>
      </c>
    </row>
    <row r="52" spans="2:15" x14ac:dyDescent="0.25">
      <c r="B52" s="58">
        <v>8</v>
      </c>
      <c r="C52" s="59" t="s">
        <v>81</v>
      </c>
      <c r="D52" s="60" t="s">
        <v>72</v>
      </c>
      <c r="E52" s="61">
        <f>0.6*1*3.5*2</f>
        <v>4.2</v>
      </c>
      <c r="F52" s="136">
        <v>750000</v>
      </c>
      <c r="G52" s="123">
        <v>935000</v>
      </c>
      <c r="H52" s="104">
        <v>750000</v>
      </c>
      <c r="I52" s="104">
        <v>750000</v>
      </c>
      <c r="J52" s="104">
        <v>920000</v>
      </c>
      <c r="K52" s="104">
        <f t="shared" si="21"/>
        <v>3150000</v>
      </c>
      <c r="L52" s="127">
        <f t="shared" si="25"/>
        <v>3927000</v>
      </c>
      <c r="M52" s="104">
        <f t="shared" si="26"/>
        <v>3150000</v>
      </c>
      <c r="N52" s="104">
        <f t="shared" si="23"/>
        <v>3150000</v>
      </c>
      <c r="O52" s="104">
        <f t="shared" si="27"/>
        <v>3864000</v>
      </c>
    </row>
    <row r="53" spans="2:15" x14ac:dyDescent="0.25">
      <c r="B53" s="85">
        <v>9</v>
      </c>
      <c r="C53" s="86" t="s">
        <v>115</v>
      </c>
      <c r="D53" s="87"/>
      <c r="E53" s="88"/>
      <c r="F53" s="173"/>
      <c r="G53" s="171"/>
      <c r="H53" s="104"/>
      <c r="I53" s="104"/>
      <c r="J53" s="104"/>
      <c r="K53" s="104"/>
      <c r="L53" s="127"/>
      <c r="M53" s="104"/>
      <c r="N53" s="104"/>
      <c r="O53" s="104"/>
    </row>
    <row r="54" spans="2:15" x14ac:dyDescent="0.25">
      <c r="B54" s="85"/>
      <c r="C54" s="89" t="s">
        <v>121</v>
      </c>
      <c r="D54" s="180" t="s">
        <v>72</v>
      </c>
      <c r="E54" s="181">
        <f>1.5*123*2*1.5</f>
        <v>553.5</v>
      </c>
      <c r="F54" s="171">
        <v>10000</v>
      </c>
      <c r="G54" s="171">
        <v>11000</v>
      </c>
      <c r="H54" s="106">
        <v>40000</v>
      </c>
      <c r="I54" s="106">
        <v>17000</v>
      </c>
      <c r="J54" s="106">
        <v>35000</v>
      </c>
      <c r="K54" s="106">
        <f t="shared" si="21"/>
        <v>5535000</v>
      </c>
      <c r="L54" s="182">
        <f t="shared" si="25"/>
        <v>6088500</v>
      </c>
      <c r="M54" s="104">
        <f t="shared" si="26"/>
        <v>22140000</v>
      </c>
      <c r="N54" s="104">
        <f t="shared" si="23"/>
        <v>9409500</v>
      </c>
      <c r="O54" s="104">
        <f t="shared" si="27"/>
        <v>19372500</v>
      </c>
    </row>
    <row r="55" spans="2:15" x14ac:dyDescent="0.25">
      <c r="B55" s="85"/>
      <c r="C55" s="89" t="s">
        <v>117</v>
      </c>
      <c r="D55" s="180"/>
      <c r="E55" s="181"/>
      <c r="F55" s="171"/>
      <c r="G55" s="171"/>
      <c r="H55" s="106"/>
      <c r="I55" s="106"/>
      <c r="J55" s="106"/>
      <c r="K55" s="106"/>
      <c r="L55" s="182"/>
      <c r="M55" s="104"/>
      <c r="N55" s="104"/>
      <c r="O55" s="104"/>
    </row>
    <row r="56" spans="2:15" x14ac:dyDescent="0.25">
      <c r="B56" s="85"/>
      <c r="C56" s="89" t="s">
        <v>128</v>
      </c>
      <c r="D56" s="180"/>
      <c r="E56" s="181"/>
      <c r="F56" s="171"/>
      <c r="G56" s="171"/>
      <c r="H56" s="106"/>
      <c r="I56" s="106"/>
      <c r="J56" s="106"/>
      <c r="K56" s="106"/>
      <c r="L56" s="182"/>
      <c r="M56" s="104"/>
      <c r="N56" s="104"/>
      <c r="O56" s="104"/>
    </row>
    <row r="57" spans="2:15" x14ac:dyDescent="0.25">
      <c r="B57" s="85"/>
      <c r="C57" s="89" t="s">
        <v>129</v>
      </c>
      <c r="D57" s="180" t="s">
        <v>72</v>
      </c>
      <c r="E57" s="181">
        <f>(123/0.2)*2</f>
        <v>1230</v>
      </c>
      <c r="F57" s="171">
        <v>10000</v>
      </c>
      <c r="G57" s="171">
        <v>17600</v>
      </c>
      <c r="H57" s="106">
        <v>60000</v>
      </c>
      <c r="I57" s="106">
        <v>25000</v>
      </c>
      <c r="J57" s="106">
        <v>6300</v>
      </c>
      <c r="K57" s="106">
        <f t="shared" si="21"/>
        <v>12300000</v>
      </c>
      <c r="L57" s="182">
        <f t="shared" si="25"/>
        <v>21648000</v>
      </c>
      <c r="M57" s="104">
        <f t="shared" ref="M57" si="28">H57*E57</f>
        <v>73800000</v>
      </c>
      <c r="N57" s="104">
        <f t="shared" si="23"/>
        <v>30750000</v>
      </c>
      <c r="O57" s="104">
        <f t="shared" si="27"/>
        <v>7749000</v>
      </c>
    </row>
    <row r="58" spans="2:15" x14ac:dyDescent="0.25">
      <c r="B58" s="85"/>
      <c r="C58" s="89" t="s">
        <v>118</v>
      </c>
      <c r="D58" s="180"/>
      <c r="E58" s="181"/>
      <c r="F58" s="171"/>
      <c r="G58" s="171"/>
      <c r="H58" s="106"/>
      <c r="I58" s="106"/>
      <c r="J58" s="106"/>
      <c r="K58" s="106"/>
      <c r="L58" s="182"/>
      <c r="M58" s="104"/>
      <c r="N58" s="104"/>
      <c r="O58" s="104">
        <f t="shared" si="27"/>
        <v>0</v>
      </c>
    </row>
    <row r="59" spans="2:15" x14ac:dyDescent="0.25">
      <c r="B59" s="85"/>
      <c r="C59" s="89" t="s">
        <v>119</v>
      </c>
      <c r="D59" s="180" t="s">
        <v>72</v>
      </c>
      <c r="E59" s="181">
        <f>0.15*(1.5)*123*2</f>
        <v>55.349999999999994</v>
      </c>
      <c r="F59" s="171">
        <v>2500000</v>
      </c>
      <c r="G59" s="171">
        <v>2750000</v>
      </c>
      <c r="H59" s="106">
        <v>3681000</v>
      </c>
      <c r="I59" s="106">
        <v>2857993</v>
      </c>
      <c r="J59" s="106">
        <v>7200000</v>
      </c>
      <c r="K59" s="106">
        <f t="shared" si="21"/>
        <v>138375000</v>
      </c>
      <c r="L59" s="182">
        <f t="shared" si="25"/>
        <v>152212499.99999997</v>
      </c>
      <c r="M59" s="104">
        <f t="shared" ref="M59" si="29">H59*E59</f>
        <v>203743349.99999997</v>
      </c>
      <c r="N59" s="104">
        <f>I59*E59</f>
        <v>158189912.54999998</v>
      </c>
      <c r="O59" s="104">
        <f t="shared" si="27"/>
        <v>398519999.99999994</v>
      </c>
    </row>
    <row r="60" spans="2:15" x14ac:dyDescent="0.25">
      <c r="B60" s="85"/>
      <c r="C60" s="89" t="s">
        <v>120</v>
      </c>
      <c r="D60" s="180"/>
      <c r="E60" s="181"/>
      <c r="F60" s="171"/>
      <c r="G60" s="171"/>
      <c r="H60" s="106"/>
      <c r="I60" s="106"/>
      <c r="J60" s="106"/>
      <c r="K60" s="106"/>
      <c r="L60" s="182"/>
      <c r="M60" s="104"/>
      <c r="N60" s="104"/>
      <c r="O60" s="104"/>
    </row>
    <row r="61" spans="2:15" x14ac:dyDescent="0.25">
      <c r="B61" s="85"/>
      <c r="C61" s="89" t="s">
        <v>122</v>
      </c>
      <c r="D61" s="180" t="s">
        <v>72</v>
      </c>
      <c r="E61" s="181">
        <f>0.2*0.25*2.8*(123/2)</f>
        <v>8.61</v>
      </c>
      <c r="F61" s="171">
        <v>2800000</v>
      </c>
      <c r="G61" s="171">
        <v>3080000</v>
      </c>
      <c r="H61" s="106">
        <v>4350000</v>
      </c>
      <c r="I61" s="106">
        <v>4880398</v>
      </c>
      <c r="J61" s="106">
        <v>6700000</v>
      </c>
      <c r="K61" s="106">
        <f t="shared" si="21"/>
        <v>24108000</v>
      </c>
      <c r="L61" s="182">
        <f t="shared" si="25"/>
        <v>26518800</v>
      </c>
      <c r="M61" s="104">
        <f t="shared" ref="M61" si="30">H61*E61</f>
        <v>37453500</v>
      </c>
      <c r="N61" s="104">
        <f t="shared" si="23"/>
        <v>42020226.779999994</v>
      </c>
      <c r="O61" s="104">
        <f t="shared" si="27"/>
        <v>57686999.999999993</v>
      </c>
    </row>
    <row r="62" spans="2:15" x14ac:dyDescent="0.25">
      <c r="B62" s="58"/>
      <c r="C62" s="67" t="s">
        <v>76</v>
      </c>
      <c r="D62" s="60"/>
      <c r="E62" s="61"/>
      <c r="F62" s="110"/>
      <c r="G62" s="183"/>
      <c r="H62" s="106"/>
      <c r="I62" s="106"/>
      <c r="J62" s="106"/>
      <c r="K62" s="199">
        <f>SUM(K44:K61)</f>
        <v>1499630101</v>
      </c>
      <c r="L62" s="199">
        <f>SUM(L44:L61)</f>
        <v>1560819970.3920002</v>
      </c>
      <c r="M62" s="200">
        <f>SUM(M44:M61)</f>
        <v>1537111650</v>
      </c>
      <c r="N62" s="200">
        <f>SUM(N44:N61)</f>
        <v>1592586547.71</v>
      </c>
      <c r="O62" s="200">
        <f>SUM(O44:O61)</f>
        <v>1640440000</v>
      </c>
    </row>
    <row r="63" spans="2:15" x14ac:dyDescent="0.25">
      <c r="B63" s="69" t="s">
        <v>83</v>
      </c>
      <c r="C63" s="70" t="s">
        <v>88</v>
      </c>
      <c r="D63" s="60"/>
      <c r="E63" s="68"/>
      <c r="F63" s="110"/>
      <c r="G63" s="136"/>
      <c r="H63" s="106"/>
      <c r="I63" s="106"/>
      <c r="J63" s="106"/>
      <c r="K63" s="182"/>
      <c r="L63" s="182"/>
      <c r="M63" s="104"/>
      <c r="N63" s="104"/>
      <c r="O63" s="104"/>
    </row>
    <row r="64" spans="2:15" x14ac:dyDescent="0.25">
      <c r="B64" s="94">
        <v>1</v>
      </c>
      <c r="C64" s="95" t="s">
        <v>127</v>
      </c>
      <c r="D64" s="60" t="s">
        <v>41</v>
      </c>
      <c r="E64" s="61">
        <f>717*2</f>
        <v>1434</v>
      </c>
      <c r="F64" s="136">
        <v>25000</v>
      </c>
      <c r="G64" s="136">
        <v>21450</v>
      </c>
      <c r="H64" s="106">
        <v>27500</v>
      </c>
      <c r="I64" s="106">
        <v>17000</v>
      </c>
      <c r="J64" s="106">
        <v>21000</v>
      </c>
      <c r="K64" s="106">
        <f t="shared" ref="K64:K71" si="31">F64*E64</f>
        <v>35850000</v>
      </c>
      <c r="L64" s="182">
        <f>G64*E64</f>
        <v>30759300</v>
      </c>
      <c r="M64" s="104">
        <f t="shared" ref="M64:M71" si="32">H64*E64</f>
        <v>39435000</v>
      </c>
      <c r="N64" s="104">
        <f t="shared" ref="N64:N71" si="33">I64*E64</f>
        <v>24378000</v>
      </c>
      <c r="O64" s="104">
        <f t="shared" ref="O64:O71" si="34">J64*E64</f>
        <v>30114000</v>
      </c>
    </row>
    <row r="65" spans="2:15" x14ac:dyDescent="0.25">
      <c r="B65" s="58">
        <v>2</v>
      </c>
      <c r="C65" s="59" t="s">
        <v>40</v>
      </c>
      <c r="D65" s="60" t="s">
        <v>41</v>
      </c>
      <c r="E65" s="61">
        <f>E68*0.25</f>
        <v>830</v>
      </c>
      <c r="F65" s="136">
        <v>204763</v>
      </c>
      <c r="G65" s="136">
        <v>315700</v>
      </c>
      <c r="H65" s="106">
        <v>250000</v>
      </c>
      <c r="I65" s="106">
        <v>242802</v>
      </c>
      <c r="J65" s="106">
        <v>222000</v>
      </c>
      <c r="K65" s="106">
        <f t="shared" si="31"/>
        <v>169953290</v>
      </c>
      <c r="L65" s="182">
        <f t="shared" ref="L65:L71" si="35">G65*E65</f>
        <v>262031000</v>
      </c>
      <c r="M65" s="104">
        <f t="shared" si="32"/>
        <v>207500000</v>
      </c>
      <c r="N65" s="104">
        <f t="shared" si="33"/>
        <v>201525660</v>
      </c>
      <c r="O65" s="104">
        <f t="shared" si="34"/>
        <v>184260000</v>
      </c>
    </row>
    <row r="66" spans="2:15" x14ac:dyDescent="0.25">
      <c r="B66" s="58">
        <v>3</v>
      </c>
      <c r="C66" s="59" t="s">
        <v>42</v>
      </c>
      <c r="D66" s="60" t="s">
        <v>41</v>
      </c>
      <c r="E66" s="61">
        <f>E68*0.2</f>
        <v>664</v>
      </c>
      <c r="F66" s="136">
        <v>342925</v>
      </c>
      <c r="G66" s="136">
        <v>344300</v>
      </c>
      <c r="H66" s="106">
        <v>300000</v>
      </c>
      <c r="I66" s="106">
        <v>314521</v>
      </c>
      <c r="J66" s="106">
        <v>332000</v>
      </c>
      <c r="K66" s="106">
        <f t="shared" si="31"/>
        <v>227702200</v>
      </c>
      <c r="L66" s="182">
        <f t="shared" si="35"/>
        <v>228615200</v>
      </c>
      <c r="M66" s="104">
        <f t="shared" si="32"/>
        <v>199200000</v>
      </c>
      <c r="N66" s="104">
        <f t="shared" si="33"/>
        <v>208841944</v>
      </c>
      <c r="O66" s="104">
        <f t="shared" si="34"/>
        <v>220448000</v>
      </c>
    </row>
    <row r="67" spans="2:15" x14ac:dyDescent="0.25">
      <c r="B67" s="85">
        <v>4</v>
      </c>
      <c r="C67" s="86" t="s">
        <v>43</v>
      </c>
      <c r="D67" s="60" t="s">
        <v>38</v>
      </c>
      <c r="E67" s="61">
        <f>E68</f>
        <v>3320</v>
      </c>
      <c r="F67" s="136"/>
      <c r="G67" s="136"/>
      <c r="H67" s="106"/>
      <c r="I67" s="106"/>
      <c r="J67" s="106"/>
      <c r="K67" s="106">
        <f t="shared" si="31"/>
        <v>0</v>
      </c>
      <c r="L67" s="182">
        <f t="shared" si="35"/>
        <v>0</v>
      </c>
      <c r="M67" s="104">
        <f t="shared" si="32"/>
        <v>0</v>
      </c>
      <c r="N67" s="104">
        <f t="shared" si="33"/>
        <v>0</v>
      </c>
      <c r="O67" s="104">
        <f t="shared" si="34"/>
        <v>0</v>
      </c>
    </row>
    <row r="68" spans="2:15" x14ac:dyDescent="0.25">
      <c r="B68" s="85">
        <v>5</v>
      </c>
      <c r="C68" s="86" t="s">
        <v>44</v>
      </c>
      <c r="D68" s="60" t="s">
        <v>38</v>
      </c>
      <c r="E68" s="61">
        <v>3320</v>
      </c>
      <c r="F68" s="136"/>
      <c r="G68" s="136"/>
      <c r="H68" s="106"/>
      <c r="I68" s="106"/>
      <c r="J68" s="106"/>
      <c r="K68" s="106">
        <f t="shared" si="31"/>
        <v>0</v>
      </c>
      <c r="L68" s="182">
        <f t="shared" si="35"/>
        <v>0</v>
      </c>
      <c r="M68" s="104">
        <f t="shared" si="32"/>
        <v>0</v>
      </c>
      <c r="N68" s="104">
        <f t="shared" si="33"/>
        <v>0</v>
      </c>
      <c r="O68" s="104">
        <f t="shared" si="34"/>
        <v>0</v>
      </c>
    </row>
    <row r="69" spans="2:15" x14ac:dyDescent="0.25">
      <c r="B69" s="85">
        <v>6</v>
      </c>
      <c r="C69" s="86" t="s">
        <v>45</v>
      </c>
      <c r="D69" s="60" t="s">
        <v>15</v>
      </c>
      <c r="E69" s="61">
        <v>602</v>
      </c>
      <c r="F69" s="136">
        <v>169875</v>
      </c>
      <c r="G69" s="136">
        <v>137500</v>
      </c>
      <c r="H69" s="106">
        <v>82500</v>
      </c>
      <c r="I69" s="106">
        <v>87044</v>
      </c>
      <c r="J69" s="106">
        <v>158500</v>
      </c>
      <c r="K69" s="106">
        <f t="shared" si="31"/>
        <v>102264750</v>
      </c>
      <c r="L69" s="182">
        <f t="shared" si="35"/>
        <v>82775000</v>
      </c>
      <c r="M69" s="104">
        <f t="shared" si="32"/>
        <v>49665000</v>
      </c>
      <c r="N69" s="104">
        <f t="shared" si="33"/>
        <v>52400488</v>
      </c>
      <c r="O69" s="104">
        <f t="shared" si="34"/>
        <v>95417000</v>
      </c>
    </row>
    <row r="70" spans="2:15" x14ac:dyDescent="0.25">
      <c r="B70" s="58">
        <v>7</v>
      </c>
      <c r="C70" s="59" t="s">
        <v>37</v>
      </c>
      <c r="D70" s="60" t="s">
        <v>38</v>
      </c>
      <c r="E70" s="61">
        <v>171.2</v>
      </c>
      <c r="F70" s="136">
        <v>10000</v>
      </c>
      <c r="G70" s="136">
        <v>4125</v>
      </c>
      <c r="H70" s="106">
        <v>5000</v>
      </c>
      <c r="I70" s="106">
        <v>5000</v>
      </c>
      <c r="J70" s="106">
        <v>4000</v>
      </c>
      <c r="K70" s="106">
        <f t="shared" si="31"/>
        <v>1712000</v>
      </c>
      <c r="L70" s="182">
        <f t="shared" si="35"/>
        <v>706200</v>
      </c>
      <c r="M70" s="104">
        <f t="shared" si="32"/>
        <v>856000</v>
      </c>
      <c r="N70" s="104">
        <f t="shared" si="33"/>
        <v>856000</v>
      </c>
      <c r="O70" s="104">
        <f t="shared" si="34"/>
        <v>684800</v>
      </c>
    </row>
    <row r="71" spans="2:15" x14ac:dyDescent="0.25">
      <c r="B71" s="85">
        <v>8</v>
      </c>
      <c r="C71" s="86" t="s">
        <v>125</v>
      </c>
      <c r="D71" s="60" t="s">
        <v>38</v>
      </c>
      <c r="E71" s="61">
        <v>3320</v>
      </c>
      <c r="F71" s="136">
        <v>115000</v>
      </c>
      <c r="G71" s="136">
        <v>164450</v>
      </c>
      <c r="H71" s="106">
        <v>110000</v>
      </c>
      <c r="I71" s="106">
        <v>89000</v>
      </c>
      <c r="J71" s="106">
        <v>89000</v>
      </c>
      <c r="K71" s="106">
        <f t="shared" si="31"/>
        <v>381800000</v>
      </c>
      <c r="L71" s="182">
        <f t="shared" si="35"/>
        <v>545974000</v>
      </c>
      <c r="M71" s="104">
        <f t="shared" si="32"/>
        <v>365200000</v>
      </c>
      <c r="N71" s="104">
        <f t="shared" si="33"/>
        <v>295480000</v>
      </c>
      <c r="O71" s="104">
        <f t="shared" si="34"/>
        <v>295480000</v>
      </c>
    </row>
    <row r="72" spans="2:15" x14ac:dyDescent="0.25">
      <c r="B72" s="58"/>
      <c r="C72" s="67" t="s">
        <v>77</v>
      </c>
      <c r="D72" s="60"/>
      <c r="E72" s="68"/>
      <c r="F72" s="110"/>
      <c r="G72" s="183"/>
      <c r="H72" s="106"/>
      <c r="I72" s="106"/>
      <c r="J72" s="106"/>
      <c r="K72" s="184">
        <f>SUM(K64:K70)</f>
        <v>537482240</v>
      </c>
      <c r="L72" s="184">
        <f>SUM(L64:L70)</f>
        <v>604886700</v>
      </c>
      <c r="M72" s="101">
        <f>SUM(M64:M70)</f>
        <v>496656000</v>
      </c>
      <c r="N72" s="101">
        <f>SUM(N64:N71)</f>
        <v>783482092</v>
      </c>
      <c r="O72" s="101">
        <f>SUM(O64:O71)</f>
        <v>826403800</v>
      </c>
    </row>
    <row r="73" spans="2:15" x14ac:dyDescent="0.25">
      <c r="B73" s="79"/>
      <c r="C73" s="81"/>
      <c r="D73" s="185"/>
      <c r="E73" s="186"/>
      <c r="F73" s="173"/>
      <c r="G73" s="174"/>
      <c r="H73" s="106"/>
      <c r="I73" s="106"/>
      <c r="J73" s="106"/>
      <c r="K73" s="175"/>
      <c r="L73" s="175"/>
      <c r="M73" s="104"/>
      <c r="N73" s="104"/>
      <c r="O73" s="104"/>
    </row>
    <row r="74" spans="2:15" x14ac:dyDescent="0.25">
      <c r="B74" s="72"/>
      <c r="C74" s="73"/>
      <c r="D74" s="74"/>
      <c r="E74" s="75"/>
      <c r="F74" s="112"/>
      <c r="G74" s="125"/>
      <c r="H74" s="105"/>
      <c r="I74" s="105"/>
      <c r="J74" s="105"/>
      <c r="K74" s="129"/>
      <c r="L74" s="129"/>
      <c r="M74" s="105"/>
      <c r="N74" s="105"/>
      <c r="O74" s="105"/>
    </row>
    <row r="75" spans="2:15" x14ac:dyDescent="0.25">
      <c r="B75" s="72"/>
      <c r="C75" s="73"/>
      <c r="D75" s="74"/>
      <c r="E75" s="75"/>
      <c r="F75" s="112"/>
      <c r="G75" s="125"/>
      <c r="H75" s="105"/>
      <c r="I75" s="105"/>
      <c r="J75" s="105"/>
      <c r="K75" s="129"/>
      <c r="L75" s="129"/>
      <c r="M75" s="105"/>
      <c r="N75" s="105"/>
      <c r="O75" s="105"/>
    </row>
    <row r="76" spans="2:15" x14ac:dyDescent="0.25">
      <c r="B76" s="73" t="s">
        <v>39</v>
      </c>
      <c r="C76" s="76" t="s">
        <v>100</v>
      </c>
      <c r="D76" s="74"/>
      <c r="E76" s="75"/>
      <c r="F76" s="112"/>
      <c r="G76" s="125"/>
      <c r="H76" s="105"/>
      <c r="I76" s="105"/>
      <c r="J76" s="105"/>
      <c r="K76" s="129"/>
      <c r="L76" s="129"/>
      <c r="M76" s="105"/>
      <c r="N76" s="105"/>
      <c r="O76" s="105"/>
    </row>
    <row r="77" spans="2:15" x14ac:dyDescent="0.25">
      <c r="B77" s="84" t="s">
        <v>22</v>
      </c>
      <c r="C77" s="84" t="s">
        <v>90</v>
      </c>
      <c r="D77" s="82"/>
      <c r="E77" s="78"/>
      <c r="F77" s="167"/>
      <c r="G77" s="168"/>
      <c r="H77" s="106"/>
      <c r="I77" s="106"/>
      <c r="J77" s="106"/>
      <c r="K77" s="169"/>
      <c r="L77" s="169"/>
      <c r="M77" s="104"/>
      <c r="N77" s="104"/>
      <c r="O77" s="104"/>
    </row>
    <row r="78" spans="2:15" x14ac:dyDescent="0.25">
      <c r="B78" s="79">
        <v>1</v>
      </c>
      <c r="C78" s="80" t="s">
        <v>91</v>
      </c>
      <c r="D78" s="77" t="s">
        <v>92</v>
      </c>
      <c r="E78" s="78">
        <v>1</v>
      </c>
      <c r="F78" s="170">
        <v>5000000</v>
      </c>
      <c r="G78" s="171">
        <v>5500000</v>
      </c>
      <c r="H78" s="106">
        <v>5000</v>
      </c>
      <c r="I78" s="106">
        <v>5000000</v>
      </c>
      <c r="J78" s="106">
        <v>4000000</v>
      </c>
      <c r="K78" s="106">
        <f t="shared" ref="K78:K80" si="36">F78*E78</f>
        <v>5000000</v>
      </c>
      <c r="L78" s="172">
        <f>G78*E78</f>
        <v>5500000</v>
      </c>
      <c r="M78" s="104">
        <v>5000000</v>
      </c>
      <c r="N78" s="104">
        <f t="shared" ref="N78:N80" si="37">I78*E78</f>
        <v>5000000</v>
      </c>
      <c r="O78" s="104">
        <f t="shared" ref="O78:O80" si="38">J78*E78</f>
        <v>4000000</v>
      </c>
    </row>
    <row r="79" spans="2:15" x14ac:dyDescent="0.25">
      <c r="B79" s="79">
        <v>2</v>
      </c>
      <c r="C79" s="80" t="s">
        <v>93</v>
      </c>
      <c r="D79" s="77" t="s">
        <v>92</v>
      </c>
      <c r="E79" s="78">
        <v>1</v>
      </c>
      <c r="F79" s="170">
        <v>4000000</v>
      </c>
      <c r="G79" s="171">
        <v>16500000</v>
      </c>
      <c r="H79" s="106">
        <v>8000</v>
      </c>
      <c r="I79" s="106">
        <v>6000000</v>
      </c>
      <c r="J79" s="106">
        <v>4000000</v>
      </c>
      <c r="K79" s="106">
        <f t="shared" si="36"/>
        <v>4000000</v>
      </c>
      <c r="L79" s="172">
        <f t="shared" ref="L79:L80" si="39">G79*E79</f>
        <v>16500000</v>
      </c>
      <c r="M79" s="104">
        <v>8000000</v>
      </c>
      <c r="N79" s="104">
        <f t="shared" si="37"/>
        <v>6000000</v>
      </c>
      <c r="O79" s="104">
        <f t="shared" si="38"/>
        <v>4000000</v>
      </c>
    </row>
    <row r="80" spans="2:15" x14ac:dyDescent="0.25">
      <c r="B80" s="79">
        <v>3</v>
      </c>
      <c r="C80" s="80" t="s">
        <v>94</v>
      </c>
      <c r="D80" s="77" t="s">
        <v>92</v>
      </c>
      <c r="E80" s="78">
        <v>1</v>
      </c>
      <c r="F80" s="170">
        <v>5000000</v>
      </c>
      <c r="G80" s="171">
        <v>16500000</v>
      </c>
      <c r="H80" s="106">
        <v>10000</v>
      </c>
      <c r="I80" s="106">
        <v>15000000</v>
      </c>
      <c r="J80" s="106">
        <v>7000000</v>
      </c>
      <c r="K80" s="106">
        <f t="shared" si="36"/>
        <v>5000000</v>
      </c>
      <c r="L80" s="172">
        <f t="shared" si="39"/>
        <v>16500000</v>
      </c>
      <c r="M80" s="104">
        <v>10000000</v>
      </c>
      <c r="N80" s="104">
        <f t="shared" si="37"/>
        <v>15000000</v>
      </c>
      <c r="O80" s="104">
        <f t="shared" si="38"/>
        <v>7000000</v>
      </c>
    </row>
    <row r="81" spans="2:15" x14ac:dyDescent="0.25">
      <c r="B81" s="79"/>
      <c r="C81" s="81" t="s">
        <v>95</v>
      </c>
      <c r="D81" s="77"/>
      <c r="E81" s="78"/>
      <c r="F81" s="173"/>
      <c r="G81" s="174"/>
      <c r="H81" s="106"/>
      <c r="I81" s="106"/>
      <c r="J81" s="106"/>
      <c r="K81" s="175">
        <f>SUM(K78:K80)</f>
        <v>14000000</v>
      </c>
      <c r="L81" s="175">
        <f>SUM(L78:L80)</f>
        <v>38500000</v>
      </c>
      <c r="M81" s="101">
        <f>SUM(M78:M80)</f>
        <v>23000000</v>
      </c>
      <c r="N81" s="101">
        <f>SUM(N78:N80)</f>
        <v>26000000</v>
      </c>
      <c r="O81" s="101">
        <f>SUM(O78:O80)</f>
        <v>15000000</v>
      </c>
    </row>
    <row r="82" spans="2:15" x14ac:dyDescent="0.25">
      <c r="B82" s="79"/>
      <c r="C82" s="79"/>
      <c r="D82" s="82"/>
      <c r="E82" s="78"/>
      <c r="F82" s="173"/>
      <c r="G82" s="171"/>
      <c r="H82" s="106"/>
      <c r="I82" s="106"/>
      <c r="J82" s="106"/>
      <c r="K82" s="172"/>
      <c r="L82" s="172"/>
      <c r="M82" s="104"/>
      <c r="N82" s="104"/>
      <c r="O82" s="104"/>
    </row>
    <row r="83" spans="2:15" x14ac:dyDescent="0.25">
      <c r="B83" s="84" t="s">
        <v>23</v>
      </c>
      <c r="C83" s="84" t="s">
        <v>104</v>
      </c>
      <c r="D83" s="82"/>
      <c r="E83" s="78"/>
      <c r="F83" s="173"/>
      <c r="G83" s="171"/>
      <c r="H83" s="106"/>
      <c r="I83" s="106"/>
      <c r="J83" s="106"/>
      <c r="K83" s="172"/>
      <c r="L83" s="172"/>
      <c r="M83" s="104"/>
      <c r="N83" s="104"/>
      <c r="O83" s="104"/>
    </row>
    <row r="84" spans="2:15" x14ac:dyDescent="0.25">
      <c r="B84" s="79">
        <v>1</v>
      </c>
      <c r="C84" s="80" t="s">
        <v>96</v>
      </c>
      <c r="D84" s="77"/>
      <c r="E84" s="78"/>
      <c r="F84" s="173"/>
      <c r="G84" s="171"/>
      <c r="H84" s="106"/>
      <c r="I84" s="106"/>
      <c r="J84" s="106"/>
      <c r="K84" s="172"/>
      <c r="L84" s="172"/>
      <c r="M84" s="104"/>
      <c r="N84" s="104"/>
      <c r="O84" s="104"/>
    </row>
    <row r="85" spans="2:15" x14ac:dyDescent="0.25">
      <c r="B85" s="79"/>
      <c r="C85" s="80" t="s">
        <v>102</v>
      </c>
      <c r="D85" s="77" t="s">
        <v>86</v>
      </c>
      <c r="E85" s="78">
        <v>30</v>
      </c>
      <c r="F85" s="170">
        <v>40000</v>
      </c>
      <c r="G85" s="171">
        <v>1782000</v>
      </c>
      <c r="H85" s="106">
        <v>50000</v>
      </c>
      <c r="I85" s="106">
        <v>100000</v>
      </c>
      <c r="J85" s="106">
        <v>80000</v>
      </c>
      <c r="K85" s="106">
        <f t="shared" ref="K85:K98" si="40">F85*E85</f>
        <v>1200000</v>
      </c>
      <c r="L85" s="172">
        <f>G85*E85</f>
        <v>53460000</v>
      </c>
      <c r="M85" s="104">
        <f t="shared" ref="M85" si="41">H85*E85</f>
        <v>1500000</v>
      </c>
      <c r="N85" s="104">
        <f t="shared" ref="N85" si="42">I85*E85</f>
        <v>3000000</v>
      </c>
      <c r="O85" s="104">
        <f t="shared" ref="O85:O98" si="43">J85*E85</f>
        <v>2400000</v>
      </c>
    </row>
    <row r="86" spans="2:15" x14ac:dyDescent="0.25">
      <c r="B86" s="79">
        <v>2</v>
      </c>
      <c r="C86" s="80" t="s">
        <v>97</v>
      </c>
      <c r="D86" s="77"/>
      <c r="E86" s="78"/>
      <c r="F86" s="170"/>
      <c r="G86" s="171"/>
      <c r="H86" s="106"/>
      <c r="I86" s="106"/>
      <c r="J86" s="106"/>
      <c r="K86" s="106"/>
      <c r="L86" s="172"/>
      <c r="M86" s="104"/>
      <c r="N86" s="104"/>
      <c r="O86" s="104"/>
    </row>
    <row r="87" spans="2:15" x14ac:dyDescent="0.25">
      <c r="B87" s="79"/>
      <c r="C87" s="80" t="s">
        <v>103</v>
      </c>
      <c r="D87" s="77" t="s">
        <v>86</v>
      </c>
      <c r="E87" s="78">
        <v>30</v>
      </c>
      <c r="F87" s="170">
        <v>50000</v>
      </c>
      <c r="G87" s="171">
        <v>962808</v>
      </c>
      <c r="H87" s="106">
        <v>150000</v>
      </c>
      <c r="I87" s="106">
        <v>1000000</v>
      </c>
      <c r="J87" s="106">
        <v>60000</v>
      </c>
      <c r="K87" s="106">
        <f t="shared" si="40"/>
        <v>1500000</v>
      </c>
      <c r="L87" s="172">
        <f t="shared" ref="L87:L98" si="44">G87*E87</f>
        <v>28884240</v>
      </c>
      <c r="M87" s="104">
        <f t="shared" ref="M87" si="45">H87*E87</f>
        <v>4500000</v>
      </c>
      <c r="N87" s="104">
        <f t="shared" ref="N87" si="46">I87*E87</f>
        <v>30000000</v>
      </c>
      <c r="O87" s="104">
        <f t="shared" si="43"/>
        <v>1800000</v>
      </c>
    </row>
    <row r="88" spans="2:15" x14ac:dyDescent="0.25">
      <c r="B88" s="79">
        <v>3</v>
      </c>
      <c r="C88" s="80" t="s">
        <v>113</v>
      </c>
      <c r="D88" s="77"/>
      <c r="E88" s="78"/>
      <c r="F88" s="170"/>
      <c r="G88" s="171"/>
      <c r="H88" s="106"/>
      <c r="I88" s="106"/>
      <c r="J88" s="106"/>
      <c r="K88" s="106"/>
      <c r="L88" s="172"/>
      <c r="M88" s="104"/>
      <c r="N88" s="104"/>
      <c r="O88" s="104"/>
    </row>
    <row r="89" spans="2:15" x14ac:dyDescent="0.25">
      <c r="B89" s="79"/>
      <c r="C89" s="80" t="s">
        <v>105</v>
      </c>
      <c r="D89" s="77" t="s">
        <v>86</v>
      </c>
      <c r="E89" s="78">
        <v>7.5</v>
      </c>
      <c r="F89" s="170">
        <v>600000</v>
      </c>
      <c r="G89" s="171">
        <v>571459</v>
      </c>
      <c r="H89" s="106">
        <v>100000</v>
      </c>
      <c r="I89" s="106">
        <v>671230</v>
      </c>
      <c r="J89" s="106">
        <v>546000</v>
      </c>
      <c r="K89" s="106">
        <f t="shared" si="40"/>
        <v>4500000</v>
      </c>
      <c r="L89" s="172">
        <f t="shared" si="44"/>
        <v>4285942.5</v>
      </c>
      <c r="M89" s="104">
        <f t="shared" ref="M89" si="47">H89*E89</f>
        <v>750000</v>
      </c>
      <c r="N89" s="104">
        <f t="shared" ref="N89" si="48">I89*E89</f>
        <v>5034225</v>
      </c>
      <c r="O89" s="104">
        <f t="shared" si="43"/>
        <v>4095000</v>
      </c>
    </row>
    <row r="90" spans="2:15" x14ac:dyDescent="0.25">
      <c r="B90" s="79">
        <v>4</v>
      </c>
      <c r="C90" s="80" t="s">
        <v>98</v>
      </c>
      <c r="D90" s="77"/>
      <c r="E90" s="78"/>
      <c r="F90" s="170"/>
      <c r="G90" s="171"/>
      <c r="H90" s="106"/>
      <c r="I90" s="106"/>
      <c r="J90" s="106"/>
      <c r="K90" s="106"/>
      <c r="L90" s="172"/>
      <c r="M90" s="104"/>
      <c r="N90" s="104"/>
      <c r="O90" s="104"/>
    </row>
    <row r="91" spans="2:15" x14ac:dyDescent="0.25">
      <c r="B91" s="79"/>
      <c r="C91" s="80" t="s">
        <v>99</v>
      </c>
      <c r="D91" s="77" t="s">
        <v>101</v>
      </c>
      <c r="E91" s="78">
        <f>40</f>
        <v>40</v>
      </c>
      <c r="F91" s="170">
        <v>900000</v>
      </c>
      <c r="G91" s="171">
        <v>770000</v>
      </c>
      <c r="H91" s="106">
        <v>1025000</v>
      </c>
      <c r="I91" s="106">
        <v>1000000</v>
      </c>
      <c r="J91" s="106">
        <v>800000</v>
      </c>
      <c r="K91" s="106">
        <f t="shared" si="40"/>
        <v>36000000</v>
      </c>
      <c r="L91" s="172">
        <f t="shared" si="44"/>
        <v>30800000</v>
      </c>
      <c r="M91" s="104">
        <f t="shared" ref="M91" si="49">H91*E91</f>
        <v>41000000</v>
      </c>
      <c r="N91" s="104">
        <f t="shared" ref="N91" si="50">I91*E91</f>
        <v>40000000</v>
      </c>
      <c r="O91" s="104">
        <f t="shared" si="43"/>
        <v>32000000</v>
      </c>
    </row>
    <row r="92" spans="2:15" x14ac:dyDescent="0.25">
      <c r="B92" s="79">
        <v>5</v>
      </c>
      <c r="C92" s="80" t="s">
        <v>106</v>
      </c>
      <c r="D92" s="77"/>
      <c r="E92" s="78"/>
      <c r="F92" s="170"/>
      <c r="G92" s="176"/>
      <c r="H92" s="106"/>
      <c r="I92" s="106"/>
      <c r="J92" s="106"/>
      <c r="K92" s="106"/>
      <c r="L92" s="172"/>
      <c r="M92" s="104"/>
      <c r="N92" s="104"/>
      <c r="O92" s="104"/>
    </row>
    <row r="93" spans="2:15" x14ac:dyDescent="0.25">
      <c r="B93" s="79"/>
      <c r="C93" s="80" t="s">
        <v>112</v>
      </c>
      <c r="D93" s="77" t="s">
        <v>72</v>
      </c>
      <c r="E93" s="78">
        <f>1.2*40</f>
        <v>48</v>
      </c>
      <c r="F93" s="170">
        <v>150000</v>
      </c>
      <c r="G93" s="171">
        <v>29150</v>
      </c>
      <c r="H93" s="106">
        <v>27000</v>
      </c>
      <c r="I93" s="106">
        <v>50000</v>
      </c>
      <c r="J93" s="106">
        <v>80000</v>
      </c>
      <c r="K93" s="106">
        <f t="shared" si="40"/>
        <v>7200000</v>
      </c>
      <c r="L93" s="172">
        <f t="shared" si="44"/>
        <v>1399200</v>
      </c>
      <c r="M93" s="104">
        <f t="shared" ref="M93:M98" si="51">H93*E93</f>
        <v>1296000</v>
      </c>
      <c r="N93" s="104">
        <f t="shared" ref="N93:N98" si="52">I93*E93</f>
        <v>2400000</v>
      </c>
      <c r="O93" s="104">
        <f t="shared" si="43"/>
        <v>3840000</v>
      </c>
    </row>
    <row r="94" spans="2:15" x14ac:dyDescent="0.25">
      <c r="B94" s="79"/>
      <c r="C94" s="80" t="s">
        <v>108</v>
      </c>
      <c r="D94" s="77" t="s">
        <v>72</v>
      </c>
      <c r="E94" s="78">
        <f>E93-1*1*40</f>
        <v>8</v>
      </c>
      <c r="F94" s="170">
        <v>150000</v>
      </c>
      <c r="G94" s="171">
        <v>23100</v>
      </c>
      <c r="H94" s="106">
        <v>15000</v>
      </c>
      <c r="I94" s="106">
        <v>30000</v>
      </c>
      <c r="J94" s="106">
        <v>80000</v>
      </c>
      <c r="K94" s="106">
        <f t="shared" si="40"/>
        <v>1200000</v>
      </c>
      <c r="L94" s="172">
        <f t="shared" si="44"/>
        <v>184800</v>
      </c>
      <c r="M94" s="104">
        <f t="shared" si="51"/>
        <v>120000</v>
      </c>
      <c r="N94" s="104">
        <f t="shared" si="52"/>
        <v>240000</v>
      </c>
      <c r="O94" s="104">
        <f t="shared" si="43"/>
        <v>640000</v>
      </c>
    </row>
    <row r="95" spans="2:15" x14ac:dyDescent="0.25">
      <c r="B95" s="79"/>
      <c r="C95" s="80" t="s">
        <v>107</v>
      </c>
      <c r="D95" s="77" t="s">
        <v>72</v>
      </c>
      <c r="E95" s="78">
        <f>0.4*1.2*80</f>
        <v>38.4</v>
      </c>
      <c r="F95" s="170">
        <v>600000</v>
      </c>
      <c r="G95" s="171">
        <v>935000</v>
      </c>
      <c r="H95" s="106">
        <v>750000</v>
      </c>
      <c r="I95" s="106">
        <v>750000</v>
      </c>
      <c r="J95" s="106">
        <v>920000</v>
      </c>
      <c r="K95" s="106">
        <f t="shared" si="40"/>
        <v>23040000</v>
      </c>
      <c r="L95" s="172">
        <f t="shared" si="44"/>
        <v>35904000</v>
      </c>
      <c r="M95" s="104">
        <f t="shared" si="51"/>
        <v>28800000</v>
      </c>
      <c r="N95" s="104">
        <f t="shared" si="52"/>
        <v>28800000</v>
      </c>
      <c r="O95" s="104">
        <f t="shared" si="43"/>
        <v>35328000</v>
      </c>
    </row>
    <row r="96" spans="2:15" x14ac:dyDescent="0.25">
      <c r="B96" s="79"/>
      <c r="C96" s="80" t="s">
        <v>109</v>
      </c>
      <c r="D96" s="77"/>
      <c r="E96" s="78"/>
      <c r="F96" s="170"/>
      <c r="G96" s="171"/>
      <c r="H96" s="106"/>
      <c r="I96" s="106"/>
      <c r="J96" s="106"/>
      <c r="K96" s="106"/>
      <c r="L96" s="172"/>
      <c r="M96" s="104"/>
      <c r="N96" s="104"/>
      <c r="O96" s="104"/>
    </row>
    <row r="97" spans="2:15" x14ac:dyDescent="0.25">
      <c r="B97" s="79"/>
      <c r="C97" s="80" t="s">
        <v>110</v>
      </c>
      <c r="D97" s="77" t="s">
        <v>101</v>
      </c>
      <c r="E97" s="78">
        <f>0.6*40</f>
        <v>24</v>
      </c>
      <c r="F97" s="170">
        <v>70000</v>
      </c>
      <c r="G97" s="171">
        <v>572000</v>
      </c>
      <c r="H97" s="106">
        <v>75000</v>
      </c>
      <c r="I97" s="106">
        <v>90000</v>
      </c>
      <c r="J97" s="106">
        <v>70000</v>
      </c>
      <c r="K97" s="106">
        <f t="shared" si="40"/>
        <v>1680000</v>
      </c>
      <c r="L97" s="172">
        <f t="shared" si="44"/>
        <v>13728000</v>
      </c>
      <c r="M97" s="104">
        <f t="shared" si="51"/>
        <v>1800000</v>
      </c>
      <c r="N97" s="104">
        <f t="shared" si="52"/>
        <v>2160000</v>
      </c>
      <c r="O97" s="104">
        <f t="shared" si="43"/>
        <v>1680000</v>
      </c>
    </row>
    <row r="98" spans="2:15" x14ac:dyDescent="0.25">
      <c r="B98" s="79">
        <v>6</v>
      </c>
      <c r="C98" s="80" t="s">
        <v>111</v>
      </c>
      <c r="D98" s="77" t="s">
        <v>80</v>
      </c>
      <c r="E98" s="78">
        <v>4</v>
      </c>
      <c r="F98" s="170">
        <v>4000000</v>
      </c>
      <c r="G98" s="171">
        <v>1481698</v>
      </c>
      <c r="H98" s="106">
        <v>4000000</v>
      </c>
      <c r="I98" s="106">
        <v>2644818</v>
      </c>
      <c r="J98" s="106">
        <v>2520000</v>
      </c>
      <c r="K98" s="106">
        <f t="shared" si="40"/>
        <v>16000000</v>
      </c>
      <c r="L98" s="172">
        <f t="shared" si="44"/>
        <v>5926792</v>
      </c>
      <c r="M98" s="104">
        <f t="shared" si="51"/>
        <v>16000000</v>
      </c>
      <c r="N98" s="104">
        <f t="shared" si="52"/>
        <v>10579272</v>
      </c>
      <c r="O98" s="104">
        <f t="shared" si="43"/>
        <v>10080000</v>
      </c>
    </row>
    <row r="99" spans="2:15" x14ac:dyDescent="0.25">
      <c r="B99" s="79"/>
      <c r="C99" s="81" t="s">
        <v>95</v>
      </c>
      <c r="D99" s="82"/>
      <c r="E99" s="83"/>
      <c r="F99" s="173"/>
      <c r="G99" s="177"/>
      <c r="H99" s="106"/>
      <c r="I99" s="106"/>
      <c r="J99" s="106"/>
      <c r="K99" s="175">
        <f>SUM(K84:K98)</f>
        <v>92320000</v>
      </c>
      <c r="L99" s="175">
        <f>SUM(L84:L98)</f>
        <v>174572974.5</v>
      </c>
      <c r="M99" s="101">
        <f>SUM(M84:M98)</f>
        <v>95766000</v>
      </c>
      <c r="N99" s="101">
        <f>SUM(N85:N98)</f>
        <v>122213497</v>
      </c>
      <c r="O99" s="101">
        <f>SUM(O84:O98)</f>
        <v>91863000</v>
      </c>
    </row>
    <row r="100" spans="2:15" x14ac:dyDescent="0.25">
      <c r="B100" s="38"/>
      <c r="C100" s="56"/>
      <c r="D100" s="47"/>
      <c r="E100" s="57"/>
      <c r="F100" s="178"/>
      <c r="G100" s="179"/>
      <c r="H100" s="106"/>
      <c r="I100" s="106"/>
      <c r="J100" s="106"/>
      <c r="K100" s="175"/>
      <c r="L100" s="175"/>
      <c r="M100" s="104"/>
      <c r="N100" s="104"/>
      <c r="O100" s="104"/>
    </row>
    <row r="101" spans="2:15" x14ac:dyDescent="0.25">
      <c r="B101" s="30"/>
      <c r="C101" s="31"/>
      <c r="D101" s="32"/>
      <c r="E101" s="40"/>
      <c r="F101" s="114"/>
      <c r="G101" s="115"/>
      <c r="H101" s="107"/>
      <c r="I101" s="107"/>
      <c r="J101" s="107"/>
      <c r="K101" s="129"/>
      <c r="L101" s="129"/>
      <c r="M101" s="103"/>
      <c r="N101" s="103"/>
      <c r="O101" s="103"/>
    </row>
    <row r="102" spans="2:15" x14ac:dyDescent="0.25">
      <c r="B102" s="2" t="s">
        <v>48</v>
      </c>
      <c r="F102" s="108"/>
      <c r="G102" s="107"/>
      <c r="H102" s="107"/>
      <c r="I102" s="107"/>
      <c r="J102" s="107"/>
      <c r="K102" s="105"/>
      <c r="L102" s="105"/>
      <c r="M102" s="103"/>
      <c r="N102" s="103"/>
      <c r="O102" s="103"/>
    </row>
    <row r="103" spans="2:15" x14ac:dyDescent="0.25">
      <c r="B103" s="25"/>
      <c r="C103" s="26"/>
      <c r="D103" s="26"/>
      <c r="E103" s="27"/>
      <c r="F103" s="116" t="s">
        <v>47</v>
      </c>
      <c r="G103" s="117"/>
      <c r="H103" s="109"/>
      <c r="I103" s="109"/>
      <c r="J103" s="109"/>
      <c r="K103" s="131"/>
      <c r="L103" s="131"/>
      <c r="M103" s="104"/>
      <c r="N103" s="104"/>
      <c r="O103" s="104"/>
    </row>
    <row r="104" spans="2:15" x14ac:dyDescent="0.25">
      <c r="B104" s="12" t="s">
        <v>7</v>
      </c>
      <c r="C104" s="13" t="str">
        <f>C9</f>
        <v>PEKERJAAN JALAN DAN SALURAN  RUKO  AVENUE TAHAP II</v>
      </c>
      <c r="D104" s="28"/>
      <c r="E104" s="29"/>
      <c r="F104" s="118"/>
      <c r="G104" s="119"/>
      <c r="H104" s="109"/>
      <c r="I104" s="109"/>
      <c r="J104" s="109"/>
      <c r="K104" s="132">
        <f>K105+K106+K107</f>
        <v>1920874772.612</v>
      </c>
      <c r="L104" s="132">
        <f>L105+L106+L107</f>
        <v>2285784521.8596001</v>
      </c>
      <c r="M104" s="135">
        <f>M105+M106+M107</f>
        <v>1959797904</v>
      </c>
      <c r="N104" s="135">
        <f>N105+N106+N107</f>
        <v>1877756040.6952</v>
      </c>
      <c r="O104" s="135">
        <f>O105+O106+O107</f>
        <v>1758553198.4000001</v>
      </c>
    </row>
    <row r="105" spans="2:15" x14ac:dyDescent="0.25">
      <c r="B105" s="12" t="s">
        <v>22</v>
      </c>
      <c r="C105" s="13" t="str">
        <f>C10</f>
        <v>PEKERJAAN PERSIAPAN</v>
      </c>
      <c r="D105" s="28"/>
      <c r="E105" s="29"/>
      <c r="F105" s="118"/>
      <c r="G105" s="120"/>
      <c r="H105" s="109"/>
      <c r="I105" s="109"/>
      <c r="J105" s="109"/>
      <c r="K105" s="128">
        <f>K15</f>
        <v>20037600</v>
      </c>
      <c r="L105" s="128">
        <f>L15</f>
        <v>6849260</v>
      </c>
      <c r="M105" s="104">
        <f>M15</f>
        <v>36902560</v>
      </c>
      <c r="N105" s="104">
        <f>N15</f>
        <v>25868800</v>
      </c>
      <c r="O105" s="104">
        <f>O15</f>
        <v>37251040</v>
      </c>
    </row>
    <row r="106" spans="2:15" x14ac:dyDescent="0.25">
      <c r="B106" s="12" t="s">
        <v>23</v>
      </c>
      <c r="C106" s="13" t="str">
        <f>C16</f>
        <v xml:space="preserve">PEKERJAAN SALURAN </v>
      </c>
      <c r="D106" s="28"/>
      <c r="E106" s="29"/>
      <c r="F106" s="118"/>
      <c r="G106" s="120"/>
      <c r="H106" s="109"/>
      <c r="I106" s="109"/>
      <c r="J106" s="109"/>
      <c r="K106" s="128">
        <f>K27</f>
        <v>386747102.5</v>
      </c>
      <c r="L106" s="128">
        <f>L27</f>
        <v>389332101.29959995</v>
      </c>
      <c r="M106" s="104">
        <f>M27</f>
        <v>453987384</v>
      </c>
      <c r="N106" s="104">
        <f>N27</f>
        <v>345452809.63999999</v>
      </c>
      <c r="O106" s="104">
        <f>O27</f>
        <v>359089348</v>
      </c>
    </row>
    <row r="107" spans="2:15" x14ac:dyDescent="0.25">
      <c r="B107" s="12" t="s">
        <v>83</v>
      </c>
      <c r="C107" s="13" t="str">
        <f>C28</f>
        <v xml:space="preserve">PEKERJAAN JALAN </v>
      </c>
      <c r="D107" s="28"/>
      <c r="E107" s="29"/>
      <c r="F107" s="118"/>
      <c r="G107" s="120"/>
      <c r="H107" s="109"/>
      <c r="I107" s="109"/>
      <c r="J107" s="109"/>
      <c r="K107" s="128">
        <f>K35</f>
        <v>1514090070.112</v>
      </c>
      <c r="L107" s="128">
        <f>L35</f>
        <v>1889603160.5599999</v>
      </c>
      <c r="M107" s="104">
        <f>M35</f>
        <v>1468907960</v>
      </c>
      <c r="N107" s="104">
        <f>N35</f>
        <v>1506434431.0552001</v>
      </c>
      <c r="O107" s="104">
        <f>O35</f>
        <v>1362212810.4000001</v>
      </c>
    </row>
    <row r="108" spans="2:15" x14ac:dyDescent="0.25">
      <c r="B108" s="23" t="s">
        <v>14</v>
      </c>
      <c r="C108" s="24" t="str">
        <f>C37</f>
        <v>PEKERJAAN JALAN DAN SALURAN MAIN DRAIN  AREA KOMERSIAL</v>
      </c>
      <c r="D108" s="28"/>
      <c r="E108" s="29"/>
      <c r="F108" s="118"/>
      <c r="G108" s="121"/>
      <c r="H108" s="109"/>
      <c r="I108" s="109"/>
      <c r="J108" s="109"/>
      <c r="K108" s="133">
        <f>K109+K110+K111</f>
        <v>2051612341</v>
      </c>
      <c r="L108" s="133">
        <f>L109+L110+L111</f>
        <v>2199669170.3920002</v>
      </c>
      <c r="M108" s="135">
        <f>M109+M110+M111</f>
        <v>2067267650</v>
      </c>
      <c r="N108" s="135">
        <f>N109+N110+N111</f>
        <v>2406068639.71</v>
      </c>
      <c r="O108" s="135">
        <f>O109+O110+O111</f>
        <v>2478493800</v>
      </c>
    </row>
    <row r="109" spans="2:15" x14ac:dyDescent="0.25">
      <c r="B109" s="23" t="s">
        <v>22</v>
      </c>
      <c r="C109" s="24" t="str">
        <f>C38</f>
        <v>PEKERJAAN PERSIAPAN</v>
      </c>
      <c r="D109" s="28"/>
      <c r="E109" s="29"/>
      <c r="F109" s="118"/>
      <c r="G109" s="122"/>
      <c r="H109" s="109"/>
      <c r="I109" s="109"/>
      <c r="J109" s="109"/>
      <c r="K109" s="134">
        <f>K42</f>
        <v>14500000</v>
      </c>
      <c r="L109" s="134">
        <f>L42</f>
        <v>33962500</v>
      </c>
      <c r="M109" s="104">
        <f>M42</f>
        <v>33500000</v>
      </c>
      <c r="N109" s="104">
        <f>N42</f>
        <v>30000000</v>
      </c>
      <c r="O109" s="104">
        <f>O42</f>
        <v>11650000</v>
      </c>
    </row>
    <row r="110" spans="2:15" x14ac:dyDescent="0.25">
      <c r="B110" s="23" t="s">
        <v>23</v>
      </c>
      <c r="C110" s="24" t="str">
        <f>C43</f>
        <v xml:space="preserve">PEKERJAAN SALURAN </v>
      </c>
      <c r="D110" s="28"/>
      <c r="E110" s="29"/>
      <c r="F110" s="118"/>
      <c r="G110" s="122"/>
      <c r="H110" s="109"/>
      <c r="I110" s="109"/>
      <c r="J110" s="109"/>
      <c r="K110" s="134">
        <f>K62</f>
        <v>1499630101</v>
      </c>
      <c r="L110" s="134">
        <f>L62</f>
        <v>1560819970.3920002</v>
      </c>
      <c r="M110" s="104">
        <f>M62</f>
        <v>1537111650</v>
      </c>
      <c r="N110" s="104">
        <f>N62</f>
        <v>1592586547.71</v>
      </c>
      <c r="O110" s="104">
        <f>O62</f>
        <v>1640440000</v>
      </c>
    </row>
    <row r="111" spans="2:15" x14ac:dyDescent="0.25">
      <c r="B111" s="23" t="s">
        <v>83</v>
      </c>
      <c r="C111" s="24" t="str">
        <f>C63</f>
        <v xml:space="preserve">PEKERJAAN JALAN </v>
      </c>
      <c r="D111" s="28"/>
      <c r="E111" s="29"/>
      <c r="F111" s="118"/>
      <c r="G111" s="122"/>
      <c r="H111" s="109"/>
      <c r="I111" s="109"/>
      <c r="J111" s="109"/>
      <c r="K111" s="134">
        <f>K72</f>
        <v>537482240</v>
      </c>
      <c r="L111" s="134">
        <f>L72</f>
        <v>604886700</v>
      </c>
      <c r="M111" s="104">
        <f>M72</f>
        <v>496656000</v>
      </c>
      <c r="N111" s="104">
        <f>N72</f>
        <v>783482092</v>
      </c>
      <c r="O111" s="104">
        <f>O72</f>
        <v>826403800</v>
      </c>
    </row>
    <row r="112" spans="2:15" x14ac:dyDescent="0.25">
      <c r="B112" s="23" t="s">
        <v>39</v>
      </c>
      <c r="C112" s="24" t="str">
        <f>C76</f>
        <v xml:space="preserve">PEKERJAAN RELOKASI SALURAN JALAN RAYA JONGGOL </v>
      </c>
      <c r="D112" s="28"/>
      <c r="E112" s="29"/>
      <c r="F112" s="118"/>
      <c r="G112" s="119"/>
      <c r="H112" s="109"/>
      <c r="I112" s="109"/>
      <c r="J112" s="109"/>
      <c r="K112" s="132">
        <f>K113+K114</f>
        <v>106320000</v>
      </c>
      <c r="L112" s="132">
        <f>L113+L114</f>
        <v>213072974.5</v>
      </c>
      <c r="M112" s="135">
        <f>M113+M114</f>
        <v>118766000</v>
      </c>
      <c r="N112" s="135">
        <f>N113+N114</f>
        <v>148213497</v>
      </c>
      <c r="O112" s="135">
        <f>O113+O114</f>
        <v>106863000</v>
      </c>
    </row>
    <row r="113" spans="2:15" x14ac:dyDescent="0.25">
      <c r="B113" s="23" t="s">
        <v>22</v>
      </c>
      <c r="C113" s="24" t="str">
        <f>C77</f>
        <v>Pekerjaan Persiapan</v>
      </c>
      <c r="D113" s="28"/>
      <c r="E113" s="29"/>
      <c r="F113" s="118"/>
      <c r="G113" s="122"/>
      <c r="H113" s="109"/>
      <c r="I113" s="109"/>
      <c r="J113" s="109"/>
      <c r="K113" s="134">
        <f>K81</f>
        <v>14000000</v>
      </c>
      <c r="L113" s="134">
        <f>L81</f>
        <v>38500000</v>
      </c>
      <c r="M113" s="104">
        <f>M81</f>
        <v>23000000</v>
      </c>
      <c r="N113" s="104">
        <f>N81</f>
        <v>26000000</v>
      </c>
      <c r="O113" s="104">
        <f>O81</f>
        <v>15000000</v>
      </c>
    </row>
    <row r="114" spans="2:15" x14ac:dyDescent="0.25">
      <c r="B114" s="23" t="s">
        <v>23</v>
      </c>
      <c r="C114" s="24" t="str">
        <f>C83</f>
        <v>Pekerjaan Saluran U-ditch, Gorong-gorong dan Pasangan Batu Kali</v>
      </c>
      <c r="D114" s="28"/>
      <c r="E114" s="29"/>
      <c r="F114" s="118"/>
      <c r="G114" s="120"/>
      <c r="H114" s="109"/>
      <c r="I114" s="109"/>
      <c r="J114" s="109"/>
      <c r="K114" s="128">
        <f>K99</f>
        <v>92320000</v>
      </c>
      <c r="L114" s="128">
        <f>L99</f>
        <v>174572974.5</v>
      </c>
      <c r="M114" s="104">
        <f>M99</f>
        <v>95766000</v>
      </c>
      <c r="N114" s="104">
        <f>N99</f>
        <v>122213497</v>
      </c>
      <c r="O114" s="104">
        <f>O99</f>
        <v>91863000</v>
      </c>
    </row>
    <row r="115" spans="2:15" x14ac:dyDescent="0.25">
      <c r="K115" s="103"/>
      <c r="L115" s="103"/>
      <c r="M115" s="100"/>
      <c r="N115" s="100"/>
      <c r="O115" s="100"/>
    </row>
    <row r="116" spans="2:15" x14ac:dyDescent="0.25">
      <c r="F116" s="33" t="s">
        <v>49</v>
      </c>
      <c r="G116" s="35"/>
      <c r="K116" s="102">
        <f>K112+K108+K104</f>
        <v>4078807113.612</v>
      </c>
      <c r="L116" s="102">
        <f>L112+L108+L104</f>
        <v>4698526666.7516003</v>
      </c>
      <c r="M116" s="102">
        <f>M112+M108+M104</f>
        <v>4145831554</v>
      </c>
      <c r="N116" s="102">
        <f>N112+N108+N104</f>
        <v>4432038177.4052</v>
      </c>
      <c r="O116" s="102">
        <f>O112+O108+O104</f>
        <v>4343909998.3999996</v>
      </c>
    </row>
    <row r="117" spans="2:15" x14ac:dyDescent="0.25">
      <c r="F117" s="33" t="s">
        <v>154</v>
      </c>
      <c r="G117" s="35"/>
      <c r="K117" s="187" t="s">
        <v>155</v>
      </c>
      <c r="L117" s="187" t="s">
        <v>155</v>
      </c>
      <c r="M117" s="102">
        <f>M116*0.1</f>
        <v>414583155.40000004</v>
      </c>
      <c r="N117" s="187" t="s">
        <v>155</v>
      </c>
      <c r="O117" s="187" t="s">
        <v>155</v>
      </c>
    </row>
    <row r="118" spans="2:15" x14ac:dyDescent="0.25">
      <c r="F118" s="33" t="s">
        <v>136</v>
      </c>
      <c r="G118" s="35"/>
      <c r="K118" s="103">
        <f>K116</f>
        <v>4078807113.612</v>
      </c>
      <c r="L118" s="102">
        <f>L116</f>
        <v>4698526666.7516003</v>
      </c>
      <c r="M118" s="102">
        <f>M116+M117</f>
        <v>4560414709.3999996</v>
      </c>
      <c r="N118" s="100">
        <f>N116</f>
        <v>4432038177.4052</v>
      </c>
      <c r="O118" s="102">
        <f>O116</f>
        <v>4343909998.3999996</v>
      </c>
    </row>
    <row r="119" spans="2:15" x14ac:dyDescent="0.25">
      <c r="F119" s="34" t="s">
        <v>53</v>
      </c>
      <c r="G119" s="55"/>
      <c r="K119" s="103">
        <f>ROUNDDOWN(K118,-5)</f>
        <v>4078800000</v>
      </c>
      <c r="L119" s="103">
        <f>ROUNDDOWN(L118,-5)</f>
        <v>4698500000</v>
      </c>
      <c r="M119" s="100">
        <f>ROUNDDOWN(M118,-5)</f>
        <v>4560400000</v>
      </c>
      <c r="N119" s="100">
        <f>ROUNDDOWN(N118,-5)</f>
        <v>4432000000</v>
      </c>
      <c r="O119" s="100">
        <f>ROUNDDOWN(O118,-3)</f>
        <v>4343909000</v>
      </c>
    </row>
    <row r="120" spans="2:15" x14ac:dyDescent="0.25">
      <c r="F120" s="4" t="s">
        <v>51</v>
      </c>
      <c r="G120" s="55"/>
      <c r="K120" s="103">
        <f>K119*0.1</f>
        <v>407880000</v>
      </c>
      <c r="L120" s="103">
        <f>L119*0.1</f>
        <v>469850000</v>
      </c>
      <c r="M120" s="100">
        <f>M119*0.1</f>
        <v>456040000</v>
      </c>
      <c r="N120" s="100">
        <f>N119*0.1</f>
        <v>443200000</v>
      </c>
      <c r="O120" s="100">
        <f>O119*0.1</f>
        <v>434390900</v>
      </c>
    </row>
    <row r="121" spans="2:15" x14ac:dyDescent="0.25">
      <c r="F121" s="34" t="s">
        <v>52</v>
      </c>
      <c r="G121" s="35"/>
      <c r="K121" s="102">
        <f>K120+K119</f>
        <v>4486680000</v>
      </c>
      <c r="L121" s="102">
        <f>L120+L119</f>
        <v>5168350000</v>
      </c>
      <c r="M121" s="102">
        <f>M120+M119</f>
        <v>5016440000</v>
      </c>
      <c r="N121" s="102">
        <f>N120+N119</f>
        <v>4875200000</v>
      </c>
      <c r="O121" s="102">
        <v>4778300000</v>
      </c>
    </row>
    <row r="122" spans="2:15" x14ac:dyDescent="0.25">
      <c r="O122" s="100"/>
    </row>
    <row r="123" spans="2:15" x14ac:dyDescent="0.25">
      <c r="K123" s="154"/>
      <c r="L123" s="154"/>
      <c r="M123" s="154"/>
      <c r="N123" s="154"/>
      <c r="O123" s="154"/>
    </row>
    <row r="124" spans="2:15" x14ac:dyDescent="0.25">
      <c r="K124" s="154"/>
      <c r="L124" s="154"/>
      <c r="M124" s="154"/>
      <c r="N124" s="154"/>
      <c r="O124" s="154"/>
    </row>
    <row r="125" spans="2:15" ht="15" customHeight="1" x14ac:dyDescent="0.25">
      <c r="C125" s="160" t="s">
        <v>137</v>
      </c>
      <c r="D125" s="221"/>
      <c r="E125" s="221"/>
      <c r="F125" s="222" t="s">
        <v>138</v>
      </c>
      <c r="G125" s="222"/>
      <c r="H125" s="157"/>
      <c r="I125" s="158"/>
      <c r="J125" s="159"/>
      <c r="K125" s="159"/>
      <c r="L125" s="158"/>
      <c r="M125" s="163" t="s">
        <v>139</v>
      </c>
      <c r="O125" s="163"/>
    </row>
    <row r="126" spans="2:15" x14ac:dyDescent="0.25">
      <c r="C126" s="155"/>
      <c r="D126" s="156"/>
      <c r="E126" s="156"/>
      <c r="F126" s="156"/>
      <c r="G126" s="156"/>
      <c r="H126" s="156"/>
      <c r="I126" s="158"/>
      <c r="J126" s="156"/>
      <c r="K126" s="156"/>
      <c r="L126" s="158"/>
      <c r="M126" s="158"/>
      <c r="O126" s="158"/>
    </row>
    <row r="127" spans="2:15" x14ac:dyDescent="0.25">
      <c r="C127" s="155"/>
      <c r="D127" s="156"/>
      <c r="E127" s="156"/>
      <c r="F127" s="156"/>
      <c r="G127" s="156"/>
      <c r="H127" s="156"/>
      <c r="I127" s="158"/>
      <c r="J127" s="156"/>
      <c r="K127" s="156"/>
      <c r="L127" s="158"/>
      <c r="M127" s="158"/>
      <c r="O127" s="158"/>
    </row>
    <row r="128" spans="2:15" x14ac:dyDescent="0.25">
      <c r="C128" s="155"/>
      <c r="D128" s="156"/>
      <c r="E128" s="156"/>
      <c r="F128" s="156"/>
      <c r="G128" s="156"/>
      <c r="H128" s="156"/>
      <c r="I128" s="158"/>
      <c r="J128" s="156"/>
      <c r="K128" s="156"/>
      <c r="L128" s="158"/>
      <c r="M128" s="158"/>
      <c r="O128" s="158"/>
    </row>
    <row r="129" spans="2:16" x14ac:dyDescent="0.25">
      <c r="C129" s="155"/>
      <c r="D129" s="156"/>
      <c r="E129" s="156"/>
      <c r="F129" s="156"/>
      <c r="G129" s="156"/>
      <c r="H129" s="156"/>
      <c r="I129" s="158"/>
      <c r="J129" s="156"/>
      <c r="K129" s="156"/>
      <c r="L129" s="158"/>
      <c r="M129" s="158"/>
      <c r="O129" s="158"/>
    </row>
    <row r="130" spans="2:16" ht="15" customHeight="1" x14ac:dyDescent="0.25">
      <c r="C130" s="161" t="s">
        <v>140</v>
      </c>
      <c r="D130" s="234" t="s">
        <v>141</v>
      </c>
      <c r="E130" s="234"/>
      <c r="F130" s="223" t="s">
        <v>142</v>
      </c>
      <c r="G130" s="223"/>
      <c r="H130" s="223" t="s">
        <v>150</v>
      </c>
      <c r="I130" s="223"/>
      <c r="J130" s="223"/>
      <c r="K130" s="236" t="s">
        <v>143</v>
      </c>
      <c r="L130" s="236"/>
      <c r="M130" s="165" t="s">
        <v>144</v>
      </c>
      <c r="O130" s="165" t="s">
        <v>152</v>
      </c>
      <c r="P130" s="163"/>
    </row>
    <row r="131" spans="2:16" ht="15" customHeight="1" x14ac:dyDescent="0.25">
      <c r="C131" s="162" t="s">
        <v>145</v>
      </c>
      <c r="D131" s="235" t="s">
        <v>146</v>
      </c>
      <c r="E131" s="235"/>
      <c r="F131" s="233" t="s">
        <v>147</v>
      </c>
      <c r="G131" s="233"/>
      <c r="H131" s="233" t="s">
        <v>151</v>
      </c>
      <c r="I131" s="233"/>
      <c r="J131" s="233"/>
      <c r="K131" s="237" t="s">
        <v>148</v>
      </c>
      <c r="L131" s="237"/>
      <c r="M131" s="166" t="s">
        <v>149</v>
      </c>
      <c r="O131" s="166" t="s">
        <v>153</v>
      </c>
      <c r="P131" s="164"/>
    </row>
    <row r="135" spans="2:16" x14ac:dyDescent="0.25">
      <c r="B135" s="69" t="s">
        <v>23</v>
      </c>
      <c r="C135" s="70" t="s">
        <v>87</v>
      </c>
      <c r="D135" s="60"/>
      <c r="E135" s="68"/>
      <c r="F135" s="110"/>
      <c r="G135" s="123"/>
      <c r="H135" s="104"/>
      <c r="I135" s="104"/>
      <c r="J135" s="104"/>
      <c r="K135" s="127"/>
      <c r="L135" s="127"/>
      <c r="M135" s="104"/>
      <c r="N135" s="104"/>
      <c r="O135" s="104"/>
    </row>
    <row r="136" spans="2:16" x14ac:dyDescent="0.25">
      <c r="B136" s="58">
        <v>1</v>
      </c>
      <c r="C136" s="59" t="s">
        <v>85</v>
      </c>
      <c r="D136" s="60" t="s">
        <v>86</v>
      </c>
      <c r="E136" s="61">
        <f>E139+10</f>
        <v>133</v>
      </c>
      <c r="F136" s="136">
        <v>50000</v>
      </c>
      <c r="G136" s="123">
        <v>163350</v>
      </c>
      <c r="H136" s="104">
        <v>50000</v>
      </c>
      <c r="I136" s="104">
        <v>200000</v>
      </c>
      <c r="J136" s="104">
        <v>105000</v>
      </c>
      <c r="K136" s="104">
        <f t="shared" ref="K136" si="53">F136*E136</f>
        <v>6650000</v>
      </c>
      <c r="L136" s="127">
        <f>G136*E136</f>
        <v>21725550</v>
      </c>
      <c r="M136" s="104">
        <f t="shared" ref="M136" si="54">H136*E136</f>
        <v>6650000</v>
      </c>
      <c r="N136" s="104">
        <f t="shared" ref="N136" si="55">I136*E136</f>
        <v>26600000</v>
      </c>
      <c r="O136" s="104">
        <f t="shared" ref="O136" si="56">J136*E136</f>
        <v>13965000</v>
      </c>
    </row>
    <row r="137" spans="2:16" x14ac:dyDescent="0.25">
      <c r="B137" s="85">
        <v>2</v>
      </c>
      <c r="C137" s="86" t="s">
        <v>123</v>
      </c>
      <c r="D137" s="60"/>
      <c r="E137" s="61"/>
      <c r="F137" s="110"/>
      <c r="G137" s="136"/>
      <c r="H137" s="104"/>
      <c r="I137" s="104"/>
      <c r="J137" s="104"/>
      <c r="K137" s="127"/>
      <c r="L137" s="127"/>
      <c r="M137" s="104"/>
      <c r="N137" s="104"/>
      <c r="O137" s="104"/>
    </row>
    <row r="138" spans="2:16" x14ac:dyDescent="0.25">
      <c r="B138" s="85"/>
      <c r="C138" s="86" t="s">
        <v>124</v>
      </c>
      <c r="D138" s="60" t="s">
        <v>15</v>
      </c>
      <c r="E138" s="61">
        <f>10</f>
        <v>10</v>
      </c>
      <c r="F138" s="136">
        <v>16744600</v>
      </c>
      <c r="G138" s="136">
        <v>17499636</v>
      </c>
      <c r="H138" s="104">
        <v>13976675</v>
      </c>
      <c r="I138" s="104">
        <v>17989520</v>
      </c>
      <c r="J138" s="104">
        <v>17400000</v>
      </c>
      <c r="K138" s="104">
        <f t="shared" ref="K138:K144" si="57">F138*E138</f>
        <v>167446000</v>
      </c>
      <c r="L138" s="127">
        <f t="shared" ref="L138:L144" si="58">G138*E138</f>
        <v>174996360</v>
      </c>
      <c r="M138" s="104">
        <f t="shared" ref="M138:M144" si="59">H138*E138</f>
        <v>139766750</v>
      </c>
      <c r="N138" s="104">
        <f t="shared" ref="N138:N144" si="60">I138*E138</f>
        <v>179895200</v>
      </c>
      <c r="O138" s="104">
        <f t="shared" ref="O138:O144" si="61">J138*E138</f>
        <v>174000000</v>
      </c>
    </row>
    <row r="139" spans="2:16" x14ac:dyDescent="0.25">
      <c r="B139" s="58">
        <v>3</v>
      </c>
      <c r="C139" s="59" t="s">
        <v>79</v>
      </c>
      <c r="D139" s="60" t="s">
        <v>15</v>
      </c>
      <c r="E139" s="61">
        <v>123</v>
      </c>
      <c r="F139" s="136">
        <v>8472800</v>
      </c>
      <c r="G139" s="136">
        <v>8620876</v>
      </c>
      <c r="H139" s="104">
        <v>7650000</v>
      </c>
      <c r="I139" s="104">
        <v>8583303</v>
      </c>
      <c r="J139" s="104">
        <v>8300000</v>
      </c>
      <c r="K139" s="104">
        <f t="shared" si="57"/>
        <v>1042154400</v>
      </c>
      <c r="L139" s="127">
        <f t="shared" si="58"/>
        <v>1060367748</v>
      </c>
      <c r="M139" s="104">
        <f t="shared" si="59"/>
        <v>940950000</v>
      </c>
      <c r="N139" s="104">
        <f t="shared" si="60"/>
        <v>1055746269</v>
      </c>
      <c r="O139" s="104">
        <f t="shared" si="61"/>
        <v>1020900000</v>
      </c>
    </row>
    <row r="140" spans="2:16" x14ac:dyDescent="0.25">
      <c r="B140" s="58">
        <v>4</v>
      </c>
      <c r="C140" s="59" t="s">
        <v>27</v>
      </c>
      <c r="D140" s="60" t="s">
        <v>15</v>
      </c>
      <c r="E140" s="61">
        <v>88.82</v>
      </c>
      <c r="F140" s="136">
        <v>404000</v>
      </c>
      <c r="G140" s="123">
        <v>434791.85</v>
      </c>
      <c r="H140" s="104">
        <v>427500</v>
      </c>
      <c r="I140" s="104">
        <v>384234</v>
      </c>
      <c r="J140" s="104">
        <v>413000</v>
      </c>
      <c r="K140" s="104">
        <f t="shared" si="57"/>
        <v>35883280</v>
      </c>
      <c r="L140" s="127">
        <f t="shared" si="58"/>
        <v>38618212.116999999</v>
      </c>
      <c r="M140" s="104">
        <f t="shared" si="59"/>
        <v>37970550</v>
      </c>
      <c r="N140" s="104">
        <f t="shared" si="60"/>
        <v>34127663.879999995</v>
      </c>
      <c r="O140" s="104">
        <f t="shared" si="61"/>
        <v>36682660</v>
      </c>
    </row>
    <row r="141" spans="2:16" x14ac:dyDescent="0.25">
      <c r="B141" s="58">
        <v>5</v>
      </c>
      <c r="C141" s="59" t="s">
        <v>75</v>
      </c>
      <c r="D141" s="60" t="s">
        <v>15</v>
      </c>
      <c r="E141" s="61">
        <v>82.5</v>
      </c>
      <c r="F141" s="136">
        <v>577746</v>
      </c>
      <c r="G141" s="123">
        <v>571459.18999999994</v>
      </c>
      <c r="H141" s="104">
        <v>532000</v>
      </c>
      <c r="I141" s="104">
        <v>516331</v>
      </c>
      <c r="J141" s="104">
        <v>546000</v>
      </c>
      <c r="K141" s="104">
        <f t="shared" si="57"/>
        <v>47664045</v>
      </c>
      <c r="L141" s="127">
        <f t="shared" si="58"/>
        <v>47145383.174999997</v>
      </c>
      <c r="M141" s="104">
        <f t="shared" si="59"/>
        <v>43890000</v>
      </c>
      <c r="N141" s="104">
        <f t="shared" si="60"/>
        <v>42597307.5</v>
      </c>
      <c r="O141" s="104">
        <f t="shared" si="61"/>
        <v>45045000</v>
      </c>
    </row>
    <row r="142" spans="2:16" x14ac:dyDescent="0.25">
      <c r="B142" s="58">
        <v>6</v>
      </c>
      <c r="C142" s="59" t="s">
        <v>19</v>
      </c>
      <c r="D142" s="60" t="s">
        <v>80</v>
      </c>
      <c r="E142" s="61">
        <v>4</v>
      </c>
      <c r="F142" s="136">
        <v>1500000</v>
      </c>
      <c r="G142" s="123">
        <v>979437.8</v>
      </c>
      <c r="H142" s="104">
        <v>3800000</v>
      </c>
      <c r="I142" s="104">
        <v>1315073</v>
      </c>
      <c r="J142" s="104">
        <v>1950000</v>
      </c>
      <c r="K142" s="104">
        <f t="shared" si="57"/>
        <v>6000000</v>
      </c>
      <c r="L142" s="127">
        <f t="shared" si="58"/>
        <v>3917751.2</v>
      </c>
      <c r="M142" s="104">
        <f t="shared" si="59"/>
        <v>15200000</v>
      </c>
      <c r="N142" s="104">
        <f t="shared" si="60"/>
        <v>5260292</v>
      </c>
      <c r="O142" s="104">
        <f t="shared" si="61"/>
        <v>7800000</v>
      </c>
    </row>
    <row r="143" spans="2:16" x14ac:dyDescent="0.25">
      <c r="B143" s="58">
        <v>7</v>
      </c>
      <c r="C143" s="59" t="s">
        <v>20</v>
      </c>
      <c r="D143" s="60" t="s">
        <v>80</v>
      </c>
      <c r="E143" s="61">
        <v>3</v>
      </c>
      <c r="F143" s="136">
        <v>3454792</v>
      </c>
      <c r="G143" s="123">
        <v>1218055.3</v>
      </c>
      <c r="H143" s="104">
        <v>4132500</v>
      </c>
      <c r="I143" s="104">
        <v>1613392</v>
      </c>
      <c r="J143" s="104">
        <v>2500000</v>
      </c>
      <c r="K143" s="104">
        <f t="shared" si="57"/>
        <v>10364376</v>
      </c>
      <c r="L143" s="127">
        <f t="shared" si="58"/>
        <v>3654165.9000000004</v>
      </c>
      <c r="M143" s="104">
        <f t="shared" si="59"/>
        <v>12397500</v>
      </c>
      <c r="N143" s="104">
        <f t="shared" si="60"/>
        <v>4840176</v>
      </c>
      <c r="O143" s="104">
        <f t="shared" si="61"/>
        <v>7500000</v>
      </c>
    </row>
    <row r="144" spans="2:16" x14ac:dyDescent="0.25">
      <c r="B144" s="58">
        <v>8</v>
      </c>
      <c r="C144" s="59" t="s">
        <v>81</v>
      </c>
      <c r="D144" s="60" t="s">
        <v>72</v>
      </c>
      <c r="E144" s="61">
        <f>0.6*1*3.5*2</f>
        <v>4.2</v>
      </c>
      <c r="F144" s="136">
        <v>750000</v>
      </c>
      <c r="G144" s="123">
        <v>935000</v>
      </c>
      <c r="H144" s="104">
        <v>750000</v>
      </c>
      <c r="I144" s="104">
        <v>750000</v>
      </c>
      <c r="J144" s="104">
        <v>839000</v>
      </c>
      <c r="K144" s="104">
        <f t="shared" si="57"/>
        <v>3150000</v>
      </c>
      <c r="L144" s="127">
        <f t="shared" si="58"/>
        <v>3927000</v>
      </c>
      <c r="M144" s="104">
        <f t="shared" si="59"/>
        <v>3150000</v>
      </c>
      <c r="N144" s="104">
        <f t="shared" si="60"/>
        <v>3150000</v>
      </c>
      <c r="O144" s="104">
        <f t="shared" si="61"/>
        <v>3523800</v>
      </c>
    </row>
    <row r="145" spans="2:17" x14ac:dyDescent="0.25">
      <c r="B145" s="85">
        <v>9</v>
      </c>
      <c r="C145" s="86" t="s">
        <v>115</v>
      </c>
      <c r="D145" s="87"/>
      <c r="E145" s="88"/>
      <c r="F145" s="173"/>
      <c r="G145" s="171"/>
      <c r="H145" s="104"/>
      <c r="I145" s="104"/>
      <c r="J145" s="104"/>
      <c r="K145" s="104"/>
      <c r="L145" s="127"/>
      <c r="M145" s="104"/>
      <c r="N145" s="104"/>
      <c r="O145" s="104"/>
    </row>
    <row r="146" spans="2:17" x14ac:dyDescent="0.25">
      <c r="B146" s="85"/>
      <c r="C146" s="89" t="s">
        <v>121</v>
      </c>
      <c r="D146" s="180" t="s">
        <v>72</v>
      </c>
      <c r="E146" s="181">
        <f>1.5*123*2*1.5</f>
        <v>553.5</v>
      </c>
      <c r="F146" s="171">
        <v>10000</v>
      </c>
      <c r="G146" s="171">
        <v>11000</v>
      </c>
      <c r="H146" s="106">
        <v>40000</v>
      </c>
      <c r="I146" s="106">
        <v>17000</v>
      </c>
      <c r="J146" s="106">
        <v>25000</v>
      </c>
      <c r="K146" s="106">
        <f t="shared" ref="K146" si="62">F146*E146</f>
        <v>5535000</v>
      </c>
      <c r="L146" s="182">
        <f t="shared" ref="L146" si="63">G146*E146</f>
        <v>6088500</v>
      </c>
      <c r="M146" s="104">
        <f t="shared" ref="M146" si="64">H146*E146</f>
        <v>22140000</v>
      </c>
      <c r="N146" s="104">
        <f t="shared" ref="N146" si="65">I146*E146</f>
        <v>9409500</v>
      </c>
      <c r="O146" s="104">
        <f t="shared" ref="O146" si="66">J146*E146</f>
        <v>13837500</v>
      </c>
    </row>
    <row r="147" spans="2:17" x14ac:dyDescent="0.25">
      <c r="B147" s="85"/>
      <c r="C147" s="89" t="s">
        <v>117</v>
      </c>
      <c r="D147" s="180"/>
      <c r="E147" s="181"/>
      <c r="F147" s="171"/>
      <c r="G147" s="171"/>
      <c r="H147" s="106"/>
      <c r="I147" s="106"/>
      <c r="J147" s="106"/>
      <c r="K147" s="106"/>
      <c r="L147" s="182"/>
      <c r="M147" s="104"/>
      <c r="N147" s="104"/>
      <c r="O147" s="104"/>
    </row>
    <row r="148" spans="2:17" x14ac:dyDescent="0.25">
      <c r="B148" s="85"/>
      <c r="C148" s="89" t="s">
        <v>128</v>
      </c>
      <c r="D148" s="180"/>
      <c r="E148" s="198"/>
      <c r="F148" s="171"/>
      <c r="G148" s="171"/>
      <c r="H148" s="106"/>
      <c r="I148" s="106"/>
      <c r="J148" s="106"/>
      <c r="K148" s="106"/>
      <c r="L148" s="182"/>
      <c r="M148" s="104"/>
      <c r="O148" s="104"/>
      <c r="Q148" s="197">
        <f>30750000-N149</f>
        <v>10250000</v>
      </c>
    </row>
    <row r="149" spans="2:17" x14ac:dyDescent="0.25">
      <c r="B149" s="85"/>
      <c r="C149" s="89" t="s">
        <v>129</v>
      </c>
      <c r="D149" s="180" t="s">
        <v>116</v>
      </c>
      <c r="E149" s="181">
        <f>(123/0.3)*2</f>
        <v>820</v>
      </c>
      <c r="F149" s="171">
        <v>10000</v>
      </c>
      <c r="G149" s="171">
        <v>17600</v>
      </c>
      <c r="H149" s="106">
        <v>60000</v>
      </c>
      <c r="I149" s="106">
        <v>25000</v>
      </c>
      <c r="J149" s="106">
        <v>5000</v>
      </c>
      <c r="K149" s="106">
        <f t="shared" ref="K149" si="67">F149*E149</f>
        <v>8200000</v>
      </c>
      <c r="L149" s="182">
        <f t="shared" ref="L149" si="68">G149*E149</f>
        <v>14432000</v>
      </c>
      <c r="M149" s="104">
        <f t="shared" ref="M149" si="69">H149*E149</f>
        <v>49200000</v>
      </c>
      <c r="N149" s="104">
        <f t="shared" ref="N149" si="70">I149*E149</f>
        <v>20500000</v>
      </c>
      <c r="O149" s="104">
        <f t="shared" ref="O149" si="71">J149*E149</f>
        <v>4100000</v>
      </c>
    </row>
    <row r="150" spans="2:17" x14ac:dyDescent="0.25">
      <c r="B150" s="85"/>
      <c r="C150" s="89" t="s">
        <v>156</v>
      </c>
      <c r="D150" s="180"/>
      <c r="E150" s="181"/>
      <c r="F150" s="171"/>
      <c r="G150" s="171"/>
      <c r="H150" s="106"/>
      <c r="I150" s="106"/>
      <c r="J150" s="106"/>
      <c r="K150" s="106"/>
      <c r="L150" s="182"/>
      <c r="M150" s="104"/>
      <c r="N150" s="104"/>
      <c r="O150" s="104">
        <f t="shared" ref="O150:O151" si="72">J150*E150</f>
        <v>0</v>
      </c>
    </row>
    <row r="151" spans="2:17" x14ac:dyDescent="0.25">
      <c r="B151" s="85"/>
      <c r="C151" s="196" t="s">
        <v>157</v>
      </c>
      <c r="D151" s="180" t="s">
        <v>72</v>
      </c>
      <c r="E151" s="181">
        <f>0.12*2.5*123-(0.5*123*2*0.12)+0.12*3*123</f>
        <v>66.42</v>
      </c>
      <c r="F151" s="171">
        <v>2500000</v>
      </c>
      <c r="G151" s="171">
        <v>2750000</v>
      </c>
      <c r="H151" s="106">
        <v>3681000</v>
      </c>
      <c r="I151" s="106">
        <v>2857993</v>
      </c>
      <c r="J151" s="106">
        <v>5200000</v>
      </c>
      <c r="K151" s="106">
        <f t="shared" ref="K151" si="73">F151*E151</f>
        <v>166050000</v>
      </c>
      <c r="L151" s="182">
        <f t="shared" ref="L151" si="74">G151*E151</f>
        <v>182655000</v>
      </c>
      <c r="M151" s="104">
        <f t="shared" ref="M151" si="75">H151*E151</f>
        <v>244492020</v>
      </c>
      <c r="N151" s="104">
        <f>I151*E151</f>
        <v>189827895.06</v>
      </c>
      <c r="O151" s="104">
        <f t="shared" si="72"/>
        <v>345384000</v>
      </c>
    </row>
    <row r="152" spans="2:17" x14ac:dyDescent="0.25">
      <c r="B152" s="85"/>
      <c r="C152" s="89" t="s">
        <v>120</v>
      </c>
      <c r="D152" s="180"/>
      <c r="E152" s="198"/>
      <c r="F152" s="171"/>
      <c r="G152" s="171"/>
      <c r="H152" s="106"/>
      <c r="I152" s="106"/>
      <c r="J152" s="106"/>
      <c r="K152" s="106"/>
      <c r="L152" s="182"/>
      <c r="M152" s="104"/>
      <c r="O152" s="104"/>
      <c r="Q152" s="197">
        <f>158189912.55-N151</f>
        <v>-31637982.50999999</v>
      </c>
    </row>
    <row r="153" spans="2:17" x14ac:dyDescent="0.25">
      <c r="B153" s="85"/>
      <c r="C153" s="89" t="s">
        <v>122</v>
      </c>
      <c r="D153" s="180" t="s">
        <v>72</v>
      </c>
      <c r="E153" s="181">
        <f>0.2*0.25*3*(123/2)+6.2</f>
        <v>15.425000000000001</v>
      </c>
      <c r="F153" s="171">
        <v>2800000</v>
      </c>
      <c r="G153" s="171">
        <v>3080000</v>
      </c>
      <c r="H153" s="106">
        <v>4350000</v>
      </c>
      <c r="I153" s="106">
        <v>4880398</v>
      </c>
      <c r="J153" s="106">
        <v>6315000</v>
      </c>
      <c r="K153" s="106">
        <f t="shared" ref="K153" si="76">F153*E153</f>
        <v>43190000</v>
      </c>
      <c r="L153" s="182">
        <f t="shared" ref="L153" si="77">G153*E153</f>
        <v>47509000</v>
      </c>
      <c r="M153" s="104">
        <f t="shared" ref="M153" si="78">H153*E153</f>
        <v>67098750</v>
      </c>
      <c r="N153" s="104">
        <f t="shared" ref="N153" si="79">I153*E153</f>
        <v>75280139.150000006</v>
      </c>
      <c r="O153" s="104">
        <f t="shared" ref="O153" si="80">J153*E153</f>
        <v>97408875</v>
      </c>
    </row>
    <row r="154" spans="2:17" x14ac:dyDescent="0.25">
      <c r="B154" s="58"/>
      <c r="C154" s="67" t="s">
        <v>76</v>
      </c>
      <c r="D154" s="60"/>
      <c r="E154" s="61"/>
      <c r="F154" s="110"/>
      <c r="G154" s="183"/>
      <c r="H154" s="106"/>
      <c r="I154" s="106"/>
      <c r="J154" s="106"/>
      <c r="K154" s="199">
        <f>SUM(K136:K153)</f>
        <v>1542287101</v>
      </c>
      <c r="L154" s="199">
        <f>SUM(L136:L153)</f>
        <v>1605036670.3920002</v>
      </c>
      <c r="M154" s="200">
        <f>SUM(M136:M153)</f>
        <v>1582905570</v>
      </c>
      <c r="N154" s="200">
        <f>SUM(N136:N153)</f>
        <v>1647234442.5900002</v>
      </c>
      <c r="O154" s="200">
        <f>SUM(O136:O153)</f>
        <v>1770146835</v>
      </c>
    </row>
    <row r="155" spans="2:17" x14ac:dyDescent="0.25">
      <c r="E155" s="181">
        <f>0.2*0.25*3*(123/3)</f>
        <v>6.1500000000000012</v>
      </c>
      <c r="I155" t="s">
        <v>159</v>
      </c>
      <c r="K155" s="35">
        <f>K154-K62</f>
        <v>42657000</v>
      </c>
      <c r="L155" s="35">
        <f t="shared" ref="L155:O155" si="81">L154-L62</f>
        <v>44216700</v>
      </c>
      <c r="M155" s="35">
        <f t="shared" si="81"/>
        <v>45793920</v>
      </c>
      <c r="N155" s="35">
        <f t="shared" si="81"/>
        <v>54647894.880000114</v>
      </c>
      <c r="O155" s="35">
        <f t="shared" si="81"/>
        <v>129706835</v>
      </c>
    </row>
    <row r="156" spans="2:17" x14ac:dyDescent="0.25">
      <c r="E156" s="201"/>
      <c r="K156" s="154"/>
      <c r="L156" s="154"/>
      <c r="M156" s="154"/>
      <c r="N156" s="154"/>
      <c r="O156" s="154"/>
    </row>
    <row r="157" spans="2:17" x14ac:dyDescent="0.25">
      <c r="I157" t="s">
        <v>160</v>
      </c>
      <c r="K157" s="154">
        <f>E139*F138</f>
        <v>2059585800</v>
      </c>
      <c r="L157" s="154">
        <f>E139*G138</f>
        <v>2152455228</v>
      </c>
      <c r="M157" s="154">
        <f>E139*H138</f>
        <v>1719131025</v>
      </c>
      <c r="N157" s="154">
        <f>E139*I138</f>
        <v>2212710960</v>
      </c>
      <c r="O157" s="154">
        <f>E139*J138</f>
        <v>2140200000</v>
      </c>
    </row>
    <row r="158" spans="2:17" x14ac:dyDescent="0.25">
      <c r="I158" t="s">
        <v>161</v>
      </c>
      <c r="K158" s="100">
        <f>SUM(K146:K153)</f>
        <v>222975000</v>
      </c>
      <c r="L158" s="100">
        <f t="shared" ref="L158:O158" si="82">SUM(L146:L153)</f>
        <v>250684500</v>
      </c>
      <c r="M158" s="100">
        <f t="shared" si="82"/>
        <v>382930770</v>
      </c>
      <c r="N158" s="100">
        <f t="shared" si="82"/>
        <v>295017534.21000004</v>
      </c>
      <c r="O158" s="100">
        <f t="shared" si="82"/>
        <v>460730375</v>
      </c>
    </row>
    <row r="159" spans="2:17" x14ac:dyDescent="0.25">
      <c r="I159" t="s">
        <v>162</v>
      </c>
      <c r="K159" s="35">
        <f>K157-K158</f>
        <v>1836610800</v>
      </c>
      <c r="L159" s="35">
        <f t="shared" ref="L159:O159" si="83">L157-L158</f>
        <v>1901770728</v>
      </c>
      <c r="M159" s="35">
        <f t="shared" si="83"/>
        <v>1336200255</v>
      </c>
      <c r="N159" s="35">
        <f t="shared" si="83"/>
        <v>1917693425.79</v>
      </c>
      <c r="O159" s="35">
        <f t="shared" si="83"/>
        <v>1679469625</v>
      </c>
    </row>
  </sheetData>
  <mergeCells count="16">
    <mergeCell ref="D131:E131"/>
    <mergeCell ref="F131:G131"/>
    <mergeCell ref="H131:J131"/>
    <mergeCell ref="K131:L131"/>
    <mergeCell ref="D125:E125"/>
    <mergeCell ref="F125:G125"/>
    <mergeCell ref="D130:E130"/>
    <mergeCell ref="F130:G130"/>
    <mergeCell ref="H130:J130"/>
    <mergeCell ref="K130:L130"/>
    <mergeCell ref="K6:O6"/>
    <mergeCell ref="B6:B7"/>
    <mergeCell ref="C6:C7"/>
    <mergeCell ref="D6:D7"/>
    <mergeCell ref="E6:E7"/>
    <mergeCell ref="F6:J6"/>
  </mergeCells>
  <printOptions horizontalCentered="1"/>
  <pageMargins left="0.39370078740157483" right="0.39370078740157483" top="0.78740157480314965" bottom="0.78740157480314965" header="0.51181102362204722" footer="0.51181102362204722"/>
  <pageSetup paperSize="158" scale="85" fitToHeight="0" orientation="landscape" horizontalDpi="4294967293" verticalDpi="4294967293" r:id="rId1"/>
  <rowBreaks count="2" manualBreakCount="2">
    <brk id="54" min="1" max="14" man="1"/>
    <brk id="101" max="16383" man="1"/>
  </rowBreaks>
  <colBreaks count="1" manualBreakCount="1">
    <brk id="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Monteverde</vt:lpstr>
      <vt:lpstr>Mtvd no Paving</vt:lpstr>
      <vt:lpstr>ruko_Komersial_jlDepan</vt:lpstr>
      <vt:lpstr>Monteverde!Print_Area</vt:lpstr>
      <vt:lpstr>'Mtvd no Paving'!Print_Area</vt:lpstr>
      <vt:lpstr>ruko_Komersial_jlDepan!Print_Area</vt:lpstr>
      <vt:lpstr>Monteverde!Print_Titles</vt:lpstr>
      <vt:lpstr>'Mtvd no Paving'!Print_Titles</vt:lpstr>
      <vt:lpstr>ruko_Komersial_jlDepan!Print_Titles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HENDHY</dc:creator>
  <cp:lastModifiedBy>HENDHY</cp:lastModifiedBy>
  <cp:lastPrinted>2019-05-13T02:22:04Z</cp:lastPrinted>
  <dcterms:created xsi:type="dcterms:W3CDTF">2019-02-25T02:35:41Z</dcterms:created>
  <dcterms:modified xsi:type="dcterms:W3CDTF">2020-01-09T09:02:39Z</dcterms:modified>
</cp:coreProperties>
</file>