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defaultThemeVersion="124226"/>
  <mc:AlternateContent xmlns:mc="http://schemas.openxmlformats.org/markup-compatibility/2006">
    <mc:Choice Requires="x15">
      <x15ac:absPath xmlns:x15ac="http://schemas.microsoft.com/office/spreadsheetml/2010/11/ac" url="C:\Users\Public\Projects\StaticElecWand\hardware\docs\"/>
    </mc:Choice>
  </mc:AlternateContent>
  <xr:revisionPtr revIDLastSave="0" documentId="13_ncr:1_{552E9AC9-A723-4004-85D4-01679F755FC5}" xr6:coauthVersionLast="47" xr6:coauthVersionMax="47" xr10:uidLastSave="{00000000-0000-0000-0000-000000000000}"/>
  <workbookProtection workbookPassword="E023" lockStructure="1"/>
  <bookViews>
    <workbookView xWindow="-108" yWindow="-108" windowWidth="23256" windowHeight="12456" xr2:uid="{00000000-000D-0000-FFFF-FFFF00000000}"/>
  </bookViews>
  <sheets>
    <sheet name="Design Calculation" sheetId="1" r:id="rId1"/>
    <sheet name="Frequency Response Calculation" sheetId="2" state="hidden" r:id="rId2"/>
    <sheet name="LegalDisclaimer" sheetId="3" r:id="rId3"/>
  </sheets>
  <definedNames>
    <definedName name="BST_HS_dead_time">'Design Calculation'!$C$109</definedName>
    <definedName name="BST_HS_Rdson">'Design Calculation'!$C$108</definedName>
    <definedName name="BST_HS_Vd">'Design Calculation'!$C$110</definedName>
    <definedName name="BST_LS_fall_time">'Design Calculation'!$C$106</definedName>
    <definedName name="BST_LS_Rdson">'Design Calculation'!$C$105</definedName>
    <definedName name="BST_LS_rise_time">'Design Calculation'!$C$107</definedName>
    <definedName name="BUCK_HS_Coss">'Design Calculation'!$C$97</definedName>
    <definedName name="BUCK_HS_fall_time">'Design Calculation'!$C$99</definedName>
    <definedName name="BUCK_HS_Qg">'Design Calculation'!$C$96</definedName>
    <definedName name="BUCK_HS_Rdson">'Design Calculation'!$C$95</definedName>
    <definedName name="BUCK_HS_rise_time">'Design Calculation'!$C$98</definedName>
    <definedName name="BUCK_LS_dead_time">'Design Calculation'!$C$103</definedName>
    <definedName name="BUCK_LS_deadtime">'Design Calculation'!$C$103</definedName>
    <definedName name="BUCK_LS_Qg">'Design Calculation'!$C$101</definedName>
    <definedName name="BUCK_LS_Qrr">'Design Calculation'!$C$102</definedName>
    <definedName name="BUCK_LS_Rdson">'Design Calculation'!$C$100</definedName>
    <definedName name="BUCK_LS_Vd">'Design Calculation'!$C$104</definedName>
    <definedName name="C_bst_snubber">'Design Calculation'!$C$112</definedName>
    <definedName name="C_buck_snubber">'Design Calculation'!$C$111</definedName>
    <definedName name="C_ca">'Frequency Response Calculation'!$AG$5</definedName>
    <definedName name="Ccomp">'Design Calculation'!$C$84</definedName>
    <definedName name="Cout_c">'Design Calculation'!$C$39</definedName>
    <definedName name="Cout_e">'Design Calculation'!$C$41</definedName>
    <definedName name="Cp">'Design Calculation'!$C$87</definedName>
    <definedName name="DCR">'Design Calculation'!$C$94</definedName>
    <definedName name="dVinpkpk">'Design Calculation'!$C$45</definedName>
    <definedName name="dVoutpkpk">'Design Calculation'!$C$37</definedName>
    <definedName name="eff">'Design Calculation'!$C$51</definedName>
    <definedName name="ESR">'Design Calculation'!$C$43</definedName>
    <definedName name="fco">'Design Calculation'!$C$79</definedName>
    <definedName name="fp">'Design Calculation'!$C$76</definedName>
    <definedName name="fp_comp2">'Design Calculation'!$C$88</definedName>
    <definedName name="fsw">'Design Calculation'!$C$33</definedName>
    <definedName name="fz_comp">'Design Calculation'!$C$85</definedName>
    <definedName name="fz_ESR">'Design Calculation'!$C$78</definedName>
    <definedName name="fzRHP">'Design Calculation'!$C$77</definedName>
    <definedName name="gm_ca">'Frequency Response Calculation'!$AG$3</definedName>
    <definedName name="gm_EA">'Design Calculation'!$C$80</definedName>
    <definedName name="gm_PS">'Design Calculation'!$C$75</definedName>
    <definedName name="Iavg_limit">'Design Calculation'!$C$60</definedName>
    <definedName name="ILpeak">'Design Calculation'!$C$92</definedName>
    <definedName name="ILpeak_max">'Design Calculation'!$C$58</definedName>
    <definedName name="ILrms">'Design Calculation'!$C$91</definedName>
    <definedName name="ILrms_max">'Design Calculation'!$C$57</definedName>
    <definedName name="ILvalley">'Design Calculation'!$C$93</definedName>
    <definedName name="ILvalley_max">'Design Calculation'!$C$59</definedName>
    <definedName name="Iout_limit">'Design Calculation'!$C$28</definedName>
    <definedName name="Ioutmax">'Design Calculation'!$C$19</definedName>
    <definedName name="K">'Design Calculation'!$C$53</definedName>
    <definedName name="L">'Design Calculation'!$C$56</definedName>
    <definedName name="Op_mode">'Design Calculation'!$C$74</definedName>
    <definedName name="R_1">'Design Calculation'!$C$29</definedName>
    <definedName name="R_7">'Design Calculation'!$C$25</definedName>
    <definedName name="R_ca">'Frequency Response Calculation'!$AG$4</definedName>
    <definedName name="Rcomp">'Design Calculation'!$C$82</definedName>
    <definedName name="Reg_Ilimit">'Design Calculation'!$C$30</definedName>
    <definedName name="Reg_Vref">'Design Calculation'!$C$20</definedName>
    <definedName name="Rpcb">'Design Calculation'!$C$113</definedName>
    <definedName name="tou">'Design Calculation'!$F$122</definedName>
    <definedName name="V_m">'Frequency Response Calculation'!$AG$6</definedName>
    <definedName name="Vin">'Design Calculation'!$C$72</definedName>
    <definedName name="Vin_eff">'Design Calculation'!$C$90</definedName>
    <definedName name="Vin_LP">'Design Calculation'!$C$72</definedName>
    <definedName name="Vin_max">'Design Calculation'!$C$15</definedName>
    <definedName name="Vin_min">'Design Calculation'!$C$14</definedName>
    <definedName name="Vout">'Design Calculation'!$C$17</definedName>
    <definedName name="Vout_LP">'Design Calculation'!$C$73</definedName>
    <definedName name="Vout_max">'Design Calculation'!$C$18</definedName>
  </definedNames>
  <calcPr calcId="181029"/>
  <customWorkbookViews>
    <customWorkbookView name="TI User - Personal View" guid="{0F8159A6-236F-4F54-A569-A835A6AD5DA8}" mergeInterval="0" personalView="1" maximized="1" windowWidth="1920" windowHeight="803" activeSheetId="1"/>
  </customWorkbookViews>
</workbook>
</file>

<file path=xl/calcChain.xml><?xml version="1.0" encoding="utf-8"?>
<calcChain xmlns="http://schemas.openxmlformats.org/spreadsheetml/2006/main">
  <c r="E18" i="1" l="1"/>
  <c r="C20" i="1" l="1"/>
  <c r="C83" i="1" l="1"/>
  <c r="F122" i="1" l="1"/>
  <c r="C88" i="1" l="1"/>
  <c r="C93" i="1" l="1"/>
  <c r="C91" i="1"/>
  <c r="C61" i="1"/>
  <c r="C59" i="1"/>
  <c r="C58" i="1"/>
  <c r="C75" i="1" l="1"/>
  <c r="C47" i="1" l="1"/>
  <c r="C92" i="1"/>
  <c r="C120" i="1" l="1"/>
  <c r="C121" i="1"/>
  <c r="H122" i="1"/>
  <c r="C117" i="1"/>
  <c r="G122" i="1"/>
  <c r="C119" i="1"/>
  <c r="C118" i="1"/>
  <c r="C55" i="1"/>
  <c r="C57" i="1"/>
  <c r="C34" i="1"/>
  <c r="C36" i="1" s="1"/>
  <c r="C74" i="1"/>
  <c r="AG6" i="2"/>
  <c r="C78" i="1"/>
  <c r="H11" i="2" s="1"/>
  <c r="C85" i="1"/>
  <c r="N26" i="2" s="1"/>
  <c r="I8" i="2"/>
  <c r="I11" i="2"/>
  <c r="I20" i="2"/>
  <c r="I34" i="2"/>
  <c r="I35" i="2"/>
  <c r="I41" i="2"/>
  <c r="P39" i="1"/>
  <c r="J9" i="2"/>
  <c r="J11" i="2"/>
  <c r="J23" i="2"/>
  <c r="J30" i="2"/>
  <c r="J31" i="2"/>
  <c r="J35" i="2"/>
  <c r="J41" i="2"/>
  <c r="R5" i="2"/>
  <c r="R9" i="2"/>
  <c r="R10" i="2"/>
  <c r="R20" i="2"/>
  <c r="R22" i="2"/>
  <c r="R24" i="2"/>
  <c r="R25" i="2"/>
  <c r="R30" i="2"/>
  <c r="R34" i="2"/>
  <c r="R35" i="2"/>
  <c r="R41" i="2"/>
  <c r="Q8" i="2"/>
  <c r="Q9" i="2"/>
  <c r="Q11" i="2"/>
  <c r="Q20" i="2"/>
  <c r="Q24" i="2"/>
  <c r="Q31" i="2"/>
  <c r="Q34" i="2"/>
  <c r="Q39" i="2"/>
  <c r="Q41" i="2"/>
  <c r="X7" i="2"/>
  <c r="X8" i="2"/>
  <c r="X10" i="2"/>
  <c r="X20" i="2"/>
  <c r="X23" i="2"/>
  <c r="X27" i="2"/>
  <c r="X30" i="2"/>
  <c r="X32" i="2"/>
  <c r="X35" i="2"/>
  <c r="X39" i="2"/>
  <c r="X40" i="2"/>
  <c r="Y5" i="2"/>
  <c r="Y7" i="2"/>
  <c r="Y9" i="2"/>
  <c r="Y11" i="2"/>
  <c r="Y19" i="2"/>
  <c r="Y25" i="2"/>
  <c r="Y26" i="2"/>
  <c r="Y27" i="2"/>
  <c r="Y29" i="2"/>
  <c r="Y34" i="2"/>
  <c r="Y37" i="2"/>
  <c r="Y39" i="2"/>
  <c r="Z5" i="2"/>
  <c r="Z6" i="2"/>
  <c r="Z8" i="2"/>
  <c r="Z9" i="2"/>
  <c r="Z11" i="2"/>
  <c r="Z18" i="2"/>
  <c r="Z24" i="2"/>
  <c r="Z25" i="2"/>
  <c r="Z26" i="2"/>
  <c r="Z33" i="2"/>
  <c r="Z35" i="2"/>
  <c r="Z37" i="2"/>
  <c r="Z41" i="2"/>
  <c r="C32" i="1"/>
  <c r="C31" i="1"/>
  <c r="P53" i="1"/>
  <c r="P51" i="1"/>
  <c r="M50" i="1"/>
  <c r="N50" i="1"/>
  <c r="O50" i="1"/>
  <c r="J50" i="1"/>
  <c r="I50" i="1"/>
  <c r="H50" i="1"/>
  <c r="N46" i="1"/>
  <c r="O46" i="1"/>
  <c r="J46" i="1"/>
  <c r="K46" i="1"/>
  <c r="L50" i="1"/>
  <c r="P47" i="1"/>
  <c r="O48" i="1"/>
  <c r="N48" i="1"/>
  <c r="H48" i="1"/>
  <c r="C30" i="1"/>
  <c r="H44" i="1" s="1"/>
  <c r="T34" i="2"/>
  <c r="T35" i="2"/>
  <c r="T37" i="2"/>
  <c r="T39" i="2"/>
  <c r="T10" i="2"/>
  <c r="T11" i="2"/>
  <c r="T19" i="2"/>
  <c r="T20" i="2"/>
  <c r="T21" i="2"/>
  <c r="T23" i="2"/>
  <c r="T24" i="2"/>
  <c r="T25" i="2"/>
  <c r="T32" i="2"/>
  <c r="T33" i="2"/>
  <c r="T9" i="2"/>
  <c r="T3" i="2"/>
  <c r="S23" i="2"/>
  <c r="S24" i="2"/>
  <c r="S25" i="2"/>
  <c r="S30" i="2"/>
  <c r="S34" i="2"/>
  <c r="S35" i="2"/>
  <c r="S39" i="2"/>
  <c r="S41" i="2"/>
  <c r="S4" i="2"/>
  <c r="S5" i="2"/>
  <c r="S7" i="2"/>
  <c r="S8" i="2"/>
  <c r="S22" i="2"/>
  <c r="S3" i="2"/>
  <c r="B43" i="2"/>
  <c r="R43" i="2" s="1"/>
  <c r="B42" i="2"/>
  <c r="R42" i="2" s="1"/>
  <c r="B41" i="2"/>
  <c r="T41" i="2" s="1"/>
  <c r="P41" i="2"/>
  <c r="B40" i="2"/>
  <c r="J40" i="2" s="1"/>
  <c r="B39" i="2"/>
  <c r="J39" i="2" s="1"/>
  <c r="B38" i="2"/>
  <c r="J38" i="2" s="1"/>
  <c r="B37" i="2"/>
  <c r="S37" i="2" s="1"/>
  <c r="O37" i="2"/>
  <c r="B36" i="2"/>
  <c r="S36" i="2" s="1"/>
  <c r="O36" i="2"/>
  <c r="B35" i="2"/>
  <c r="B34" i="2"/>
  <c r="B33" i="2"/>
  <c r="B32" i="2"/>
  <c r="J32" i="2" s="1"/>
  <c r="B31" i="2"/>
  <c r="R31" i="2" s="1"/>
  <c r="B30" i="2"/>
  <c r="Q30" i="2" s="1"/>
  <c r="P30" i="2"/>
  <c r="B29" i="2"/>
  <c r="S29" i="2" s="1"/>
  <c r="P29" i="2"/>
  <c r="B28" i="2"/>
  <c r="Y28" i="2" s="1"/>
  <c r="B27" i="2"/>
  <c r="T27" i="2" s="1"/>
  <c r="B26" i="2"/>
  <c r="I26" i="2" s="1"/>
  <c r="B25" i="2"/>
  <c r="I25" i="2" s="1"/>
  <c r="P25" i="2"/>
  <c r="B24" i="2"/>
  <c r="J24" i="2" s="1"/>
  <c r="B23" i="2"/>
  <c r="R23" i="2" s="1"/>
  <c r="B22" i="2"/>
  <c r="J22" i="2" s="1"/>
  <c r="O22" i="2"/>
  <c r="B21" i="2"/>
  <c r="R21" i="2" s="1"/>
  <c r="B20" i="2"/>
  <c r="O20" i="2"/>
  <c r="B19" i="2"/>
  <c r="I19" i="2" s="1"/>
  <c r="B18" i="2"/>
  <c r="I18" i="2" s="1"/>
  <c r="B17" i="2"/>
  <c r="I17" i="2" s="1"/>
  <c r="B16" i="2"/>
  <c r="B15" i="2"/>
  <c r="P15" i="2" s="1"/>
  <c r="B14" i="2"/>
  <c r="S14" i="2" s="1"/>
  <c r="B13" i="2"/>
  <c r="I13" i="2" s="1"/>
  <c r="B12" i="2"/>
  <c r="Y12" i="2" s="1"/>
  <c r="B11" i="2"/>
  <c r="S11" i="2" s="1"/>
  <c r="B10" i="2"/>
  <c r="S10" i="2" s="1"/>
  <c r="B9" i="2"/>
  <c r="I9" i="2" s="1"/>
  <c r="P9" i="2"/>
  <c r="B8" i="2"/>
  <c r="B7" i="2"/>
  <c r="I7" i="2" s="1"/>
  <c r="B6" i="2"/>
  <c r="O6" i="2" s="1"/>
  <c r="B5" i="2"/>
  <c r="T5" i="2" s="1"/>
  <c r="O5" i="2"/>
  <c r="B4" i="2"/>
  <c r="Y4" i="2" s="1"/>
  <c r="O4" i="2"/>
  <c r="B3" i="2"/>
  <c r="Q3" i="2" s="1"/>
  <c r="P3" i="2"/>
  <c r="O35" i="2"/>
  <c r="O19" i="2"/>
  <c r="P31" i="2"/>
  <c r="O41" i="2"/>
  <c r="O25" i="2"/>
  <c r="O9" i="2"/>
  <c r="P34" i="2"/>
  <c r="O31" i="2"/>
  <c r="P24" i="2"/>
  <c r="P8" i="2"/>
  <c r="O34" i="2"/>
  <c r="O18" i="2"/>
  <c r="P27" i="2"/>
  <c r="P11" i="2"/>
  <c r="P14" i="2"/>
  <c r="O3" i="2"/>
  <c r="O12" i="2"/>
  <c r="P37" i="2"/>
  <c r="P5" i="2"/>
  <c r="O11" i="2"/>
  <c r="P20" i="2"/>
  <c r="P4" i="2"/>
  <c r="P39" i="2"/>
  <c r="P23" i="2"/>
  <c r="P7" i="2"/>
  <c r="O33" i="2"/>
  <c r="O17" i="2"/>
  <c r="P26" i="2"/>
  <c r="P10" i="2"/>
  <c r="O40" i="2"/>
  <c r="O24" i="2"/>
  <c r="O8" i="2"/>
  <c r="P33" i="2"/>
  <c r="O39" i="2"/>
  <c r="P32" i="2"/>
  <c r="P35" i="2"/>
  <c r="P19" i="2"/>
  <c r="P38" i="2"/>
  <c r="P22" i="2"/>
  <c r="P6" i="2"/>
  <c r="N3" i="2"/>
  <c r="C65" i="1"/>
  <c r="C26" i="1"/>
  <c r="C24" i="1"/>
  <c r="H25" i="2" l="1"/>
  <c r="H33" i="2"/>
  <c r="H7" i="2"/>
  <c r="H36" i="2"/>
  <c r="H41" i="2"/>
  <c r="H22" i="2"/>
  <c r="H39" i="2"/>
  <c r="H9" i="2"/>
  <c r="H20" i="2"/>
  <c r="H18" i="2"/>
  <c r="H19" i="2"/>
  <c r="Q4" i="2"/>
  <c r="J26" i="2"/>
  <c r="J6" i="2"/>
  <c r="I31" i="2"/>
  <c r="Q28" i="2"/>
  <c r="R29" i="2"/>
  <c r="I15" i="2"/>
  <c r="O29" i="2"/>
  <c r="L20" i="2"/>
  <c r="K20" i="2"/>
  <c r="S17" i="2"/>
  <c r="T15" i="2"/>
  <c r="Q23" i="2"/>
  <c r="Q29" i="2"/>
  <c r="L16" i="2"/>
  <c r="K16" i="2"/>
  <c r="Y6" i="2"/>
  <c r="K3" i="2"/>
  <c r="L3" i="2"/>
  <c r="H17" i="2"/>
  <c r="K33" i="2"/>
  <c r="L33" i="2"/>
  <c r="S18" i="2"/>
  <c r="S38" i="2"/>
  <c r="T6" i="2"/>
  <c r="T16" i="2"/>
  <c r="Z21" i="2"/>
  <c r="Y42" i="2"/>
  <c r="Y22" i="2"/>
  <c r="X43" i="2"/>
  <c r="H3" i="2"/>
  <c r="O10" i="2"/>
  <c r="O14" i="2"/>
  <c r="K5" i="2"/>
  <c r="L5" i="2"/>
  <c r="L34" i="2"/>
  <c r="K34" i="2"/>
  <c r="Z40" i="2"/>
  <c r="Z20" i="2"/>
  <c r="Y41" i="2"/>
  <c r="Y21" i="2"/>
  <c r="X42" i="2"/>
  <c r="X22" i="2"/>
  <c r="Q43" i="2"/>
  <c r="R3" i="2"/>
  <c r="R4" i="2"/>
  <c r="J25" i="2"/>
  <c r="J5" i="2"/>
  <c r="I30" i="2"/>
  <c r="I10" i="2"/>
  <c r="H4" i="2"/>
  <c r="O26" i="2"/>
  <c r="O30" i="2"/>
  <c r="P40" i="2"/>
  <c r="O21" i="2"/>
  <c r="L35" i="2"/>
  <c r="K35" i="2"/>
  <c r="S16" i="2"/>
  <c r="T4" i="2"/>
  <c r="T14" i="2"/>
  <c r="Z39" i="2"/>
  <c r="Z19" i="2"/>
  <c r="Y40" i="2"/>
  <c r="Y20" i="2"/>
  <c r="X41" i="2"/>
  <c r="X21" i="2"/>
  <c r="Q42" i="2"/>
  <c r="Q22" i="2"/>
  <c r="J3" i="2"/>
  <c r="J4" i="2"/>
  <c r="I29" i="2"/>
  <c r="K43" i="2"/>
  <c r="L43" i="2"/>
  <c r="S43" i="2"/>
  <c r="T12" i="2"/>
  <c r="Z17" i="2"/>
  <c r="Y38" i="2"/>
  <c r="Y18" i="2"/>
  <c r="X19" i="2"/>
  <c r="Q40" i="2"/>
  <c r="J42" i="2"/>
  <c r="P42" i="2"/>
  <c r="I27" i="2"/>
  <c r="O42" i="2"/>
  <c r="O15" i="2"/>
  <c r="K21" i="2"/>
  <c r="L21" i="2"/>
  <c r="S15" i="2"/>
  <c r="Z38" i="2"/>
  <c r="J43" i="2"/>
  <c r="I28" i="2"/>
  <c r="L36" i="2"/>
  <c r="K36" i="2"/>
  <c r="L8" i="2"/>
  <c r="K8" i="2"/>
  <c r="S13" i="2"/>
  <c r="Z16" i="2"/>
  <c r="Y17" i="2"/>
  <c r="X38" i="2"/>
  <c r="Q19" i="2"/>
  <c r="R40" i="2"/>
  <c r="J21" i="2"/>
  <c r="I3" i="2"/>
  <c r="M6" i="2"/>
  <c r="L14" i="2"/>
  <c r="K14" i="2"/>
  <c r="L6" i="2"/>
  <c r="K6" i="2"/>
  <c r="T13" i="2"/>
  <c r="Q21" i="2"/>
  <c r="H6" i="2"/>
  <c r="P16" i="2"/>
  <c r="L7" i="2"/>
  <c r="K7" i="2"/>
  <c r="P36" i="2"/>
  <c r="O16" i="2"/>
  <c r="L22" i="2"/>
  <c r="K22" i="2"/>
  <c r="S33" i="2"/>
  <c r="T31" i="2"/>
  <c r="Z36" i="2"/>
  <c r="X18" i="2"/>
  <c r="N27" i="2"/>
  <c r="H8" i="2"/>
  <c r="O7" i="2"/>
  <c r="O32" i="2"/>
  <c r="L23" i="2"/>
  <c r="K23" i="2"/>
  <c r="K37" i="2"/>
  <c r="L37" i="2"/>
  <c r="S12" i="2"/>
  <c r="S32" i="2"/>
  <c r="T30" i="2"/>
  <c r="P45" i="1"/>
  <c r="Z15" i="2"/>
  <c r="Y36" i="2"/>
  <c r="Y16" i="2"/>
  <c r="X37" i="2"/>
  <c r="X17" i="2"/>
  <c r="Q38" i="2"/>
  <c r="Q18" i="2"/>
  <c r="R39" i="2"/>
  <c r="R19" i="2"/>
  <c r="J20" i="2"/>
  <c r="I4" i="2"/>
  <c r="I6" i="2"/>
  <c r="N39" i="2"/>
  <c r="H31" i="2"/>
  <c r="O23" i="2"/>
  <c r="O27" i="2"/>
  <c r="P18" i="2"/>
  <c r="K9" i="2"/>
  <c r="L9" i="2"/>
  <c r="L24" i="2"/>
  <c r="K24" i="2"/>
  <c r="O38" i="2"/>
  <c r="S31" i="2"/>
  <c r="T29" i="2"/>
  <c r="T43" i="2"/>
  <c r="Z34" i="2"/>
  <c r="Z14" i="2"/>
  <c r="Y35" i="2"/>
  <c r="Y15" i="2"/>
  <c r="X36" i="2"/>
  <c r="X16" i="2"/>
  <c r="Q37" i="2"/>
  <c r="Q17" i="2"/>
  <c r="R38" i="2"/>
  <c r="R18" i="2"/>
  <c r="J19" i="2"/>
  <c r="I5" i="2"/>
  <c r="I24" i="2"/>
  <c r="G6" i="2"/>
  <c r="K42" i="2"/>
  <c r="L42" i="2"/>
  <c r="X15" i="2"/>
  <c r="Q36" i="2"/>
  <c r="Q16" i="2"/>
  <c r="R37" i="2"/>
  <c r="R17" i="2"/>
  <c r="J18" i="2"/>
  <c r="I43" i="2"/>
  <c r="I23" i="2"/>
  <c r="Z28" i="2"/>
  <c r="O13" i="2"/>
  <c r="Y14" i="2"/>
  <c r="N14" i="2"/>
  <c r="P17" i="2"/>
  <c r="P21" i="2"/>
  <c r="L11" i="2"/>
  <c r="K11" i="2"/>
  <c r="K25" i="2"/>
  <c r="L25" i="2"/>
  <c r="L39" i="2"/>
  <c r="K39" i="2"/>
  <c r="S9" i="2"/>
  <c r="Z32" i="2"/>
  <c r="Z12" i="2"/>
  <c r="Y33" i="2"/>
  <c r="Y13" i="2"/>
  <c r="X34" i="2"/>
  <c r="X14" i="2"/>
  <c r="Q35" i="2"/>
  <c r="Q15" i="2"/>
  <c r="R36" i="2"/>
  <c r="R16" i="2"/>
  <c r="J37" i="2"/>
  <c r="J17" i="2"/>
  <c r="I42" i="2"/>
  <c r="I22" i="2"/>
  <c r="L10" i="2"/>
  <c r="K10" i="2"/>
  <c r="L38" i="2"/>
  <c r="K38" i="2"/>
  <c r="T28" i="2"/>
  <c r="T42" i="2"/>
  <c r="Z13" i="2"/>
  <c r="P12" i="2"/>
  <c r="L26" i="2"/>
  <c r="K26" i="2"/>
  <c r="L40" i="2"/>
  <c r="K40" i="2"/>
  <c r="S28" i="2"/>
  <c r="T26" i="2"/>
  <c r="T40" i="2"/>
  <c r="Z31" i="2"/>
  <c r="Y32" i="2"/>
  <c r="X33" i="2"/>
  <c r="X13" i="2"/>
  <c r="Q14" i="2"/>
  <c r="R15" i="2"/>
  <c r="J36" i="2"/>
  <c r="J16" i="2"/>
  <c r="I21" i="2"/>
  <c r="L29" i="2"/>
  <c r="K29" i="2"/>
  <c r="L12" i="2"/>
  <c r="K12" i="2"/>
  <c r="Z30" i="2"/>
  <c r="Z10" i="2"/>
  <c r="Y31" i="2"/>
  <c r="X12" i="2"/>
  <c r="Q33" i="2"/>
  <c r="Q13" i="2"/>
  <c r="R14" i="2"/>
  <c r="J15" i="2"/>
  <c r="I40" i="2"/>
  <c r="S42" i="2"/>
  <c r="N6" i="2"/>
  <c r="L27" i="2"/>
  <c r="K27" i="2"/>
  <c r="S27" i="2"/>
  <c r="H28" i="2"/>
  <c r="H38" i="2"/>
  <c r="O28" i="2"/>
  <c r="P13" i="2"/>
  <c r="P28" i="2"/>
  <c r="L41" i="2"/>
  <c r="K41" i="2"/>
  <c r="S6" i="2"/>
  <c r="S26" i="2"/>
  <c r="T38" i="2"/>
  <c r="Z29" i="2"/>
  <c r="Y30" i="2"/>
  <c r="Y10" i="2"/>
  <c r="X31" i="2"/>
  <c r="X11" i="2"/>
  <c r="Q32" i="2"/>
  <c r="Q12" i="2"/>
  <c r="R33" i="2"/>
  <c r="R13" i="2"/>
  <c r="J34" i="2"/>
  <c r="J14" i="2"/>
  <c r="I39" i="2"/>
  <c r="R32" i="2"/>
  <c r="R12" i="2"/>
  <c r="J33" i="2"/>
  <c r="J13" i="2"/>
  <c r="I38" i="2"/>
  <c r="T22" i="2"/>
  <c r="T36" i="2"/>
  <c r="Z27" i="2"/>
  <c r="Z7" i="2"/>
  <c r="Y8" i="2"/>
  <c r="X29" i="2"/>
  <c r="X9" i="2"/>
  <c r="Q10" i="2"/>
  <c r="R11" i="2"/>
  <c r="J12" i="2"/>
  <c r="I37" i="2"/>
  <c r="I36" i="2"/>
  <c r="I16" i="2"/>
  <c r="L28" i="2"/>
  <c r="K28" i="2"/>
  <c r="L15" i="2"/>
  <c r="K15" i="2"/>
  <c r="Z3" i="2"/>
  <c r="Z4" i="2"/>
  <c r="X26" i="2"/>
  <c r="X6" i="2"/>
  <c r="Q27" i="2"/>
  <c r="Q7" i="2"/>
  <c r="R28" i="2"/>
  <c r="R8" i="2"/>
  <c r="J29" i="2"/>
  <c r="I14" i="2"/>
  <c r="X28" i="2"/>
  <c r="P43" i="2"/>
  <c r="K18" i="2"/>
  <c r="L18" i="2"/>
  <c r="K31" i="2"/>
  <c r="L31" i="2"/>
  <c r="S20" i="2"/>
  <c r="S40" i="2"/>
  <c r="T8" i="2"/>
  <c r="T18" i="2"/>
  <c r="Z43" i="2"/>
  <c r="Z23" i="2"/>
  <c r="Y3" i="2"/>
  <c r="Y24" i="2"/>
  <c r="X25" i="2"/>
  <c r="X5" i="2"/>
  <c r="Q26" i="2"/>
  <c r="Q6" i="2"/>
  <c r="R27" i="2"/>
  <c r="R7" i="2"/>
  <c r="J28" i="2"/>
  <c r="J8" i="2"/>
  <c r="I33" i="2"/>
  <c r="K13" i="2"/>
  <c r="L13" i="2"/>
  <c r="J10" i="2"/>
  <c r="K17" i="2"/>
  <c r="L17" i="2"/>
  <c r="L30" i="2"/>
  <c r="K30" i="2"/>
  <c r="S21" i="2"/>
  <c r="H30" i="2"/>
  <c r="O43" i="2"/>
  <c r="L4" i="2"/>
  <c r="K4" i="2"/>
  <c r="K19" i="2"/>
  <c r="L19" i="2"/>
  <c r="L32" i="2"/>
  <c r="K32" i="2"/>
  <c r="S19" i="2"/>
  <c r="T7" i="2"/>
  <c r="T17" i="2"/>
  <c r="Z42" i="2"/>
  <c r="Z22" i="2"/>
  <c r="Y43" i="2"/>
  <c r="Y23" i="2"/>
  <c r="X3" i="2"/>
  <c r="X24" i="2"/>
  <c r="X4" i="2"/>
  <c r="Q25" i="2"/>
  <c r="Q5" i="2"/>
  <c r="R26" i="2"/>
  <c r="R6" i="2"/>
  <c r="J27" i="2"/>
  <c r="J7" i="2"/>
  <c r="I32" i="2"/>
  <c r="I12" i="2"/>
  <c r="P49" i="1"/>
  <c r="H32" i="2"/>
  <c r="H40" i="2"/>
  <c r="H37" i="2"/>
  <c r="H5" i="2"/>
  <c r="H21" i="2"/>
  <c r="H12" i="2"/>
  <c r="H14" i="2"/>
  <c r="H16" i="2"/>
  <c r="H43" i="2"/>
  <c r="H15" i="2"/>
  <c r="G4" i="2"/>
  <c r="G43" i="2"/>
  <c r="G41" i="2"/>
  <c r="G39" i="2"/>
  <c r="G37" i="2"/>
  <c r="G35" i="2"/>
  <c r="G33" i="2"/>
  <c r="G31" i="2"/>
  <c r="G29" i="2"/>
  <c r="G27" i="2"/>
  <c r="G25" i="2"/>
  <c r="G23" i="2"/>
  <c r="G21" i="2"/>
  <c r="G19" i="2"/>
  <c r="G17" i="2"/>
  <c r="G15" i="2"/>
  <c r="G13" i="2"/>
  <c r="G11" i="2"/>
  <c r="G9" i="2"/>
  <c r="G7" i="2"/>
  <c r="H23" i="2"/>
  <c r="H24" i="2"/>
  <c r="H26" i="2"/>
  <c r="H13" i="2"/>
  <c r="H42" i="2"/>
  <c r="H27" i="2"/>
  <c r="H29" i="2"/>
  <c r="H10" i="2"/>
  <c r="H35" i="2"/>
  <c r="H34" i="2"/>
  <c r="G3" i="2"/>
  <c r="G5" i="2"/>
  <c r="G42" i="2"/>
  <c r="G40" i="2"/>
  <c r="G38" i="2"/>
  <c r="G36" i="2"/>
  <c r="G34" i="2"/>
  <c r="G32" i="2"/>
  <c r="G30" i="2"/>
  <c r="G28" i="2"/>
  <c r="G26" i="2"/>
  <c r="G24" i="2"/>
  <c r="G22" i="2"/>
  <c r="G20" i="2"/>
  <c r="G18" i="2"/>
  <c r="G16" i="2"/>
  <c r="G14" i="2"/>
  <c r="G12" i="2"/>
  <c r="G10" i="2"/>
  <c r="G8" i="2"/>
  <c r="C122" i="1"/>
  <c r="C77" i="1"/>
  <c r="C86" i="1" s="1"/>
  <c r="C81" i="1"/>
  <c r="N43" i="2"/>
  <c r="N38" i="2"/>
  <c r="N35" i="2"/>
  <c r="N23" i="2"/>
  <c r="N8" i="2"/>
  <c r="N11" i="2"/>
  <c r="N5" i="2"/>
  <c r="N41" i="2"/>
  <c r="N42" i="2"/>
  <c r="N19" i="2"/>
  <c r="N25" i="2"/>
  <c r="N24" i="2"/>
  <c r="N28" i="2"/>
  <c r="N32" i="2"/>
  <c r="N10" i="2"/>
  <c r="N30" i="2"/>
  <c r="N31" i="2"/>
  <c r="N37" i="2"/>
  <c r="N36" i="2"/>
  <c r="N18" i="2"/>
  <c r="N7" i="2"/>
  <c r="N29" i="2"/>
  <c r="N17" i="2"/>
  <c r="N21" i="2"/>
  <c r="N20" i="2"/>
  <c r="N34" i="2"/>
  <c r="N22" i="2"/>
  <c r="N33" i="2"/>
  <c r="N40" i="2"/>
  <c r="N15" i="2"/>
  <c r="N4" i="2"/>
  <c r="N16" i="2"/>
  <c r="N12" i="2"/>
  <c r="N9" i="2"/>
  <c r="N13" i="2"/>
  <c r="M3" i="2"/>
  <c r="M4" i="2"/>
  <c r="M5"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L44" i="1"/>
  <c r="M44" i="1"/>
  <c r="P43" i="1"/>
  <c r="O44" i="1"/>
  <c r="I44" i="1"/>
  <c r="J44" i="1"/>
  <c r="K44" i="1"/>
  <c r="N44" i="1"/>
  <c r="C38" i="1"/>
  <c r="C76" i="1"/>
  <c r="F34" i="2" s="1"/>
  <c r="V19" i="2"/>
  <c r="V6" i="2"/>
  <c r="V35" i="2"/>
  <c r="N40" i="1"/>
  <c r="M40" i="1"/>
  <c r="N42" i="1"/>
  <c r="O40" i="1"/>
  <c r="H40" i="1"/>
  <c r="O42" i="1"/>
  <c r="K40" i="1"/>
  <c r="J40" i="1"/>
  <c r="P41" i="1"/>
  <c r="L40" i="1"/>
  <c r="I40" i="1"/>
  <c r="C125" i="1"/>
  <c r="C115" i="1"/>
  <c r="C114" i="1"/>
  <c r="V8" i="2"/>
  <c r="V12" i="2"/>
  <c r="V16" i="2"/>
  <c r="V20" i="2"/>
  <c r="V24" i="2"/>
  <c r="V28" i="2"/>
  <c r="V32" i="2"/>
  <c r="V36" i="2"/>
  <c r="V40" i="2"/>
  <c r="V7" i="2"/>
  <c r="V3"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5" i="2"/>
  <c r="U4" i="2"/>
  <c r="U3" i="2"/>
  <c r="V9" i="2"/>
  <c r="V13" i="2"/>
  <c r="V17" i="2"/>
  <c r="V21" i="2"/>
  <c r="V25" i="2"/>
  <c r="V29" i="2"/>
  <c r="V33" i="2"/>
  <c r="V37" i="2"/>
  <c r="V41" i="2"/>
  <c r="U6" i="2"/>
  <c r="V10" i="2"/>
  <c r="V14" i="2"/>
  <c r="V18" i="2"/>
  <c r="V22" i="2"/>
  <c r="V26" i="2"/>
  <c r="V30" i="2"/>
  <c r="V34" i="2"/>
  <c r="V38" i="2"/>
  <c r="V42" i="2"/>
  <c r="V5" i="2"/>
  <c r="V4" i="2"/>
  <c r="V31" i="2"/>
  <c r="V15" i="2"/>
  <c r="V43" i="2"/>
  <c r="V27" i="2"/>
  <c r="V11" i="2"/>
  <c r="V39" i="2"/>
  <c r="V23" i="2"/>
  <c r="D3" i="2" l="1"/>
  <c r="C26" i="2"/>
  <c r="C22" i="2"/>
  <c r="D36" i="2"/>
  <c r="C34" i="2"/>
  <c r="D30" i="2"/>
  <c r="C25" i="2"/>
  <c r="C33" i="2"/>
  <c r="C24" i="2"/>
  <c r="D24" i="2"/>
  <c r="D33" i="2"/>
  <c r="D35" i="2"/>
  <c r="D12" i="2"/>
  <c r="D22" i="2"/>
  <c r="D28" i="2"/>
  <c r="D11" i="2"/>
  <c r="C6" i="2"/>
  <c r="D21" i="2"/>
  <c r="AB21" i="2" s="1"/>
  <c r="AD21" i="2" s="1"/>
  <c r="D34" i="2"/>
  <c r="AB34" i="2" s="1"/>
  <c r="AD34" i="2" s="1"/>
  <c r="D32" i="2"/>
  <c r="C3" i="2"/>
  <c r="C4" i="2"/>
  <c r="C5" i="2"/>
  <c r="C43" i="2"/>
  <c r="C36" i="2"/>
  <c r="C35" i="2"/>
  <c r="D38" i="2"/>
  <c r="D41" i="2"/>
  <c r="D4" i="2"/>
  <c r="D37" i="2"/>
  <c r="D18" i="2"/>
  <c r="C23" i="2"/>
  <c r="C32" i="2"/>
  <c r="D14" i="2"/>
  <c r="C19" i="2"/>
  <c r="C17" i="2"/>
  <c r="D7" i="2"/>
  <c r="C21" i="2"/>
  <c r="D17" i="2"/>
  <c r="D15" i="2"/>
  <c r="C18" i="2"/>
  <c r="D5" i="2"/>
  <c r="D27" i="2"/>
  <c r="C16" i="2"/>
  <c r="C42" i="2"/>
  <c r="C15" i="2"/>
  <c r="D43" i="2"/>
  <c r="C41" i="2"/>
  <c r="C14" i="2"/>
  <c r="D9" i="2"/>
  <c r="C39" i="2"/>
  <c r="C13" i="2"/>
  <c r="D42" i="2"/>
  <c r="C38" i="2"/>
  <c r="C12" i="2"/>
  <c r="D25" i="2"/>
  <c r="C37" i="2"/>
  <c r="C11" i="2"/>
  <c r="C31" i="2"/>
  <c r="C10" i="2"/>
  <c r="D26" i="2"/>
  <c r="D10" i="2"/>
  <c r="C30" i="2"/>
  <c r="C9" i="2"/>
  <c r="D23" i="2"/>
  <c r="C29" i="2"/>
  <c r="C8" i="2"/>
  <c r="D31" i="2"/>
  <c r="C28" i="2"/>
  <c r="C7" i="2"/>
  <c r="D39" i="2"/>
  <c r="C27" i="2"/>
  <c r="D20" i="2"/>
  <c r="D8" i="2"/>
  <c r="D29" i="2"/>
  <c r="D13" i="2"/>
  <c r="D16" i="2"/>
  <c r="D6" i="2"/>
  <c r="D40" i="2"/>
  <c r="C40" i="2"/>
  <c r="C20" i="2"/>
  <c r="D19" i="2"/>
  <c r="C123" i="1"/>
  <c r="F27" i="2"/>
  <c r="AB27" i="2" s="1"/>
  <c r="AD27" i="2" s="1"/>
  <c r="F17" i="2"/>
  <c r="E36" i="2"/>
  <c r="E3" i="2"/>
  <c r="AA3" i="2" s="1"/>
  <c r="AC3" i="2" s="1"/>
  <c r="F38" i="2"/>
  <c r="E23" i="2"/>
  <c r="F14" i="2"/>
  <c r="F6" i="2"/>
  <c r="E31" i="2"/>
  <c r="F24" i="2"/>
  <c r="E41" i="2"/>
  <c r="E7" i="2"/>
  <c r="F23" i="2"/>
  <c r="F39" i="2"/>
  <c r="F32" i="2"/>
  <c r="F37" i="2"/>
  <c r="F7" i="2"/>
  <c r="F20" i="2"/>
  <c r="E4" i="2"/>
  <c r="AA4" i="2" s="1"/>
  <c r="AC4" i="2" s="1"/>
  <c r="E40" i="2"/>
  <c r="E35" i="2"/>
  <c r="E28" i="2"/>
  <c r="E21" i="2"/>
  <c r="E6" i="2"/>
  <c r="F12" i="2"/>
  <c r="F40" i="2"/>
  <c r="E33" i="2"/>
  <c r="F15" i="2"/>
  <c r="F26" i="2"/>
  <c r="F4" i="2"/>
  <c r="F35" i="2"/>
  <c r="AB35" i="2" s="1"/>
  <c r="AD35" i="2" s="1"/>
  <c r="E5" i="2"/>
  <c r="E39" i="2"/>
  <c r="E27" i="2"/>
  <c r="E18" i="2"/>
  <c r="F13" i="2"/>
  <c r="F11" i="2"/>
  <c r="AB11" i="2" s="1"/>
  <c r="AD11" i="2" s="1"/>
  <c r="F42" i="2"/>
  <c r="F33" i="2"/>
  <c r="F19" i="2"/>
  <c r="F10" i="2"/>
  <c r="F21" i="2"/>
  <c r="E43" i="2"/>
  <c r="AA43" i="2" s="1"/>
  <c r="AC43" i="2" s="1"/>
  <c r="E37" i="2"/>
  <c r="E32" i="2"/>
  <c r="E25" i="2"/>
  <c r="AA25" i="2" s="1"/>
  <c r="AC25" i="2" s="1"/>
  <c r="E9" i="2"/>
  <c r="F22" i="2"/>
  <c r="F8" i="2"/>
  <c r="E42" i="2"/>
  <c r="E38" i="2"/>
  <c r="AA38" i="2" s="1"/>
  <c r="AC38" i="2" s="1"/>
  <c r="E34" i="2"/>
  <c r="AA34" i="2" s="1"/>
  <c r="AC34" i="2" s="1"/>
  <c r="E29" i="2"/>
  <c r="E24" i="2"/>
  <c r="AA24" i="2" s="1"/>
  <c r="AC24" i="2" s="1"/>
  <c r="E16" i="2"/>
  <c r="E14" i="2"/>
  <c r="E20" i="2"/>
  <c r="E13" i="2"/>
  <c r="E30" i="2"/>
  <c r="E26" i="2"/>
  <c r="AA26" i="2" s="1"/>
  <c r="AC26" i="2" s="1"/>
  <c r="E22" i="2"/>
  <c r="AA22" i="2" s="1"/>
  <c r="AC22" i="2" s="1"/>
  <c r="E17" i="2"/>
  <c r="E11" i="2"/>
  <c r="E19" i="2"/>
  <c r="E15" i="2"/>
  <c r="E10" i="2"/>
  <c r="F31" i="2"/>
  <c r="F30" i="2"/>
  <c r="AB30" i="2" s="1"/>
  <c r="AD30" i="2" s="1"/>
  <c r="F41" i="2"/>
  <c r="E12" i="2"/>
  <c r="E8" i="2"/>
  <c r="F9" i="2"/>
  <c r="F36" i="2"/>
  <c r="AB36" i="2" s="1"/>
  <c r="AD36" i="2" s="1"/>
  <c r="F5" i="2"/>
  <c r="F18" i="2"/>
  <c r="F16" i="2"/>
  <c r="F29" i="2"/>
  <c r="F28" i="2"/>
  <c r="F43" i="2"/>
  <c r="F25" i="2"/>
  <c r="F3" i="2"/>
  <c r="AB3" i="2" s="1"/>
  <c r="AD3" i="2" s="1"/>
  <c r="AA33" i="2" l="1"/>
  <c r="AC33" i="2" s="1"/>
  <c r="AA36" i="2"/>
  <c r="AC36" i="2" s="1"/>
  <c r="AA6" i="2"/>
  <c r="AC6" i="2" s="1"/>
  <c r="AB12" i="2"/>
  <c r="AD12" i="2" s="1"/>
  <c r="AB33" i="2"/>
  <c r="AD33" i="2" s="1"/>
  <c r="AB28" i="2"/>
  <c r="AD28" i="2" s="1"/>
  <c r="AB42" i="2"/>
  <c r="AD42" i="2" s="1"/>
  <c r="AB24" i="2"/>
  <c r="AD24" i="2" s="1"/>
  <c r="AB22" i="2"/>
  <c r="AD22" i="2" s="1"/>
  <c r="AB41" i="2"/>
  <c r="AD41" i="2" s="1"/>
  <c r="AB31" i="2"/>
  <c r="AD31" i="2" s="1"/>
  <c r="AB17" i="2"/>
  <c r="AD17" i="2" s="1"/>
  <c r="AB18" i="2"/>
  <c r="AD18" i="2" s="1"/>
  <c r="AA35" i="2"/>
  <c r="AC35" i="2" s="1"/>
  <c r="AB37" i="2"/>
  <c r="AD37" i="2" s="1"/>
  <c r="AB32" i="2"/>
  <c r="AD32" i="2" s="1"/>
  <c r="AA5" i="2"/>
  <c r="AC5" i="2" s="1"/>
  <c r="AB4" i="2"/>
  <c r="AD4" i="2" s="1"/>
  <c r="AA19" i="2"/>
  <c r="AC19" i="2" s="1"/>
  <c r="AB14" i="2"/>
  <c r="AD14" i="2" s="1"/>
  <c r="AA21" i="2"/>
  <c r="AC21" i="2" s="1"/>
  <c r="AA17" i="2"/>
  <c r="AC17" i="2" s="1"/>
  <c r="AB10" i="2"/>
  <c r="AD10" i="2" s="1"/>
  <c r="AB25" i="2"/>
  <c r="AD25" i="2" s="1"/>
  <c r="AB19" i="2"/>
  <c r="AD19" i="2" s="1"/>
  <c r="AA40" i="2"/>
  <c r="AC40" i="2" s="1"/>
  <c r="AB15" i="2"/>
  <c r="AD15" i="2" s="1"/>
  <c r="AA23" i="2"/>
  <c r="AC23" i="2" s="1"/>
  <c r="AA15" i="2"/>
  <c r="AC15" i="2" s="1"/>
  <c r="AA32" i="2"/>
  <c r="AC32" i="2" s="1"/>
  <c r="AB38" i="2"/>
  <c r="AD38" i="2" s="1"/>
  <c r="AB7" i="2"/>
  <c r="AD7" i="2" s="1"/>
  <c r="AB43" i="2"/>
  <c r="AD43" i="2" s="1"/>
  <c r="AA14" i="2"/>
  <c r="AC14" i="2" s="1"/>
  <c r="AA18" i="2"/>
  <c r="AC18" i="2" s="1"/>
  <c r="AB39" i="2"/>
  <c r="AD39" i="2" s="1"/>
  <c r="AB23" i="2"/>
  <c r="AD23" i="2" s="1"/>
  <c r="AB9" i="2"/>
  <c r="AD9" i="2" s="1"/>
  <c r="AA13" i="2"/>
  <c r="AC13" i="2" s="1"/>
  <c r="AA27" i="2"/>
  <c r="AC27" i="2" s="1"/>
  <c r="AA39" i="2"/>
  <c r="AC39" i="2" s="1"/>
  <c r="AA41" i="2"/>
  <c r="AC41" i="2" s="1"/>
  <c r="AA16" i="2"/>
  <c r="AC16" i="2" s="1"/>
  <c r="AB5" i="2"/>
  <c r="AD5" i="2" s="1"/>
  <c r="AA29" i="2"/>
  <c r="AC29" i="2" s="1"/>
  <c r="AA7" i="2"/>
  <c r="AC7" i="2" s="1"/>
  <c r="AA8" i="2"/>
  <c r="AC8" i="2" s="1"/>
  <c r="AA42" i="2"/>
  <c r="AC42" i="2" s="1"/>
  <c r="AB40" i="2"/>
  <c r="AD40" i="2" s="1"/>
  <c r="AA12" i="2"/>
  <c r="AC12" i="2" s="1"/>
  <c r="AA30" i="2"/>
  <c r="AC30" i="2" s="1"/>
  <c r="AA10" i="2"/>
  <c r="AC10" i="2" s="1"/>
  <c r="AA37" i="2"/>
  <c r="AC37" i="2" s="1"/>
  <c r="AA31" i="2"/>
  <c r="AC31" i="2" s="1"/>
  <c r="AA11" i="2"/>
  <c r="AC11" i="2" s="1"/>
  <c r="AB26" i="2"/>
  <c r="AD26" i="2" s="1"/>
  <c r="AA9" i="2"/>
  <c r="AC9" i="2" s="1"/>
  <c r="AB8" i="2"/>
  <c r="AD8" i="2" s="1"/>
  <c r="AA28" i="2"/>
  <c r="AC28" i="2" s="1"/>
  <c r="AB29" i="2"/>
  <c r="AD29" i="2" s="1"/>
  <c r="AB20" i="2"/>
  <c r="AD20" i="2" s="1"/>
  <c r="AB6" i="2"/>
  <c r="AD6" i="2" s="1"/>
  <c r="AB16" i="2"/>
  <c r="AD16" i="2" s="1"/>
  <c r="AB13" i="2"/>
  <c r="AD13" i="2" s="1"/>
  <c r="AA20" i="2"/>
  <c r="AC20" i="2" s="1"/>
</calcChain>
</file>

<file path=xl/sharedStrings.xml><?xml version="1.0" encoding="utf-8"?>
<sst xmlns="http://schemas.openxmlformats.org/spreadsheetml/2006/main" count="460" uniqueCount="355">
  <si>
    <t>Vin</t>
  </si>
  <si>
    <t>I(Lrms)</t>
  </si>
  <si>
    <t>f(sw)</t>
  </si>
  <si>
    <t>V</t>
  </si>
  <si>
    <t>A</t>
  </si>
  <si>
    <t>H</t>
  </si>
  <si>
    <t>Hz</t>
  </si>
  <si>
    <t>I(Lpeak)</t>
  </si>
  <si>
    <t>s</t>
  </si>
  <si>
    <t>F</t>
  </si>
  <si>
    <t>mW</t>
  </si>
  <si>
    <t>K</t>
  </si>
  <si>
    <t>Vin(min)</t>
  </si>
  <si>
    <t>Vin(max)</t>
  </si>
  <si>
    <t>Inductor maximum RMS current</t>
  </si>
  <si>
    <t>Inductor series resistance per inductor datasheet</t>
  </si>
  <si>
    <t>Typical switching frequency</t>
  </si>
  <si>
    <t>L1 actual</t>
  </si>
  <si>
    <t>Includes losses from DC resistance drop only</t>
  </si>
  <si>
    <t>Arms</t>
  </si>
  <si>
    <t>Vpp</t>
  </si>
  <si>
    <t>DCR of L1</t>
  </si>
  <si>
    <t>The equivalent output capacitor current ripple spec must be higher than this value.</t>
  </si>
  <si>
    <t>Units</t>
  </si>
  <si>
    <t>Value</t>
  </si>
  <si>
    <t>Description</t>
  </si>
  <si>
    <t>Instructions/Comments</t>
  </si>
  <si>
    <t>f(BW) desired</t>
  </si>
  <si>
    <t>Ω</t>
  </si>
  <si>
    <t>Estimate of body diode voltage of the HSFET</t>
  </si>
  <si>
    <t>HSFET on-resistance</t>
  </si>
  <si>
    <t>Vout</t>
  </si>
  <si>
    <t>effective output capacitance. Need to consider the derating with DC bias voltage when using ceramic cap</t>
  </si>
  <si>
    <t>Should be less than 1/5*fzRPH and 1/10*fsw</t>
  </si>
  <si>
    <t>&lt;=36V</t>
  </si>
  <si>
    <t>Switching frequency setting resistor</t>
  </si>
  <si>
    <t>R2 recommended</t>
  </si>
  <si>
    <t>The equivalent input capacitor current ripple spec must be higher than this value</t>
  </si>
  <si>
    <t>Minimum output capacitance needed for Vout ripple requirement</t>
  </si>
  <si>
    <t>This tool is designed to aid the user in designing the TPS55288 buck-boost converter. Refer to TPS55288 datasheet for detail design precedure and all equations.</t>
  </si>
  <si>
    <t>Internal</t>
  </si>
  <si>
    <t>Efficiency estimate. Correct it after getting the calculated efficiency</t>
  </si>
  <si>
    <t>Schematic</t>
  </si>
  <si>
    <t>Component Value</t>
  </si>
  <si>
    <t>No use or internal value</t>
  </si>
  <si>
    <t>Calculated value</t>
  </si>
  <si>
    <t>Select internal feedback or external feedback</t>
  </si>
  <si>
    <t>Register Setting</t>
  </si>
  <si>
    <t>Output current limit setting</t>
  </si>
  <si>
    <t>R1</t>
  </si>
  <si>
    <t>Output current sensing resistor</t>
  </si>
  <si>
    <t>Register 02H</t>
  </si>
  <si>
    <t>Hex</t>
  </si>
  <si>
    <t>Register 02H value for current setting. Iout(max)*R1 must be less than 63.5mV</t>
  </si>
  <si>
    <t>R7</t>
  </si>
  <si>
    <t>R8 recommended</t>
  </si>
  <si>
    <t>VCC</t>
  </si>
  <si>
    <t>I2C address</t>
  </si>
  <si>
    <t>Select I2C slave address</t>
  </si>
  <si>
    <t>Vout(max)</t>
  </si>
  <si>
    <t>R6</t>
  </si>
  <si>
    <t>Ω</t>
  </si>
  <si>
    <t>Mode setting resistor</t>
  </si>
  <si>
    <t>FPWM</t>
  </si>
  <si>
    <t>Maximum desired input ripple due to solely to input capacitance at buck mode</t>
  </si>
  <si>
    <t>Cin(min) recommended</t>
  </si>
  <si>
    <t>Cout(min) recommended</t>
  </si>
  <si>
    <t>Cin actual</t>
  </si>
  <si>
    <t>Iout(max)</t>
  </si>
  <si>
    <t>Boost LSFET Rdson</t>
  </si>
  <si>
    <t>Boost LSFET fall time</t>
  </si>
  <si>
    <t>Boost LSFET rise time</t>
  </si>
  <si>
    <t>Boost HSFET Rdson</t>
  </si>
  <si>
    <t>Boost HSFET dead time</t>
  </si>
  <si>
    <t>Boost HSFET diode voltage</t>
  </si>
  <si>
    <t>Buck HSFET Rdson</t>
  </si>
  <si>
    <t>Buck HSFET rise time</t>
  </si>
  <si>
    <t>Buck HSFET fall time</t>
  </si>
  <si>
    <t>Buck LSFET Rdson</t>
  </si>
  <si>
    <t>Buck LSFET dead time</t>
  </si>
  <si>
    <t>Buck LSFET diode voltage</t>
  </si>
  <si>
    <t>TPS55288 temperature rise</t>
  </si>
  <si>
    <t>Buck HSFET Qg</t>
  </si>
  <si>
    <t>C</t>
  </si>
  <si>
    <t>Buck LSFET Qg</t>
  </si>
  <si>
    <t>Total Qg at Vgs=5V</t>
  </si>
  <si>
    <t>°C</t>
  </si>
  <si>
    <t>Dead time during the switching</t>
  </si>
  <si>
    <t>R5 recommended</t>
  </si>
  <si>
    <t>TPS55288 Pd</t>
  </si>
  <si>
    <t>Inductor DCR Pd</t>
  </si>
  <si>
    <t>Iout(limit)</t>
  </si>
  <si>
    <t>Maximum output current</t>
  </si>
  <si>
    <t>Frequency dithering f(mod)</t>
  </si>
  <si>
    <t>Modulation frequency for spread spectrum</t>
  </si>
  <si>
    <t>C8 recommended</t>
  </si>
  <si>
    <t>Switching Mode at light load</t>
  </si>
  <si>
    <t>User input value</t>
  </si>
  <si>
    <t>Select internal VCC or use external VCC power supply</t>
  </si>
  <si>
    <t>&gt;=2.7V</t>
  </si>
  <si>
    <t>Select Forced PWM or Auto PFM mode at light load</t>
  </si>
  <si>
    <t>Minimum input capacitance needed for Vin ripple requirement</t>
  </si>
  <si>
    <t>L1's minimum recommended inductance value to meet inductor current ripple ratio at boost mode with Vin_min</t>
  </si>
  <si>
    <t>Fraction of maximum average inductor current that is ripple current (0.2-0.6 typically)</t>
  </si>
  <si>
    <t>Internal CDC when using internal Vout feedback. External CDC when using external Vout feedback.</t>
  </si>
  <si>
    <t>CDC compensation selection</t>
  </si>
  <si>
    <t>Internal CDC voltage ratio</t>
  </si>
  <si>
    <t>External CDC voltage ratio</t>
  </si>
  <si>
    <t>ΔVout / (VISP-VISN)</t>
  </si>
  <si>
    <t>mV/mV</t>
  </si>
  <si>
    <t>R3 recommended</t>
  </si>
  <si>
    <t>C7 recommended</t>
  </si>
  <si>
    <t>C7 actual</t>
  </si>
  <si>
    <t>C6 recommended</t>
  </si>
  <si>
    <t>C6 actual</t>
  </si>
  <si>
    <t>R4 recommend</t>
  </si>
  <si>
    <t>Recommended R4 for external CDC setting</t>
  </si>
  <si>
    <t>L1 recommended min</t>
  </si>
  <si>
    <t>fz_comp gain</t>
  </si>
  <si>
    <t>fz_comp phase</t>
  </si>
  <si>
    <t>fzRHP gain</t>
  </si>
  <si>
    <t>fzRHP phase</t>
  </si>
  <si>
    <t>fp1 gain</t>
  </si>
  <si>
    <t>fp1 phase</t>
  </si>
  <si>
    <t>fz_ESR gain</t>
  </si>
  <si>
    <t>fz_ESR phase</t>
  </si>
  <si>
    <t>fp_comp1 gain</t>
  </si>
  <si>
    <t>fp_comp1 phase</t>
  </si>
  <si>
    <t>fp_comp2 gain</t>
  </si>
  <si>
    <t>fp_comp2 phase</t>
  </si>
  <si>
    <t>R3 actual</t>
  </si>
  <si>
    <t>b7</t>
  </si>
  <si>
    <t>b6</t>
  </si>
  <si>
    <t>b5</t>
  </si>
  <si>
    <t>b4</t>
  </si>
  <si>
    <t>b3</t>
  </si>
  <si>
    <t>b2</t>
  </si>
  <si>
    <t>b1</t>
  </si>
  <si>
    <t>b0</t>
  </si>
  <si>
    <t>00H</t>
  </si>
  <si>
    <t>01H</t>
  </si>
  <si>
    <t>02H</t>
  </si>
  <si>
    <t>03H</t>
  </si>
  <si>
    <t>04H</t>
  </si>
  <si>
    <t>05H</t>
  </si>
  <si>
    <t>06H</t>
  </si>
  <si>
    <t>07H</t>
  </si>
  <si>
    <t>Address</t>
  </si>
  <si>
    <t>Equivalent ESR if multiple high ESR electrolytic capacitors in parallel</t>
  </si>
  <si>
    <t>fp2 gain</t>
  </si>
  <si>
    <t>fp2 phase</t>
  </si>
  <si>
    <t>°C/W</t>
  </si>
  <si>
    <t>Rsense Pd</t>
  </si>
  <si>
    <t>Capacitance of snubber at boost side</t>
  </si>
  <si>
    <t>Boost snubber Csnubber</t>
  </si>
  <si>
    <t>Rpcb on power path</t>
  </si>
  <si>
    <t>Rpcb Pd</t>
  </si>
  <si>
    <t>C2 actual</t>
  </si>
  <si>
    <t>C3 actual</t>
  </si>
  <si>
    <t>fp_current phase</t>
  </si>
  <si>
    <t>fp_current gain</t>
  </si>
  <si>
    <t>S</t>
  </si>
  <si>
    <t>Error amplifier gm</t>
  </si>
  <si>
    <t>Power stage gm of IL/Vcomp</t>
  </si>
  <si>
    <t>Effective electrolytic capacitance. Need to consider the derating with DC bias voltage</t>
  </si>
  <si>
    <t>Power losses on PCB trace</t>
  </si>
  <si>
    <t>Power Stage</t>
  </si>
  <si>
    <t>Current Close Loop</t>
  </si>
  <si>
    <t>fz_current gain</t>
  </si>
  <si>
    <t>fz_current phase</t>
  </si>
  <si>
    <t>Voltage Open Loop</t>
  </si>
  <si>
    <t>signal frequency</t>
  </si>
  <si>
    <t>loop gain (w/ comp2)</t>
  </si>
  <si>
    <t>loop gain (no comp2)</t>
  </si>
  <si>
    <t>loop phase (no comp2)</t>
  </si>
  <si>
    <t>loop phase (w/ comp2)</t>
  </si>
  <si>
    <t>Frequency</t>
  </si>
  <si>
    <t>Rca</t>
  </si>
  <si>
    <t>Cca</t>
  </si>
  <si>
    <t>gm_ca</t>
  </si>
  <si>
    <t>Vm</t>
  </si>
  <si>
    <t>Inner current loop specifications</t>
  </si>
  <si>
    <t>PCB trace resistance on power path from Vin to Vout cap</t>
  </si>
  <si>
    <t>Buck or Boost?</t>
  </si>
  <si>
    <t>Right half plane zero in boost mode</t>
  </si>
  <si>
    <t>ESR zero of the output cap</t>
  </si>
  <si>
    <t>Power stage pole of Rload and Cout</t>
  </si>
  <si>
    <t>Bode Plot</t>
  </si>
  <si>
    <t>fp_filter gain</t>
  </si>
  <si>
    <t>fp_filter phase</t>
  </si>
  <si>
    <t>fp_comp3 gain</t>
  </si>
  <si>
    <t>fp_comp3 phase</t>
  </si>
  <si>
    <t>FB Input Filter</t>
  </si>
  <si>
    <t>COMP Output Buffer</t>
  </si>
  <si>
    <t>Voltage Loop Compensation (COMP)</t>
  </si>
  <si>
    <t>Register VREF</t>
  </si>
  <si>
    <t>Register 00H and 01H value for Vref</t>
  </si>
  <si>
    <t>Register Name</t>
  </si>
  <si>
    <t>VREF_L</t>
  </si>
  <si>
    <t>VREF_H</t>
  </si>
  <si>
    <t>I_LIMIT</t>
  </si>
  <si>
    <t>Enable Output current limit</t>
  </si>
  <si>
    <t>Enable output current limit</t>
  </si>
  <si>
    <t>Enable</t>
  </si>
  <si>
    <t>Reserved</t>
  </si>
  <si>
    <t>VOUT_FS</t>
  </si>
  <si>
    <t>HEX Value</t>
  </si>
  <si>
    <t>SCP</t>
  </si>
  <si>
    <t>OCP</t>
  </si>
  <si>
    <t>OVP</t>
  </si>
  <si>
    <t>STATUS</t>
  </si>
  <si>
    <t>STATUS0</t>
  </si>
  <si>
    <t>STATUS1</t>
  </si>
  <si>
    <t>Calculate open loop compensate at buck mode or boost mode</t>
  </si>
  <si>
    <t>MODE</t>
  </si>
  <si>
    <t>CDC</t>
  </si>
  <si>
    <t>Enable OVP indication</t>
  </si>
  <si>
    <t>Enable OCP indication</t>
  </si>
  <si>
    <t>Enable SCP indication</t>
  </si>
  <si>
    <t>Enable or disable the output short circuit indication</t>
  </si>
  <si>
    <t>Enable or disable the output over current indication</t>
  </si>
  <si>
    <t>Enable or disable the output over voltage indication</t>
  </si>
  <si>
    <t>VOUT_SR</t>
  </si>
  <si>
    <t>OCP delay time</t>
  </si>
  <si>
    <t>VOUT change slew rate</t>
  </si>
  <si>
    <t>Set the output current limit response time</t>
  </si>
  <si>
    <t>Set the output voltage change slew rate during vPPS</t>
  </si>
  <si>
    <t>ms</t>
  </si>
  <si>
    <t>V/ms</t>
  </si>
  <si>
    <t>OE</t>
  </si>
  <si>
    <t>FSWDBL</t>
  </si>
  <si>
    <t>HICCUP</t>
  </si>
  <si>
    <t>DISCHG</t>
  </si>
  <si>
    <t>VCCSEL</t>
  </si>
  <si>
    <t>I2CADD</t>
  </si>
  <si>
    <t>MODEST</t>
  </si>
  <si>
    <t>PFMSEL</t>
  </si>
  <si>
    <t>DIS -0</t>
  </si>
  <si>
    <t>ENA -1</t>
  </si>
  <si>
    <t>74H -0</t>
  </si>
  <si>
    <t>PFM -0</t>
  </si>
  <si>
    <t>VREF[7]</t>
  </si>
  <si>
    <t>VREF[6]</t>
  </si>
  <si>
    <t>VREF[5]</t>
  </si>
  <si>
    <t>VREF[4]</t>
  </si>
  <si>
    <t>VREF[3]</t>
  </si>
  <si>
    <t>VREF[2]</t>
  </si>
  <si>
    <t>VREF[1]</t>
  </si>
  <si>
    <t>VREF[0]</t>
  </si>
  <si>
    <t>VREF[9]</t>
  </si>
  <si>
    <t>VREF[8]</t>
  </si>
  <si>
    <t>ILIM_EN</t>
  </si>
  <si>
    <t>I_LIM[6]</t>
  </si>
  <si>
    <t>I_LIM[5]</t>
  </si>
  <si>
    <t>I_LIM[4]</t>
  </si>
  <si>
    <t>I_LIM[3]</t>
  </si>
  <si>
    <t>I_LIM[2]</t>
  </si>
  <si>
    <t>I_LIM[1]</t>
  </si>
  <si>
    <t>I_LIM[0]</t>
  </si>
  <si>
    <t>OCPD[1]</t>
  </si>
  <si>
    <t>OCPD[0]</t>
  </si>
  <si>
    <t>VOSR[1]</t>
  </si>
  <si>
    <t>VOSR[0]</t>
  </si>
  <si>
    <t>CDC[2]</t>
  </si>
  <si>
    <t>CDC[1]</t>
  </si>
  <si>
    <t>CDC[0]</t>
  </si>
  <si>
    <t>INTCDC</t>
  </si>
  <si>
    <t>FBSEL</t>
  </si>
  <si>
    <t>SCMASK</t>
  </si>
  <si>
    <t>OCMASK</t>
  </si>
  <si>
    <t>OVMASK</t>
  </si>
  <si>
    <t>INTFB[1]</t>
  </si>
  <si>
    <t>INTFB[0]</t>
  </si>
  <si>
    <t>Buck snubber Csnubber</t>
  </si>
  <si>
    <t>Snubber Pd</t>
  </si>
  <si>
    <t>Inductor core &amp; AC Pd</t>
  </si>
  <si>
    <t>I(Lrms) max</t>
  </si>
  <si>
    <t>Inductor RMS current</t>
  </si>
  <si>
    <t>I(Lpeak) max</t>
  </si>
  <si>
    <t>I(Lvalley) max</t>
  </si>
  <si>
    <t>Inductor peak current</t>
  </si>
  <si>
    <t>Inductor valley current</t>
  </si>
  <si>
    <t>Efficiency at Iout_max</t>
  </si>
  <si>
    <t>COMP pin has internal 2k resistor in seriese with R3</t>
  </si>
  <si>
    <t>Design Tool for TPS55288</t>
  </si>
  <si>
    <t>Bottom resistor value of the external feedback resistor divider</t>
  </si>
  <si>
    <t>ESR of C3</t>
  </si>
  <si>
    <t>Current S/H phase</t>
  </si>
  <si>
    <t>Current S/H gain</t>
  </si>
  <si>
    <t>Effective ceramic capacitance at VOUT. Need to consider the derating with DC bias voltage</t>
  </si>
  <si>
    <t>Unit</t>
  </si>
  <si>
    <t>THIS PROGRAM IS PROVIDED "AS IS". TI MAKES NO WARRANTIES OR REPRESENTATIONS, EITHER EXPRESS, IMPLIED OR STATUTORY, INCLUDING ANY IMPLIED WARRANTIES OF MERCHANTABILITY, FITNESS FOR A PARTICULAR PURPOSE, LACK OF VIRUSES, ACCURACY OR COMPLETENESS OF RESPONSES, RESULTS AND LACK OF NEGLIGENCE. TI DISCLAIMS ANY WARRANTY OF TITLE, QUIET ENJOYMENT, QUIET POSSESSION, AND NON-INFRINGEMENT OF ANY THIRD PARTY INTELLECTUAL PROPERTY RIGHTS WITH REGARD TO THE PROGRAM OR YOUR USE OF THE PROGRAM.</t>
  </si>
  <si>
    <t>IN NO EVENT SHALL TI BE LIABLE FOR ANY SPECIAL, INCIDENTAL, CONSEQUENTIAL OR INDIRECT DAMAGES, HOWEVER CAUSED, ON ANY THEORY OF LIABILITY AND WHETHER OR NOT TI HAS BEEN ADVISED OF THE POSSIBILITY OF SUCH DAMAGES, ARISING IN ANY WAY OUT OF THIS AGREEMENT, THE PROGRAM, OR YOUR USE OF THE PROGRAM.  EXCLUDED DAMAGES INCLUDE, BUT ARE NOT LIMITED TO, COST OF REMOVAL OR REINSTALLATION, COMPUTER TIME, LABOR COSTS, LOSS OF GOODWILL, LOSS OF PROFITS, LOSS OF SAVINGS, OR LOSS OF USE OR INTERRUPTION OF BUSINESS. IN NO EVENT WILL TI'S AGGREGATE LIABILITY UNDER THIS AGREEMENT OR ARISING OUT OF YOUR USE OF THE PROGRAM EXCEED FIVE HUNDRED DOLLARS (U.S.$500).</t>
  </si>
  <si>
    <t>Unless otherwise stated, the Program written and copyrighted by Texas Instruments is distributed as "freeware".  You may, only under TI's copyright in the Program, use and modify the Program without any charge or restriction.  You may distribute to third parties, provided that you transfer a copy of this license to the third party and the third party agrees to these terms by its first use of the Program. You must reproduce the copyright notice and any other legend of ownership on each copy or partial copy, of the Program.</t>
  </si>
  <si>
    <t>You acknowledge and agree that the Program contains copyrighted material, trade secrets and other TI proprietary information and is protected by copyright laws, international copyright treaties, and trade secret laws, as well as other intellectual property laws.  To protect TI's rights in the Program, you agree not to decompile, reverse engineer, disassemble or otherwise translate any object code versions of the Program to a human-readable form.  You agree that in no event will you alter, remove or destroy any copyright notice included in the Program.  TI reserves all rights not specifically granted under this license. Except as specifically provided herein, nothing in this agreement shall be construed as conferring by implication, estoppel, or otherwise, upon you, any license or other right under any TI patents, copyrights or trade secrets.</t>
  </si>
  <si>
    <t>Buck LSFET Qrr</t>
  </si>
  <si>
    <t>Reverse recovery charge of the low side FET</t>
  </si>
  <si>
    <t>LSFET on-resistance in TPS55288 is 7.1mΩ at 25°C. Temperature coefficient is 0.4%/°C. Correct it when at high Tj</t>
  </si>
  <si>
    <t>Loop Compensation Calculation in FPWM CCM mode</t>
  </si>
  <si>
    <t>Have internal 3pF cap between COMP and GND</t>
  </si>
  <si>
    <t>Check both buck and boost mode by changing Vin and Vout. The loop must have enough phase margin and gain margin</t>
  </si>
  <si>
    <t>Maximum desired output ripple solely due to output capacitance (ignores ESR)</t>
  </si>
  <si>
    <t>Average Inductor Limit</t>
  </si>
  <si>
    <t>Capacitance of snubber at buck side</t>
  </si>
  <si>
    <t>Cout Pd</t>
  </si>
  <si>
    <t>Power loss on output current sense resistor</t>
  </si>
  <si>
    <t>Power loss on snubber</t>
  </si>
  <si>
    <t>Power loss on ESR of the output capacitor in boost mode</t>
  </si>
  <si>
    <t>Vin for efficiency estimation at desired Vout and Iout(max)</t>
  </si>
  <si>
    <t>Estimate of SW1 node 10-90% rise time from measurement</t>
  </si>
  <si>
    <t>Estimate of SW1 node 10-90% fall time from measurement</t>
  </si>
  <si>
    <r>
      <t>Up resistor value of the extenral feedback resistor value. It is recommended to 100k</t>
    </r>
    <r>
      <rPr>
        <sz val="10"/>
        <rFont val="Arial"/>
        <family val="2"/>
      </rPr>
      <t>Ω</t>
    </r>
  </si>
  <si>
    <r>
      <t>m</t>
    </r>
    <r>
      <rPr>
        <sz val="10"/>
        <rFont val="Arial"/>
        <family val="2"/>
      </rPr>
      <t>Ω</t>
    </r>
  </si>
  <si>
    <r>
      <rPr>
        <sz val="10"/>
        <rFont val="Arial"/>
        <family val="2"/>
      </rPr>
      <t>ΔIin(Cin_rms)</t>
    </r>
  </si>
  <si>
    <r>
      <rPr>
        <sz val="10"/>
        <rFont val="Arial"/>
        <family val="2"/>
      </rPr>
      <t>ΔVin(pk-pk)</t>
    </r>
  </si>
  <si>
    <r>
      <t>HSFET on-resistance in TPS55288 is 7.6m</t>
    </r>
    <r>
      <rPr>
        <sz val="10"/>
        <rFont val="Arial"/>
        <family val="2"/>
      </rPr>
      <t>Ω at 25°C. Temperature coefficient is 0.4%/°C. Correct it when at high Tj</t>
    </r>
  </si>
  <si>
    <r>
      <rPr>
        <sz val="10"/>
        <rFont val="Arial"/>
        <family val="2"/>
      </rPr>
      <t>ΘJA</t>
    </r>
  </si>
  <si>
    <r>
      <t>TPS55288 junction to ambient thermal resistance on EVM. The actual ΘJA depends on the PCB d</t>
    </r>
    <r>
      <rPr>
        <sz val="10"/>
        <rFont val="Arial"/>
        <family val="2"/>
      </rPr>
      <t xml:space="preserve">esign. </t>
    </r>
  </si>
  <si>
    <r>
      <t xml:space="preserve">The top case temperature of IC is very close to the Junction temperature because </t>
    </r>
    <r>
      <rPr>
        <sz val="10"/>
        <rFont val="Arial"/>
        <family val="2"/>
      </rPr>
      <t>ΨJT=0.6°C/W</t>
    </r>
  </si>
  <si>
    <r>
      <rPr>
        <sz val="10"/>
        <rFont val="Calibri"/>
        <family val="2"/>
      </rPr>
      <t>Δ</t>
    </r>
    <r>
      <rPr>
        <sz val="10"/>
        <rFont val="Arial"/>
        <family val="2"/>
      </rPr>
      <t>Iout(Cout_rms)</t>
    </r>
  </si>
  <si>
    <r>
      <rPr>
        <sz val="10"/>
        <rFont val="Calibri"/>
        <family val="2"/>
      </rPr>
      <t>Δ</t>
    </r>
    <r>
      <rPr>
        <sz val="10"/>
        <rFont val="Arial"/>
        <family val="2"/>
      </rPr>
      <t>Vout(pk-pk)</t>
    </r>
  </si>
  <si>
    <t>Power loss on TPS55288</t>
  </si>
  <si>
    <t>Estimate of SW node 10-90% rise time from measurement</t>
  </si>
  <si>
    <t>Estimate of SW node 10-90% fall time from measurement</t>
  </si>
  <si>
    <r>
      <rPr>
        <sz val="10"/>
        <rFont val="Calibri"/>
        <family val="2"/>
      </rPr>
      <t>η</t>
    </r>
    <r>
      <rPr>
        <sz val="10"/>
        <rFont val="Arial"/>
        <family val="2"/>
      </rPr>
      <t xml:space="preserve"> estimate</t>
    </r>
  </si>
  <si>
    <r>
      <rPr>
        <sz val="10"/>
        <rFont val="Calibri"/>
        <family val="2"/>
      </rPr>
      <t>η</t>
    </r>
    <r>
      <rPr>
        <sz val="10"/>
        <rFont val="Arial"/>
        <family val="2"/>
      </rPr>
      <t xml:space="preserve"> - calculated</t>
    </r>
  </si>
  <si>
    <t>I(Lvalley)</t>
  </si>
  <si>
    <t>The inductor (L1) is recommended to have saturation current rating 30% higher than this value.</t>
  </si>
  <si>
    <t>External</t>
  </si>
  <si>
    <t>Efficiency in buck CCM mode or boost CCM mode with maximum Iout</t>
  </si>
  <si>
    <t>fp_PS</t>
  </si>
  <si>
    <t>gm_PS</t>
  </si>
  <si>
    <t>gm_EA</t>
  </si>
  <si>
    <t>fz_COMP</t>
  </si>
  <si>
    <t>fz_RHP</t>
  </si>
  <si>
    <t>fz_ESR</t>
  </si>
  <si>
    <t>fp2_COMP</t>
  </si>
  <si>
    <t>Loop compensation zero frequency</t>
  </si>
  <si>
    <t>Set the compensation fz = fco/10</t>
  </si>
  <si>
    <t>Output feedback selection</t>
  </si>
  <si>
    <t>V1.0 (06/14/2020)</t>
  </si>
  <si>
    <t>Must be lower than or equal to the 1.063x Vout(max)</t>
  </si>
  <si>
    <t>Buck HSFET Pd</t>
  </si>
  <si>
    <t>Buck LSFET Pd</t>
  </si>
  <si>
    <t>Power loss on buck high side FET</t>
  </si>
  <si>
    <t>Power loss on buck low side FET</t>
  </si>
  <si>
    <t>Buck HSFET Coss</t>
  </si>
  <si>
    <t>HSFET output capacitance when VDS=VIN</t>
  </si>
  <si>
    <t>Core and AC loss of inductor. Use inductor vendor's formula to estimate. 344mW is the power loss of XAL1010-472 running at 400kHz with Ilrms=5.21A and Ilripple=2.55A at 400kHz.</t>
  </si>
  <si>
    <t>The lower zero of the Cout's ESR zero and boost right half plane zero should be cancelled by the R3*(C6*C7/(C6+C7)) pole</t>
  </si>
  <si>
    <t>Desired typical average inductor current limit. ±2.5A tolerance</t>
  </si>
  <si>
    <t>TI Information - Selective Disclosure. You may not use the Program in non-TI devices.</t>
  </si>
  <si>
    <t>ON -1</t>
  </si>
  <si>
    <t>EXT -1</t>
  </si>
  <si>
    <t>INT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</si>
</sst>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0"/>
    <numFmt numFmtId="177" formatCode="0.0%"/>
    <numFmt numFmtId="178" formatCode="0.000E+00"/>
    <numFmt numFmtId="179" formatCode="0.0E+00"/>
    <numFmt numFmtId="180" formatCode="0.0000"/>
    <numFmt numFmtId="181" formatCode="#,##0.000"/>
    <numFmt numFmtId="182" formatCode=";;;"/>
  </numFmts>
  <fonts count="13">
    <font>
      <sz val="10"/>
      <name val="Arial"/>
      <family val="2"/>
    </font>
    <font>
      <sz val="10"/>
      <name val="Arial"/>
      <family val="2"/>
    </font>
    <font>
      <sz val="8"/>
      <name val="Arial"/>
      <family val="2"/>
    </font>
    <font>
      <sz val="10"/>
      <name val="Symbol"/>
      <family val="1"/>
      <charset val="2"/>
    </font>
    <font>
      <sz val="10"/>
      <color indexed="10"/>
      <name val="Arial"/>
      <family val="2"/>
    </font>
    <font>
      <b/>
      <sz val="10"/>
      <name val="Arial"/>
      <family val="2"/>
    </font>
    <font>
      <sz val="10"/>
      <color indexed="53"/>
      <name val="Arial"/>
      <family val="2"/>
    </font>
    <font>
      <b/>
      <sz val="12"/>
      <name val="Arial"/>
      <family val="2"/>
    </font>
    <font>
      <b/>
      <sz val="11"/>
      <name val="Arial"/>
      <family val="2"/>
    </font>
    <font>
      <b/>
      <i/>
      <sz val="10"/>
      <color indexed="53"/>
      <name val="Arial"/>
      <family val="2"/>
    </font>
    <font>
      <sz val="10"/>
      <name val="Calibri"/>
      <family val="2"/>
    </font>
    <font>
      <sz val="10"/>
      <name val="Arial Unicode MS"/>
      <family val="2"/>
    </font>
    <font>
      <sz val="9"/>
      <name val="宋体"/>
      <family val="3"/>
      <charset val="134"/>
    </font>
  </fonts>
  <fills count="11">
    <fill>
      <patternFill patternType="none"/>
    </fill>
    <fill>
      <patternFill patternType="gray125"/>
    </fill>
    <fill>
      <patternFill patternType="solid">
        <fgColor indexed="10"/>
        <bgColor indexed="64"/>
      </patternFill>
    </fill>
    <fill>
      <patternFill patternType="solid">
        <fgColor theme="0"/>
        <bgColor indexed="64"/>
      </patternFill>
    </fill>
    <fill>
      <patternFill patternType="solid">
        <fgColor rgb="FF00FF00"/>
        <bgColor indexed="64"/>
      </patternFill>
    </fill>
    <fill>
      <patternFill patternType="solid">
        <fgColor rgb="FFFF000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39997558519241921"/>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style="thin">
        <color indexed="64"/>
      </right>
      <top style="thin">
        <color indexed="64"/>
      </top>
      <bottom style="thin">
        <color indexed="64"/>
      </bottom>
      <diagonal/>
    </border>
    <border>
      <left style="thick">
        <color auto="1"/>
      </left>
      <right/>
      <top style="thin">
        <color indexed="64"/>
      </top>
      <bottom style="thin">
        <color indexed="64"/>
      </bottom>
      <diagonal/>
    </border>
    <border>
      <left/>
      <right/>
      <top/>
      <bottom style="thick">
        <color auto="1"/>
      </bottom>
      <diagonal/>
    </border>
    <border>
      <left/>
      <right style="thick">
        <color auto="1"/>
      </right>
      <top/>
      <bottom style="thick">
        <color auto="1"/>
      </bottom>
      <diagonal/>
    </border>
    <border>
      <left style="thin">
        <color indexed="64"/>
      </left>
      <right/>
      <top/>
      <bottom/>
      <diagonal/>
    </border>
    <border>
      <left style="thick">
        <color auto="1"/>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style="thin">
        <color indexed="64"/>
      </bottom>
      <diagonal/>
    </border>
    <border>
      <left style="thick">
        <color auto="1"/>
      </left>
      <right style="thin">
        <color indexed="64"/>
      </right>
      <top/>
      <bottom style="thick">
        <color auto="1"/>
      </bottom>
      <diagonal/>
    </border>
    <border>
      <left style="thin">
        <color indexed="64"/>
      </left>
      <right style="thin">
        <color indexed="64"/>
      </right>
      <top/>
      <bottom style="thick">
        <color auto="1"/>
      </bottom>
      <diagonal/>
    </border>
    <border>
      <left style="thick">
        <color auto="1"/>
      </left>
      <right/>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indexed="64"/>
      </left>
      <right/>
      <top style="thick">
        <color auto="1"/>
      </top>
      <bottom/>
      <diagonal/>
    </border>
    <border>
      <left style="thin">
        <color indexed="64"/>
      </left>
      <right/>
      <top/>
      <bottom style="thick">
        <color auto="1"/>
      </bottom>
      <diagonal/>
    </border>
    <border>
      <left/>
      <right style="thin">
        <color indexed="64"/>
      </right>
      <top style="thick">
        <color auto="1"/>
      </top>
      <bottom/>
      <diagonal/>
    </border>
    <border>
      <left/>
      <right style="thin">
        <color indexed="64"/>
      </right>
      <top/>
      <bottom/>
      <diagonal/>
    </border>
    <border>
      <left/>
      <right style="thin">
        <color indexed="64"/>
      </right>
      <top/>
      <bottom style="thick">
        <color auto="1"/>
      </bottom>
      <diagonal/>
    </border>
    <border>
      <left style="thick">
        <color auto="1"/>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style="thin">
        <color indexed="64"/>
      </top>
      <bottom/>
      <diagonal/>
    </border>
    <border>
      <left style="thin">
        <color indexed="64"/>
      </left>
      <right style="thick">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161">
    <xf numFmtId="0" fontId="0" fillId="0" borderId="0" xfId="0"/>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xf numFmtId="180" fontId="0" fillId="0" borderId="0" xfId="0" applyNumberFormat="1"/>
    <xf numFmtId="180" fontId="0" fillId="0" borderId="8" xfId="0" applyNumberFormat="1" applyBorder="1"/>
    <xf numFmtId="0" fontId="0" fillId="0" borderId="20" xfId="0" applyBorder="1"/>
    <xf numFmtId="180" fontId="0" fillId="0" borderId="11" xfId="0" applyNumberFormat="1" applyBorder="1"/>
    <xf numFmtId="0" fontId="0" fillId="0" borderId="0" xfId="0" applyAlignment="1">
      <alignment wrapText="1"/>
    </xf>
    <xf numFmtId="0" fontId="10" fillId="0" borderId="0" xfId="0" applyFont="1"/>
    <xf numFmtId="0" fontId="0" fillId="0" borderId="24" xfId="0" applyBorder="1" applyAlignment="1">
      <alignment wrapText="1"/>
    </xf>
    <xf numFmtId="180" fontId="0" fillId="0" borderId="13" xfId="0" applyNumberFormat="1" applyBorder="1"/>
    <xf numFmtId="180" fontId="0" fillId="0" borderId="25" xfId="0" applyNumberFormat="1" applyBorder="1"/>
    <xf numFmtId="0" fontId="0" fillId="0" borderId="26" xfId="0" applyBorder="1" applyAlignment="1">
      <alignment wrapText="1"/>
    </xf>
    <xf numFmtId="180" fontId="0" fillId="0" borderId="27" xfId="0" applyNumberFormat="1" applyBorder="1"/>
    <xf numFmtId="180" fontId="0" fillId="0" borderId="28" xfId="0" applyNumberFormat="1" applyBorder="1"/>
    <xf numFmtId="180" fontId="0" fillId="0" borderId="12" xfId="0" applyNumberFormat="1" applyBorder="1"/>
    <xf numFmtId="3" fontId="0" fillId="9" borderId="0" xfId="0" applyNumberFormat="1" applyFill="1"/>
    <xf numFmtId="3" fontId="0" fillId="0" borderId="0" xfId="0" applyNumberFormat="1"/>
    <xf numFmtId="3" fontId="0" fillId="9" borderId="11" xfId="0" applyNumberFormat="1" applyFill="1" applyBorder="1"/>
    <xf numFmtId="0" fontId="0" fillId="0" borderId="0" xfId="0" applyAlignment="1">
      <alignment horizontal="center" wrapText="1"/>
    </xf>
    <xf numFmtId="0" fontId="0" fillId="4" borderId="1" xfId="0" applyFill="1" applyBorder="1" applyAlignment="1" applyProtection="1">
      <alignment horizontal="center" vertical="center" wrapText="1"/>
      <protection locked="0"/>
    </xf>
    <xf numFmtId="1" fontId="0" fillId="4" borderId="1" xfId="0" applyNumberFormat="1" applyFill="1" applyBorder="1" applyProtection="1">
      <protection locked="0"/>
    </xf>
    <xf numFmtId="176" fontId="0" fillId="4" borderId="1" xfId="0" applyNumberFormat="1" applyFill="1" applyBorder="1" applyProtection="1">
      <protection locked="0"/>
    </xf>
    <xf numFmtId="0" fontId="11" fillId="0" borderId="0" xfId="0" applyFont="1" applyAlignment="1">
      <alignment wrapText="1"/>
    </xf>
    <xf numFmtId="0" fontId="0" fillId="10" borderId="1" xfId="0" applyFill="1" applyBorder="1" applyAlignment="1" applyProtection="1">
      <alignment horizontal="center" vertical="center" wrapText="1"/>
      <protection hidden="1"/>
    </xf>
    <xf numFmtId="1" fontId="0" fillId="10" borderId="1" xfId="0" applyNumberFormat="1" applyFill="1" applyBorder="1" applyAlignment="1" applyProtection="1">
      <alignment horizontal="center" vertical="center"/>
      <protection hidden="1"/>
    </xf>
    <xf numFmtId="0" fontId="0" fillId="10" borderId="1" xfId="0" applyFill="1" applyBorder="1" applyAlignment="1" applyProtection="1">
      <alignment horizontal="center" vertical="center"/>
      <protection hidden="1"/>
    </xf>
    <xf numFmtId="0" fontId="3" fillId="10" borderId="1" xfId="0" applyFont="1" applyFill="1" applyBorder="1" applyAlignment="1" applyProtection="1">
      <alignment horizontal="center" vertical="center"/>
      <protection hidden="1"/>
    </xf>
    <xf numFmtId="177" fontId="0" fillId="10" borderId="1" xfId="0" applyNumberFormat="1" applyFill="1" applyBorder="1" applyAlignment="1" applyProtection="1">
      <alignment horizontal="center" vertical="center"/>
      <protection hidden="1"/>
    </xf>
    <xf numFmtId="1" fontId="0" fillId="10" borderId="1" xfId="0" applyNumberFormat="1" applyFill="1" applyBorder="1" applyProtection="1">
      <protection hidden="1"/>
    </xf>
    <xf numFmtId="1" fontId="0" fillId="10" borderId="15" xfId="0" applyNumberFormat="1" applyFill="1" applyBorder="1" applyProtection="1">
      <protection hidden="1"/>
    </xf>
    <xf numFmtId="177" fontId="0" fillId="10" borderId="15" xfId="0" applyNumberFormat="1" applyFill="1" applyBorder="1" applyProtection="1">
      <protection hidden="1"/>
    </xf>
    <xf numFmtId="176" fontId="0" fillId="10" borderId="19" xfId="0" applyNumberFormat="1" applyFill="1" applyBorder="1" applyProtection="1">
      <protection hidden="1"/>
    </xf>
    <xf numFmtId="0" fontId="0" fillId="4" borderId="1" xfId="0" applyFill="1" applyBorder="1" applyProtection="1">
      <protection locked="0"/>
    </xf>
    <xf numFmtId="176" fontId="0" fillId="10" borderId="1" xfId="0" applyNumberFormat="1" applyFill="1" applyBorder="1" applyAlignment="1" applyProtection="1">
      <alignment horizontal="right"/>
      <protection hidden="1"/>
    </xf>
    <xf numFmtId="176" fontId="0" fillId="4" borderId="1" xfId="0" applyNumberFormat="1" applyFill="1" applyBorder="1" applyAlignment="1" applyProtection="1">
      <alignment horizontal="right"/>
      <protection locked="0"/>
    </xf>
    <xf numFmtId="1" fontId="0" fillId="10" borderId="1" xfId="0" applyNumberFormat="1" applyFill="1" applyBorder="1" applyAlignment="1" applyProtection="1">
      <alignment horizontal="right"/>
      <protection hidden="1"/>
    </xf>
    <xf numFmtId="176" fontId="0" fillId="6" borderId="1" xfId="0" applyNumberFormat="1" applyFill="1" applyBorder="1" applyProtection="1">
      <protection locked="0"/>
    </xf>
    <xf numFmtId="176" fontId="0" fillId="6" borderId="1" xfId="0" applyNumberFormat="1" applyFill="1" applyBorder="1" applyProtection="1">
      <protection hidden="1"/>
    </xf>
    <xf numFmtId="0" fontId="0" fillId="10" borderId="1" xfId="0" applyFill="1" applyBorder="1" applyAlignment="1" applyProtection="1">
      <alignment horizontal="right"/>
      <protection hidden="1"/>
    </xf>
    <xf numFmtId="2" fontId="0" fillId="10" borderId="1" xfId="0" applyNumberFormat="1" applyFill="1" applyBorder="1" applyProtection="1">
      <protection hidden="1"/>
    </xf>
    <xf numFmtId="3" fontId="0" fillId="4" borderId="1" xfId="0" applyNumberFormat="1" applyFill="1" applyBorder="1" applyProtection="1">
      <protection locked="0"/>
    </xf>
    <xf numFmtId="3" fontId="0" fillId="10" borderId="1" xfId="0" applyNumberFormat="1" applyFill="1" applyBorder="1" applyProtection="1">
      <protection hidden="1"/>
    </xf>
    <xf numFmtId="179" fontId="0" fillId="10" borderId="1" xfId="0" applyNumberFormat="1" applyFill="1" applyBorder="1" applyProtection="1">
      <protection hidden="1"/>
    </xf>
    <xf numFmtId="4" fontId="0" fillId="4" borderId="1" xfId="0" applyNumberFormat="1" applyFill="1" applyBorder="1" applyProtection="1">
      <protection locked="0"/>
    </xf>
    <xf numFmtId="11" fontId="0" fillId="10" borderId="1" xfId="0" applyNumberFormat="1" applyFill="1" applyBorder="1" applyProtection="1">
      <protection hidden="1"/>
    </xf>
    <xf numFmtId="11" fontId="0" fillId="4" borderId="1" xfId="0" applyNumberFormat="1" applyFill="1" applyBorder="1" applyProtection="1">
      <protection locked="0"/>
    </xf>
    <xf numFmtId="178" fontId="0" fillId="4" borderId="1" xfId="0" applyNumberFormat="1" applyFill="1" applyBorder="1" applyAlignment="1" applyProtection="1">
      <alignment horizontal="right"/>
      <protection locked="0"/>
    </xf>
    <xf numFmtId="1" fontId="0" fillId="4" borderId="1" xfId="0" applyNumberFormat="1" applyFill="1" applyBorder="1" applyAlignment="1" applyProtection="1">
      <alignment horizontal="right"/>
      <protection locked="0"/>
    </xf>
    <xf numFmtId="1" fontId="0" fillId="4" borderId="1" xfId="0" applyNumberFormat="1" applyFill="1" applyBorder="1" applyAlignment="1" applyProtection="1">
      <alignment horizontal="right"/>
      <protection hidden="1"/>
    </xf>
    <xf numFmtId="2" fontId="0" fillId="4" borderId="1" xfId="0" applyNumberFormat="1" applyFill="1" applyBorder="1" applyAlignment="1" applyProtection="1">
      <alignment horizontal="right"/>
      <protection locked="0"/>
    </xf>
    <xf numFmtId="1" fontId="0" fillId="6" borderId="1" xfId="0" applyNumberFormat="1" applyFill="1" applyBorder="1" applyAlignment="1" applyProtection="1">
      <alignment horizontal="right"/>
      <protection hidden="1"/>
    </xf>
    <xf numFmtId="11" fontId="0" fillId="10" borderId="1" xfId="0" applyNumberFormat="1" applyFill="1" applyBorder="1" applyAlignment="1" applyProtection="1">
      <alignment horizontal="right"/>
      <protection hidden="1"/>
    </xf>
    <xf numFmtId="11" fontId="0" fillId="4" borderId="15" xfId="0" applyNumberFormat="1" applyFill="1" applyBorder="1" applyProtection="1">
      <protection locked="0"/>
    </xf>
    <xf numFmtId="2" fontId="0" fillId="10" borderId="15" xfId="0" applyNumberFormat="1" applyFill="1" applyBorder="1" applyProtection="1">
      <protection hidden="1"/>
    </xf>
    <xf numFmtId="179" fontId="0" fillId="4" borderId="1" xfId="0" applyNumberFormat="1" applyFill="1" applyBorder="1" applyProtection="1">
      <protection locked="0"/>
    </xf>
    <xf numFmtId="0" fontId="6" fillId="2" borderId="0" xfId="0" applyFont="1" applyFill="1" applyProtection="1">
      <protection hidden="1"/>
    </xf>
    <xf numFmtId="0" fontId="0" fillId="2" borderId="0" xfId="0" applyFill="1" applyProtection="1">
      <protection hidden="1"/>
    </xf>
    <xf numFmtId="0" fontId="0" fillId="5" borderId="0" xfId="0" applyFill="1" applyProtection="1">
      <protection hidden="1"/>
    </xf>
    <xf numFmtId="0" fontId="0" fillId="0" borderId="0" xfId="0" applyProtection="1">
      <protection hidden="1"/>
    </xf>
    <xf numFmtId="0" fontId="0" fillId="3" borderId="7" xfId="0" applyFill="1" applyBorder="1" applyAlignment="1" applyProtection="1">
      <alignment horizontal="center"/>
      <protection hidden="1"/>
    </xf>
    <xf numFmtId="0" fontId="0" fillId="3" borderId="0" xfId="0" applyFill="1" applyAlignment="1" applyProtection="1">
      <alignment horizontal="center"/>
      <protection hidden="1"/>
    </xf>
    <xf numFmtId="0" fontId="0" fillId="3" borderId="0" xfId="0" applyFill="1" applyProtection="1">
      <protection hidden="1"/>
    </xf>
    <xf numFmtId="0" fontId="0" fillId="3" borderId="8" xfId="0" applyFill="1" applyBorder="1" applyProtection="1">
      <protection hidden="1"/>
    </xf>
    <xf numFmtId="0" fontId="0" fillId="3" borderId="7" xfId="0" applyFill="1" applyBorder="1" applyProtection="1">
      <protection hidden="1"/>
    </xf>
    <xf numFmtId="0" fontId="0" fillId="4" borderId="0" xfId="0" applyFill="1" applyProtection="1">
      <protection hidden="1"/>
    </xf>
    <xf numFmtId="0" fontId="8" fillId="3" borderId="0" xfId="0" applyFont="1" applyFill="1" applyProtection="1">
      <protection hidden="1"/>
    </xf>
    <xf numFmtId="0" fontId="7" fillId="3" borderId="0" xfId="0" applyFont="1" applyFill="1" applyProtection="1">
      <protection hidden="1"/>
    </xf>
    <xf numFmtId="0" fontId="0" fillId="10" borderId="0" xfId="0" applyFill="1" applyProtection="1">
      <protection hidden="1"/>
    </xf>
    <xf numFmtId="0" fontId="0" fillId="6" borderId="0" xfId="0" applyFill="1" applyProtection="1">
      <protection hidden="1"/>
    </xf>
    <xf numFmtId="0" fontId="5" fillId="7" borderId="9" xfId="0" applyFont="1" applyFill="1" applyBorder="1" applyProtection="1">
      <protection hidden="1"/>
    </xf>
    <xf numFmtId="0" fontId="5" fillId="7" borderId="1" xfId="0" applyFont="1" applyFill="1" applyBorder="1" applyProtection="1">
      <protection hidden="1"/>
    </xf>
    <xf numFmtId="0" fontId="5" fillId="3" borderId="13" xfId="0" applyFont="1" applyFill="1" applyBorder="1" applyAlignment="1" applyProtection="1">
      <alignment vertical="center"/>
      <protection hidden="1"/>
    </xf>
    <xf numFmtId="0" fontId="5" fillId="3" borderId="0" xfId="0" applyFont="1" applyFill="1" applyAlignment="1" applyProtection="1">
      <alignment vertical="center"/>
      <protection hidden="1"/>
    </xf>
    <xf numFmtId="0" fontId="5" fillId="3" borderId="8" xfId="0" applyFont="1" applyFill="1" applyBorder="1" applyAlignment="1" applyProtection="1">
      <alignment vertical="center"/>
      <protection hidden="1"/>
    </xf>
    <xf numFmtId="0" fontId="0" fillId="3" borderId="9" xfId="0" applyFill="1" applyBorder="1" applyProtection="1">
      <protection hidden="1"/>
    </xf>
    <xf numFmtId="0" fontId="0" fillId="3" borderId="1" xfId="0" applyFill="1" applyBorder="1" applyProtection="1">
      <protection hidden="1"/>
    </xf>
    <xf numFmtId="0" fontId="0" fillId="3" borderId="1" xfId="0" applyFill="1" applyBorder="1" applyAlignment="1" applyProtection="1">
      <alignment wrapText="1"/>
      <protection hidden="1"/>
    </xf>
    <xf numFmtId="0" fontId="9" fillId="3" borderId="9" xfId="0" applyFont="1" applyFill="1" applyBorder="1" applyProtection="1">
      <protection hidden="1"/>
    </xf>
    <xf numFmtId="0" fontId="0" fillId="3" borderId="0" xfId="0" applyFill="1" applyAlignment="1" applyProtection="1">
      <alignment wrapText="1"/>
      <protection hidden="1"/>
    </xf>
    <xf numFmtId="0" fontId="5" fillId="3" borderId="1" xfId="0" applyFont="1" applyFill="1" applyBorder="1" applyAlignment="1" applyProtection="1">
      <alignment horizontal="center" vertical="center" wrapText="1"/>
      <protection hidden="1"/>
    </xf>
    <xf numFmtId="0" fontId="5" fillId="3" borderId="1" xfId="0" applyFont="1" applyFill="1" applyBorder="1" applyAlignment="1" applyProtection="1">
      <alignment horizontal="center" vertical="center"/>
      <protection hidden="1"/>
    </xf>
    <xf numFmtId="1" fontId="5" fillId="3" borderId="1" xfId="0" applyNumberFormat="1" applyFont="1" applyFill="1" applyBorder="1" applyAlignment="1" applyProtection="1">
      <alignment horizontal="center" vertical="center"/>
      <protection hidden="1"/>
    </xf>
    <xf numFmtId="0" fontId="5" fillId="3" borderId="16" xfId="0" applyFont="1" applyFill="1" applyBorder="1" applyAlignment="1" applyProtection="1">
      <alignment horizontal="center" vertical="center" wrapText="1"/>
      <protection hidden="1"/>
    </xf>
    <xf numFmtId="0" fontId="0" fillId="0" borderId="1" xfId="0" applyBorder="1" applyAlignment="1" applyProtection="1">
      <alignment horizontal="center" vertical="center" wrapText="1"/>
      <protection hidden="1"/>
    </xf>
    <xf numFmtId="0" fontId="0" fillId="6" borderId="1" xfId="0" applyFill="1" applyBorder="1" applyAlignment="1" applyProtection="1">
      <alignment horizontal="center" vertical="center" wrapText="1"/>
      <protection hidden="1"/>
    </xf>
    <xf numFmtId="0" fontId="0" fillId="0" borderId="1" xfId="0" applyBorder="1" applyAlignment="1" applyProtection="1">
      <alignment horizontal="center" vertical="center"/>
      <protection hidden="1"/>
    </xf>
    <xf numFmtId="0" fontId="0" fillId="6" borderId="1" xfId="0" applyFill="1" applyBorder="1" applyAlignment="1" applyProtection="1">
      <alignment horizontal="center" vertical="center"/>
      <protection hidden="1"/>
    </xf>
    <xf numFmtId="0" fontId="4" fillId="3" borderId="0" xfId="0" applyFont="1" applyFill="1" applyProtection="1">
      <protection hidden="1"/>
    </xf>
    <xf numFmtId="1" fontId="4" fillId="3" borderId="0" xfId="0" applyNumberFormat="1" applyFont="1" applyFill="1" applyProtection="1">
      <protection hidden="1"/>
    </xf>
    <xf numFmtId="0" fontId="0" fillId="3" borderId="9" xfId="0" applyFill="1" applyBorder="1" applyAlignment="1" applyProtection="1">
      <alignment wrapText="1"/>
      <protection hidden="1"/>
    </xf>
    <xf numFmtId="0" fontId="6" fillId="5" borderId="0" xfId="0" applyFont="1" applyFill="1" applyProtection="1">
      <protection hidden="1"/>
    </xf>
    <xf numFmtId="11" fontId="0" fillId="6" borderId="1" xfId="0" applyNumberFormat="1" applyFill="1" applyBorder="1" applyProtection="1">
      <protection hidden="1"/>
    </xf>
    <xf numFmtId="0" fontId="0" fillId="3" borderId="14" xfId="0" applyFill="1" applyBorder="1" applyProtection="1">
      <protection hidden="1"/>
    </xf>
    <xf numFmtId="0" fontId="0" fillId="3" borderId="15" xfId="0" applyFill="1" applyBorder="1" applyProtection="1">
      <protection hidden="1"/>
    </xf>
    <xf numFmtId="0" fontId="0" fillId="0" borderId="1" xfId="0" applyBorder="1" applyAlignment="1" applyProtection="1">
      <alignment horizontal="left" vertical="center"/>
      <protection hidden="1"/>
    </xf>
    <xf numFmtId="0" fontId="3" fillId="3" borderId="0" xfId="0" applyFont="1" applyFill="1" applyProtection="1">
      <protection hidden="1"/>
    </xf>
    <xf numFmtId="0" fontId="0" fillId="3" borderId="14" xfId="0" applyFill="1" applyBorder="1" applyAlignment="1" applyProtection="1">
      <alignment wrapText="1"/>
      <protection hidden="1"/>
    </xf>
    <xf numFmtId="0" fontId="0" fillId="3" borderId="15" xfId="0" applyFill="1" applyBorder="1" applyAlignment="1" applyProtection="1">
      <alignment wrapText="1"/>
      <protection hidden="1"/>
    </xf>
    <xf numFmtId="0" fontId="0" fillId="3" borderId="18" xfId="0" applyFill="1" applyBorder="1" applyProtection="1">
      <protection hidden="1"/>
    </xf>
    <xf numFmtId="0" fontId="0" fillId="3" borderId="19" xfId="0" applyFill="1" applyBorder="1" applyProtection="1">
      <protection hidden="1"/>
    </xf>
    <xf numFmtId="0" fontId="0" fillId="3" borderId="19" xfId="0" applyFill="1" applyBorder="1" applyAlignment="1" applyProtection="1">
      <alignment wrapText="1"/>
      <protection hidden="1"/>
    </xf>
    <xf numFmtId="0" fontId="0" fillId="3" borderId="11" xfId="0" applyFill="1" applyBorder="1" applyProtection="1">
      <protection hidden="1"/>
    </xf>
    <xf numFmtId="0" fontId="0" fillId="3" borderId="12" xfId="0" applyFill="1" applyBorder="1" applyProtection="1">
      <protection hidden="1"/>
    </xf>
    <xf numFmtId="177" fontId="0" fillId="5" borderId="0" xfId="0" applyNumberFormat="1" applyFill="1" applyProtection="1">
      <protection hidden="1"/>
    </xf>
    <xf numFmtId="0" fontId="0" fillId="5" borderId="0" xfId="0" applyFill="1" applyAlignment="1" applyProtection="1">
      <alignment wrapText="1"/>
      <protection hidden="1"/>
    </xf>
    <xf numFmtId="0" fontId="6" fillId="0" borderId="0" xfId="0" applyFont="1" applyProtection="1">
      <protection hidden="1"/>
    </xf>
    <xf numFmtId="180" fontId="0" fillId="0" borderId="0" xfId="0" applyNumberFormat="1" applyProtection="1">
      <protection hidden="1"/>
    </xf>
    <xf numFmtId="2" fontId="0" fillId="0" borderId="0" xfId="0" applyNumberFormat="1" applyProtection="1">
      <protection hidden="1"/>
    </xf>
    <xf numFmtId="2" fontId="0" fillId="4" borderId="1" xfId="0" applyNumberFormat="1" applyFill="1" applyBorder="1" applyProtection="1">
      <protection locked="0"/>
    </xf>
    <xf numFmtId="182" fontId="0" fillId="3" borderId="0" xfId="0" applyNumberFormat="1" applyFill="1" applyProtection="1">
      <protection hidden="1"/>
    </xf>
    <xf numFmtId="0" fontId="0" fillId="3" borderId="1" xfId="0" applyFill="1" applyBorder="1" applyAlignment="1" applyProtection="1">
      <alignment horizontal="center" vertical="center"/>
      <protection hidden="1"/>
    </xf>
    <xf numFmtId="0" fontId="0" fillId="10" borderId="31" xfId="0" applyFill="1" applyBorder="1" applyAlignment="1" applyProtection="1">
      <alignment horizontal="center" vertical="center"/>
      <protection hidden="1"/>
    </xf>
    <xf numFmtId="0" fontId="0" fillId="10" borderId="32" xfId="0" applyFill="1" applyBorder="1" applyAlignment="1" applyProtection="1">
      <alignment horizontal="center" vertical="center"/>
      <protection hidden="1"/>
    </xf>
    <xf numFmtId="0" fontId="0" fillId="3" borderId="14" xfId="0" applyFill="1" applyBorder="1" applyAlignment="1" applyProtection="1">
      <alignment horizontal="left"/>
      <protection hidden="1"/>
    </xf>
    <xf numFmtId="0" fontId="0" fillId="3" borderId="29" xfId="0" applyFill="1" applyBorder="1" applyAlignment="1" applyProtection="1">
      <alignment horizontal="left"/>
      <protection hidden="1"/>
    </xf>
    <xf numFmtId="0" fontId="0" fillId="4" borderId="15" xfId="0" applyFill="1" applyBorder="1" applyAlignment="1" applyProtection="1">
      <alignment horizontal="right"/>
      <protection locked="0"/>
    </xf>
    <xf numFmtId="0" fontId="0" fillId="4" borderId="30" xfId="0" applyFill="1" applyBorder="1" applyAlignment="1" applyProtection="1">
      <alignment horizontal="right"/>
      <protection locked="0"/>
    </xf>
    <xf numFmtId="0" fontId="0" fillId="3" borderId="15" xfId="0" applyFill="1" applyBorder="1" applyAlignment="1" applyProtection="1">
      <alignment horizontal="center"/>
      <protection hidden="1"/>
    </xf>
    <xf numFmtId="0" fontId="0" fillId="3" borderId="30" xfId="0" applyFill="1" applyBorder="1" applyAlignment="1" applyProtection="1">
      <alignment horizontal="center"/>
      <protection hidden="1"/>
    </xf>
    <xf numFmtId="0" fontId="0" fillId="3" borderId="15" xfId="0" applyFill="1" applyBorder="1" applyAlignment="1" applyProtection="1">
      <alignment horizontal="left" wrapText="1"/>
      <protection hidden="1"/>
    </xf>
    <xf numFmtId="0" fontId="0" fillId="3" borderId="30" xfId="0" applyFill="1" applyBorder="1" applyAlignment="1" applyProtection="1">
      <alignment horizontal="left" wrapText="1"/>
      <protection hidden="1"/>
    </xf>
    <xf numFmtId="0" fontId="0" fillId="10" borderId="16" xfId="0" applyFill="1" applyBorder="1" applyAlignment="1" applyProtection="1">
      <alignment horizontal="center" vertical="center"/>
      <protection hidden="1"/>
    </xf>
    <xf numFmtId="11" fontId="0" fillId="4" borderId="15" xfId="0" applyNumberFormat="1" applyFill="1" applyBorder="1" applyAlignment="1" applyProtection="1">
      <alignment horizontal="right"/>
      <protection locked="0"/>
    </xf>
    <xf numFmtId="11" fontId="0" fillId="4" borderId="30" xfId="0" applyNumberFormat="1" applyFill="1" applyBorder="1" applyAlignment="1" applyProtection="1">
      <alignment horizontal="right"/>
      <protection locked="0"/>
    </xf>
    <xf numFmtId="0" fontId="0" fillId="3" borderId="15" xfId="0" applyFill="1" applyBorder="1" applyAlignment="1" applyProtection="1">
      <alignment horizontal="left"/>
      <protection hidden="1"/>
    </xf>
    <xf numFmtId="0" fontId="0" fillId="3" borderId="30" xfId="0" applyFill="1" applyBorder="1" applyAlignment="1" applyProtection="1">
      <alignment horizontal="left"/>
      <protection hidden="1"/>
    </xf>
    <xf numFmtId="0" fontId="9" fillId="3" borderId="14" xfId="0" applyFont="1" applyFill="1" applyBorder="1" applyAlignment="1" applyProtection="1">
      <alignment horizontal="left"/>
      <protection hidden="1"/>
    </xf>
    <xf numFmtId="0" fontId="9" fillId="3" borderId="29" xfId="0" applyFont="1" applyFill="1" applyBorder="1" applyAlignment="1" applyProtection="1">
      <alignment horizontal="left"/>
      <protection hidden="1"/>
    </xf>
    <xf numFmtId="11" fontId="0" fillId="10" borderId="15" xfId="0" applyNumberFormat="1" applyFill="1" applyBorder="1" applyAlignment="1" applyProtection="1">
      <alignment horizontal="right"/>
      <protection hidden="1"/>
    </xf>
    <xf numFmtId="11" fontId="0" fillId="10" borderId="30" xfId="0" applyNumberFormat="1" applyFill="1" applyBorder="1" applyAlignment="1" applyProtection="1">
      <alignment horizontal="right"/>
      <protection hidden="1"/>
    </xf>
    <xf numFmtId="0" fontId="0" fillId="3" borderId="1" xfId="0" applyFill="1" applyBorder="1" applyAlignment="1" applyProtection="1">
      <alignment horizontal="center" vertical="center" wrapText="1"/>
      <protection hidden="1"/>
    </xf>
    <xf numFmtId="4" fontId="0" fillId="4" borderId="15" xfId="0" applyNumberFormat="1" applyFill="1" applyBorder="1" applyAlignment="1" applyProtection="1">
      <alignment horizontal="right"/>
      <protection locked="0"/>
    </xf>
    <xf numFmtId="4" fontId="0" fillId="4" borderId="30" xfId="0" applyNumberFormat="1" applyFill="1" applyBorder="1" applyAlignment="1" applyProtection="1">
      <alignment horizontal="right"/>
      <protection locked="0"/>
    </xf>
    <xf numFmtId="181" fontId="0" fillId="4" borderId="15" xfId="0" applyNumberFormat="1" applyFill="1" applyBorder="1" applyAlignment="1" applyProtection="1">
      <alignment horizontal="right"/>
      <protection locked="0"/>
    </xf>
    <xf numFmtId="181" fontId="0" fillId="4" borderId="30" xfId="0" applyNumberFormat="1" applyFill="1" applyBorder="1" applyAlignment="1" applyProtection="1">
      <alignment horizontal="right"/>
      <protection locked="0"/>
    </xf>
    <xf numFmtId="0" fontId="0" fillId="3" borderId="7" xfId="0" applyFill="1" applyBorder="1" applyProtection="1">
      <protection hidden="1"/>
    </xf>
    <xf numFmtId="0" fontId="0" fillId="3" borderId="0" xfId="0" applyFill="1" applyProtection="1">
      <protection hidden="1"/>
    </xf>
    <xf numFmtId="0" fontId="7" fillId="3" borderId="4" xfId="0" applyFont="1" applyFill="1" applyBorder="1" applyAlignment="1" applyProtection="1">
      <alignment horizontal="center"/>
      <protection hidden="1"/>
    </xf>
    <xf numFmtId="0" fontId="7" fillId="3" borderId="5" xfId="0" applyFont="1" applyFill="1" applyBorder="1" applyAlignment="1" applyProtection="1">
      <alignment horizontal="center"/>
      <protection hidden="1"/>
    </xf>
    <xf numFmtId="0" fontId="7" fillId="3" borderId="6" xfId="0" applyFont="1" applyFill="1" applyBorder="1" applyAlignment="1" applyProtection="1">
      <alignment horizontal="center"/>
      <protection hidden="1"/>
    </xf>
    <xf numFmtId="0" fontId="0" fillId="3" borderId="7" xfId="0" applyFill="1" applyBorder="1" applyAlignment="1" applyProtection="1">
      <alignment horizontal="center"/>
      <protection hidden="1"/>
    </xf>
    <xf numFmtId="0" fontId="0" fillId="3" borderId="0" xfId="0" applyFill="1" applyAlignment="1" applyProtection="1">
      <alignment horizontal="center"/>
      <protection hidden="1"/>
    </xf>
    <xf numFmtId="0" fontId="0" fillId="3" borderId="8" xfId="0" applyFill="1" applyBorder="1" applyAlignment="1" applyProtection="1">
      <alignment horizontal="center"/>
      <protection hidden="1"/>
    </xf>
    <xf numFmtId="0" fontId="0" fillId="3" borderId="7" xfId="0" applyFill="1" applyBorder="1" applyAlignment="1" applyProtection="1">
      <alignment horizontal="left" wrapText="1"/>
      <protection hidden="1"/>
    </xf>
    <xf numFmtId="0" fontId="0" fillId="3" borderId="0" xfId="0" applyFill="1" applyAlignment="1" applyProtection="1">
      <alignment horizontal="left" wrapText="1"/>
      <protection hidden="1"/>
    </xf>
    <xf numFmtId="0" fontId="0" fillId="3" borderId="8" xfId="0" applyFill="1" applyBorder="1" applyAlignment="1" applyProtection="1">
      <alignment horizontal="left" wrapText="1"/>
      <protection hidden="1"/>
    </xf>
    <xf numFmtId="0" fontId="5" fillId="7" borderId="1" xfId="0" applyFont="1" applyFill="1" applyBorder="1" applyAlignment="1" applyProtection="1">
      <alignment horizontal="center" vertical="center"/>
      <protection hidden="1"/>
    </xf>
    <xf numFmtId="0" fontId="5" fillId="7" borderId="16" xfId="0" applyFont="1" applyFill="1" applyBorder="1" applyAlignment="1" applyProtection="1">
      <alignment horizontal="center" vertical="center"/>
      <protection hidden="1"/>
    </xf>
    <xf numFmtId="0" fontId="5" fillId="7" borderId="9" xfId="0" applyFont="1" applyFill="1" applyBorder="1" applyAlignment="1" applyProtection="1">
      <alignment horizontal="center" vertical="center"/>
      <protection hidden="1"/>
    </xf>
    <xf numFmtId="0" fontId="5" fillId="7" borderId="3" xfId="0" applyFont="1" applyFill="1" applyBorder="1" applyAlignment="1" applyProtection="1">
      <alignment horizontal="center" vertical="center"/>
      <protection hidden="1"/>
    </xf>
    <xf numFmtId="0" fontId="5" fillId="7" borderId="2" xfId="0" applyFont="1" applyFill="1" applyBorder="1" applyAlignment="1" applyProtection="1">
      <alignment horizontal="center" vertical="center"/>
      <protection hidden="1"/>
    </xf>
    <xf numFmtId="0" fontId="5" fillId="7" borderId="17" xfId="0" applyFont="1" applyFill="1" applyBorder="1" applyAlignment="1" applyProtection="1">
      <alignment horizontal="center" vertical="center"/>
      <protection hidden="1"/>
    </xf>
    <xf numFmtId="0" fontId="5" fillId="7" borderId="10" xfId="0" applyFont="1" applyFill="1" applyBorder="1" applyAlignment="1" applyProtection="1">
      <alignment horizontal="center" vertical="center"/>
      <protection hidden="1"/>
    </xf>
    <xf numFmtId="177" fontId="0" fillId="4" borderId="15" xfId="1" applyNumberFormat="1" applyFont="1" applyFill="1" applyBorder="1" applyAlignment="1" applyProtection="1">
      <alignment horizontal="right"/>
      <protection locked="0"/>
    </xf>
    <xf numFmtId="177" fontId="0" fillId="4" borderId="30" xfId="1" applyNumberFormat="1" applyFont="1" applyFill="1" applyBorder="1" applyAlignment="1" applyProtection="1">
      <alignment horizontal="right"/>
      <protection locked="0"/>
    </xf>
    <xf numFmtId="0" fontId="5" fillId="8" borderId="21" xfId="0" applyFont="1" applyFill="1" applyBorder="1" applyAlignment="1">
      <alignment horizontal="center"/>
    </xf>
    <xf numFmtId="0" fontId="5" fillId="8" borderId="22" xfId="0" applyFont="1" applyFill="1" applyBorder="1" applyAlignment="1">
      <alignment horizontal="center"/>
    </xf>
    <xf numFmtId="0" fontId="5" fillId="8" borderId="23" xfId="0" applyFont="1" applyFill="1" applyBorder="1" applyAlignment="1">
      <alignment horizontal="center"/>
    </xf>
  </cellXfs>
  <cellStyles count="2">
    <cellStyle name="百分比" xfId="1" builtinId="5"/>
    <cellStyle name="常规" xfId="0" builtinId="0"/>
  </cellStyles>
  <dxfs count="14">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rgb="FF00FF00"/>
        </patternFill>
      </fill>
    </dxf>
    <dxf>
      <fill>
        <patternFill>
          <bgColor rgb="FF00FF00"/>
        </patternFill>
      </fill>
    </dxf>
    <dxf>
      <fill>
        <patternFill>
          <bgColor theme="0" tint="-0.24994659260841701"/>
        </patternFill>
      </fill>
    </dxf>
    <dxf>
      <fill>
        <patternFill>
          <bgColor rgb="FF00FF00"/>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0" tint="-0.14996795556505021"/>
        </patternFill>
      </fill>
    </dxf>
    <dxf>
      <fill>
        <patternFill>
          <bgColor rgb="FF00FF00"/>
        </patternFill>
      </fill>
    </dxf>
  </dxfs>
  <tableStyles count="0" defaultTableStyle="TableStyleMedium9"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Open Loop Bode Plot</a:t>
            </a:r>
          </a:p>
        </c:rich>
      </c:tx>
      <c:layout>
        <c:manualLayout>
          <c:xMode val="edge"/>
          <c:yMode val="edge"/>
          <c:x val="0.33683336621269838"/>
          <c:y val="2.5442171813234427E-2"/>
        </c:manualLayout>
      </c:layout>
      <c:overlay val="0"/>
    </c:title>
    <c:autoTitleDeleted val="0"/>
    <c:plotArea>
      <c:layout>
        <c:manualLayout>
          <c:layoutTarget val="inner"/>
          <c:xMode val="edge"/>
          <c:yMode val="edge"/>
          <c:x val="0.10351211695000362"/>
          <c:y val="0.13133721433927467"/>
          <c:w val="0.77930176740855439"/>
          <c:h val="0.71510376866900049"/>
        </c:manualLayout>
      </c:layout>
      <c:scatterChart>
        <c:scatterStyle val="smoothMarker"/>
        <c:varyColors val="0"/>
        <c:ser>
          <c:idx val="0"/>
          <c:order val="0"/>
          <c:tx>
            <c:v>gain</c:v>
          </c:tx>
          <c:marker>
            <c:symbol val="none"/>
          </c:marker>
          <c:xVal>
            <c:numRef>
              <c:f>'Frequency Response Calculation'!$B$3:$B$43</c:f>
              <c:numCache>
                <c:formatCode>#,##0</c:formatCode>
                <c:ptCount val="41"/>
                <c:pt idx="0">
                  <c:v>100</c:v>
                </c:pt>
                <c:pt idx="1">
                  <c:v>125.8925411794168</c:v>
                </c:pt>
                <c:pt idx="2">
                  <c:v>158.48931924611136</c:v>
                </c:pt>
                <c:pt idx="3">
                  <c:v>199.52623149688804</c:v>
                </c:pt>
                <c:pt idx="4">
                  <c:v>251.188643150958</c:v>
                </c:pt>
                <c:pt idx="5">
                  <c:v>316.22776601683802</c:v>
                </c:pt>
                <c:pt idx="6">
                  <c:v>398.10717055349755</c:v>
                </c:pt>
                <c:pt idx="7">
                  <c:v>501.18723362727235</c:v>
                </c:pt>
                <c:pt idx="8">
                  <c:v>630.95734448019368</c:v>
                </c:pt>
                <c:pt idx="9">
                  <c:v>794.32823472428197</c:v>
                </c:pt>
                <c:pt idx="10">
                  <c:v>1000</c:v>
                </c:pt>
                <c:pt idx="11">
                  <c:v>1258.9254117941678</c:v>
                </c:pt>
                <c:pt idx="12">
                  <c:v>1584.8931924611154</c:v>
                </c:pt>
                <c:pt idx="13">
                  <c:v>1995.2623149688802</c:v>
                </c:pt>
                <c:pt idx="14">
                  <c:v>2511.8864315095807</c:v>
                </c:pt>
                <c:pt idx="15">
                  <c:v>3162.2776601683827</c:v>
                </c:pt>
                <c:pt idx="16">
                  <c:v>3981.071705534976</c:v>
                </c:pt>
                <c:pt idx="17">
                  <c:v>5011.8723362727269</c:v>
                </c:pt>
                <c:pt idx="18">
                  <c:v>6309.5734448019321</c:v>
                </c:pt>
                <c:pt idx="19">
                  <c:v>7943.2823472428208</c:v>
                </c:pt>
                <c:pt idx="20">
                  <c:v>10000</c:v>
                </c:pt>
                <c:pt idx="21">
                  <c:v>12589.25411794168</c:v>
                </c:pt>
                <c:pt idx="22">
                  <c:v>15848.931924611155</c:v>
                </c:pt>
                <c:pt idx="23">
                  <c:v>19952.623149688803</c:v>
                </c:pt>
                <c:pt idx="24">
                  <c:v>25118.864315095812</c:v>
                </c:pt>
                <c:pt idx="25">
                  <c:v>31622.776601683803</c:v>
                </c:pt>
                <c:pt idx="26">
                  <c:v>39810.717055349771</c:v>
                </c:pt>
                <c:pt idx="27">
                  <c:v>50118.723362727324</c:v>
                </c:pt>
                <c:pt idx="28">
                  <c:v>63095.734448019386</c:v>
                </c:pt>
                <c:pt idx="29">
                  <c:v>79432.82347242815</c:v>
                </c:pt>
                <c:pt idx="30">
                  <c:v>100000</c:v>
                </c:pt>
                <c:pt idx="31">
                  <c:v>125892.54117941672</c:v>
                </c:pt>
                <c:pt idx="32">
                  <c:v>158489.31924611147</c:v>
                </c:pt>
                <c:pt idx="33">
                  <c:v>199526.23149688792</c:v>
                </c:pt>
                <c:pt idx="34">
                  <c:v>251188.64315095858</c:v>
                </c:pt>
                <c:pt idx="35">
                  <c:v>316227.76601683837</c:v>
                </c:pt>
                <c:pt idx="36">
                  <c:v>398107.17055349739</c:v>
                </c:pt>
                <c:pt idx="37">
                  <c:v>501187.23362727294</c:v>
                </c:pt>
                <c:pt idx="38">
                  <c:v>630957.34448019345</c:v>
                </c:pt>
                <c:pt idx="39">
                  <c:v>794328.2347242824</c:v>
                </c:pt>
                <c:pt idx="40">
                  <c:v>1000000</c:v>
                </c:pt>
              </c:numCache>
            </c:numRef>
          </c:xVal>
          <c:yVal>
            <c:numRef>
              <c:f>'Frequency Response Calculation'!$AC$3:$AC$43</c:f>
              <c:numCache>
                <c:formatCode>0.0000</c:formatCode>
                <c:ptCount val="41"/>
                <c:pt idx="0">
                  <c:v>25.464769014426569</c:v>
                </c:pt>
                <c:pt idx="1">
                  <c:v>23.131355468926941</c:v>
                </c:pt>
                <c:pt idx="2">
                  <c:v>20.708910431112834</c:v>
                </c:pt>
                <c:pt idx="3">
                  <c:v>18.215482641999262</c:v>
                </c:pt>
                <c:pt idx="4">
                  <c:v>15.689918627452</c:v>
                </c:pt>
                <c:pt idx="5">
                  <c:v>13.18189169063429</c:v>
                </c:pt>
                <c:pt idx="6">
                  <c:v>10.735096614450665</c:v>
                </c:pt>
                <c:pt idx="7">
                  <c:v>8.3743063884077866</c:v>
                </c:pt>
                <c:pt idx="8">
                  <c:v>6.1032819782090266</c:v>
                </c:pt>
                <c:pt idx="9">
                  <c:v>3.9113851681655283</c:v>
                </c:pt>
                <c:pt idx="10">
                  <c:v>1.7822641088583582</c:v>
                </c:pt>
                <c:pt idx="11">
                  <c:v>-0.29991251500629795</c:v>
                </c:pt>
                <c:pt idx="12">
                  <c:v>-2.3474724188215106</c:v>
                </c:pt>
                <c:pt idx="13">
                  <c:v>-4.3684099841019499</c:v>
                </c:pt>
                <c:pt idx="14">
                  <c:v>-6.3664599866553919</c:v>
                </c:pt>
                <c:pt idx="15">
                  <c:v>-8.3412930852878446</c:v>
                </c:pt>
                <c:pt idx="16">
                  <c:v>-10.288511251654851</c:v>
                </c:pt>
                <c:pt idx="17">
                  <c:v>-12.199471899301136</c:v>
                </c:pt>
                <c:pt idx="18">
                  <c:v>-14.06130847811572</c:v>
                </c:pt>
                <c:pt idx="19">
                  <c:v>-15.857891261151529</c:v>
                </c:pt>
                <c:pt idx="20">
                  <c:v>-17.572645285029381</c:v>
                </c:pt>
                <c:pt idx="21">
                  <c:v>-19.193432416818641</c:v>
                </c:pt>
                <c:pt idx="22">
                  <c:v>-20.717633028097545</c:v>
                </c:pt>
                <c:pt idx="23">
                  <c:v>-22.153728212699104</c:v>
                </c:pt>
                <c:pt idx="24">
                  <c:v>-23.517783084198314</c:v>
                </c:pt>
                <c:pt idx="25">
                  <c:v>-24.82910957535637</c:v>
                </c:pt>
                <c:pt idx="26">
                  <c:v>-26.111291514630874</c:v>
                </c:pt>
                <c:pt idx="27">
                  <c:v>-27.397850629390796</c:v>
                </c:pt>
                <c:pt idx="28">
                  <c:v>-28.734211676491931</c:v>
                </c:pt>
                <c:pt idx="29">
                  <c:v>-30.170205396250175</c:v>
                </c:pt>
                <c:pt idx="30">
                  <c:v>-31.747938453419621</c:v>
                </c:pt>
                <c:pt idx="31">
                  <c:v>-33.495414619638382</c:v>
                </c:pt>
                <c:pt idx="32">
                  <c:v>-35.430672149749014</c:v>
                </c:pt>
                <c:pt idx="33">
                  <c:v>-37.572291492263162</c:v>
                </c:pt>
                <c:pt idx="34">
                  <c:v>-39.948984012561297</c:v>
                </c:pt>
                <c:pt idx="35">
                  <c:v>-42.603393235039213</c:v>
                </c:pt>
                <c:pt idx="36">
                  <c:v>-45.588938953326902</c:v>
                </c:pt>
                <c:pt idx="37">
                  <c:v>-48.961933666525013</c:v>
                </c:pt>
                <c:pt idx="38">
                  <c:v>-52.773633821396245</c:v>
                </c:pt>
                <c:pt idx="39">
                  <c:v>-57.065796262774811</c:v>
                </c:pt>
                <c:pt idx="40">
                  <c:v>-61.868542300159561</c:v>
                </c:pt>
              </c:numCache>
            </c:numRef>
          </c:yVal>
          <c:smooth val="1"/>
          <c:extLst>
            <c:ext xmlns:c16="http://schemas.microsoft.com/office/drawing/2014/chart" uri="{C3380CC4-5D6E-409C-BE32-E72D297353CC}">
              <c16:uniqueId val="{00000000-54AB-4BDF-A30C-E1451DE215FC}"/>
            </c:ext>
          </c:extLst>
        </c:ser>
        <c:dLbls>
          <c:showLegendKey val="0"/>
          <c:showVal val="0"/>
          <c:showCatName val="0"/>
          <c:showSerName val="0"/>
          <c:showPercent val="0"/>
          <c:showBubbleSize val="0"/>
        </c:dLbls>
        <c:axId val="125889920"/>
        <c:axId val="125892096"/>
      </c:scatterChart>
      <c:scatterChart>
        <c:scatterStyle val="smoothMarker"/>
        <c:varyColors val="0"/>
        <c:ser>
          <c:idx val="1"/>
          <c:order val="1"/>
          <c:tx>
            <c:v>phase</c:v>
          </c:tx>
          <c:marker>
            <c:symbol val="none"/>
          </c:marker>
          <c:xVal>
            <c:numRef>
              <c:f>'Frequency Response Calculation'!$B$3:$B$43</c:f>
              <c:numCache>
                <c:formatCode>#,##0</c:formatCode>
                <c:ptCount val="41"/>
                <c:pt idx="0">
                  <c:v>100</c:v>
                </c:pt>
                <c:pt idx="1">
                  <c:v>125.8925411794168</c:v>
                </c:pt>
                <c:pt idx="2">
                  <c:v>158.48931924611136</c:v>
                </c:pt>
                <c:pt idx="3">
                  <c:v>199.52623149688804</c:v>
                </c:pt>
                <c:pt idx="4">
                  <c:v>251.188643150958</c:v>
                </c:pt>
                <c:pt idx="5">
                  <c:v>316.22776601683802</c:v>
                </c:pt>
                <c:pt idx="6">
                  <c:v>398.10717055349755</c:v>
                </c:pt>
                <c:pt idx="7">
                  <c:v>501.18723362727235</c:v>
                </c:pt>
                <c:pt idx="8">
                  <c:v>630.95734448019368</c:v>
                </c:pt>
                <c:pt idx="9">
                  <c:v>794.32823472428197</c:v>
                </c:pt>
                <c:pt idx="10">
                  <c:v>1000</c:v>
                </c:pt>
                <c:pt idx="11">
                  <c:v>1258.9254117941678</c:v>
                </c:pt>
                <c:pt idx="12">
                  <c:v>1584.8931924611154</c:v>
                </c:pt>
                <c:pt idx="13">
                  <c:v>1995.2623149688802</c:v>
                </c:pt>
                <c:pt idx="14">
                  <c:v>2511.8864315095807</c:v>
                </c:pt>
                <c:pt idx="15">
                  <c:v>3162.2776601683827</c:v>
                </c:pt>
                <c:pt idx="16">
                  <c:v>3981.071705534976</c:v>
                </c:pt>
                <c:pt idx="17">
                  <c:v>5011.8723362727269</c:v>
                </c:pt>
                <c:pt idx="18">
                  <c:v>6309.5734448019321</c:v>
                </c:pt>
                <c:pt idx="19">
                  <c:v>7943.2823472428208</c:v>
                </c:pt>
                <c:pt idx="20">
                  <c:v>10000</c:v>
                </c:pt>
                <c:pt idx="21">
                  <c:v>12589.25411794168</c:v>
                </c:pt>
                <c:pt idx="22">
                  <c:v>15848.931924611155</c:v>
                </c:pt>
                <c:pt idx="23">
                  <c:v>19952.623149688803</c:v>
                </c:pt>
                <c:pt idx="24">
                  <c:v>25118.864315095812</c:v>
                </c:pt>
                <c:pt idx="25">
                  <c:v>31622.776601683803</c:v>
                </c:pt>
                <c:pt idx="26">
                  <c:v>39810.717055349771</c:v>
                </c:pt>
                <c:pt idx="27">
                  <c:v>50118.723362727324</c:v>
                </c:pt>
                <c:pt idx="28">
                  <c:v>63095.734448019386</c:v>
                </c:pt>
                <c:pt idx="29">
                  <c:v>79432.82347242815</c:v>
                </c:pt>
                <c:pt idx="30">
                  <c:v>100000</c:v>
                </c:pt>
                <c:pt idx="31">
                  <c:v>125892.54117941672</c:v>
                </c:pt>
                <c:pt idx="32">
                  <c:v>158489.31924611147</c:v>
                </c:pt>
                <c:pt idx="33">
                  <c:v>199526.23149688792</c:v>
                </c:pt>
                <c:pt idx="34">
                  <c:v>251188.64315095858</c:v>
                </c:pt>
                <c:pt idx="35">
                  <c:v>316227.76601683837</c:v>
                </c:pt>
                <c:pt idx="36">
                  <c:v>398107.17055349739</c:v>
                </c:pt>
                <c:pt idx="37">
                  <c:v>501187.23362727294</c:v>
                </c:pt>
                <c:pt idx="38">
                  <c:v>630957.34448019345</c:v>
                </c:pt>
                <c:pt idx="39">
                  <c:v>794328.2347242824</c:v>
                </c:pt>
                <c:pt idx="40">
                  <c:v>1000000</c:v>
                </c:pt>
              </c:numCache>
            </c:numRef>
          </c:xVal>
          <c:yVal>
            <c:numRef>
              <c:f>'Frequency Response Calculation'!$AD$3:$AD$43</c:f>
              <c:numCache>
                <c:formatCode>0.0000</c:formatCode>
                <c:ptCount val="41"/>
                <c:pt idx="0">
                  <c:v>79.41194383824508</c:v>
                </c:pt>
                <c:pt idx="1">
                  <c:v>77.304433100763788</c:v>
                </c:pt>
                <c:pt idx="2">
                  <c:v>75.50226070658411</c:v>
                </c:pt>
                <c:pt idx="3">
                  <c:v>74.233380830043899</c:v>
                </c:pt>
                <c:pt idx="4">
                  <c:v>73.654430925619607</c:v>
                </c:pt>
                <c:pt idx="5">
                  <c:v>73.767428579704003</c:v>
                </c:pt>
                <c:pt idx="6">
                  <c:v>74.405261052728335</c:v>
                </c:pt>
                <c:pt idx="7">
                  <c:v>75.296588350902027</c:v>
                </c:pt>
                <c:pt idx="8">
                  <c:v>76.158990956845713</c:v>
                </c:pt>
                <c:pt idx="9">
                  <c:v>76.762075478306571</c:v>
                </c:pt>
                <c:pt idx="10">
                  <c:v>76.942527937914832</c:v>
                </c:pt>
                <c:pt idx="11">
                  <c:v>76.587595286264232</c:v>
                </c:pt>
                <c:pt idx="12">
                  <c:v>75.609250528980056</c:v>
                </c:pt>
                <c:pt idx="13">
                  <c:v>73.921777727361587</c:v>
                </c:pt>
                <c:pt idx="14">
                  <c:v>71.426570438845516</c:v>
                </c:pt>
                <c:pt idx="15">
                  <c:v>68.004227403844425</c:v>
                </c:pt>
                <c:pt idx="16">
                  <c:v>63.514108772929895</c:v>
                </c:pt>
                <c:pt idx="17">
                  <c:v>57.803289866702855</c:v>
                </c:pt>
                <c:pt idx="18">
                  <c:v>50.728699893184221</c:v>
                </c:pt>
                <c:pt idx="19">
                  <c:v>42.19598899006327</c:v>
                </c:pt>
                <c:pt idx="20">
                  <c:v>32.212700305562194</c:v>
                </c:pt>
                <c:pt idx="21">
                  <c:v>20.938676054605764</c:v>
                </c:pt>
                <c:pt idx="22">
                  <c:v>8.6988270762513338</c:v>
                </c:pt>
                <c:pt idx="23">
                  <c:v>-4.0771874159060104</c:v>
                </c:pt>
                <c:pt idx="24">
                  <c:v>-16.987823622718309</c:v>
                </c:pt>
                <c:pt idx="25">
                  <c:v>-29.80804922765746</c:v>
                </c:pt>
                <c:pt idx="26">
                  <c:v>-42.569881100255273</c:v>
                </c:pt>
                <c:pt idx="27">
                  <c:v>-55.527929862906134</c:v>
                </c:pt>
                <c:pt idx="28">
                  <c:v>-69.041023330989319</c:v>
                </c:pt>
                <c:pt idx="29">
                  <c:v>-83.46084216117076</c:v>
                </c:pt>
                <c:pt idx="30">
                  <c:v>-99.104320943424469</c:v>
                </c:pt>
                <c:pt idx="31">
                  <c:v>-116.30910318214974</c:v>
                </c:pt>
                <c:pt idx="32">
                  <c:v>-135.50938020374556</c:v>
                </c:pt>
                <c:pt idx="33">
                  <c:v>-157.27549358081262</c:v>
                </c:pt>
                <c:pt idx="34">
                  <c:v>-182.30570384895836</c:v>
                </c:pt>
                <c:pt idx="35">
                  <c:v>-211.39237903675581</c:v>
                </c:pt>
                <c:pt idx="36">
                  <c:v>-244.65802222475335</c:v>
                </c:pt>
                <c:pt idx="37">
                  <c:v>-261.0234648153745</c:v>
                </c:pt>
                <c:pt idx="38">
                  <c:v>-278.23994847241528</c:v>
                </c:pt>
                <c:pt idx="39">
                  <c:v>-296.03918560911262</c:v>
                </c:pt>
                <c:pt idx="40">
                  <c:v>-314.07186125076487</c:v>
                </c:pt>
              </c:numCache>
            </c:numRef>
          </c:yVal>
          <c:smooth val="1"/>
          <c:extLst>
            <c:ext xmlns:c16="http://schemas.microsoft.com/office/drawing/2014/chart" uri="{C3380CC4-5D6E-409C-BE32-E72D297353CC}">
              <c16:uniqueId val="{00000001-54AB-4BDF-A30C-E1451DE215FC}"/>
            </c:ext>
          </c:extLst>
        </c:ser>
        <c:dLbls>
          <c:showLegendKey val="0"/>
          <c:showVal val="0"/>
          <c:showCatName val="0"/>
          <c:showSerName val="0"/>
          <c:showPercent val="0"/>
          <c:showBubbleSize val="0"/>
        </c:dLbls>
        <c:axId val="125572608"/>
        <c:axId val="125894016"/>
      </c:scatterChart>
      <c:valAx>
        <c:axId val="125889920"/>
        <c:scaling>
          <c:logBase val="10"/>
          <c:orientation val="minMax"/>
          <c:min val="100"/>
        </c:scaling>
        <c:delete val="0"/>
        <c:axPos val="b"/>
        <c:minorGridlines/>
        <c:title>
          <c:tx>
            <c:rich>
              <a:bodyPr/>
              <a:lstStyle/>
              <a:p>
                <a:pPr>
                  <a:defRPr/>
                </a:pPr>
                <a:r>
                  <a:rPr lang="en-US" sz="1600"/>
                  <a:t>Frequency</a:t>
                </a:r>
              </a:p>
            </c:rich>
          </c:tx>
          <c:overlay val="0"/>
        </c:title>
        <c:numFmt formatCode="#,##0" sourceLinked="0"/>
        <c:majorTickMark val="out"/>
        <c:minorTickMark val="out"/>
        <c:tickLblPos val="nextTo"/>
        <c:crossAx val="125892096"/>
        <c:crossesAt val="-40"/>
        <c:crossBetween val="midCat"/>
      </c:valAx>
      <c:valAx>
        <c:axId val="125892096"/>
        <c:scaling>
          <c:orientation val="minMax"/>
          <c:max val="50"/>
          <c:min val="-40"/>
        </c:scaling>
        <c:delete val="0"/>
        <c:axPos val="l"/>
        <c:majorGridlines/>
        <c:title>
          <c:tx>
            <c:rich>
              <a:bodyPr rot="-5400000" vert="horz"/>
              <a:lstStyle/>
              <a:p>
                <a:pPr>
                  <a:defRPr/>
                </a:pPr>
                <a:r>
                  <a:rPr lang="en-US" sz="1600"/>
                  <a:t>Gain (dB)</a:t>
                </a:r>
              </a:p>
            </c:rich>
          </c:tx>
          <c:layout>
            <c:manualLayout>
              <c:xMode val="edge"/>
              <c:yMode val="edge"/>
              <c:x val="1.2668055197675866E-2"/>
              <c:y val="0.39258165896075209"/>
            </c:manualLayout>
          </c:layout>
          <c:overlay val="0"/>
        </c:title>
        <c:numFmt formatCode="0" sourceLinked="0"/>
        <c:majorTickMark val="out"/>
        <c:minorTickMark val="none"/>
        <c:tickLblPos val="nextTo"/>
        <c:crossAx val="125889920"/>
        <c:crossesAt val="100"/>
        <c:crossBetween val="midCat"/>
        <c:majorUnit val="5"/>
      </c:valAx>
      <c:valAx>
        <c:axId val="125894016"/>
        <c:scaling>
          <c:orientation val="minMax"/>
          <c:max val="150"/>
          <c:min val="-120"/>
        </c:scaling>
        <c:delete val="0"/>
        <c:axPos val="r"/>
        <c:title>
          <c:tx>
            <c:rich>
              <a:bodyPr rot="-5400000" vert="horz"/>
              <a:lstStyle/>
              <a:p>
                <a:pPr>
                  <a:defRPr/>
                </a:pPr>
                <a:r>
                  <a:rPr lang="en-US" sz="1600"/>
                  <a:t>Phase Margin (degree)</a:t>
                </a:r>
              </a:p>
            </c:rich>
          </c:tx>
          <c:layout>
            <c:manualLayout>
              <c:xMode val="edge"/>
              <c:yMode val="edge"/>
              <c:x val="0.93752764446601256"/>
              <c:y val="0.25869218199036648"/>
            </c:manualLayout>
          </c:layout>
          <c:overlay val="0"/>
        </c:title>
        <c:numFmt formatCode="0" sourceLinked="0"/>
        <c:majorTickMark val="out"/>
        <c:minorTickMark val="none"/>
        <c:tickLblPos val="nextTo"/>
        <c:crossAx val="125572608"/>
        <c:crosses val="max"/>
        <c:crossBetween val="midCat"/>
        <c:majorUnit val="15"/>
      </c:valAx>
      <c:valAx>
        <c:axId val="125572608"/>
        <c:scaling>
          <c:logBase val="10"/>
          <c:orientation val="minMax"/>
        </c:scaling>
        <c:delete val="1"/>
        <c:axPos val="b"/>
        <c:numFmt formatCode="#,##0" sourceLinked="1"/>
        <c:majorTickMark val="out"/>
        <c:minorTickMark val="none"/>
        <c:tickLblPos val="nextTo"/>
        <c:crossAx val="125894016"/>
        <c:crosses val="autoZero"/>
        <c:crossBetween val="midCat"/>
      </c:valAx>
    </c:plotArea>
    <c:legend>
      <c:legendPos val="r"/>
      <c:layout>
        <c:manualLayout>
          <c:xMode val="edge"/>
          <c:yMode val="edge"/>
          <c:x val="0.74957898417776148"/>
          <c:y val="0.14001761111979444"/>
          <c:w val="9.5922648668389551E-2"/>
          <c:h val="0.10223746427689809"/>
        </c:manualLayout>
      </c:layout>
      <c:overlay val="0"/>
      <c:spPr>
        <a:solidFill>
          <a:schemeClr val="bg1"/>
        </a:solidFill>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5</xdr:col>
      <xdr:colOff>34834</xdr:colOff>
      <xdr:row>71</xdr:row>
      <xdr:rowOff>35924</xdr:rowOff>
    </xdr:from>
    <xdr:to>
      <xdr:col>15</xdr:col>
      <xdr:colOff>524691</xdr:colOff>
      <xdr:row>102</xdr:row>
      <xdr:rowOff>15240</xdr:rowOff>
    </xdr:to>
    <xdr:grpSp>
      <xdr:nvGrpSpPr>
        <xdr:cNvPr id="2" name="Group 1">
          <a:extLst>
            <a:ext uri="{FF2B5EF4-FFF2-40B4-BE49-F238E27FC236}">
              <a16:creationId xmlns:a16="http://schemas.microsoft.com/office/drawing/2014/main" id="{00000000-0008-0000-0000-000002000000}"/>
            </a:ext>
          </a:extLst>
        </xdr:cNvPr>
        <xdr:cNvGrpSpPr/>
      </xdr:nvGrpSpPr>
      <xdr:grpSpPr>
        <a:xfrm>
          <a:off x="6930934" y="13607144"/>
          <a:ext cx="6905897" cy="5290456"/>
          <a:chOff x="6669810" y="12666539"/>
          <a:chExt cx="6585857" cy="4008623"/>
        </a:xfrm>
      </xdr:grpSpPr>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6669810" y="12666539"/>
          <a:ext cx="6585857" cy="4008623"/>
        </xdr:xfrm>
        <a:graphic>
          <a:graphicData uri="http://schemas.openxmlformats.org/drawingml/2006/chart">
            <c:chart xmlns:c="http://schemas.openxmlformats.org/drawingml/2006/chart" xmlns:r="http://schemas.openxmlformats.org/officeDocument/2006/relationships" r:id="rId1"/>
          </a:graphicData>
        </a:graphic>
      </xdr:graphicFrame>
      <xdr:cxnSp macro="">
        <xdr:nvCxnSpPr>
          <xdr:cNvPr id="5" name="Straight Connector 4">
            <a:extLst>
              <a:ext uri="{FF2B5EF4-FFF2-40B4-BE49-F238E27FC236}">
                <a16:creationId xmlns:a16="http://schemas.microsoft.com/office/drawing/2014/main" id="{00000000-0008-0000-0000-000005000000}"/>
              </a:ext>
            </a:extLst>
          </xdr:cNvPr>
          <xdr:cNvCxnSpPr/>
        </xdr:nvCxnSpPr>
        <xdr:spPr>
          <a:xfrm>
            <a:off x="7345534" y="14784867"/>
            <a:ext cx="5143500"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mc:AlternateContent xmlns:mc="http://schemas.openxmlformats.org/markup-compatibility/2006">
    <mc:Choice xmlns:a14="http://schemas.microsoft.com/office/drawing/2010/main" Requires="a14">
      <xdr:twoCellAnchor editAs="oneCell">
        <xdr:from>
          <xdr:col>5</xdr:col>
          <xdr:colOff>53340</xdr:colOff>
          <xdr:row>12</xdr:row>
          <xdr:rowOff>38100</xdr:rowOff>
        </xdr:from>
        <xdr:to>
          <xdr:col>15</xdr:col>
          <xdr:colOff>220980</xdr:colOff>
          <xdr:row>30</xdr:row>
          <xdr:rowOff>175260</xdr:rowOff>
        </xdr:to>
        <xdr:sp macro="" textlink="">
          <xdr:nvSpPr>
            <xdr:cNvPr id="1209" name="Object 185" hidden="1">
              <a:extLst>
                <a:ext uri="{63B3BB69-23CF-44E3-9099-C40C66FF867C}">
                  <a14:compatExt spid="_x0000_s1209"/>
                </a:ext>
                <a:ext uri="{FF2B5EF4-FFF2-40B4-BE49-F238E27FC236}">
                  <a16:creationId xmlns:a16="http://schemas.microsoft.com/office/drawing/2014/main" id="{00000000-0008-0000-0000-0000B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image" Target="../media/image1.emf"/><Relationship Id="rId5" Type="http://schemas.openxmlformats.org/officeDocument/2006/relationships/oleObject" Target="../embeddings/oleObject1.bin"/><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30"/>
  <sheetViews>
    <sheetView tabSelected="1" topLeftCell="A13" zoomScaleNormal="100" workbookViewId="0">
      <selection activeCell="C34" sqref="C34"/>
    </sheetView>
  </sheetViews>
  <sheetFormatPr defaultRowHeight="13.2"/>
  <cols>
    <col min="1" max="1" width="2.6640625" style="108" customWidth="1"/>
    <col min="2" max="2" width="24" style="61" customWidth="1"/>
    <col min="3" max="3" width="13.33203125" style="61" customWidth="1"/>
    <col min="4" max="4" width="6.6640625" style="61" customWidth="1"/>
    <col min="5" max="5" width="53.88671875" style="61" customWidth="1"/>
    <col min="6" max="6" width="9.33203125" style="61" customWidth="1"/>
    <col min="7" max="11" width="8.88671875" style="61" customWidth="1"/>
    <col min="12" max="13" width="8.88671875" style="61"/>
    <col min="14" max="14" width="13.109375" style="61" bestFit="1" customWidth="1"/>
    <col min="15" max="16" width="8.88671875" style="61"/>
    <col min="17" max="17" width="2.6640625" style="61" customWidth="1"/>
    <col min="18" max="19" width="8.88671875" style="61"/>
    <col min="20" max="20" width="8.88671875" style="61" customWidth="1"/>
    <col min="21" max="16384" width="8.88671875" style="61"/>
  </cols>
  <sheetData>
    <row r="1" spans="1:17" ht="13.8" thickBot="1">
      <c r="A1" s="58"/>
      <c r="B1" s="59"/>
      <c r="C1" s="59"/>
      <c r="D1" s="59"/>
      <c r="E1" s="59"/>
      <c r="F1" s="59"/>
      <c r="G1" s="59"/>
      <c r="H1" s="59"/>
      <c r="I1" s="59"/>
      <c r="J1" s="60"/>
      <c r="K1" s="60"/>
      <c r="L1" s="60"/>
      <c r="M1" s="60"/>
      <c r="N1" s="60"/>
      <c r="O1" s="60"/>
      <c r="P1" s="60"/>
      <c r="Q1" s="60"/>
    </row>
    <row r="2" spans="1:17" ht="16.2" thickTop="1">
      <c r="A2" s="58"/>
      <c r="B2" s="140" t="s">
        <v>284</v>
      </c>
      <c r="C2" s="141"/>
      <c r="D2" s="141"/>
      <c r="E2" s="141"/>
      <c r="F2" s="141"/>
      <c r="G2" s="141"/>
      <c r="H2" s="141"/>
      <c r="I2" s="141"/>
      <c r="J2" s="141"/>
      <c r="K2" s="141"/>
      <c r="L2" s="141"/>
      <c r="M2" s="141"/>
      <c r="N2" s="141"/>
      <c r="O2" s="141"/>
      <c r="P2" s="142"/>
      <c r="Q2" s="60"/>
    </row>
    <row r="3" spans="1:17">
      <c r="A3" s="58"/>
      <c r="B3" s="143" t="s">
        <v>340</v>
      </c>
      <c r="C3" s="144"/>
      <c r="D3" s="144"/>
      <c r="E3" s="144"/>
      <c r="F3" s="144"/>
      <c r="G3" s="144"/>
      <c r="H3" s="144"/>
      <c r="I3" s="144"/>
      <c r="J3" s="144"/>
      <c r="K3" s="144"/>
      <c r="L3" s="144"/>
      <c r="M3" s="144"/>
      <c r="N3" s="144"/>
      <c r="O3" s="144"/>
      <c r="P3" s="145"/>
      <c r="Q3" s="60"/>
    </row>
    <row r="4" spans="1:17">
      <c r="A4" s="58"/>
      <c r="B4" s="143"/>
      <c r="C4" s="144"/>
      <c r="D4" s="144"/>
      <c r="E4" s="144"/>
      <c r="F4" s="144"/>
      <c r="G4" s="144"/>
      <c r="H4" s="144"/>
      <c r="I4" s="144"/>
      <c r="J4" s="144"/>
      <c r="K4" s="144"/>
      <c r="L4" s="144"/>
      <c r="M4" s="144"/>
      <c r="N4" s="144"/>
      <c r="O4" s="144"/>
      <c r="P4" s="145"/>
      <c r="Q4" s="60"/>
    </row>
    <row r="5" spans="1:17">
      <c r="A5" s="58"/>
      <c r="B5" s="62"/>
      <c r="C5" s="63"/>
      <c r="D5" s="63"/>
      <c r="E5" s="63"/>
      <c r="F5" s="63"/>
      <c r="G5" s="63"/>
      <c r="H5" s="63"/>
      <c r="I5" s="63"/>
      <c r="J5" s="63"/>
      <c r="K5" s="64"/>
      <c r="L5" s="64"/>
      <c r="M5" s="64"/>
      <c r="N5" s="64"/>
      <c r="O5" s="64"/>
      <c r="P5" s="65"/>
      <c r="Q5" s="60"/>
    </row>
    <row r="6" spans="1:17" ht="13.2" customHeight="1">
      <c r="A6" s="58"/>
      <c r="B6" s="146" t="s">
        <v>39</v>
      </c>
      <c r="C6" s="147"/>
      <c r="D6" s="147"/>
      <c r="E6" s="147"/>
      <c r="F6" s="147"/>
      <c r="G6" s="147"/>
      <c r="H6" s="147"/>
      <c r="I6" s="147"/>
      <c r="J6" s="147"/>
      <c r="K6" s="147"/>
      <c r="L6" s="147"/>
      <c r="M6" s="147"/>
      <c r="N6" s="147"/>
      <c r="O6" s="147"/>
      <c r="P6" s="148"/>
      <c r="Q6" s="60"/>
    </row>
    <row r="7" spans="1:17">
      <c r="A7" s="58"/>
      <c r="B7" s="138"/>
      <c r="C7" s="139"/>
      <c r="D7" s="139"/>
      <c r="E7" s="139"/>
      <c r="F7" s="139"/>
      <c r="G7" s="139"/>
      <c r="H7" s="139"/>
      <c r="I7" s="139"/>
      <c r="J7" s="139"/>
      <c r="K7" s="64"/>
      <c r="L7" s="64"/>
      <c r="M7" s="64"/>
      <c r="N7" s="64"/>
      <c r="O7" s="64"/>
      <c r="P7" s="65"/>
      <c r="Q7" s="60"/>
    </row>
    <row r="8" spans="1:17" ht="15.6">
      <c r="A8" s="58"/>
      <c r="B8" s="66"/>
      <c r="C8" s="67"/>
      <c r="D8" s="68" t="s">
        <v>97</v>
      </c>
      <c r="E8" s="69"/>
      <c r="F8" s="64"/>
      <c r="G8" s="64"/>
      <c r="H8" s="64"/>
      <c r="I8" s="64"/>
      <c r="J8" s="64"/>
      <c r="K8" s="64"/>
      <c r="L8" s="64"/>
      <c r="M8" s="64"/>
      <c r="N8" s="64"/>
      <c r="O8" s="64"/>
      <c r="P8" s="65"/>
      <c r="Q8" s="60"/>
    </row>
    <row r="9" spans="1:17" ht="15.6">
      <c r="A9" s="58"/>
      <c r="B9" s="66"/>
      <c r="C9" s="70"/>
      <c r="D9" s="68" t="s">
        <v>45</v>
      </c>
      <c r="E9" s="69"/>
      <c r="F9" s="64"/>
      <c r="G9" s="64"/>
      <c r="H9" s="64"/>
      <c r="I9" s="64"/>
      <c r="J9" s="64"/>
      <c r="K9" s="64"/>
      <c r="L9" s="64"/>
      <c r="M9" s="64"/>
      <c r="N9" s="64"/>
      <c r="O9" s="64"/>
      <c r="P9" s="65"/>
      <c r="Q9" s="60"/>
    </row>
    <row r="10" spans="1:17" ht="13.8">
      <c r="A10" s="58"/>
      <c r="B10" s="66"/>
      <c r="C10" s="71"/>
      <c r="D10" s="68" t="s">
        <v>44</v>
      </c>
      <c r="E10" s="64"/>
      <c r="F10" s="64"/>
      <c r="G10" s="64"/>
      <c r="H10" s="64"/>
      <c r="I10" s="64"/>
      <c r="J10" s="64"/>
      <c r="K10" s="64"/>
      <c r="L10" s="64"/>
      <c r="M10" s="64"/>
      <c r="N10" s="64"/>
      <c r="O10" s="64"/>
      <c r="P10" s="65"/>
      <c r="Q10" s="60"/>
    </row>
    <row r="11" spans="1:17" ht="13.8">
      <c r="A11" s="58"/>
      <c r="B11" s="66"/>
      <c r="C11" s="64"/>
      <c r="D11" s="68"/>
      <c r="E11" s="64"/>
      <c r="F11" s="64"/>
      <c r="G11" s="64"/>
      <c r="H11" s="64"/>
      <c r="I11" s="64"/>
      <c r="J11" s="64"/>
      <c r="K11" s="64"/>
      <c r="L11" s="64"/>
      <c r="M11" s="64"/>
      <c r="N11" s="64"/>
      <c r="O11" s="64"/>
      <c r="P11" s="65"/>
      <c r="Q11" s="60"/>
    </row>
    <row r="12" spans="1:17">
      <c r="A12" s="58"/>
      <c r="B12" s="72" t="s">
        <v>25</v>
      </c>
      <c r="C12" s="73" t="s">
        <v>24</v>
      </c>
      <c r="D12" s="73" t="s">
        <v>23</v>
      </c>
      <c r="E12" s="73" t="s">
        <v>26</v>
      </c>
      <c r="F12" s="149" t="s">
        <v>42</v>
      </c>
      <c r="G12" s="149"/>
      <c r="H12" s="149"/>
      <c r="I12" s="149"/>
      <c r="J12" s="149"/>
      <c r="K12" s="149"/>
      <c r="L12" s="149"/>
      <c r="M12" s="149"/>
      <c r="N12" s="149"/>
      <c r="O12" s="149"/>
      <c r="P12" s="150"/>
      <c r="Q12" s="60"/>
    </row>
    <row r="13" spans="1:17">
      <c r="A13" s="58"/>
      <c r="B13" s="151" t="s">
        <v>43</v>
      </c>
      <c r="C13" s="149"/>
      <c r="D13" s="149"/>
      <c r="E13" s="149"/>
      <c r="F13" s="74"/>
      <c r="G13" s="75"/>
      <c r="H13" s="75"/>
      <c r="I13" s="75"/>
      <c r="J13" s="75"/>
      <c r="K13" s="75"/>
      <c r="L13" s="75"/>
      <c r="M13" s="75"/>
      <c r="N13" s="75"/>
      <c r="O13" s="75"/>
      <c r="P13" s="76"/>
      <c r="Q13" s="60"/>
    </row>
    <row r="14" spans="1:17">
      <c r="A14" s="58"/>
      <c r="B14" s="77" t="s">
        <v>12</v>
      </c>
      <c r="C14" s="35">
        <v>3</v>
      </c>
      <c r="D14" s="78" t="s">
        <v>3</v>
      </c>
      <c r="E14" s="79" t="s">
        <v>99</v>
      </c>
      <c r="F14" s="64"/>
      <c r="G14" s="64"/>
      <c r="H14" s="64"/>
      <c r="I14" s="64"/>
      <c r="J14" s="64"/>
      <c r="K14" s="64"/>
      <c r="L14" s="64"/>
      <c r="M14" s="64"/>
      <c r="N14" s="64"/>
      <c r="O14" s="64"/>
      <c r="P14" s="65"/>
      <c r="Q14" s="60"/>
    </row>
    <row r="15" spans="1:17">
      <c r="A15" s="58"/>
      <c r="B15" s="77" t="s">
        <v>13</v>
      </c>
      <c r="C15" s="35">
        <v>16</v>
      </c>
      <c r="D15" s="78" t="s">
        <v>3</v>
      </c>
      <c r="E15" s="79" t="s">
        <v>34</v>
      </c>
      <c r="F15" s="64"/>
      <c r="G15" s="64"/>
      <c r="H15" s="64"/>
      <c r="I15" s="64"/>
      <c r="J15" s="64"/>
      <c r="K15" s="64"/>
      <c r="L15" s="64"/>
      <c r="M15" s="64"/>
      <c r="N15" s="64"/>
      <c r="O15" s="64"/>
      <c r="P15" s="65"/>
      <c r="Q15" s="60"/>
    </row>
    <row r="16" spans="1:17">
      <c r="A16" s="58"/>
      <c r="B16" s="77" t="s">
        <v>339</v>
      </c>
      <c r="C16" s="37" t="s">
        <v>40</v>
      </c>
      <c r="D16" s="78"/>
      <c r="E16" s="79" t="s">
        <v>46</v>
      </c>
      <c r="F16" s="64"/>
      <c r="G16" s="64"/>
      <c r="H16" s="64"/>
      <c r="I16" s="64"/>
      <c r="J16" s="64"/>
      <c r="K16" s="64"/>
      <c r="L16" s="64"/>
      <c r="M16" s="64"/>
      <c r="N16" s="64"/>
      <c r="O16" s="64"/>
      <c r="P16" s="65"/>
      <c r="Q16" s="60"/>
    </row>
    <row r="17" spans="1:17">
      <c r="A17" s="58"/>
      <c r="B17" s="77" t="s">
        <v>31</v>
      </c>
      <c r="C17" s="111">
        <v>12</v>
      </c>
      <c r="D17" s="78" t="s">
        <v>3</v>
      </c>
      <c r="E17" s="79" t="s">
        <v>341</v>
      </c>
      <c r="F17" s="64"/>
      <c r="G17" s="64"/>
      <c r="H17" s="64"/>
      <c r="I17" s="64"/>
      <c r="J17" s="64"/>
      <c r="K17" s="64"/>
      <c r="L17" s="64"/>
      <c r="M17" s="64"/>
      <c r="N17" s="64"/>
      <c r="O17" s="64"/>
      <c r="P17" s="65"/>
      <c r="Q17" s="60"/>
    </row>
    <row r="18" spans="1:17">
      <c r="A18" s="58"/>
      <c r="B18" s="77" t="s">
        <v>59</v>
      </c>
      <c r="C18" s="24">
        <v>20</v>
      </c>
      <c r="D18" s="78" t="s">
        <v>3</v>
      </c>
      <c r="E18" s="79" t="str">
        <f>IF(C16="Internal", "Select 5V, 10V, 15V, 20V maximum Vout with Vref set to 1.129V", "Input desired maximum Vout with Vref set to 1.129V")</f>
        <v>Select 5V, 10V, 15V, 20V maximum Vout with Vref set to 1.129V</v>
      </c>
      <c r="F18" s="64"/>
      <c r="G18" s="64"/>
      <c r="H18" s="64"/>
      <c r="I18" s="64"/>
      <c r="J18" s="64"/>
      <c r="K18" s="64"/>
      <c r="L18" s="64"/>
      <c r="M18" s="64"/>
      <c r="N18" s="64"/>
      <c r="O18" s="64"/>
      <c r="P18" s="65"/>
      <c r="Q18" s="60"/>
    </row>
    <row r="19" spans="1:17">
      <c r="A19" s="58"/>
      <c r="B19" s="77" t="s">
        <v>68</v>
      </c>
      <c r="C19" s="35">
        <v>3</v>
      </c>
      <c r="D19" s="78" t="s">
        <v>4</v>
      </c>
      <c r="E19" s="79" t="s">
        <v>92</v>
      </c>
      <c r="F19" s="64"/>
      <c r="G19" s="64"/>
      <c r="H19" s="64"/>
      <c r="I19" s="64"/>
      <c r="J19" s="64"/>
      <c r="K19" s="64"/>
      <c r="L19" s="64"/>
      <c r="M19" s="64"/>
      <c r="N19" s="64"/>
      <c r="O19" s="64"/>
      <c r="P19" s="65"/>
      <c r="Q19" s="60"/>
    </row>
    <row r="20" spans="1:17">
      <c r="A20" s="58"/>
      <c r="B20" s="77" t="s">
        <v>195</v>
      </c>
      <c r="C20" s="36" t="str">
        <f>IF(Vout&lt;=1.063*Vout_max, DEC2HEX((Vout/Vout_max*1.129-0.045)*1000/1.129, 4), "Vout is too high")</f>
        <v>0230</v>
      </c>
      <c r="D20" s="78" t="s">
        <v>52</v>
      </c>
      <c r="E20" s="79" t="s">
        <v>196</v>
      </c>
      <c r="F20" s="64"/>
      <c r="G20" s="64"/>
      <c r="H20" s="64"/>
      <c r="I20" s="64"/>
      <c r="J20" s="64"/>
      <c r="K20" s="64"/>
      <c r="L20" s="64"/>
      <c r="M20" s="64"/>
      <c r="N20" s="64"/>
      <c r="O20" s="64"/>
      <c r="P20" s="65"/>
      <c r="Q20" s="60"/>
    </row>
    <row r="21" spans="1:17">
      <c r="A21" s="58"/>
      <c r="B21" s="77" t="s">
        <v>56</v>
      </c>
      <c r="C21" s="37" t="s">
        <v>328</v>
      </c>
      <c r="D21" s="78"/>
      <c r="E21" s="79" t="s">
        <v>98</v>
      </c>
      <c r="F21" s="64"/>
      <c r="G21" s="64"/>
      <c r="H21" s="64"/>
      <c r="I21" s="64"/>
      <c r="J21" s="64"/>
      <c r="K21" s="64"/>
      <c r="L21" s="64"/>
      <c r="M21" s="64"/>
      <c r="N21" s="64"/>
      <c r="O21" s="64"/>
      <c r="P21" s="65"/>
      <c r="Q21" s="60"/>
    </row>
    <row r="22" spans="1:17">
      <c r="A22" s="58"/>
      <c r="B22" s="77" t="s">
        <v>96</v>
      </c>
      <c r="C22" s="37" t="s">
        <v>63</v>
      </c>
      <c r="D22" s="78"/>
      <c r="E22" s="79" t="s">
        <v>100</v>
      </c>
      <c r="F22" s="64"/>
      <c r="G22" s="64"/>
      <c r="H22" s="64"/>
      <c r="I22" s="64"/>
      <c r="J22" s="64"/>
      <c r="K22" s="64"/>
      <c r="L22" s="64"/>
      <c r="M22" s="64"/>
      <c r="N22" s="64"/>
      <c r="O22" s="64"/>
      <c r="P22" s="65"/>
      <c r="Q22" s="60"/>
    </row>
    <row r="23" spans="1:17">
      <c r="A23" s="58"/>
      <c r="B23" s="77" t="s">
        <v>57</v>
      </c>
      <c r="C23" s="23">
        <v>74</v>
      </c>
      <c r="D23" s="78" t="s">
        <v>52</v>
      </c>
      <c r="E23" s="79" t="s">
        <v>58</v>
      </c>
      <c r="F23" s="64"/>
      <c r="G23" s="64"/>
      <c r="H23" s="64"/>
      <c r="I23" s="64"/>
      <c r="J23" s="64"/>
      <c r="K23" s="64"/>
      <c r="L23" s="64"/>
      <c r="M23" s="64"/>
      <c r="N23" s="64"/>
      <c r="O23" s="64"/>
      <c r="P23" s="65"/>
      <c r="Q23" s="60"/>
    </row>
    <row r="24" spans="1:17">
      <c r="A24" s="58"/>
      <c r="B24" s="80" t="s">
        <v>60</v>
      </c>
      <c r="C24" s="38">
        <f>IF((C21="Internal")*(C22="FPWM")*(C23=74),0,IF((C21="Internal")*(C22="APFM")*(C23=74),6190,IF((C21="Internal")*(C22="FPWM")*(C23=75),14300,IF((C21="Internal")*(C22="APFM")*(C23=75),24900,IF((C21="External")*(C22="FPWM")*(C23=74),51100,IF((C21="External")*(C22="APFM")*(C23=74),75000,IF((C21="external")*(C22="FPWM")*(C23=75),10500,"floating")))))))</f>
        <v>51100</v>
      </c>
      <c r="D24" s="78" t="s">
        <v>61</v>
      </c>
      <c r="E24" s="79" t="s">
        <v>62</v>
      </c>
      <c r="F24" s="64"/>
      <c r="G24" s="64"/>
      <c r="H24" s="64"/>
      <c r="I24" s="64"/>
      <c r="J24" s="64"/>
      <c r="K24" s="64"/>
      <c r="L24" s="64"/>
      <c r="M24" s="64"/>
      <c r="N24" s="64"/>
      <c r="O24" s="64"/>
      <c r="P24" s="65"/>
      <c r="Q24" s="60"/>
    </row>
    <row r="25" spans="1:17" ht="26.4">
      <c r="A25" s="58"/>
      <c r="B25" s="77" t="s">
        <v>54</v>
      </c>
      <c r="C25" s="39">
        <v>100000</v>
      </c>
      <c r="D25" s="78" t="s">
        <v>28</v>
      </c>
      <c r="E25" s="79" t="s">
        <v>311</v>
      </c>
      <c r="F25" s="64"/>
      <c r="G25" s="64"/>
      <c r="H25" s="64"/>
      <c r="I25" s="64"/>
      <c r="J25" s="64"/>
      <c r="K25" s="64"/>
      <c r="L25" s="64"/>
      <c r="M25" s="64"/>
      <c r="N25" s="64"/>
      <c r="O25" s="64"/>
      <c r="P25" s="65"/>
      <c r="Q25" s="60"/>
    </row>
    <row r="26" spans="1:17">
      <c r="A26" s="58"/>
      <c r="B26" s="80" t="s">
        <v>55</v>
      </c>
      <c r="C26" s="40">
        <f>R_7/(Vout_max/1.129-1)</f>
        <v>5982.7248158550155</v>
      </c>
      <c r="D26" s="78" t="s">
        <v>28</v>
      </c>
      <c r="E26" s="79" t="s">
        <v>285</v>
      </c>
      <c r="F26" s="64"/>
      <c r="G26" s="64"/>
      <c r="H26" s="64"/>
      <c r="I26" s="64"/>
      <c r="J26" s="64"/>
      <c r="K26" s="64"/>
      <c r="L26" s="64"/>
      <c r="M26" s="64"/>
      <c r="N26" s="64"/>
      <c r="O26" s="64"/>
      <c r="P26" s="65"/>
      <c r="Q26" s="60"/>
    </row>
    <row r="27" spans="1:17">
      <c r="A27" s="58"/>
      <c r="B27" s="77" t="s">
        <v>201</v>
      </c>
      <c r="C27" s="37" t="s">
        <v>203</v>
      </c>
      <c r="D27" s="78"/>
      <c r="E27" s="79" t="s">
        <v>202</v>
      </c>
      <c r="F27" s="64"/>
      <c r="G27" s="64"/>
      <c r="H27" s="64"/>
      <c r="I27" s="64"/>
      <c r="J27" s="64"/>
      <c r="K27" s="64"/>
      <c r="L27" s="64"/>
      <c r="M27" s="64"/>
      <c r="N27" s="64"/>
      <c r="O27" s="64"/>
      <c r="P27" s="65"/>
      <c r="Q27" s="60"/>
    </row>
    <row r="28" spans="1:17">
      <c r="A28" s="58"/>
      <c r="B28" s="77" t="s">
        <v>91</v>
      </c>
      <c r="C28" s="35">
        <v>5</v>
      </c>
      <c r="D28" s="78" t="s">
        <v>4</v>
      </c>
      <c r="E28" s="79" t="s">
        <v>48</v>
      </c>
      <c r="F28" s="64"/>
      <c r="G28" s="64"/>
      <c r="H28" s="64"/>
      <c r="I28" s="64"/>
      <c r="J28" s="64"/>
      <c r="K28" s="64"/>
      <c r="L28" s="64"/>
      <c r="M28" s="64"/>
      <c r="N28" s="64"/>
      <c r="O28" s="64"/>
      <c r="P28" s="65"/>
      <c r="Q28" s="60"/>
    </row>
    <row r="29" spans="1:17">
      <c r="A29" s="58"/>
      <c r="B29" s="77" t="s">
        <v>49</v>
      </c>
      <c r="C29" s="35">
        <v>10</v>
      </c>
      <c r="D29" s="78" t="s">
        <v>312</v>
      </c>
      <c r="E29" s="79" t="s">
        <v>50</v>
      </c>
      <c r="F29" s="64"/>
      <c r="G29" s="64"/>
      <c r="H29" s="64"/>
      <c r="I29" s="64"/>
      <c r="J29" s="64"/>
      <c r="K29" s="64"/>
      <c r="L29" s="64"/>
      <c r="M29" s="64"/>
      <c r="N29" s="64"/>
      <c r="O29" s="64"/>
      <c r="P29" s="65"/>
      <c r="Q29" s="60"/>
    </row>
    <row r="30" spans="1:17" ht="26.4">
      <c r="A30" s="58"/>
      <c r="B30" s="77" t="s">
        <v>51</v>
      </c>
      <c r="C30" s="41" t="str">
        <f>IF(Iout_limit*R_1&lt;=63.5,DEC2HEX(ROUNDUP(Iout_limit*R_1/0.5,0)+IF((C27="Enable"),128,0)),"error")</f>
        <v>E4</v>
      </c>
      <c r="D30" s="78" t="s">
        <v>52</v>
      </c>
      <c r="E30" s="79" t="s">
        <v>53</v>
      </c>
      <c r="F30" s="64"/>
      <c r="G30" s="64"/>
      <c r="H30" s="64"/>
      <c r="I30" s="64"/>
      <c r="J30" s="64"/>
      <c r="K30" s="64"/>
      <c r="L30" s="64"/>
      <c r="M30" s="64"/>
      <c r="N30" s="64"/>
      <c r="O30" s="64"/>
      <c r="P30" s="65"/>
      <c r="Q30" s="60"/>
    </row>
    <row r="31" spans="1:17" ht="27">
      <c r="A31" s="58"/>
      <c r="B31" s="77" t="s">
        <v>319</v>
      </c>
      <c r="C31" s="42">
        <f>IF((Vout&gt;Vin_min), SQRT((Vout-Vin_min)/Vin_min)*Ioutmax, 1/SQRT(12)*Vout*(1-Vout/Vin_max)/L/fsw)</f>
        <v>5.196152422706632</v>
      </c>
      <c r="D31" s="78" t="s">
        <v>19</v>
      </c>
      <c r="E31" s="79" t="s">
        <v>22</v>
      </c>
      <c r="F31" s="64"/>
      <c r="G31" s="64"/>
      <c r="H31" s="64"/>
      <c r="I31" s="64"/>
      <c r="J31" s="64"/>
      <c r="K31" s="64"/>
      <c r="L31" s="64"/>
      <c r="M31" s="64"/>
      <c r="N31" s="64"/>
      <c r="O31" s="64"/>
      <c r="P31" s="65"/>
      <c r="Q31" s="60"/>
    </row>
    <row r="32" spans="1:17" ht="26.4">
      <c r="A32" s="58"/>
      <c r="B32" s="77" t="s">
        <v>313</v>
      </c>
      <c r="C32" s="42">
        <f>IF((Vin_max&gt;Vout), IF(Vin_max&lt;(2*Vout), Ioutmax*SQRT(Vout*(Vin_max-Vout)/Vin_max/Vin_max), Ioutmax/2), IF(Vin_min&gt;Vout/2, 1/SQRT(12)*Vin_min*(1-Vin_min/Vout)/L/fsw, 1/SQRT(12)*Vout/4/L/fsw))</f>
        <v>1.299038105676658</v>
      </c>
      <c r="D32" s="78" t="s">
        <v>19</v>
      </c>
      <c r="E32" s="79" t="s">
        <v>37</v>
      </c>
      <c r="F32" s="64"/>
      <c r="G32" s="64"/>
      <c r="H32" s="64"/>
      <c r="I32" s="64"/>
      <c r="J32" s="64"/>
      <c r="K32" s="64"/>
      <c r="L32" s="64"/>
      <c r="M32" s="64"/>
      <c r="N32" s="64"/>
      <c r="O32" s="64"/>
      <c r="P32" s="65"/>
      <c r="Q32" s="60"/>
    </row>
    <row r="33" spans="1:17">
      <c r="A33" s="58"/>
      <c r="B33" s="77" t="s">
        <v>2</v>
      </c>
      <c r="C33" s="43">
        <v>394870</v>
      </c>
      <c r="D33" s="78" t="s">
        <v>6</v>
      </c>
      <c r="E33" s="79" t="s">
        <v>16</v>
      </c>
      <c r="F33" s="64"/>
      <c r="G33" s="64"/>
      <c r="H33" s="64"/>
      <c r="I33" s="64"/>
      <c r="J33" s="64"/>
      <c r="K33" s="64"/>
      <c r="L33" s="64"/>
      <c r="M33" s="64"/>
      <c r="N33" s="64"/>
      <c r="O33" s="64"/>
      <c r="P33" s="65"/>
      <c r="Q33" s="60"/>
    </row>
    <row r="34" spans="1:17">
      <c r="A34" s="58"/>
      <c r="B34" s="80" t="s">
        <v>36</v>
      </c>
      <c r="C34" s="44">
        <f>(10^9/fsw-20)/0.05-250</f>
        <v>49999.580874718253</v>
      </c>
      <c r="D34" s="78" t="s">
        <v>28</v>
      </c>
      <c r="E34" s="79" t="s">
        <v>35</v>
      </c>
      <c r="F34" s="64"/>
      <c r="G34" s="64"/>
      <c r="H34" s="64"/>
      <c r="I34" s="64"/>
      <c r="J34" s="64"/>
      <c r="K34" s="64"/>
      <c r="L34" s="64"/>
      <c r="M34" s="64"/>
      <c r="N34" s="64"/>
      <c r="O34" s="64"/>
      <c r="P34" s="65"/>
      <c r="Q34" s="60"/>
    </row>
    <row r="35" spans="1:17">
      <c r="A35" s="58"/>
      <c r="B35" s="77" t="s">
        <v>93</v>
      </c>
      <c r="C35" s="43">
        <v>490</v>
      </c>
      <c r="D35" s="78" t="s">
        <v>6</v>
      </c>
      <c r="E35" s="79" t="s">
        <v>94</v>
      </c>
      <c r="F35" s="64"/>
      <c r="G35" s="64"/>
      <c r="H35" s="64"/>
      <c r="I35" s="64"/>
      <c r="J35" s="64"/>
      <c r="K35" s="64"/>
      <c r="L35" s="64"/>
      <c r="M35" s="64"/>
      <c r="N35" s="64"/>
      <c r="O35" s="64"/>
      <c r="P35" s="65"/>
      <c r="Q35" s="60"/>
    </row>
    <row r="36" spans="1:17">
      <c r="A36" s="58"/>
      <c r="B36" s="80" t="s">
        <v>95</v>
      </c>
      <c r="C36" s="45">
        <f>1/2.8/C34/C35</f>
        <v>1.4577381670202651E-8</v>
      </c>
      <c r="D36" s="78" t="s">
        <v>9</v>
      </c>
      <c r="E36" s="79"/>
      <c r="F36" s="152" t="s">
        <v>47</v>
      </c>
      <c r="G36" s="153"/>
      <c r="H36" s="153"/>
      <c r="I36" s="153"/>
      <c r="J36" s="153"/>
      <c r="K36" s="153"/>
      <c r="L36" s="153"/>
      <c r="M36" s="153"/>
      <c r="N36" s="153"/>
      <c r="O36" s="153"/>
      <c r="P36" s="154"/>
      <c r="Q36" s="60"/>
    </row>
    <row r="37" spans="1:17" ht="27">
      <c r="A37" s="58"/>
      <c r="B37" s="77" t="s">
        <v>320</v>
      </c>
      <c r="C37" s="46">
        <v>0.05</v>
      </c>
      <c r="D37" s="78" t="s">
        <v>20</v>
      </c>
      <c r="E37" s="79" t="s">
        <v>301</v>
      </c>
      <c r="F37" s="81"/>
      <c r="G37" s="64"/>
      <c r="H37" s="64"/>
      <c r="I37" s="64"/>
      <c r="J37" s="64"/>
      <c r="K37" s="64"/>
      <c r="L37" s="64"/>
      <c r="M37" s="64"/>
      <c r="N37" s="64"/>
      <c r="O37" s="64"/>
      <c r="P37" s="65"/>
      <c r="Q37" s="60"/>
    </row>
    <row r="38" spans="1:17" ht="27" customHeight="1">
      <c r="A38" s="58"/>
      <c r="B38" s="80" t="s">
        <v>66</v>
      </c>
      <c r="C38" s="47">
        <f>MAX((Vout-Vin_min)/Vout/fsw*Ioutmax/dVoutpkpk, 1/8/fsw*(ILpeak_max-ILvalley_max)/dVoutpkpk)</f>
        <v>1.1396155696811609E-4</v>
      </c>
      <c r="D38" s="78" t="s">
        <v>9</v>
      </c>
      <c r="E38" s="79" t="s">
        <v>38</v>
      </c>
      <c r="F38" s="82" t="s">
        <v>197</v>
      </c>
      <c r="G38" s="83" t="s">
        <v>147</v>
      </c>
      <c r="H38" s="83" t="s">
        <v>131</v>
      </c>
      <c r="I38" s="84" t="s">
        <v>132</v>
      </c>
      <c r="J38" s="83" t="s">
        <v>133</v>
      </c>
      <c r="K38" s="82" t="s">
        <v>134</v>
      </c>
      <c r="L38" s="83" t="s">
        <v>135</v>
      </c>
      <c r="M38" s="83" t="s">
        <v>136</v>
      </c>
      <c r="N38" s="83" t="s">
        <v>137</v>
      </c>
      <c r="O38" s="83" t="s">
        <v>138</v>
      </c>
      <c r="P38" s="85" t="s">
        <v>206</v>
      </c>
      <c r="Q38" s="60"/>
    </row>
    <row r="39" spans="1:17">
      <c r="A39" s="58"/>
      <c r="B39" s="116" t="s">
        <v>157</v>
      </c>
      <c r="C39" s="125">
        <v>1.0000000000000001E-5</v>
      </c>
      <c r="D39" s="127" t="s">
        <v>9</v>
      </c>
      <c r="E39" s="122" t="s">
        <v>289</v>
      </c>
      <c r="F39" s="133" t="s">
        <v>198</v>
      </c>
      <c r="G39" s="113" t="s">
        <v>139</v>
      </c>
      <c r="H39" s="86" t="s">
        <v>241</v>
      </c>
      <c r="I39" s="86" t="s">
        <v>242</v>
      </c>
      <c r="J39" s="86" t="s">
        <v>243</v>
      </c>
      <c r="K39" s="86" t="s">
        <v>244</v>
      </c>
      <c r="L39" s="86" t="s">
        <v>245</v>
      </c>
      <c r="M39" s="86" t="s">
        <v>246</v>
      </c>
      <c r="N39" s="86" t="s">
        <v>247</v>
      </c>
      <c r="O39" s="86" t="s">
        <v>248</v>
      </c>
      <c r="P39" s="124" t="str">
        <f>RIGHT(Reg_Vref, 2)</f>
        <v>30</v>
      </c>
      <c r="Q39" s="60"/>
    </row>
    <row r="40" spans="1:17">
      <c r="A40" s="58"/>
      <c r="B40" s="117"/>
      <c r="C40" s="126"/>
      <c r="D40" s="128"/>
      <c r="E40" s="123"/>
      <c r="F40" s="133"/>
      <c r="G40" s="113"/>
      <c r="H40" s="26" t="str">
        <f>MID(HEX2BIN(RIGHT(Reg_Vref, 2), 8), 1, 1)</f>
        <v>0</v>
      </c>
      <c r="I40" s="27" t="str">
        <f>MID(HEX2BIN(RIGHT(Reg_Vref, 2), 8), 2, 1)</f>
        <v>0</v>
      </c>
      <c r="J40" s="28" t="str">
        <f>MID(HEX2BIN(RIGHT(Reg_Vref, 2), 8), 3, 1)</f>
        <v>1</v>
      </c>
      <c r="K40" s="26" t="str">
        <f>MID(HEX2BIN(RIGHT(Reg_Vref, 2), 8), 4, 1)</f>
        <v>1</v>
      </c>
      <c r="L40" s="28" t="str">
        <f>MID(HEX2BIN(RIGHT(Reg_Vref, 2), 8), 5, 1)</f>
        <v>0</v>
      </c>
      <c r="M40" s="28" t="str">
        <f>MID(HEX2BIN(RIGHT(Reg_Vref, 2), 8), 6, 1)</f>
        <v>0</v>
      </c>
      <c r="N40" s="28" t="str">
        <f>MID(HEX2BIN(RIGHT(Reg_Vref, 2), 8), 7, 1)</f>
        <v>0</v>
      </c>
      <c r="O40" s="28" t="str">
        <f>MID(HEX2BIN(RIGHT(Reg_Vref, 2), 8), 8, 1)</f>
        <v>0</v>
      </c>
      <c r="P40" s="124"/>
      <c r="Q40" s="60"/>
    </row>
    <row r="41" spans="1:17">
      <c r="A41" s="58"/>
      <c r="B41" s="116" t="s">
        <v>158</v>
      </c>
      <c r="C41" s="125">
        <v>4.4000000000000002E-4</v>
      </c>
      <c r="D41" s="127" t="s">
        <v>9</v>
      </c>
      <c r="E41" s="122" t="s">
        <v>164</v>
      </c>
      <c r="F41" s="133" t="s">
        <v>199</v>
      </c>
      <c r="G41" s="113" t="s">
        <v>140</v>
      </c>
      <c r="H41" s="86" t="s">
        <v>204</v>
      </c>
      <c r="I41" s="86" t="s">
        <v>204</v>
      </c>
      <c r="J41" s="86" t="s">
        <v>204</v>
      </c>
      <c r="K41" s="86" t="s">
        <v>204</v>
      </c>
      <c r="L41" s="86" t="s">
        <v>204</v>
      </c>
      <c r="M41" s="86" t="s">
        <v>204</v>
      </c>
      <c r="N41" s="86" t="s">
        <v>249</v>
      </c>
      <c r="O41" s="86" t="s">
        <v>250</v>
      </c>
      <c r="P41" s="124" t="str">
        <f>LEFT(Reg_Vref, 2)</f>
        <v>02</v>
      </c>
      <c r="Q41" s="60"/>
    </row>
    <row r="42" spans="1:17">
      <c r="A42" s="58"/>
      <c r="B42" s="117"/>
      <c r="C42" s="126"/>
      <c r="D42" s="128"/>
      <c r="E42" s="123"/>
      <c r="F42" s="133"/>
      <c r="G42" s="113"/>
      <c r="H42" s="87">
        <v>0</v>
      </c>
      <c r="I42" s="87">
        <v>0</v>
      </c>
      <c r="J42" s="87">
        <v>0</v>
      </c>
      <c r="K42" s="87">
        <v>0</v>
      </c>
      <c r="L42" s="87">
        <v>0</v>
      </c>
      <c r="M42" s="87">
        <v>0</v>
      </c>
      <c r="N42" s="28" t="str">
        <f>MID(HEX2BIN(LEFT(Reg_Vref, 2), 8), 7, 1)</f>
        <v>1</v>
      </c>
      <c r="O42" s="28" t="str">
        <f>MID(HEX2BIN(LEFT(Reg_Vref, 2), 8), 8, 1)</f>
        <v>0</v>
      </c>
      <c r="P42" s="124"/>
      <c r="Q42" s="60"/>
    </row>
    <row r="43" spans="1:17">
      <c r="A43" s="58"/>
      <c r="B43" s="116" t="s">
        <v>286</v>
      </c>
      <c r="C43" s="136">
        <v>8.9999999999999993E-3</v>
      </c>
      <c r="D43" s="127" t="s">
        <v>28</v>
      </c>
      <c r="E43" s="122" t="s">
        <v>148</v>
      </c>
      <c r="F43" s="133" t="s">
        <v>200</v>
      </c>
      <c r="G43" s="113" t="s">
        <v>141</v>
      </c>
      <c r="H43" s="86" t="s">
        <v>251</v>
      </c>
      <c r="I43" s="86" t="s">
        <v>252</v>
      </c>
      <c r="J43" s="86" t="s">
        <v>253</v>
      </c>
      <c r="K43" s="86" t="s">
        <v>254</v>
      </c>
      <c r="L43" s="86" t="s">
        <v>255</v>
      </c>
      <c r="M43" s="88" t="s">
        <v>256</v>
      </c>
      <c r="N43" s="88" t="s">
        <v>257</v>
      </c>
      <c r="O43" s="88" t="s">
        <v>258</v>
      </c>
      <c r="P43" s="124" t="str">
        <f>Reg_Ilimit</f>
        <v>E4</v>
      </c>
      <c r="Q43" s="60"/>
    </row>
    <row r="44" spans="1:17">
      <c r="A44" s="58"/>
      <c r="B44" s="117"/>
      <c r="C44" s="137"/>
      <c r="D44" s="128"/>
      <c r="E44" s="123"/>
      <c r="F44" s="133"/>
      <c r="G44" s="113"/>
      <c r="H44" s="29" t="str">
        <f>MID(HEX2BIN(Reg_Ilimit, 8), 1, 1)</f>
        <v>1</v>
      </c>
      <c r="I44" s="30" t="str">
        <f>MID(HEX2BIN(Reg_Ilimit, 8), 2, 1)</f>
        <v>1</v>
      </c>
      <c r="J44" s="28" t="str">
        <f>MID(HEX2BIN(Reg_Ilimit, 8), 3, 1)</f>
        <v>1</v>
      </c>
      <c r="K44" s="26" t="str">
        <f>MID(HEX2BIN(Reg_Ilimit, 8), 4, 1)</f>
        <v>0</v>
      </c>
      <c r="L44" s="28" t="str">
        <f>MID(HEX2BIN(Reg_Ilimit, 8), 5, 1)</f>
        <v>0</v>
      </c>
      <c r="M44" s="28" t="str">
        <f>MID(HEX2BIN(Reg_Ilimit, 8), 6, 1)</f>
        <v>1</v>
      </c>
      <c r="N44" s="28" t="str">
        <f>MID(HEX2BIN(Reg_Ilimit, 8), 7, 1)</f>
        <v>0</v>
      </c>
      <c r="O44" s="28" t="str">
        <f>MID(HEX2BIN(Reg_Ilimit, 8),8, 1)</f>
        <v>0</v>
      </c>
      <c r="P44" s="124"/>
      <c r="Q44" s="60"/>
    </row>
    <row r="45" spans="1:17">
      <c r="A45" s="58"/>
      <c r="B45" s="116" t="s">
        <v>314</v>
      </c>
      <c r="C45" s="134">
        <v>0.05</v>
      </c>
      <c r="D45" s="127" t="s">
        <v>20</v>
      </c>
      <c r="E45" s="122" t="s">
        <v>64</v>
      </c>
      <c r="F45" s="133" t="s">
        <v>222</v>
      </c>
      <c r="G45" s="113" t="s">
        <v>142</v>
      </c>
      <c r="H45" s="86" t="s">
        <v>204</v>
      </c>
      <c r="I45" s="86" t="s">
        <v>204</v>
      </c>
      <c r="J45" s="88" t="s">
        <v>259</v>
      </c>
      <c r="K45" s="86" t="s">
        <v>260</v>
      </c>
      <c r="L45" s="86" t="s">
        <v>204</v>
      </c>
      <c r="M45" s="86" t="s">
        <v>204</v>
      </c>
      <c r="N45" s="88" t="s">
        <v>261</v>
      </c>
      <c r="O45" s="88" t="s">
        <v>262</v>
      </c>
      <c r="P45" s="124" t="str">
        <f>DEC2HEX((O46+N46*2+K46*16+J46*32),2)</f>
        <v>01</v>
      </c>
      <c r="Q45" s="60"/>
    </row>
    <row r="46" spans="1:17">
      <c r="A46" s="58"/>
      <c r="B46" s="117"/>
      <c r="C46" s="135"/>
      <c r="D46" s="128"/>
      <c r="E46" s="123"/>
      <c r="F46" s="133"/>
      <c r="G46" s="113"/>
      <c r="H46" s="87">
        <v>0</v>
      </c>
      <c r="I46" s="87">
        <v>0</v>
      </c>
      <c r="J46" s="28">
        <f>IF(OR((C66=0.1),(C66=3)),0,1)</f>
        <v>0</v>
      </c>
      <c r="K46" s="28">
        <f>IF(OR((C66=0.1),(C66=6)),0,1)</f>
        <v>0</v>
      </c>
      <c r="L46" s="87">
        <v>0</v>
      </c>
      <c r="M46" s="87">
        <v>0</v>
      </c>
      <c r="N46" s="28">
        <f>IF(OR((C67=1.25),(C67=2.5)),0,1)</f>
        <v>0</v>
      </c>
      <c r="O46" s="28">
        <f>IF(OR((C67=1.25),(C67=5)),0,1)</f>
        <v>1</v>
      </c>
      <c r="P46" s="124"/>
      <c r="Q46" s="60"/>
    </row>
    <row r="47" spans="1:17">
      <c r="A47" s="58"/>
      <c r="B47" s="129" t="s">
        <v>65</v>
      </c>
      <c r="C47" s="131">
        <f>Ioutmax*0.25/dVinpkpk/fsw</f>
        <v>3.7987185656038693E-5</v>
      </c>
      <c r="D47" s="127" t="s">
        <v>9</v>
      </c>
      <c r="E47" s="122" t="s">
        <v>101</v>
      </c>
      <c r="F47" s="133" t="s">
        <v>205</v>
      </c>
      <c r="G47" s="113" t="s">
        <v>143</v>
      </c>
      <c r="H47" s="86" t="s">
        <v>267</v>
      </c>
      <c r="I47" s="86" t="s">
        <v>204</v>
      </c>
      <c r="J47" s="86" t="s">
        <v>204</v>
      </c>
      <c r="K47" s="86" t="s">
        <v>204</v>
      </c>
      <c r="L47" s="86" t="s">
        <v>204</v>
      </c>
      <c r="M47" s="86" t="s">
        <v>204</v>
      </c>
      <c r="N47" s="88" t="s">
        <v>271</v>
      </c>
      <c r="O47" s="88" t="s">
        <v>272</v>
      </c>
      <c r="P47" s="124" t="str">
        <f>DEC2HEX(IF(C16="Internal",0,128)+Vout_max/5-1, 2)</f>
        <v>03</v>
      </c>
      <c r="Q47" s="60"/>
    </row>
    <row r="48" spans="1:17">
      <c r="A48" s="58"/>
      <c r="B48" s="130"/>
      <c r="C48" s="132"/>
      <c r="D48" s="128"/>
      <c r="E48" s="123"/>
      <c r="F48" s="133"/>
      <c r="G48" s="113"/>
      <c r="H48" s="26">
        <f>IF(C16="Internal", 0, 1)</f>
        <v>0</v>
      </c>
      <c r="I48" s="87">
        <v>0</v>
      </c>
      <c r="J48" s="87">
        <v>0</v>
      </c>
      <c r="K48" s="87">
        <v>0</v>
      </c>
      <c r="L48" s="87">
        <v>0</v>
      </c>
      <c r="M48" s="87">
        <v>0</v>
      </c>
      <c r="N48" s="28" t="str">
        <f>MID(DEC2BIN((Vout_max/5)-1, 2), 1, 1)</f>
        <v>1</v>
      </c>
      <c r="O48" s="28" t="str">
        <f>MID(DEC2BIN((Vout_max/5)-1, 2), 2, 1)</f>
        <v>1</v>
      </c>
      <c r="P48" s="124"/>
      <c r="Q48" s="60"/>
    </row>
    <row r="49" spans="1:17">
      <c r="A49" s="58"/>
      <c r="B49" s="116" t="s">
        <v>67</v>
      </c>
      <c r="C49" s="125">
        <v>4.0000000000000003E-5</v>
      </c>
      <c r="D49" s="127" t="s">
        <v>9</v>
      </c>
      <c r="E49" s="122" t="s">
        <v>32</v>
      </c>
      <c r="F49" s="113" t="s">
        <v>215</v>
      </c>
      <c r="G49" s="113" t="s">
        <v>144</v>
      </c>
      <c r="H49" s="86" t="s">
        <v>268</v>
      </c>
      <c r="I49" s="86" t="s">
        <v>269</v>
      </c>
      <c r="J49" s="86" t="s">
        <v>270</v>
      </c>
      <c r="K49" s="86" t="s">
        <v>204</v>
      </c>
      <c r="L49" s="86" t="s">
        <v>266</v>
      </c>
      <c r="M49" s="86" t="s">
        <v>263</v>
      </c>
      <c r="N49" s="88" t="s">
        <v>264</v>
      </c>
      <c r="O49" s="88" t="s">
        <v>265</v>
      </c>
      <c r="P49" s="124" t="str">
        <f>DEC2HEX(C63/2+L50*8+J50*32+I50*64+H50*128, 2)</f>
        <v>E0</v>
      </c>
      <c r="Q49" s="60"/>
    </row>
    <row r="50" spans="1:17">
      <c r="A50" s="58"/>
      <c r="B50" s="117"/>
      <c r="C50" s="126"/>
      <c r="D50" s="128"/>
      <c r="E50" s="123"/>
      <c r="F50" s="113"/>
      <c r="G50" s="113"/>
      <c r="H50" s="26">
        <f>IF(C68="Enable", 1, 0)</f>
        <v>1</v>
      </c>
      <c r="I50" s="26">
        <f>IF(C69="Enable", 1, 0)</f>
        <v>1</v>
      </c>
      <c r="J50" s="26">
        <f>IF(C70="Enable", 1, 0)</f>
        <v>1</v>
      </c>
      <c r="K50" s="87">
        <v>0</v>
      </c>
      <c r="L50" s="26">
        <f>IF(C62="Internal", 0, 1)</f>
        <v>0</v>
      </c>
      <c r="M50" s="28" t="str">
        <f>MID(DEC2BIN((C63/2), 3), 1, 1)</f>
        <v>0</v>
      </c>
      <c r="N50" s="28" t="str">
        <f>MID(DEC2BIN((C63/2), 3), 2, 1)</f>
        <v>0</v>
      </c>
      <c r="O50" s="28" t="str">
        <f>MID(DEC2BIN((C63/2), 3), 3, 1)</f>
        <v>0</v>
      </c>
      <c r="P50" s="124"/>
      <c r="Q50" s="60"/>
    </row>
    <row r="51" spans="1:17">
      <c r="A51" s="58"/>
      <c r="B51" s="116" t="s">
        <v>324</v>
      </c>
      <c r="C51" s="156">
        <v>0.91</v>
      </c>
      <c r="D51" s="120"/>
      <c r="E51" s="122" t="s">
        <v>41</v>
      </c>
      <c r="F51" s="113" t="s">
        <v>214</v>
      </c>
      <c r="G51" s="113" t="s">
        <v>145</v>
      </c>
      <c r="H51" s="86" t="s">
        <v>229</v>
      </c>
      <c r="I51" s="86" t="s">
        <v>230</v>
      </c>
      <c r="J51" s="86" t="s">
        <v>231</v>
      </c>
      <c r="K51" s="86" t="s">
        <v>232</v>
      </c>
      <c r="L51" s="86" t="s">
        <v>233</v>
      </c>
      <c r="M51" s="86" t="s">
        <v>234</v>
      </c>
      <c r="N51" s="86" t="s">
        <v>236</v>
      </c>
      <c r="O51" s="86" t="s">
        <v>235</v>
      </c>
      <c r="P51" s="124" t="str">
        <f>DEC2HEX(RIGHT(H52,1)*128+RIGHT(I52,1)*64+RIGHT(J52,1)*32+RIGHT(K52,1)*16+RIGHT(L52,1)*8+RIGHT(M52,1)*4+RIGHT(N52,1)*2+RIGHT(O52,1), 2)</f>
        <v>B9</v>
      </c>
      <c r="Q51" s="60"/>
    </row>
    <row r="52" spans="1:17">
      <c r="A52" s="58"/>
      <c r="B52" s="117"/>
      <c r="C52" s="157"/>
      <c r="D52" s="121"/>
      <c r="E52" s="123"/>
      <c r="F52" s="113"/>
      <c r="G52" s="113"/>
      <c r="H52" s="22" t="s">
        <v>352</v>
      </c>
      <c r="I52" s="22" t="s">
        <v>237</v>
      </c>
      <c r="J52" s="22" t="s">
        <v>238</v>
      </c>
      <c r="K52" s="22" t="s">
        <v>238</v>
      </c>
      <c r="L52" s="22" t="s">
        <v>353</v>
      </c>
      <c r="M52" s="22" t="s">
        <v>239</v>
      </c>
      <c r="N52" s="22" t="s">
        <v>240</v>
      </c>
      <c r="O52" s="22" t="s">
        <v>354</v>
      </c>
      <c r="P52" s="124"/>
      <c r="Q52" s="60"/>
    </row>
    <row r="53" spans="1:17">
      <c r="A53" s="58"/>
      <c r="B53" s="116" t="s">
        <v>11</v>
      </c>
      <c r="C53" s="118">
        <v>0.5</v>
      </c>
      <c r="D53" s="120"/>
      <c r="E53" s="122" t="s">
        <v>103</v>
      </c>
      <c r="F53" s="113" t="s">
        <v>210</v>
      </c>
      <c r="G53" s="113" t="s">
        <v>146</v>
      </c>
      <c r="H53" s="88" t="s">
        <v>207</v>
      </c>
      <c r="I53" s="88" t="s">
        <v>208</v>
      </c>
      <c r="J53" s="88" t="s">
        <v>209</v>
      </c>
      <c r="K53" s="88" t="s">
        <v>204</v>
      </c>
      <c r="L53" s="88" t="s">
        <v>204</v>
      </c>
      <c r="M53" s="86" t="s">
        <v>204</v>
      </c>
      <c r="N53" s="88" t="s">
        <v>212</v>
      </c>
      <c r="O53" s="88" t="s">
        <v>211</v>
      </c>
      <c r="P53" s="114" t="str">
        <f>DEC2HEX(H54*128+I54*64+J54*32+K54*16+L54*8+M54*4+N54*2+O54, 2)</f>
        <v>00</v>
      </c>
      <c r="Q53" s="60"/>
    </row>
    <row r="54" spans="1:17">
      <c r="A54" s="58"/>
      <c r="B54" s="117"/>
      <c r="C54" s="119"/>
      <c r="D54" s="121"/>
      <c r="E54" s="123"/>
      <c r="F54" s="113"/>
      <c r="G54" s="113"/>
      <c r="H54" s="89">
        <v>0</v>
      </c>
      <c r="I54" s="89">
        <v>0</v>
      </c>
      <c r="J54" s="89">
        <v>0</v>
      </c>
      <c r="K54" s="89">
        <v>0</v>
      </c>
      <c r="L54" s="89">
        <v>0</v>
      </c>
      <c r="M54" s="87">
        <v>0</v>
      </c>
      <c r="N54" s="89">
        <v>0</v>
      </c>
      <c r="O54" s="89">
        <v>0</v>
      </c>
      <c r="P54" s="115"/>
      <c r="Q54" s="60"/>
    </row>
    <row r="55" spans="1:17" ht="26.4">
      <c r="A55" s="58"/>
      <c r="B55" s="77" t="s">
        <v>117</v>
      </c>
      <c r="C55" s="47">
        <f>IF(Vout&gt;Vin_min, Vin_min^2*eff*(Vout-Vin_min)/(K*Ioutmax*fsw*Vout^2), (1-Vout/Vin_max)*Vout/(K*Ioutmax*fsw))</f>
        <v>8.6420847367488022E-7</v>
      </c>
      <c r="D55" s="78" t="s">
        <v>5</v>
      </c>
      <c r="E55" s="79" t="s">
        <v>102</v>
      </c>
      <c r="F55" s="64"/>
      <c r="G55" s="64"/>
      <c r="H55" s="64"/>
      <c r="I55" s="64"/>
      <c r="J55" s="64"/>
      <c r="K55" s="64"/>
      <c r="L55" s="64"/>
      <c r="M55" s="64"/>
      <c r="N55" s="64"/>
      <c r="O55" s="64"/>
      <c r="P55" s="65"/>
      <c r="Q55" s="60"/>
    </row>
    <row r="56" spans="1:17" ht="15.6" customHeight="1">
      <c r="A56" s="58"/>
      <c r="B56" s="77" t="s">
        <v>17</v>
      </c>
      <c r="C56" s="48">
        <v>2.2000000000000001E-6</v>
      </c>
      <c r="D56" s="78" t="s">
        <v>5</v>
      </c>
      <c r="E56" s="79"/>
      <c r="F56" s="64"/>
      <c r="G56" s="64"/>
      <c r="H56" s="64"/>
      <c r="I56" s="64"/>
      <c r="J56" s="64"/>
      <c r="K56" s="64"/>
      <c r="L56" s="64"/>
      <c r="M56" s="64"/>
      <c r="N56" s="64"/>
      <c r="O56" s="64"/>
      <c r="P56" s="65"/>
      <c r="Q56" s="60"/>
    </row>
    <row r="57" spans="1:17">
      <c r="A57" s="58"/>
      <c r="B57" s="77" t="s">
        <v>276</v>
      </c>
      <c r="C57" s="42">
        <f>IF(Vout&gt;Vin_min, ((Ioutmax/(Vin_min/Vout)/eff)^2+1/12*(Vin_min/L*(1-Vin_min/Vout)/fsw)^2)^0.5, ((Ioutmax^2+1/12*(Vout/L*(1-Vout/Vin_max)/fsw)^2)^0.5))</f>
        <v>13.207992490615243</v>
      </c>
      <c r="D57" s="78" t="s">
        <v>19</v>
      </c>
      <c r="E57" s="79" t="s">
        <v>14</v>
      </c>
      <c r="F57" s="64"/>
      <c r="G57" s="64"/>
      <c r="H57" s="64"/>
      <c r="I57" s="64"/>
      <c r="J57" s="64"/>
      <c r="K57" s="64"/>
      <c r="L57" s="64"/>
      <c r="M57" s="64"/>
      <c r="N57" s="64"/>
      <c r="O57" s="64"/>
      <c r="P57" s="65"/>
      <c r="Q57" s="60"/>
    </row>
    <row r="58" spans="1:17" ht="25.5" customHeight="1">
      <c r="A58" s="58"/>
      <c r="B58" s="77" t="s">
        <v>278</v>
      </c>
      <c r="C58" s="42">
        <f>IF(Vout&gt;Vin_min, (Ioutmax/(Vin_min/Vout)/eff+(1/2*Vin_min/L*(1-Vin_min/Vout)/fsw)), Ioutmax+1/2*(Vout*(1-Vout/Vin_max)/L/fsw))</f>
        <v>14.481830879632687</v>
      </c>
      <c r="D58" s="78" t="s">
        <v>4</v>
      </c>
      <c r="E58" s="79" t="s">
        <v>327</v>
      </c>
      <c r="F58" s="64"/>
      <c r="G58" s="90"/>
      <c r="H58" s="91"/>
      <c r="I58" s="90"/>
      <c r="J58" s="81"/>
      <c r="K58" s="64"/>
      <c r="L58" s="64"/>
      <c r="M58" s="64"/>
      <c r="N58" s="64"/>
      <c r="O58" s="64"/>
      <c r="P58" s="65"/>
      <c r="Q58" s="60"/>
    </row>
    <row r="59" spans="1:17">
      <c r="A59" s="58"/>
      <c r="B59" s="77" t="s">
        <v>279</v>
      </c>
      <c r="C59" s="42">
        <f>IF(Vout&gt;Vin_min, (Ioutmax/(Vin_min/Vout)/eff-(1/2*Vin_min/L*(1-Vin_min/Vout)/fsw)), Ioutmax-1/2*(Vout*(1-Vout/Vin_max)/L/fsw))</f>
        <v>11.891795493993685</v>
      </c>
      <c r="D59" s="78" t="s">
        <v>4</v>
      </c>
      <c r="E59" s="79"/>
      <c r="F59" s="64"/>
      <c r="G59" s="90"/>
      <c r="H59" s="91"/>
      <c r="I59" s="90"/>
      <c r="J59" s="81"/>
      <c r="K59" s="64"/>
      <c r="L59" s="64"/>
      <c r="M59" s="64"/>
      <c r="N59" s="64"/>
      <c r="O59" s="64"/>
      <c r="P59" s="65"/>
      <c r="Q59" s="60"/>
    </row>
    <row r="60" spans="1:17">
      <c r="A60" s="58"/>
      <c r="B60" s="77" t="s">
        <v>302</v>
      </c>
      <c r="C60" s="24">
        <v>16.5</v>
      </c>
      <c r="D60" s="78" t="s">
        <v>4</v>
      </c>
      <c r="E60" s="79" t="s">
        <v>350</v>
      </c>
      <c r="F60" s="64"/>
      <c r="G60" s="90"/>
      <c r="H60" s="91"/>
      <c r="I60" s="90"/>
      <c r="J60" s="81"/>
      <c r="K60" s="64"/>
      <c r="L60" s="64"/>
      <c r="M60" s="64"/>
      <c r="N60" s="64"/>
      <c r="O60" s="64"/>
      <c r="P60" s="65"/>
      <c r="Q60" s="60"/>
    </row>
    <row r="61" spans="1:17">
      <c r="A61" s="58"/>
      <c r="B61" s="80" t="s">
        <v>88</v>
      </c>
      <c r="C61" s="31">
        <f>MIN(1, 0.6*Vout)*330000/(Iavg_limit)</f>
        <v>20000</v>
      </c>
      <c r="D61" s="78" t="s">
        <v>28</v>
      </c>
      <c r="E61" s="79"/>
      <c r="F61" s="64"/>
      <c r="G61" s="90"/>
      <c r="H61" s="91"/>
      <c r="I61" s="90"/>
      <c r="J61" s="81"/>
      <c r="K61" s="64"/>
      <c r="L61" s="64"/>
      <c r="M61" s="64"/>
      <c r="N61" s="64"/>
      <c r="O61" s="64"/>
      <c r="P61" s="65"/>
      <c r="Q61" s="60"/>
    </row>
    <row r="62" spans="1:17" ht="26.4">
      <c r="A62" s="58"/>
      <c r="B62" s="92" t="s">
        <v>105</v>
      </c>
      <c r="C62" s="49" t="s">
        <v>40</v>
      </c>
      <c r="D62" s="78"/>
      <c r="E62" s="79" t="s">
        <v>104</v>
      </c>
      <c r="F62" s="64"/>
      <c r="G62" s="90"/>
      <c r="H62" s="91"/>
      <c r="I62" s="90"/>
      <c r="J62" s="81"/>
      <c r="K62" s="64"/>
      <c r="L62" s="64"/>
      <c r="M62" s="64"/>
      <c r="N62" s="64"/>
      <c r="O62" s="64"/>
      <c r="P62" s="65"/>
      <c r="Q62" s="60"/>
    </row>
    <row r="63" spans="1:17">
      <c r="A63" s="58"/>
      <c r="B63" s="92" t="s">
        <v>106</v>
      </c>
      <c r="C63" s="50">
        <v>0</v>
      </c>
      <c r="D63" s="78" t="s">
        <v>109</v>
      </c>
      <c r="E63" s="79" t="s">
        <v>108</v>
      </c>
      <c r="F63" s="64"/>
      <c r="G63" s="90"/>
      <c r="H63" s="91"/>
      <c r="I63" s="90"/>
      <c r="J63" s="81"/>
      <c r="K63" s="64"/>
      <c r="L63" s="64"/>
      <c r="M63" s="64"/>
      <c r="N63" s="64"/>
      <c r="O63" s="64"/>
      <c r="P63" s="65"/>
      <c r="Q63" s="60"/>
    </row>
    <row r="64" spans="1:17">
      <c r="A64" s="58"/>
      <c r="B64" s="92" t="s">
        <v>107</v>
      </c>
      <c r="C64" s="50">
        <v>0</v>
      </c>
      <c r="D64" s="78" t="s">
        <v>109</v>
      </c>
      <c r="E64" s="79" t="s">
        <v>108</v>
      </c>
      <c r="F64" s="64"/>
      <c r="G64" s="90"/>
      <c r="H64" s="91"/>
      <c r="I64" s="90"/>
      <c r="J64" s="81"/>
      <c r="K64" s="64"/>
      <c r="L64" s="64"/>
      <c r="M64" s="64"/>
      <c r="N64" s="64"/>
      <c r="O64" s="64"/>
      <c r="P64" s="65"/>
      <c r="Q64" s="60"/>
    </row>
    <row r="65" spans="1:17">
      <c r="A65" s="58"/>
      <c r="B65" s="80" t="s">
        <v>115</v>
      </c>
      <c r="C65" s="51" t="str">
        <f>IF((C64=0), "floating", 3*R_7/C64)</f>
        <v>floating</v>
      </c>
      <c r="D65" s="78" t="s">
        <v>61</v>
      </c>
      <c r="E65" s="79" t="s">
        <v>116</v>
      </c>
      <c r="F65" s="64"/>
      <c r="G65" s="64"/>
      <c r="H65" s="64"/>
      <c r="I65" s="64"/>
      <c r="J65" s="64"/>
      <c r="K65" s="64"/>
      <c r="L65" s="64"/>
      <c r="M65" s="64"/>
      <c r="N65" s="64"/>
      <c r="O65" s="64"/>
      <c r="P65" s="65"/>
      <c r="Q65" s="60"/>
    </row>
    <row r="66" spans="1:17">
      <c r="A66" s="58"/>
      <c r="B66" s="77" t="s">
        <v>223</v>
      </c>
      <c r="C66" s="37">
        <v>0.1</v>
      </c>
      <c r="D66" s="78" t="s">
        <v>227</v>
      </c>
      <c r="E66" s="79" t="s">
        <v>225</v>
      </c>
      <c r="F66" s="64"/>
      <c r="G66" s="64"/>
      <c r="H66" s="64"/>
      <c r="I66" s="64"/>
      <c r="J66" s="64"/>
      <c r="K66" s="64"/>
      <c r="L66" s="64"/>
      <c r="M66" s="64"/>
      <c r="N66" s="64"/>
      <c r="O66" s="64"/>
      <c r="P66" s="65"/>
      <c r="Q66" s="60"/>
    </row>
    <row r="67" spans="1:17">
      <c r="A67" s="58"/>
      <c r="B67" s="77" t="s">
        <v>224</v>
      </c>
      <c r="C67" s="52">
        <v>2.5</v>
      </c>
      <c r="D67" s="78" t="s">
        <v>228</v>
      </c>
      <c r="E67" s="79" t="s">
        <v>226</v>
      </c>
      <c r="F67" s="64"/>
      <c r="G67" s="64"/>
      <c r="H67" s="64"/>
      <c r="I67" s="64"/>
      <c r="J67" s="64"/>
      <c r="K67" s="64"/>
      <c r="L67" s="64"/>
      <c r="M67" s="64"/>
      <c r="N67" s="64"/>
      <c r="O67" s="64"/>
      <c r="P67" s="65"/>
      <c r="Q67" s="60"/>
    </row>
    <row r="68" spans="1:17">
      <c r="A68" s="58"/>
      <c r="B68" s="77" t="s">
        <v>218</v>
      </c>
      <c r="C68" s="50" t="s">
        <v>203</v>
      </c>
      <c r="D68" s="78"/>
      <c r="E68" s="79" t="s">
        <v>219</v>
      </c>
      <c r="F68" s="64"/>
      <c r="G68" s="64"/>
      <c r="H68" s="64"/>
      <c r="I68" s="64"/>
      <c r="J68" s="64"/>
      <c r="K68" s="64"/>
      <c r="L68" s="64"/>
      <c r="M68" s="64"/>
      <c r="N68" s="64"/>
      <c r="O68" s="64"/>
      <c r="P68" s="65"/>
      <c r="Q68" s="60"/>
    </row>
    <row r="69" spans="1:17">
      <c r="A69" s="58"/>
      <c r="B69" s="77" t="s">
        <v>217</v>
      </c>
      <c r="C69" s="50" t="s">
        <v>203</v>
      </c>
      <c r="D69" s="78"/>
      <c r="E69" s="79" t="s">
        <v>220</v>
      </c>
      <c r="F69" s="64"/>
      <c r="G69" s="64"/>
      <c r="H69" s="64"/>
      <c r="I69" s="64"/>
      <c r="J69" s="64"/>
      <c r="K69" s="64"/>
      <c r="L69" s="64"/>
      <c r="M69" s="64"/>
      <c r="N69" s="64"/>
      <c r="O69" s="64"/>
      <c r="P69" s="65"/>
      <c r="Q69" s="60"/>
    </row>
    <row r="70" spans="1:17">
      <c r="A70" s="58"/>
      <c r="B70" s="77" t="s">
        <v>216</v>
      </c>
      <c r="C70" s="50" t="s">
        <v>203</v>
      </c>
      <c r="D70" s="78"/>
      <c r="E70" s="79" t="s">
        <v>221</v>
      </c>
      <c r="F70" s="64"/>
      <c r="G70" s="64"/>
      <c r="H70" s="64"/>
      <c r="I70" s="64"/>
      <c r="J70" s="64"/>
      <c r="K70" s="64"/>
      <c r="L70" s="64"/>
      <c r="M70" s="64"/>
      <c r="N70" s="64"/>
      <c r="O70" s="64"/>
      <c r="P70" s="65"/>
      <c r="Q70" s="60"/>
    </row>
    <row r="71" spans="1:17">
      <c r="A71" s="58"/>
      <c r="B71" s="155" t="s">
        <v>298</v>
      </c>
      <c r="C71" s="153"/>
      <c r="D71" s="153"/>
      <c r="E71" s="153"/>
      <c r="F71" s="152" t="s">
        <v>187</v>
      </c>
      <c r="G71" s="153"/>
      <c r="H71" s="153"/>
      <c r="I71" s="153"/>
      <c r="J71" s="153"/>
      <c r="K71" s="153"/>
      <c r="L71" s="153"/>
      <c r="M71" s="153"/>
      <c r="N71" s="153"/>
      <c r="O71" s="153"/>
      <c r="P71" s="154"/>
      <c r="Q71" s="60"/>
    </row>
    <row r="72" spans="1:17">
      <c r="A72" s="58"/>
      <c r="B72" s="77" t="s">
        <v>0</v>
      </c>
      <c r="C72" s="24">
        <v>3</v>
      </c>
      <c r="D72" s="78" t="s">
        <v>3</v>
      </c>
      <c r="E72" s="122" t="s">
        <v>300</v>
      </c>
      <c r="F72" s="64"/>
      <c r="G72" s="64"/>
      <c r="H72" s="64"/>
      <c r="I72" s="64"/>
      <c r="J72" s="64"/>
      <c r="K72" s="64"/>
      <c r="L72" s="64"/>
      <c r="M72" s="64"/>
      <c r="N72" s="64"/>
      <c r="O72" s="64"/>
      <c r="P72" s="65"/>
      <c r="Q72" s="60"/>
    </row>
    <row r="73" spans="1:17">
      <c r="A73" s="58"/>
      <c r="B73" s="77" t="s">
        <v>31</v>
      </c>
      <c r="C73" s="24">
        <v>12</v>
      </c>
      <c r="D73" s="78" t="s">
        <v>3</v>
      </c>
      <c r="E73" s="123"/>
      <c r="F73" s="64"/>
      <c r="G73" s="64"/>
      <c r="H73" s="64"/>
      <c r="I73" s="64"/>
      <c r="J73" s="64"/>
      <c r="K73" s="64"/>
      <c r="L73" s="64"/>
      <c r="M73" s="64"/>
      <c r="N73" s="64"/>
      <c r="O73" s="64"/>
      <c r="P73" s="65"/>
      <c r="Q73" s="60"/>
    </row>
    <row r="74" spans="1:17" ht="12.75" customHeight="1">
      <c r="A74" s="93"/>
      <c r="B74" s="77" t="s">
        <v>183</v>
      </c>
      <c r="C74" s="38" t="str">
        <f>IF((Vin_LP &gt; Vout_LP),"Buck","Boost")</f>
        <v>Boost</v>
      </c>
      <c r="D74" s="78"/>
      <c r="E74" s="79" t="s">
        <v>213</v>
      </c>
      <c r="F74" s="64"/>
      <c r="G74" s="64"/>
      <c r="H74" s="64"/>
      <c r="I74" s="64"/>
      <c r="J74" s="64"/>
      <c r="K74" s="64"/>
      <c r="L74" s="64"/>
      <c r="M74" s="64"/>
      <c r="N74" s="64"/>
      <c r="O74" s="64"/>
      <c r="P74" s="65"/>
      <c r="Q74" s="60"/>
    </row>
    <row r="75" spans="1:17" ht="12.75" customHeight="1">
      <c r="A75" s="93"/>
      <c r="B75" s="77" t="s">
        <v>331</v>
      </c>
      <c r="C75" s="53">
        <f>17+Ioutmax/2.5</f>
        <v>18.2</v>
      </c>
      <c r="D75" s="78" t="s">
        <v>161</v>
      </c>
      <c r="E75" s="79" t="s">
        <v>163</v>
      </c>
      <c r="F75" s="64"/>
      <c r="G75" s="64"/>
      <c r="H75" s="64"/>
      <c r="I75" s="64"/>
      <c r="J75" s="64"/>
      <c r="K75" s="64"/>
      <c r="L75" s="64"/>
      <c r="M75" s="64"/>
      <c r="N75" s="64"/>
      <c r="O75" s="64"/>
      <c r="P75" s="65"/>
      <c r="Q75" s="60"/>
    </row>
    <row r="76" spans="1:17" ht="12.75" customHeight="1">
      <c r="A76" s="93"/>
      <c r="B76" s="77" t="s">
        <v>330</v>
      </c>
      <c r="C76" s="38">
        <f>IF((Op_mode="Buck"), Ioutmax/2/PI()/Vout_LP/(Cout_c+Cout_e), Ioutmax/PI()/Vout_LP/(Cout_c+Cout_e))</f>
        <v>176.83882565766149</v>
      </c>
      <c r="D76" s="78" t="s">
        <v>6</v>
      </c>
      <c r="E76" s="79" t="s">
        <v>186</v>
      </c>
      <c r="F76" s="64"/>
      <c r="G76" s="64"/>
      <c r="H76" s="64"/>
      <c r="I76" s="64"/>
      <c r="J76" s="64"/>
      <c r="K76" s="64"/>
      <c r="L76" s="64"/>
      <c r="M76" s="64"/>
      <c r="N76" s="64"/>
      <c r="O76" s="64"/>
      <c r="P76" s="65"/>
      <c r="Q76" s="60"/>
    </row>
    <row r="77" spans="1:17" ht="12.75" customHeight="1">
      <c r="A77" s="93"/>
      <c r="B77" s="77" t="s">
        <v>334</v>
      </c>
      <c r="C77" s="38">
        <f>IF(Op_mode="Boost", Vout_LP*(eff*Vin_LP/Vout_LP)^2/2/PI()/L/Ioutmax, "No RPHZ")</f>
        <v>14976.841860727107</v>
      </c>
      <c r="D77" s="78" t="s">
        <v>6</v>
      </c>
      <c r="E77" s="79" t="s">
        <v>184</v>
      </c>
      <c r="F77" s="64"/>
      <c r="G77" s="64"/>
      <c r="H77" s="64"/>
      <c r="I77" s="64"/>
      <c r="J77" s="64"/>
      <c r="K77" s="64"/>
      <c r="L77" s="64"/>
      <c r="M77" s="64"/>
      <c r="N77" s="64"/>
      <c r="O77" s="64"/>
      <c r="P77" s="65"/>
      <c r="Q77" s="60"/>
    </row>
    <row r="78" spans="1:17" ht="12.75" customHeight="1">
      <c r="A78" s="93"/>
      <c r="B78" s="77" t="s">
        <v>335</v>
      </c>
      <c r="C78" s="38">
        <f>1/2/PI()/Cout_e/ESR</f>
        <v>40190.642194923072</v>
      </c>
      <c r="D78" s="78" t="s">
        <v>6</v>
      </c>
      <c r="E78" s="79" t="s">
        <v>185</v>
      </c>
      <c r="F78" s="64"/>
      <c r="G78" s="64"/>
      <c r="H78" s="64"/>
      <c r="I78" s="64"/>
      <c r="J78" s="64"/>
      <c r="K78" s="64"/>
      <c r="L78" s="64"/>
      <c r="M78" s="64"/>
      <c r="N78" s="64"/>
      <c r="O78" s="64"/>
      <c r="P78" s="65"/>
      <c r="Q78" s="60"/>
    </row>
    <row r="79" spans="1:17" ht="12.75" customHeight="1">
      <c r="A79" s="93"/>
      <c r="B79" s="77" t="s">
        <v>27</v>
      </c>
      <c r="C79" s="23">
        <v>3000</v>
      </c>
      <c r="D79" s="78" t="s">
        <v>6</v>
      </c>
      <c r="E79" s="79" t="s">
        <v>33</v>
      </c>
      <c r="F79" s="64"/>
      <c r="G79" s="64"/>
      <c r="H79" s="64"/>
      <c r="I79" s="64"/>
      <c r="J79" s="64"/>
      <c r="K79" s="64"/>
      <c r="L79" s="64"/>
      <c r="M79" s="64"/>
      <c r="N79" s="64"/>
      <c r="O79" s="64"/>
      <c r="P79" s="65"/>
      <c r="Q79" s="60"/>
    </row>
    <row r="80" spans="1:17" ht="12.75" customHeight="1">
      <c r="A80" s="93"/>
      <c r="B80" s="77" t="s">
        <v>332</v>
      </c>
      <c r="C80" s="94">
        <v>1.9000000000000001E-4</v>
      </c>
      <c r="D80" s="78" t="s">
        <v>161</v>
      </c>
      <c r="E80" s="79" t="s">
        <v>162</v>
      </c>
      <c r="F80" s="64"/>
      <c r="G80" s="64"/>
      <c r="H80" s="64"/>
      <c r="I80" s="64"/>
      <c r="J80" s="64"/>
      <c r="K80" s="64"/>
      <c r="L80" s="64"/>
      <c r="M80" s="64"/>
      <c r="N80" s="64"/>
      <c r="O80" s="64"/>
      <c r="P80" s="65"/>
      <c r="Q80" s="60"/>
    </row>
    <row r="81" spans="1:17">
      <c r="A81" s="93"/>
      <c r="B81" s="80" t="s">
        <v>110</v>
      </c>
      <c r="C81" s="31">
        <f>IF(Op_mode="Boost", 2*PI()*fco*(Cout_c+Cout_e)*Vout_max/1.129/gm_PS/(eff*Vin_LP/Vout_LP)/gm_EA, 2*PI()*fco*(Cout_c+Cout_e)*Vout_max/1.129/gm_PS/gm_EA)</f>
        <v>191004.36870310607</v>
      </c>
      <c r="D81" s="78" t="s">
        <v>28</v>
      </c>
      <c r="E81" s="78"/>
      <c r="F81" s="64"/>
      <c r="G81" s="64"/>
      <c r="H81" s="64"/>
      <c r="I81" s="64"/>
      <c r="J81" s="64"/>
      <c r="K81" s="64"/>
      <c r="L81" s="64"/>
      <c r="M81" s="64"/>
      <c r="N81" s="64"/>
      <c r="O81" s="64"/>
      <c r="P81" s="65"/>
      <c r="Q81" s="60"/>
    </row>
    <row r="82" spans="1:17">
      <c r="A82" s="93"/>
      <c r="B82" s="77" t="s">
        <v>130</v>
      </c>
      <c r="C82" s="23">
        <v>75000</v>
      </c>
      <c r="D82" s="78" t="s">
        <v>28</v>
      </c>
      <c r="E82" s="78" t="s">
        <v>283</v>
      </c>
      <c r="F82" s="64"/>
      <c r="G82" s="64"/>
      <c r="H82" s="64"/>
      <c r="I82" s="64"/>
      <c r="J82" s="64"/>
      <c r="K82" s="64"/>
      <c r="L82" s="64"/>
      <c r="M82" s="64"/>
      <c r="N82" s="64"/>
      <c r="O82" s="64"/>
      <c r="P82" s="65"/>
      <c r="Q82" s="60"/>
    </row>
    <row r="83" spans="1:17">
      <c r="A83" s="93"/>
      <c r="B83" s="80" t="s">
        <v>111</v>
      </c>
      <c r="C83" s="47">
        <f>1/(2*PI()*(fco/10)*(Rcomp+2000))</f>
        <v>6.8898243762725254E-9</v>
      </c>
      <c r="D83" s="78" t="s">
        <v>9</v>
      </c>
      <c r="E83" s="78" t="s">
        <v>338</v>
      </c>
      <c r="F83" s="64"/>
      <c r="G83" s="64"/>
      <c r="H83" s="64"/>
      <c r="I83" s="64"/>
      <c r="J83" s="64"/>
      <c r="K83" s="64"/>
      <c r="L83" s="64"/>
      <c r="M83" s="64"/>
      <c r="N83" s="64"/>
      <c r="O83" s="64"/>
      <c r="P83" s="65"/>
      <c r="Q83" s="60"/>
    </row>
    <row r="84" spans="1:17">
      <c r="A84" s="93"/>
      <c r="B84" s="77" t="s">
        <v>112</v>
      </c>
      <c r="C84" s="48">
        <v>6.7999999999999997E-9</v>
      </c>
      <c r="D84" s="78" t="s">
        <v>9</v>
      </c>
      <c r="E84" s="78"/>
      <c r="F84" s="64"/>
      <c r="G84" s="64"/>
      <c r="H84" s="64"/>
      <c r="I84" s="64"/>
      <c r="J84" s="64"/>
      <c r="K84" s="64"/>
      <c r="L84" s="64"/>
      <c r="M84" s="64"/>
      <c r="N84" s="64"/>
      <c r="O84" s="64"/>
      <c r="P84" s="65"/>
      <c r="Q84" s="60"/>
    </row>
    <row r="85" spans="1:17">
      <c r="A85" s="93"/>
      <c r="B85" s="77" t="s">
        <v>333</v>
      </c>
      <c r="C85" s="31">
        <f>1/2/PI()/(Rcomp+2000)/Ccomp</f>
        <v>303.96284012967027</v>
      </c>
      <c r="D85" s="78" t="s">
        <v>6</v>
      </c>
      <c r="E85" s="78" t="s">
        <v>337</v>
      </c>
      <c r="F85" s="64"/>
      <c r="G85" s="64"/>
      <c r="H85" s="64"/>
      <c r="I85" s="64"/>
      <c r="J85" s="64"/>
      <c r="K85" s="64"/>
      <c r="L85" s="64"/>
      <c r="M85" s="64"/>
      <c r="N85" s="64"/>
      <c r="O85" s="64"/>
      <c r="P85" s="65"/>
      <c r="Q85" s="60"/>
    </row>
    <row r="86" spans="1:17" ht="26.4">
      <c r="A86" s="93"/>
      <c r="B86" s="80" t="s">
        <v>113</v>
      </c>
      <c r="C86" s="54">
        <f>Ccomp*(IF(fzRHP&gt;fz_ESR, (Cout_e*ESR/Rcomp)/(Ccomp-Cout_e*ESR/Rcomp), (1/2/PI()/fzRHP/Rcomp)/(Ccomp-1/2/PI()/fzRHP/Rcomp)))</f>
        <v>1.4470499188694438E-10</v>
      </c>
      <c r="D86" s="78" t="s">
        <v>9</v>
      </c>
      <c r="E86" s="79" t="s">
        <v>349</v>
      </c>
      <c r="F86" s="81"/>
      <c r="G86" s="64"/>
      <c r="H86" s="64"/>
      <c r="I86" s="64"/>
      <c r="J86" s="64"/>
      <c r="K86" s="64"/>
      <c r="L86" s="64"/>
      <c r="M86" s="64"/>
      <c r="N86" s="64"/>
      <c r="O86" s="64"/>
      <c r="P86" s="65"/>
      <c r="Q86" s="60"/>
    </row>
    <row r="87" spans="1:17">
      <c r="A87" s="93"/>
      <c r="B87" s="95" t="s">
        <v>114</v>
      </c>
      <c r="C87" s="55">
        <v>1E-10</v>
      </c>
      <c r="D87" s="96" t="s">
        <v>9</v>
      </c>
      <c r="E87" s="96"/>
      <c r="F87" s="64"/>
      <c r="G87" s="64"/>
      <c r="H87" s="64"/>
      <c r="I87" s="64"/>
      <c r="J87" s="64"/>
      <c r="K87" s="64"/>
      <c r="L87" s="64"/>
      <c r="M87" s="64"/>
      <c r="N87" s="64"/>
      <c r="O87" s="64"/>
      <c r="P87" s="65"/>
      <c r="Q87" s="60"/>
    </row>
    <row r="88" spans="1:17">
      <c r="A88" s="93"/>
      <c r="B88" s="95" t="s">
        <v>336</v>
      </c>
      <c r="C88" s="32">
        <f>1/2/PI()/(Rcomp+2000)/(Ccomp*(Cp+0.000000000003)/(Ccomp+Cp+0.000000000003))</f>
        <v>20371.412479758383</v>
      </c>
      <c r="D88" s="96" t="s">
        <v>6</v>
      </c>
      <c r="E88" s="96" t="s">
        <v>299</v>
      </c>
      <c r="F88" s="64"/>
      <c r="G88" s="64"/>
      <c r="H88" s="64"/>
      <c r="I88" s="64"/>
      <c r="J88" s="64"/>
      <c r="K88" s="64"/>
      <c r="L88" s="64"/>
      <c r="M88" s="64"/>
      <c r="N88" s="64"/>
      <c r="O88" s="64"/>
      <c r="P88" s="65"/>
      <c r="Q88" s="60"/>
    </row>
    <row r="89" spans="1:17">
      <c r="A89" s="93"/>
      <c r="B89" s="151" t="s">
        <v>329</v>
      </c>
      <c r="C89" s="149"/>
      <c r="D89" s="149"/>
      <c r="E89" s="149"/>
      <c r="F89" s="64"/>
      <c r="G89" s="64"/>
      <c r="H89" s="64"/>
      <c r="I89" s="64"/>
      <c r="J89" s="64"/>
      <c r="K89" s="64"/>
      <c r="L89" s="64"/>
      <c r="M89" s="64"/>
      <c r="N89" s="64"/>
      <c r="O89" s="64"/>
      <c r="P89" s="65"/>
      <c r="Q89" s="60"/>
    </row>
    <row r="90" spans="1:17">
      <c r="A90" s="93"/>
      <c r="B90" s="77" t="s">
        <v>0</v>
      </c>
      <c r="C90" s="24">
        <v>3.7</v>
      </c>
      <c r="D90" s="97" t="s">
        <v>3</v>
      </c>
      <c r="E90" s="97" t="s">
        <v>308</v>
      </c>
      <c r="F90" s="64"/>
      <c r="G90" s="64"/>
      <c r="H90" s="64"/>
      <c r="I90" s="64"/>
      <c r="J90" s="64"/>
      <c r="K90" s="64"/>
      <c r="L90" s="64"/>
      <c r="M90" s="64"/>
      <c r="N90" s="64"/>
      <c r="O90" s="64"/>
      <c r="P90" s="65"/>
      <c r="Q90" s="60"/>
    </row>
    <row r="91" spans="1:17">
      <c r="A91" s="93"/>
      <c r="B91" s="77" t="s">
        <v>1</v>
      </c>
      <c r="C91" s="56">
        <f>IF(Vin_eff&lt;Vout, ((Ioutmax/(Vin_eff/Vout)/eff)^2+1/12*(Vin_eff/L*(1-Vin_eff/Vout)/fsw)^2)^0.5, ((Ioutmax^2+1/12*(Vout/L*(1-Vout/Vin_eff)/fsw)^2)^0.5))</f>
        <v>10.725777315708788</v>
      </c>
      <c r="D91" s="78" t="s">
        <v>4</v>
      </c>
      <c r="E91" s="79" t="s">
        <v>277</v>
      </c>
      <c r="F91" s="64"/>
      <c r="G91" s="64"/>
      <c r="H91" s="64"/>
      <c r="I91" s="64"/>
      <c r="J91" s="64"/>
      <c r="K91" s="64"/>
      <c r="L91" s="64"/>
      <c r="M91" s="64"/>
      <c r="N91" s="64"/>
      <c r="O91" s="64"/>
      <c r="P91" s="65"/>
      <c r="Q91" s="60"/>
    </row>
    <row r="92" spans="1:17">
      <c r="A92" s="93"/>
      <c r="B92" s="77" t="s">
        <v>7</v>
      </c>
      <c r="C92" s="56">
        <f>IF(Vin_eff&lt;Vout, (Ioutmax/(Vin_eff/Vout)/eff+(1/2*Vin_eff/L*(1-Vin_eff/Vout)/fsw)), Ioutmax+1/2*(Vout*(1-Vout/Vin_eff)/L/fsw))</f>
        <v>12.164973408547244</v>
      </c>
      <c r="D92" s="78" t="s">
        <v>4</v>
      </c>
      <c r="E92" s="79" t="s">
        <v>280</v>
      </c>
      <c r="F92" s="64"/>
      <c r="G92" s="64"/>
      <c r="H92" s="64"/>
      <c r="I92" s="64"/>
      <c r="J92" s="64"/>
      <c r="K92" s="64"/>
      <c r="L92" s="64"/>
      <c r="M92" s="64"/>
      <c r="N92" s="64"/>
      <c r="O92" s="64"/>
      <c r="P92" s="65"/>
      <c r="Q92" s="60"/>
    </row>
    <row r="93" spans="1:17">
      <c r="A93" s="93"/>
      <c r="B93" s="77" t="s">
        <v>326</v>
      </c>
      <c r="C93" s="56">
        <f>IF(Vin_eff&lt;Vout, (Ioutmax/(Vin_eff/Vout)/eff-(1/2*Vin_eff/L*(1-Vin_eff/Vout)/fsw)),Ioutmax-1/2*(Vout*(1-Vout/Vin_eff)/L/fsw))</f>
        <v>9.2190479754741403</v>
      </c>
      <c r="D93" s="78" t="s">
        <v>4</v>
      </c>
      <c r="E93" s="79" t="s">
        <v>281</v>
      </c>
      <c r="F93" s="64"/>
      <c r="G93" s="64"/>
      <c r="H93" s="64"/>
      <c r="I93" s="64"/>
      <c r="J93" s="64"/>
      <c r="K93" s="64"/>
      <c r="L93" s="64"/>
      <c r="M93" s="64"/>
      <c r="N93" s="64"/>
      <c r="O93" s="64"/>
      <c r="P93" s="65"/>
      <c r="Q93" s="60"/>
    </row>
    <row r="94" spans="1:17">
      <c r="A94" s="58"/>
      <c r="B94" s="77" t="s">
        <v>21</v>
      </c>
      <c r="C94" s="35">
        <v>2.5500000000000002E-3</v>
      </c>
      <c r="D94" s="78" t="s">
        <v>28</v>
      </c>
      <c r="E94" s="79" t="s">
        <v>15</v>
      </c>
      <c r="F94" s="64"/>
      <c r="G94" s="64"/>
      <c r="H94" s="64"/>
      <c r="I94" s="64"/>
      <c r="J94" s="64"/>
      <c r="K94" s="64"/>
      <c r="L94" s="64"/>
      <c r="M94" s="64"/>
      <c r="N94" s="64"/>
      <c r="O94" s="64"/>
      <c r="P94" s="65"/>
      <c r="Q94" s="60"/>
    </row>
    <row r="95" spans="1:17">
      <c r="A95" s="58"/>
      <c r="B95" s="77" t="s">
        <v>75</v>
      </c>
      <c r="C95" s="35">
        <v>6.4999999999999997E-3</v>
      </c>
      <c r="D95" s="78" t="s">
        <v>28</v>
      </c>
      <c r="E95" s="79" t="s">
        <v>30</v>
      </c>
      <c r="F95" s="64"/>
      <c r="G95" s="90"/>
      <c r="H95" s="91"/>
      <c r="I95" s="90"/>
      <c r="J95" s="81"/>
      <c r="K95" s="64"/>
      <c r="L95" s="64"/>
      <c r="M95" s="64"/>
      <c r="N95" s="64"/>
      <c r="O95" s="64"/>
      <c r="P95" s="65"/>
      <c r="Q95" s="60"/>
    </row>
    <row r="96" spans="1:17">
      <c r="A96" s="58"/>
      <c r="B96" s="77" t="s">
        <v>82</v>
      </c>
      <c r="C96" s="48">
        <v>6.9999999999999998E-9</v>
      </c>
      <c r="D96" s="78" t="s">
        <v>83</v>
      </c>
      <c r="E96" s="79" t="s">
        <v>85</v>
      </c>
      <c r="F96" s="64"/>
      <c r="G96" s="90"/>
      <c r="H96" s="91"/>
      <c r="I96" s="90"/>
      <c r="J96" s="81"/>
      <c r="K96" s="64"/>
      <c r="L96" s="64"/>
      <c r="M96" s="64"/>
      <c r="N96" s="64"/>
      <c r="O96" s="64"/>
      <c r="P96" s="65"/>
      <c r="Q96" s="60"/>
    </row>
    <row r="97" spans="1:17">
      <c r="A97" s="58"/>
      <c r="B97" s="77" t="s">
        <v>346</v>
      </c>
      <c r="C97" s="48">
        <v>2.7E-10</v>
      </c>
      <c r="D97" s="78" t="s">
        <v>9</v>
      </c>
      <c r="E97" s="79" t="s">
        <v>347</v>
      </c>
      <c r="F97" s="64"/>
      <c r="G97" s="90"/>
      <c r="H97" s="91"/>
      <c r="I97" s="90"/>
      <c r="J97" s="81"/>
      <c r="K97" s="64"/>
      <c r="L97" s="64"/>
      <c r="M97" s="64"/>
      <c r="N97" s="64"/>
      <c r="O97" s="64"/>
      <c r="P97" s="65"/>
      <c r="Q97" s="60"/>
    </row>
    <row r="98" spans="1:17">
      <c r="A98" s="58"/>
      <c r="B98" s="77" t="s">
        <v>76</v>
      </c>
      <c r="C98" s="48">
        <v>3.3000000000000002E-9</v>
      </c>
      <c r="D98" s="78" t="s">
        <v>8</v>
      </c>
      <c r="E98" s="79" t="s">
        <v>309</v>
      </c>
      <c r="F98" s="64"/>
      <c r="G98" s="98"/>
      <c r="H98" s="64"/>
      <c r="I98" s="64"/>
      <c r="J98" s="64"/>
      <c r="K98" s="64"/>
      <c r="L98" s="64"/>
      <c r="M98" s="64"/>
      <c r="N98" s="64"/>
      <c r="O98" s="64"/>
      <c r="P98" s="65"/>
      <c r="Q98" s="60"/>
    </row>
    <row r="99" spans="1:17">
      <c r="A99" s="58"/>
      <c r="B99" s="77" t="s">
        <v>77</v>
      </c>
      <c r="C99" s="48">
        <v>4.2999999999999996E-9</v>
      </c>
      <c r="D99" s="78" t="s">
        <v>8</v>
      </c>
      <c r="E99" s="79" t="s">
        <v>310</v>
      </c>
      <c r="F99" s="64"/>
      <c r="G99" s="64"/>
      <c r="H99" s="64"/>
      <c r="I99" s="64"/>
      <c r="J99" s="64"/>
      <c r="K99" s="64"/>
      <c r="L99" s="64"/>
      <c r="M99" s="64"/>
      <c r="N99" s="64"/>
      <c r="O99" s="64"/>
      <c r="P99" s="65"/>
      <c r="Q99" s="60"/>
    </row>
    <row r="100" spans="1:17">
      <c r="A100" s="58"/>
      <c r="B100" s="77" t="s">
        <v>78</v>
      </c>
      <c r="C100" s="35">
        <v>6.4999999999999997E-3</v>
      </c>
      <c r="D100" s="78" t="s">
        <v>28</v>
      </c>
      <c r="E100" s="79" t="s">
        <v>30</v>
      </c>
      <c r="F100" s="64"/>
      <c r="G100" s="64"/>
      <c r="H100" s="64"/>
      <c r="I100" s="64"/>
      <c r="J100" s="64"/>
      <c r="K100" s="64"/>
      <c r="L100" s="64"/>
      <c r="M100" s="64"/>
      <c r="N100" s="64"/>
      <c r="O100" s="64"/>
      <c r="P100" s="65"/>
      <c r="Q100" s="60"/>
    </row>
    <row r="101" spans="1:17">
      <c r="A101" s="58"/>
      <c r="B101" s="77" t="s">
        <v>84</v>
      </c>
      <c r="C101" s="48">
        <v>6.9999999999999998E-9</v>
      </c>
      <c r="D101" s="78" t="s">
        <v>83</v>
      </c>
      <c r="E101" s="79" t="s">
        <v>85</v>
      </c>
      <c r="F101" s="64"/>
      <c r="G101" s="64"/>
      <c r="H101" s="64"/>
      <c r="I101" s="64"/>
      <c r="J101" s="64"/>
      <c r="K101" s="64"/>
      <c r="L101" s="64"/>
      <c r="M101" s="64"/>
      <c r="N101" s="64"/>
      <c r="O101" s="64"/>
      <c r="P101" s="65"/>
      <c r="Q101" s="60"/>
    </row>
    <row r="102" spans="1:17">
      <c r="A102" s="58"/>
      <c r="B102" s="77" t="s">
        <v>295</v>
      </c>
      <c r="C102" s="48">
        <v>1.7199999999999999E-8</v>
      </c>
      <c r="D102" s="78" t="s">
        <v>83</v>
      </c>
      <c r="E102" s="79" t="s">
        <v>296</v>
      </c>
      <c r="F102" s="64"/>
      <c r="G102" s="64"/>
      <c r="H102" s="64"/>
      <c r="I102" s="64"/>
      <c r="J102" s="64"/>
      <c r="K102" s="64"/>
      <c r="L102" s="64"/>
      <c r="M102" s="64"/>
      <c r="N102" s="64"/>
      <c r="O102" s="64"/>
      <c r="P102" s="65"/>
      <c r="Q102" s="60"/>
    </row>
    <row r="103" spans="1:17">
      <c r="A103" s="58"/>
      <c r="B103" s="77" t="s">
        <v>79</v>
      </c>
      <c r="C103" s="94">
        <v>1E-8</v>
      </c>
      <c r="D103" s="78" t="s">
        <v>8</v>
      </c>
      <c r="E103" s="79" t="s">
        <v>87</v>
      </c>
      <c r="F103" s="64"/>
      <c r="G103" s="64"/>
      <c r="H103" s="64"/>
      <c r="I103" s="64"/>
      <c r="J103" s="64"/>
      <c r="K103" s="64"/>
      <c r="L103" s="64"/>
      <c r="M103" s="64"/>
      <c r="N103" s="64"/>
      <c r="O103" s="64"/>
      <c r="P103" s="65"/>
      <c r="Q103" s="60"/>
    </row>
    <row r="104" spans="1:17">
      <c r="A104" s="58"/>
      <c r="B104" s="77" t="s">
        <v>80</v>
      </c>
      <c r="C104" s="24">
        <v>0.7</v>
      </c>
      <c r="D104" s="78" t="s">
        <v>3</v>
      </c>
      <c r="E104" s="79" t="s">
        <v>29</v>
      </c>
      <c r="F104" s="64"/>
      <c r="G104" s="64"/>
      <c r="H104" s="64"/>
      <c r="I104" s="64"/>
      <c r="J104" s="64"/>
      <c r="K104" s="64"/>
      <c r="L104" s="64"/>
      <c r="M104" s="64"/>
      <c r="N104" s="64"/>
      <c r="O104" s="64"/>
      <c r="P104" s="65"/>
      <c r="Q104" s="60"/>
    </row>
    <row r="105" spans="1:17" ht="26.4">
      <c r="A105" s="58"/>
      <c r="B105" s="77" t="s">
        <v>69</v>
      </c>
      <c r="C105" s="35">
        <v>7.1000000000000004E-3</v>
      </c>
      <c r="D105" s="78" t="s">
        <v>28</v>
      </c>
      <c r="E105" s="79" t="s">
        <v>297</v>
      </c>
      <c r="F105" s="64"/>
      <c r="G105" s="90"/>
      <c r="H105" s="91"/>
      <c r="I105" s="90"/>
      <c r="J105" s="81"/>
      <c r="K105" s="64"/>
      <c r="L105" s="64"/>
      <c r="M105" s="64"/>
      <c r="N105" s="64"/>
      <c r="O105" s="64"/>
      <c r="P105" s="65"/>
      <c r="Q105" s="60"/>
    </row>
    <row r="106" spans="1:17">
      <c r="A106" s="58"/>
      <c r="B106" s="77" t="s">
        <v>70</v>
      </c>
      <c r="C106" s="94">
        <v>1.3000000000000001E-8</v>
      </c>
      <c r="D106" s="78" t="s">
        <v>8</v>
      </c>
      <c r="E106" s="79" t="s">
        <v>323</v>
      </c>
      <c r="F106" s="64"/>
      <c r="G106" s="98"/>
      <c r="H106" s="64"/>
      <c r="I106" s="64"/>
      <c r="J106" s="64"/>
      <c r="K106" s="64"/>
      <c r="L106" s="64"/>
      <c r="M106" s="64"/>
      <c r="N106" s="64"/>
      <c r="O106" s="64"/>
      <c r="P106" s="65"/>
      <c r="Q106" s="60"/>
    </row>
    <row r="107" spans="1:17">
      <c r="A107" s="58"/>
      <c r="B107" s="77" t="s">
        <v>71</v>
      </c>
      <c r="C107" s="94">
        <v>1.3000000000000001E-8</v>
      </c>
      <c r="D107" s="78" t="s">
        <v>8</v>
      </c>
      <c r="E107" s="79" t="s">
        <v>322</v>
      </c>
      <c r="F107" s="64"/>
      <c r="G107" s="64"/>
      <c r="H107" s="64"/>
      <c r="I107" s="64"/>
      <c r="J107" s="64"/>
      <c r="K107" s="64"/>
      <c r="L107" s="64"/>
      <c r="M107" s="64"/>
      <c r="N107" s="64"/>
      <c r="O107" s="64"/>
      <c r="P107" s="65"/>
      <c r="Q107" s="60"/>
    </row>
    <row r="108" spans="1:17" ht="26.4">
      <c r="A108" s="58"/>
      <c r="B108" s="77" t="s">
        <v>72</v>
      </c>
      <c r="C108" s="35">
        <v>7.6E-3</v>
      </c>
      <c r="D108" s="78" t="s">
        <v>28</v>
      </c>
      <c r="E108" s="79" t="s">
        <v>315</v>
      </c>
      <c r="F108" s="64"/>
      <c r="G108" s="64"/>
      <c r="H108" s="64"/>
      <c r="I108" s="64"/>
      <c r="J108" s="64"/>
      <c r="K108" s="64"/>
      <c r="L108" s="64"/>
      <c r="M108" s="64"/>
      <c r="N108" s="64"/>
      <c r="O108" s="64"/>
      <c r="P108" s="65"/>
      <c r="Q108" s="60"/>
    </row>
    <row r="109" spans="1:17">
      <c r="A109" s="58"/>
      <c r="B109" s="77" t="s">
        <v>73</v>
      </c>
      <c r="C109" s="94">
        <v>2E-8</v>
      </c>
      <c r="D109" s="78" t="s">
        <v>8</v>
      </c>
      <c r="E109" s="79" t="s">
        <v>87</v>
      </c>
      <c r="F109" s="64"/>
      <c r="G109" s="64"/>
      <c r="H109" s="64"/>
      <c r="I109" s="64"/>
      <c r="J109" s="64"/>
      <c r="K109" s="64"/>
      <c r="L109" s="64"/>
      <c r="M109" s="64"/>
      <c r="N109" s="64"/>
      <c r="O109" s="64"/>
      <c r="P109" s="65"/>
      <c r="Q109" s="60"/>
    </row>
    <row r="110" spans="1:17">
      <c r="A110" s="58"/>
      <c r="B110" s="77" t="s">
        <v>74</v>
      </c>
      <c r="C110" s="40">
        <v>1</v>
      </c>
      <c r="D110" s="78" t="s">
        <v>3</v>
      </c>
      <c r="E110" s="79" t="s">
        <v>29</v>
      </c>
      <c r="F110" s="64"/>
      <c r="G110" s="64"/>
      <c r="H110" s="64"/>
      <c r="I110" s="64"/>
      <c r="J110" s="64"/>
      <c r="K110" s="64"/>
      <c r="L110" s="64"/>
      <c r="M110" s="64"/>
      <c r="N110" s="64"/>
      <c r="O110" s="64"/>
      <c r="P110" s="65"/>
      <c r="Q110" s="60"/>
    </row>
    <row r="111" spans="1:17">
      <c r="A111" s="58"/>
      <c r="B111" s="77" t="s">
        <v>273</v>
      </c>
      <c r="C111" s="57">
        <v>0</v>
      </c>
      <c r="D111" s="78" t="s">
        <v>9</v>
      </c>
      <c r="E111" s="79" t="s">
        <v>303</v>
      </c>
      <c r="F111" s="64"/>
      <c r="G111" s="64"/>
      <c r="H111" s="64"/>
      <c r="I111" s="64"/>
      <c r="J111" s="64"/>
      <c r="K111" s="64"/>
      <c r="L111" s="64"/>
      <c r="M111" s="64"/>
      <c r="N111" s="64"/>
      <c r="O111" s="64"/>
      <c r="P111" s="65"/>
      <c r="Q111" s="60"/>
    </row>
    <row r="112" spans="1:17">
      <c r="A112" s="58"/>
      <c r="B112" s="77" t="s">
        <v>154</v>
      </c>
      <c r="C112" s="57">
        <v>0</v>
      </c>
      <c r="D112" s="78" t="s">
        <v>9</v>
      </c>
      <c r="E112" s="79" t="s">
        <v>153</v>
      </c>
      <c r="F112" s="64"/>
      <c r="G112" s="64"/>
      <c r="H112" s="64"/>
      <c r="I112" s="64"/>
      <c r="J112" s="64"/>
      <c r="K112" s="64"/>
      <c r="L112" s="64"/>
      <c r="M112" s="64"/>
      <c r="N112" s="64"/>
      <c r="O112" s="64"/>
      <c r="P112" s="65"/>
      <c r="Q112" s="60"/>
    </row>
    <row r="113" spans="1:17">
      <c r="A113" s="58"/>
      <c r="B113" s="92" t="s">
        <v>155</v>
      </c>
      <c r="C113" s="24">
        <v>2</v>
      </c>
      <c r="D113" s="78" t="s">
        <v>312</v>
      </c>
      <c r="E113" s="79" t="s">
        <v>182</v>
      </c>
      <c r="F113" s="64"/>
      <c r="G113" s="64"/>
      <c r="H113" s="64"/>
      <c r="I113" s="64"/>
      <c r="J113" s="64"/>
      <c r="K113" s="64"/>
      <c r="L113" s="64"/>
      <c r="M113" s="64"/>
      <c r="N113" s="64"/>
      <c r="O113" s="64"/>
      <c r="P113" s="65"/>
      <c r="Q113" s="60"/>
    </row>
    <row r="114" spans="1:17">
      <c r="A114" s="58"/>
      <c r="B114" s="92" t="s">
        <v>156</v>
      </c>
      <c r="C114" s="31">
        <f>Rpcb*(ILrms^2)</f>
        <v>230.08459805234642</v>
      </c>
      <c r="D114" s="78" t="s">
        <v>10</v>
      </c>
      <c r="E114" s="79" t="s">
        <v>165</v>
      </c>
      <c r="F114" s="64"/>
      <c r="G114" s="64"/>
      <c r="H114" s="64"/>
      <c r="I114" s="64"/>
      <c r="J114" s="64"/>
      <c r="K114" s="64"/>
      <c r="L114" s="64"/>
      <c r="M114" s="64"/>
      <c r="N114" s="64"/>
      <c r="O114" s="64"/>
      <c r="P114" s="65"/>
      <c r="Q114" s="60"/>
    </row>
    <row r="115" spans="1:17">
      <c r="A115" s="93"/>
      <c r="B115" s="77" t="s">
        <v>90</v>
      </c>
      <c r="C115" s="31">
        <f>(ILrms)^2*DCR*1000</f>
        <v>293.3578625167417</v>
      </c>
      <c r="D115" s="78" t="s">
        <v>10</v>
      </c>
      <c r="E115" s="79" t="s">
        <v>18</v>
      </c>
      <c r="F115" s="64"/>
      <c r="G115" s="64"/>
      <c r="H115" s="64"/>
      <c r="I115" s="64"/>
      <c r="J115" s="64"/>
      <c r="K115" s="64"/>
      <c r="L115" s="64"/>
      <c r="M115" s="64"/>
      <c r="N115" s="64"/>
      <c r="O115" s="64"/>
      <c r="P115" s="65"/>
      <c r="Q115" s="60"/>
    </row>
    <row r="116" spans="1:17" ht="37.799999999999997" customHeight="1">
      <c r="A116" s="93"/>
      <c r="B116" s="77" t="s">
        <v>275</v>
      </c>
      <c r="C116" s="23">
        <v>344</v>
      </c>
      <c r="D116" s="78" t="s">
        <v>10</v>
      </c>
      <c r="E116" s="79" t="s">
        <v>348</v>
      </c>
      <c r="F116" s="64"/>
      <c r="G116" s="64"/>
      <c r="H116" s="64"/>
      <c r="I116" s="64"/>
      <c r="J116" s="64"/>
      <c r="K116" s="64"/>
      <c r="L116" s="64"/>
      <c r="M116" s="64"/>
      <c r="N116" s="64"/>
      <c r="O116" s="64"/>
      <c r="P116" s="65"/>
      <c r="Q116" s="60"/>
    </row>
    <row r="117" spans="1:17">
      <c r="A117" s="93"/>
      <c r="B117" s="92" t="s">
        <v>89</v>
      </c>
      <c r="C117" s="31">
        <f>IF(Vin_eff&lt;Vout, ((0.001+0.00000001*fsw)*IF(AND(Vout&gt;Vin_eff, Vin_eff&gt;6.2), Vin_eff, Vout)+(1-Vin_eff/Vout)*ILrms^2*BST_LS_Rdson+(Vin_eff/Vout)*ILrms^2*BST_HS_Rdson+1/2*ILpeak*(Vout+BST_HS_Vd)*BST_LS_rise_time*fsw+1/2*ILvalley*(Vout+BST_HS_Vd)*BST_LS_fall_time*fsw+1/2*0.0000000005*(Vout+BST_HS_Vd)*(Vout+BST_HS_Vd)*fsw+(ILpeak+ILvalley)*BST_HS_Vd*BST_HS_dead_time*fsw+Vout*0.000000005*fsw)*1000, ((0.001+(BUCK_HS_Qg+BUCK_LS_Qg)*fsw)*IF(AND(Vin_eff&gt;Vout, Vout&gt;6.2), Vout, Vin_eff)+BST_HS_Rdson*ILrms^2)*1000)</f>
        <v>1816.6843091008059</v>
      </c>
      <c r="D117" s="78" t="s">
        <v>10</v>
      </c>
      <c r="E117" s="79" t="s">
        <v>321</v>
      </c>
      <c r="F117" s="64"/>
      <c r="G117" s="64"/>
      <c r="H117" s="64"/>
      <c r="I117" s="64"/>
      <c r="J117" s="64"/>
      <c r="K117" s="64"/>
      <c r="L117" s="64"/>
      <c r="M117" s="64"/>
      <c r="N117" s="64"/>
      <c r="O117" s="64"/>
      <c r="P117" s="65"/>
      <c r="Q117" s="60"/>
    </row>
    <row r="118" spans="1:17">
      <c r="A118" s="93"/>
      <c r="B118" s="99" t="s">
        <v>152</v>
      </c>
      <c r="C118" s="32">
        <f>Ioutmax*Ioutmax*R_1</f>
        <v>90</v>
      </c>
      <c r="D118" s="78" t="s">
        <v>10</v>
      </c>
      <c r="E118" s="100" t="s">
        <v>305</v>
      </c>
      <c r="F118" s="64"/>
      <c r="G118" s="64"/>
      <c r="H118" s="64"/>
      <c r="I118" s="64"/>
      <c r="J118" s="64"/>
      <c r="K118" s="64"/>
      <c r="L118" s="64"/>
      <c r="M118" s="64"/>
      <c r="N118" s="64"/>
      <c r="O118" s="64"/>
      <c r="P118" s="65"/>
      <c r="Q118" s="60"/>
    </row>
    <row r="119" spans="1:17">
      <c r="A119" s="93"/>
      <c r="B119" s="99" t="s">
        <v>274</v>
      </c>
      <c r="C119" s="32">
        <f>IF(Vin_eff&lt;Vout, 2/3*C_bst_snubber*(Vout+BST_HS_Vd)*(Vout+BST_HS_Vd)*fsw*1000, 2/3*C_buck_snubber*(Vin_eff+BUCK_LS_Vd)*(Vin_eff+BUCK_LS_Vd)*fsw*1000)</f>
        <v>0</v>
      </c>
      <c r="D119" s="78" t="s">
        <v>10</v>
      </c>
      <c r="E119" s="100" t="s">
        <v>306</v>
      </c>
      <c r="F119" s="64"/>
      <c r="G119" s="64"/>
      <c r="H119" s="64"/>
      <c r="I119" s="64"/>
      <c r="J119" s="64"/>
      <c r="K119" s="64"/>
      <c r="L119" s="64"/>
      <c r="M119" s="64"/>
      <c r="N119" s="64"/>
      <c r="O119" s="64"/>
      <c r="P119" s="65"/>
      <c r="Q119" s="60"/>
    </row>
    <row r="120" spans="1:17">
      <c r="A120" s="93"/>
      <c r="B120" s="99" t="s">
        <v>342</v>
      </c>
      <c r="C120" s="32">
        <f>IF(Vin_eff&lt;Vout, (ILrms)^2*(BUCK_HS_Rdson)*1000, ((Vout/Vin_eff)*ILrms^2*BUCK_HS_Rdson+1/2*ILpeak*(Vin_eff+BUCK_LS_Vd)*BUCK_HS_fall_time*fsw+1/2*ILvalley*(Vin_eff+BUCK_LS_Vd)*BUCK_HS_rise_time*fsw+1/2*BUCK_HS_Coss*(Vin_eff+BUCK_LS_Vd)*(Vin_eff+BUCK_LS_Vd)*fsw)*1000)</f>
        <v>747.77494367012582</v>
      </c>
      <c r="D120" s="78" t="s">
        <v>10</v>
      </c>
      <c r="E120" s="100" t="s">
        <v>344</v>
      </c>
      <c r="F120" s="64"/>
      <c r="G120" s="64"/>
      <c r="H120" s="64"/>
      <c r="I120" s="64"/>
      <c r="J120" s="64"/>
      <c r="K120" s="64"/>
      <c r="L120" s="64"/>
      <c r="M120" s="64"/>
      <c r="N120" s="64"/>
      <c r="O120" s="64"/>
      <c r="P120" s="65"/>
      <c r="Q120" s="60"/>
    </row>
    <row r="121" spans="1:17">
      <c r="A121" s="93"/>
      <c r="B121" s="99" t="s">
        <v>343</v>
      </c>
      <c r="C121" s="32">
        <f>IF(Vin_eff&lt;Vout, 0, ((1-Vout/Vin_eff)*ILrms^2*BUCK_LS_Rdson+(ILpeak+ILvalley)*BUCK_LS_Vd*BUCK_LS_dead_time*fsw+Vin_eff*BUCK_LS_Qrr*fsw)*1000)</f>
        <v>0</v>
      </c>
      <c r="D121" s="78" t="s">
        <v>10</v>
      </c>
      <c r="E121" s="100" t="s">
        <v>345</v>
      </c>
      <c r="F121" s="64"/>
      <c r="G121" s="64"/>
      <c r="H121" s="64"/>
      <c r="I121" s="64"/>
      <c r="J121" s="64"/>
      <c r="K121" s="64"/>
      <c r="L121" s="64"/>
      <c r="M121" s="64"/>
      <c r="N121" s="64"/>
      <c r="O121" s="64"/>
      <c r="P121" s="65"/>
      <c r="Q121" s="60"/>
    </row>
    <row r="122" spans="1:17">
      <c r="A122" s="93"/>
      <c r="B122" s="99" t="s">
        <v>304</v>
      </c>
      <c r="C122" s="32">
        <f>IF(Vin_eff&lt;Vout, 1000*ESR*(G122+H122), 0)</f>
        <v>176.35927283606784</v>
      </c>
      <c r="D122" s="96" t="s">
        <v>10</v>
      </c>
      <c r="E122" s="100" t="s">
        <v>307</v>
      </c>
      <c r="F122" s="112">
        <f>ESR*Cout_c*Cout_e/(Cout_c+Cout_e)</f>
        <v>8.7999999999999981E-8</v>
      </c>
      <c r="G122" s="112">
        <f>(fsw*(Cout_e/(Cout_c+Cout_e))^2*(Ioutmax^2*(Vout-Vin_eff)/Vout/fsw+2*Ioutmax*((1-EXP((-Vin_eff/Vout)/tou/fsw))/(1-EXP(-1/tou/fsw))*(ILpeak+ILvalley)/2*tou*(EXP(-1/tou*(1-Vin_eff/Vout)/fsw)-1))-((1-EXP((-Vin_eff/Vout)/tou/fsw))/(1-EXP(-1/tou/fsw))*(ILpeak+ILvalley)/2)^2*tou/2*(EXP(-2/tou*(1-Vin_eff/Vout)/fsw)-1)))</f>
        <v>5.7188731757709901</v>
      </c>
      <c r="H122" s="112">
        <f>(fsw*(Cout_e/(Cout_c+Cout_e))^2*((((ILpeak+ILvalley)/2-Ioutmax)^2*Vin_eff/Vout/fsw+2*((ILpeak+ILvalley)/2-Ioutmax)*((1-EXP(-(1-Vin_eff/Vout)/tou/fsw))/(1-EXP(-1/tou/fsw))*(ILpeak+ILvalley)/2*tou*(EXP(-1/tou*(Vin_eff/Vout)/fsw)-1))-((1-EXP(-(1-Vin_eff/Vout)/tou/fsw))/(1-EXP(-1/tou/fsw))*(ILpeak+ILvalley)/2)^2*tou/2*(EXP(-2/tou*(1-Vin_eff/Vout/fsw))-1))))</f>
        <v>13.876601583792102</v>
      </c>
      <c r="I122" s="64"/>
      <c r="J122" s="64"/>
      <c r="K122" s="64"/>
      <c r="L122" s="64"/>
      <c r="M122" s="64"/>
      <c r="N122" s="64"/>
      <c r="O122" s="64"/>
      <c r="P122" s="65"/>
      <c r="Q122" s="60"/>
    </row>
    <row r="123" spans="1:17" ht="13.8">
      <c r="A123" s="93"/>
      <c r="B123" s="95" t="s">
        <v>325</v>
      </c>
      <c r="C123" s="33">
        <f>IF(Vin_eff&lt;Vout, Vout*Ioutmax/(Vout*Ioutmax+(C114+C115+C116+C117+C118+C119+C120+C121+C122)/1000), Vout*Ioutmax/(Vout*Ioutmax+(C114+C115+C116+C117+C118+C119+C120+C121)/1000))</f>
        <v>0.90684073069437698</v>
      </c>
      <c r="D123" s="96"/>
      <c r="E123" s="100" t="s">
        <v>282</v>
      </c>
      <c r="F123" s="64"/>
      <c r="G123" s="64"/>
      <c r="H123" s="64"/>
      <c r="I123" s="64"/>
      <c r="J123" s="64"/>
      <c r="K123" s="64"/>
      <c r="L123" s="64"/>
      <c r="M123" s="64"/>
      <c r="N123" s="64"/>
      <c r="O123" s="64"/>
      <c r="P123" s="65"/>
      <c r="Q123" s="60"/>
    </row>
    <row r="124" spans="1:17" ht="26.4">
      <c r="A124" s="93"/>
      <c r="B124" s="77" t="s">
        <v>316</v>
      </c>
      <c r="C124" s="23">
        <v>37</v>
      </c>
      <c r="D124" s="78" t="s">
        <v>151</v>
      </c>
      <c r="E124" s="79" t="s">
        <v>317</v>
      </c>
      <c r="F124" s="64"/>
      <c r="G124" s="64"/>
      <c r="H124" s="64"/>
      <c r="I124" s="64"/>
      <c r="J124" s="64"/>
      <c r="K124" s="64"/>
      <c r="L124" s="64"/>
      <c r="M124" s="64"/>
      <c r="N124" s="64"/>
      <c r="O124" s="64"/>
      <c r="P124" s="65"/>
      <c r="Q124" s="60"/>
    </row>
    <row r="125" spans="1:17" ht="27" thickBot="1">
      <c r="A125" s="93"/>
      <c r="B125" s="101" t="s">
        <v>81</v>
      </c>
      <c r="C125" s="34">
        <f>C124*(C117)/1000</f>
        <v>67.217319436729809</v>
      </c>
      <c r="D125" s="102" t="s">
        <v>86</v>
      </c>
      <c r="E125" s="103" t="s">
        <v>318</v>
      </c>
      <c r="F125" s="104"/>
      <c r="G125" s="104"/>
      <c r="H125" s="104"/>
      <c r="I125" s="104"/>
      <c r="J125" s="104"/>
      <c r="K125" s="104"/>
      <c r="L125" s="104"/>
      <c r="M125" s="104"/>
      <c r="N125" s="104"/>
      <c r="O125" s="104"/>
      <c r="P125" s="105"/>
      <c r="Q125" s="60"/>
    </row>
    <row r="126" spans="1:17" ht="13.8" thickTop="1">
      <c r="A126" s="93"/>
      <c r="B126" s="60"/>
      <c r="C126" s="106"/>
      <c r="D126" s="60"/>
      <c r="E126" s="107"/>
      <c r="F126" s="60"/>
      <c r="G126" s="60"/>
      <c r="H126" s="60"/>
      <c r="I126" s="60"/>
      <c r="J126" s="60"/>
      <c r="K126" s="60"/>
      <c r="L126" s="60"/>
      <c r="M126" s="60"/>
      <c r="N126" s="60"/>
      <c r="O126" s="60"/>
      <c r="P126" s="60"/>
      <c r="Q126" s="60"/>
    </row>
    <row r="129" spans="3:8">
      <c r="D129" s="109"/>
      <c r="H129" s="109"/>
    </row>
    <row r="130" spans="3:8">
      <c r="C130" s="110"/>
    </row>
  </sheetData>
  <sheetProtection password="E023" sheet="1" objects="1" scenarios="1"/>
  <dataConsolidate/>
  <customSheetViews>
    <customSheetView guid="{0F8159A6-236F-4F54-A569-A835A6AD5DA8}" topLeftCell="A94">
      <selection activeCell="C116" sqref="C116"/>
      <pageMargins left="0.75" right="0.75" top="1" bottom="1" header="0.5" footer="0.5"/>
      <pageSetup orientation="portrait" r:id="rId1"/>
      <headerFooter alignWithMargins="0"/>
    </customSheetView>
  </customSheetViews>
  <mergeCells count="68">
    <mergeCell ref="E72:E73"/>
    <mergeCell ref="F12:P12"/>
    <mergeCell ref="B89:E89"/>
    <mergeCell ref="F71:P71"/>
    <mergeCell ref="B13:E13"/>
    <mergeCell ref="B71:E71"/>
    <mergeCell ref="F36:P36"/>
    <mergeCell ref="B51:B52"/>
    <mergeCell ref="C51:C52"/>
    <mergeCell ref="D51:D52"/>
    <mergeCell ref="E51:E52"/>
    <mergeCell ref="F51:F52"/>
    <mergeCell ref="G51:G52"/>
    <mergeCell ref="P51:P52"/>
    <mergeCell ref="B39:B40"/>
    <mergeCell ref="C39:C40"/>
    <mergeCell ref="D39:D40"/>
    <mergeCell ref="B7:J7"/>
    <mergeCell ref="B2:P2"/>
    <mergeCell ref="B3:P3"/>
    <mergeCell ref="B4:P4"/>
    <mergeCell ref="B6:P6"/>
    <mergeCell ref="E39:E40"/>
    <mergeCell ref="F39:F40"/>
    <mergeCell ref="G39:G40"/>
    <mergeCell ref="P39:P40"/>
    <mergeCell ref="B41:B42"/>
    <mergeCell ref="C41:C42"/>
    <mergeCell ref="D41:D42"/>
    <mergeCell ref="E41:E42"/>
    <mergeCell ref="F41:F42"/>
    <mergeCell ref="G41:G42"/>
    <mergeCell ref="P41:P42"/>
    <mergeCell ref="G43:G44"/>
    <mergeCell ref="P43:P44"/>
    <mergeCell ref="B45:B46"/>
    <mergeCell ref="C45:C46"/>
    <mergeCell ref="D45:D46"/>
    <mergeCell ref="E45:E46"/>
    <mergeCell ref="F45:F46"/>
    <mergeCell ref="G45:G46"/>
    <mergeCell ref="P45:P46"/>
    <mergeCell ref="B43:B44"/>
    <mergeCell ref="C43:C44"/>
    <mergeCell ref="D43:D44"/>
    <mergeCell ref="E43:E44"/>
    <mergeCell ref="F43:F44"/>
    <mergeCell ref="G47:G48"/>
    <mergeCell ref="P47:P48"/>
    <mergeCell ref="P49:P50"/>
    <mergeCell ref="B49:B50"/>
    <mergeCell ref="C49:C50"/>
    <mergeCell ref="D49:D50"/>
    <mergeCell ref="E49:E50"/>
    <mergeCell ref="F49:F50"/>
    <mergeCell ref="G49:G50"/>
    <mergeCell ref="B47:B48"/>
    <mergeCell ref="C47:C48"/>
    <mergeCell ref="D47:D48"/>
    <mergeCell ref="E47:E48"/>
    <mergeCell ref="F47:F48"/>
    <mergeCell ref="G53:G54"/>
    <mergeCell ref="P53:P54"/>
    <mergeCell ref="B53:B54"/>
    <mergeCell ref="C53:C54"/>
    <mergeCell ref="D53:D54"/>
    <mergeCell ref="E53:E54"/>
    <mergeCell ref="F53:F54"/>
  </mergeCells>
  <phoneticPr fontId="2" type="noConversion"/>
  <conditionalFormatting sqref="C25">
    <cfRule type="expression" dxfId="13" priority="26" stopIfTrue="1">
      <formula>$C$16="External"</formula>
    </cfRule>
    <cfRule type="expression" dxfId="12" priority="27" stopIfTrue="1">
      <formula>$C$16="Internal"</formula>
    </cfRule>
  </conditionalFormatting>
  <conditionalFormatting sqref="C26">
    <cfRule type="expression" dxfId="11" priority="28">
      <formula>$C$16="External"</formula>
    </cfRule>
    <cfRule type="expression" dxfId="10" priority="29">
      <formula>$C$16="Internal"</formula>
    </cfRule>
  </conditionalFormatting>
  <conditionalFormatting sqref="C28">
    <cfRule type="expression" dxfId="9" priority="7">
      <formula>$C$27="Disable"</formula>
    </cfRule>
    <cfRule type="expression" dxfId="8" priority="8">
      <formula>$C$27="Enable"</formula>
    </cfRule>
  </conditionalFormatting>
  <conditionalFormatting sqref="C63">
    <cfRule type="expression" dxfId="7" priority="17">
      <formula>$C$62="External"</formula>
    </cfRule>
    <cfRule type="expression" dxfId="6" priority="18">
      <formula>$C$62="Internal"</formula>
    </cfRule>
  </conditionalFormatting>
  <conditionalFormatting sqref="C64">
    <cfRule type="expression" dxfId="5" priority="3">
      <formula>$C$62="External"</formula>
    </cfRule>
    <cfRule type="expression" dxfId="4" priority="4">
      <formula>$C$62="Internal"</formula>
    </cfRule>
  </conditionalFormatting>
  <conditionalFormatting sqref="C65">
    <cfRule type="expression" dxfId="3" priority="5">
      <formula>$C$62="External"</formula>
    </cfRule>
    <cfRule type="expression" dxfId="2" priority="6">
      <formula>$C$62="Internal"</formula>
    </cfRule>
  </conditionalFormatting>
  <conditionalFormatting sqref="C77">
    <cfRule type="expression" dxfId="1" priority="9">
      <formula>$C$74="Boost"</formula>
    </cfRule>
    <cfRule type="expression" dxfId="0" priority="10">
      <formula>$C$74="Buck"</formula>
    </cfRule>
  </conditionalFormatting>
  <dataValidations count="15">
    <dataValidation type="list" allowBlank="1" showInputMessage="1" showErrorMessage="1" sqref="C62 C21 C16" xr:uid="{00000000-0002-0000-0000-000000000000}">
      <formula1>"Internal, External"</formula1>
    </dataValidation>
    <dataValidation type="list" allowBlank="1" showInputMessage="1" showErrorMessage="1" sqref="C23" xr:uid="{00000000-0002-0000-0000-000001000000}">
      <formula1>"74, 75"</formula1>
    </dataValidation>
    <dataValidation type="list" allowBlank="1" showInputMessage="1" showErrorMessage="1" sqref="C22" xr:uid="{00000000-0002-0000-0000-000002000000}">
      <formula1>"FPWM, APFM"</formula1>
    </dataValidation>
    <dataValidation type="list" allowBlank="1" showInputMessage="1" sqref="C18" xr:uid="{00000000-0002-0000-0000-000003000000}">
      <formula1>"5, 10, 15, 20"</formula1>
    </dataValidation>
    <dataValidation type="list" allowBlank="1" showInputMessage="1" showErrorMessage="1" sqref="C63" xr:uid="{00000000-0002-0000-0000-000004000000}">
      <formula1>"0, 2, 4, 6, 8, 10, 12, 14"</formula1>
    </dataValidation>
    <dataValidation type="list" allowBlank="1" showInputMessage="1" showErrorMessage="1" sqref="C27 C68:C70" xr:uid="{00000000-0002-0000-0000-000005000000}">
      <formula1>"Enable, Disable"</formula1>
    </dataValidation>
    <dataValidation type="list" allowBlank="1" showInputMessage="1" showErrorMessage="1" sqref="C66" xr:uid="{00000000-0002-0000-0000-000006000000}">
      <formula1>"0.1, 3, 6, 12"</formula1>
    </dataValidation>
    <dataValidation type="list" allowBlank="1" showInputMessage="1" showErrorMessage="1" sqref="C67" xr:uid="{00000000-0002-0000-0000-000007000000}">
      <formula1>"1.25, 2.5, 5, 10"</formula1>
    </dataValidation>
    <dataValidation type="list" allowBlank="1" showInputMessage="1" showErrorMessage="1" sqref="M52" xr:uid="{00000000-0002-0000-0000-000008000000}">
      <formula1>"74H -0,75H -1"</formula1>
    </dataValidation>
    <dataValidation type="list" allowBlank="1" showInputMessage="1" showErrorMessage="1" sqref="O52" xr:uid="{00000000-0002-0000-0000-000009000000}">
      <formula1>"EXT -0,INT -1"</formula1>
    </dataValidation>
    <dataValidation type="list" allowBlank="1" showInputMessage="1" showErrorMessage="1" sqref="H52" xr:uid="{00000000-0002-0000-0000-00000A000000}">
      <formula1>"OFF -0,ON -1"</formula1>
    </dataValidation>
    <dataValidation type="list" allowBlank="1" showInputMessage="1" showErrorMessage="1" sqref="I52:K52" xr:uid="{00000000-0002-0000-0000-00000B000000}">
      <formula1>"DIS -0,ENA -1"</formula1>
    </dataValidation>
    <dataValidation type="list" allowBlank="1" showInputMessage="1" showErrorMessage="1" sqref="L52" xr:uid="{00000000-0002-0000-0000-00000C000000}">
      <formula1>"INT -0,EXT -1"</formula1>
    </dataValidation>
    <dataValidation type="list" allowBlank="1" showInputMessage="1" showErrorMessage="1" sqref="N52" xr:uid="{00000000-0002-0000-0000-00000D000000}">
      <formula1>"PFM -0,PWM -1"</formula1>
    </dataValidation>
    <dataValidation type="custom" allowBlank="1" showInputMessage="1" showErrorMessage="1" sqref="S17" xr:uid="{00000000-0002-0000-0000-00000E000000}">
      <formula1>"AND(S15=""Internal""）"</formula1>
    </dataValidation>
  </dataValidations>
  <pageMargins left="0.75" right="0.75" top="1" bottom="1" header="0.5" footer="0.5"/>
  <pageSetup orientation="portrait" r:id="rId2"/>
  <headerFooter alignWithMargins="0"/>
  <cellWatches>
    <cellWatch r="C20"/>
  </cellWatches>
  <drawing r:id="rId3"/>
  <legacyDrawing r:id="rId4"/>
  <oleObjects>
    <mc:AlternateContent xmlns:mc="http://schemas.openxmlformats.org/markup-compatibility/2006">
      <mc:Choice Requires="x14">
        <oleObject progId="Visio.Drawing.11" shapeId="1209" r:id="rId5">
          <objectPr defaultSize="0" autoPict="0" r:id="rId6">
            <anchor moveWithCells="1">
              <from>
                <xdr:col>5</xdr:col>
                <xdr:colOff>53340</xdr:colOff>
                <xdr:row>12</xdr:row>
                <xdr:rowOff>38100</xdr:rowOff>
              </from>
              <to>
                <xdr:col>15</xdr:col>
                <xdr:colOff>220980</xdr:colOff>
                <xdr:row>30</xdr:row>
                <xdr:rowOff>175260</xdr:rowOff>
              </to>
            </anchor>
          </objectPr>
        </oleObject>
      </mc:Choice>
      <mc:Fallback>
        <oleObject progId="Visio.Drawing.11" shapeId="1209" r:id="rId5"/>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44"/>
  <sheetViews>
    <sheetView zoomScale="70" zoomScaleNormal="70" workbookViewId="0">
      <selection activeCell="P49" sqref="P49"/>
    </sheetView>
  </sheetViews>
  <sheetFormatPr defaultRowHeight="13.2"/>
  <cols>
    <col min="1" max="1" width="4" bestFit="1" customWidth="1"/>
    <col min="2" max="2" width="9.6640625" customWidth="1"/>
    <col min="3" max="3" width="10.5546875" bestFit="1" customWidth="1"/>
    <col min="5" max="5" width="8" customWidth="1"/>
    <col min="7" max="7" width="7.88671875" customWidth="1"/>
    <col min="8" max="8" width="8.33203125" customWidth="1"/>
    <col min="9" max="9" width="8.21875" customWidth="1"/>
    <col min="10" max="10" width="9.44140625" customWidth="1"/>
    <col min="11" max="11" width="9.5546875" customWidth="1"/>
    <col min="13" max="14" width="8.44140625" customWidth="1"/>
    <col min="15" max="16" width="9.5546875" customWidth="1"/>
    <col min="17" max="17" width="10" customWidth="1"/>
    <col min="18" max="18" width="10.77734375" customWidth="1"/>
    <col min="19" max="20" width="9.44140625" customWidth="1"/>
    <col min="21" max="23" width="10" customWidth="1"/>
    <col min="24" max="24" width="10.109375" customWidth="1"/>
    <col min="25" max="26" width="10" customWidth="1"/>
    <col min="27" max="29" width="10.33203125" customWidth="1"/>
    <col min="30" max="30" width="10.21875" customWidth="1"/>
    <col min="32" max="32" width="15.77734375" customWidth="1"/>
    <col min="33" max="33" width="12.33203125" bestFit="1" customWidth="1"/>
    <col min="34" max="34" width="5.5546875" customWidth="1"/>
  </cols>
  <sheetData>
    <row r="1" spans="1:34" ht="14.4" thickTop="1" thickBot="1">
      <c r="A1" s="158" t="s">
        <v>176</v>
      </c>
      <c r="B1" s="160"/>
      <c r="C1" s="158" t="s">
        <v>166</v>
      </c>
      <c r="D1" s="159"/>
      <c r="E1" s="159"/>
      <c r="F1" s="159"/>
      <c r="G1" s="159"/>
      <c r="H1" s="159"/>
      <c r="I1" s="159"/>
      <c r="J1" s="160"/>
      <c r="K1" s="158" t="s">
        <v>194</v>
      </c>
      <c r="L1" s="159"/>
      <c r="M1" s="159"/>
      <c r="N1" s="159"/>
      <c r="O1" s="159"/>
      <c r="P1" s="159"/>
      <c r="Q1" s="158" t="s">
        <v>193</v>
      </c>
      <c r="R1" s="160"/>
      <c r="S1" s="158" t="s">
        <v>167</v>
      </c>
      <c r="T1" s="159"/>
      <c r="U1" s="159"/>
      <c r="V1" s="159"/>
      <c r="W1" s="159"/>
      <c r="X1" s="160"/>
      <c r="Y1" s="158" t="s">
        <v>192</v>
      </c>
      <c r="Z1" s="160"/>
      <c r="AA1" s="159" t="s">
        <v>170</v>
      </c>
      <c r="AB1" s="159"/>
      <c r="AC1" s="159"/>
      <c r="AD1" s="160"/>
    </row>
    <row r="2" spans="1:34" ht="27" thickTop="1">
      <c r="A2" s="1"/>
      <c r="B2" s="2" t="s">
        <v>171</v>
      </c>
      <c r="C2" s="11" t="s">
        <v>120</v>
      </c>
      <c r="D2" s="2" t="s">
        <v>121</v>
      </c>
      <c r="E2" s="2" t="s">
        <v>122</v>
      </c>
      <c r="F2" s="2" t="s">
        <v>123</v>
      </c>
      <c r="G2" s="2" t="s">
        <v>124</v>
      </c>
      <c r="H2" s="2" t="s">
        <v>125</v>
      </c>
      <c r="I2" s="2" t="s">
        <v>149</v>
      </c>
      <c r="J2" s="14" t="s">
        <v>150</v>
      </c>
      <c r="K2" s="11" t="s">
        <v>126</v>
      </c>
      <c r="L2" s="2" t="s">
        <v>127</v>
      </c>
      <c r="M2" s="2" t="s">
        <v>118</v>
      </c>
      <c r="N2" s="2" t="s">
        <v>119</v>
      </c>
      <c r="O2" s="2" t="s">
        <v>128</v>
      </c>
      <c r="P2" s="14" t="s">
        <v>129</v>
      </c>
      <c r="Q2" s="2" t="s">
        <v>190</v>
      </c>
      <c r="R2" s="2" t="s">
        <v>191</v>
      </c>
      <c r="S2" s="11" t="s">
        <v>168</v>
      </c>
      <c r="T2" s="2" t="s">
        <v>169</v>
      </c>
      <c r="U2" s="2" t="s">
        <v>160</v>
      </c>
      <c r="V2" s="14" t="s">
        <v>159</v>
      </c>
      <c r="W2" s="11" t="s">
        <v>288</v>
      </c>
      <c r="X2" s="14" t="s">
        <v>287</v>
      </c>
      <c r="Y2" s="11" t="s">
        <v>188</v>
      </c>
      <c r="Z2" s="14" t="s">
        <v>189</v>
      </c>
      <c r="AA2" s="2" t="s">
        <v>173</v>
      </c>
      <c r="AB2" s="2" t="s">
        <v>174</v>
      </c>
      <c r="AC2" s="2" t="s">
        <v>172</v>
      </c>
      <c r="AD2" s="3" t="s">
        <v>175</v>
      </c>
      <c r="AF2" s="9" t="s">
        <v>181</v>
      </c>
      <c r="AG2" s="21" t="s">
        <v>24</v>
      </c>
      <c r="AH2" s="21" t="s">
        <v>290</v>
      </c>
    </row>
    <row r="3" spans="1:34">
      <c r="A3" s="4">
        <v>1</v>
      </c>
      <c r="B3" s="18">
        <f>10*10^A3</f>
        <v>100</v>
      </c>
      <c r="C3" s="12">
        <f t="shared" ref="C3:C43" si="0">20*LOG(SQRT((B3/fzRHP)^2+1))</f>
        <v>1.9361283416929328E-4</v>
      </c>
      <c r="D3" s="5">
        <f t="shared" ref="D3:D43" si="1">-180/PI()*ATAN(B3/fzRHP)</f>
        <v>-0.38255680747145937</v>
      </c>
      <c r="E3" s="5">
        <f t="shared" ref="E3:E43" si="2">20*LOG(1/SQRT((B3/fp)^2+1))</f>
        <v>-1.2049995751356051</v>
      </c>
      <c r="F3" s="5">
        <f t="shared" ref="F3:F43" si="3">-180/PI()*ATAN(B3/fp)</f>
        <v>-29.487580957512936</v>
      </c>
      <c r="G3" s="5">
        <f t="shared" ref="G3:G43" si="4">20*LOG(SQRT((B3/fz_ESR)^2+1))</f>
        <v>2.6886426002791426E-5</v>
      </c>
      <c r="H3" s="5">
        <f t="shared" ref="H3:H43" si="5">180/PI()*ATAN(B3/fz_ESR)</f>
        <v>0.14255970581201788</v>
      </c>
      <c r="I3" s="5">
        <f t="shared" ref="I3:I43" si="6">20*LOG(1/SQRT((B3/(1/2/PI()/ESR/(Cout_c*Cout_e/(Cout_c+Cout_e))))^2+1))</f>
        <v>-1.3277288731048667E-8</v>
      </c>
      <c r="J3" s="15">
        <f t="shared" ref="J3:J43" si="7">-180/PI()*ATAN(B3/(1/2/PI()/(ESR)/(Cout_c*Cout_e/(Cout_c+Cout_e))))</f>
        <v>-3.1679999967715875E-3</v>
      </c>
      <c r="K3" s="12">
        <f t="shared" ref="K3:K43" si="8">20*LOG(1/SQRT((B3/(1/2/PI()/10000000/(Ccomp+Cp+0.000000000003)))^2+1))</f>
        <v>-32.746662822274132</v>
      </c>
      <c r="L3" s="5">
        <f t="shared" ref="L3:L43" si="9">-180/PI()*ATAN(B3/(1/2/PI()/10000000/(Ccomp+Cp+0.000000000003)))</f>
        <v>-88.679227691027805</v>
      </c>
      <c r="M3" s="5">
        <f t="shared" ref="M3:M43" si="10">20*LOG(SQRT((B3/fz_comp)^2+1))</f>
        <v>0.44631011268444326</v>
      </c>
      <c r="N3" s="5">
        <f t="shared" ref="N3:N43" si="11">180/PI()*ATAN(B3/fz_comp)</f>
        <v>18.210563577951422</v>
      </c>
      <c r="O3" s="5">
        <f t="shared" ref="O3:O43" si="12">20*LOG(1/SQRT((B3/fp_comp2)^2+1))</f>
        <v>-1.0464941234692156E-4</v>
      </c>
      <c r="P3" s="15">
        <f t="shared" ref="P3:P43" si="13">-180/PI()*ATAN(B3/fp_comp2)</f>
        <v>-0.28125354274497782</v>
      </c>
      <c r="Q3" s="5">
        <f>20*LOG(1/SQRT((B3/(1/2/PI()/400000/0.0000000000055))^2+1))</f>
        <v>-8.2982973903629366E-6</v>
      </c>
      <c r="R3" s="5">
        <f>-180/PI()*ATAN(B3/(1/2/PI()/400000/0.0000000000055))</f>
        <v>-7.9199949556114951E-2</v>
      </c>
      <c r="S3" s="12">
        <f t="shared" ref="S3:S43" si="14">20*LOG(SQRT((2*PI()*R_ca*C_ca*B3)^2+1))</f>
        <v>6.7187635127814618E-5</v>
      </c>
      <c r="T3" s="5">
        <f t="shared" ref="T3:T43" si="15">180/PI()*ATAN(2*PI()*R_ca*C_ca*B3)</f>
        <v>0.22535883785598179</v>
      </c>
      <c r="U3" s="5">
        <f t="shared" ref="U3:U43" si="16">20*LOG(1/SQRT((2*PI()*B3*R_ca*C_ca)^2+(1-(2*PI()*B3)^2*C_ca/gm_ca/(IF(Op_mode="Boost", Vout_LP, Vin_LP)/V_m/L)*gm_PS)^2))</f>
        <v>-6.0025299636997711E-5</v>
      </c>
      <c r="V3" s="15">
        <f t="shared" ref="V3:V43" si="17">IF(-180/PI()*ATAN((2*PI()*B3*R_ca*C_ca)/(1-(2*PI()*B3)^2*C_ca/gm_ca/(IF(Op_mode="Boost", Vout_LP, Vin_LP)/V_m/L)*gm_PS))&gt;0, -180/PI()*ATAN((2*PI()*B3*R_ca*C_ca)/(1-(2*PI()*B3)^2*C_ca/gm_ca/(IF(Op_mode="Boost", Vout_LP, Vin_LP)/V_m/L)*gm_PS))-180, -180/PI()*ATAN((2*PI()*B3*R_ca*C_ca)/(1-(2*PI()*B3)^2*C_ca/gm_ca/(IF(Op_mode="Boost", Vout_LP, Vin_LP)/V_m/L)*gm_PS)))</f>
        <v>-0.22535902368664043</v>
      </c>
      <c r="W3" s="12">
        <v>0</v>
      </c>
      <c r="X3" s="15">
        <f t="shared" ref="X3:X43" si="18">IF(B3&lt;fsw, -180*B3*1/2/fsw, -90)</f>
        <v>-2.2792311393623216E-2</v>
      </c>
      <c r="Y3" s="12">
        <f>20*LOG(1/SQRT((B3/(1/2/PI()/30000/0.000000000005))^2+1))</f>
        <v>-3.8576832623748043E-8</v>
      </c>
      <c r="Z3" s="15">
        <f>-180/PI()*ATAN(B3/(1/2/PI()/30000/0.000000000005))</f>
        <v>-5.3999999840112396E-3</v>
      </c>
      <c r="AA3" s="5">
        <f t="shared" ref="AA3:AA43" si="19">IF(Op_mode="Boost", C3+E3+G3+I3+K3+M3+20*LOG(Vout_LP/Ioutmax/2*gm_PS*eff*Vin_LP/Vout_LP*gm_EA*10000000*1.129/Vout_max)+Q3+S3+U3+Y3, E3+G3+I3+K3+M3+20*LOG(Vout_LP/Ioutmax*gm_PS*gm_EA*10000000*1.129/Vout_max)+Q3+S3+U3+Y3)</f>
        <v>25.464873663838915</v>
      </c>
      <c r="AB3" s="5">
        <f t="shared" ref="AB3:AB43" si="20">IF(Op_mode="Boost", D3+F3+H3+J3+180+L3+N3+R3+T3+V3+X3+Z3, F3+H3+J3+180+L3+N3+R3+T3+V3+Z3)</f>
        <v>79.693197380990057</v>
      </c>
      <c r="AC3" s="5">
        <f>AA3+O3</f>
        <v>25.464769014426569</v>
      </c>
      <c r="AD3" s="6">
        <f>AB3+P3</f>
        <v>79.41194383824508</v>
      </c>
      <c r="AF3" t="s">
        <v>179</v>
      </c>
      <c r="AG3">
        <v>3.0000000000000001E-5</v>
      </c>
      <c r="AH3" t="s">
        <v>161</v>
      </c>
    </row>
    <row r="4" spans="1:34" ht="13.8">
      <c r="A4" s="4">
        <v>1.1000000000000001</v>
      </c>
      <c r="B4" s="19">
        <f t="shared" ref="B4:B43" si="21">10*10^A4</f>
        <v>125.8925411794168</v>
      </c>
      <c r="C4" s="12">
        <f t="shared" si="0"/>
        <v>3.0685166232814634E-4</v>
      </c>
      <c r="D4" s="5">
        <f t="shared" si="1"/>
        <v>-0.48160630049671649</v>
      </c>
      <c r="E4" s="5">
        <f t="shared" si="2"/>
        <v>-1.7805835252755517</v>
      </c>
      <c r="F4" s="5">
        <f t="shared" si="3"/>
        <v>-35.44727475487106</v>
      </c>
      <c r="G4" s="5">
        <f t="shared" si="4"/>
        <v>4.2612036393718664E-5</v>
      </c>
      <c r="H4" s="5">
        <f t="shared" si="5"/>
        <v>0.17947181972445764</v>
      </c>
      <c r="I4" s="5">
        <f t="shared" si="6"/>
        <v>-2.1043083408812424E-8</v>
      </c>
      <c r="J4" s="15">
        <f t="shared" si="7"/>
        <v>-3.9882756981223944E-3</v>
      </c>
      <c r="K4" s="12">
        <f t="shared" si="8"/>
        <v>-34.745811219288839</v>
      </c>
      <c r="L4" s="5">
        <f t="shared" si="9"/>
        <v>-88.950804683124673</v>
      </c>
      <c r="M4" s="5">
        <f t="shared" si="10"/>
        <v>0.68756185229915157</v>
      </c>
      <c r="N4" s="5">
        <f t="shared" si="11"/>
        <v>22.49791004388447</v>
      </c>
      <c r="O4" s="5">
        <f t="shared" si="12"/>
        <v>-1.6585697245647882E-4</v>
      </c>
      <c r="P4" s="15">
        <f t="shared" si="13"/>
        <v>-0.35407556871270196</v>
      </c>
      <c r="Q4" s="5">
        <f t="shared" ref="Q4:Q43" si="22">20*LOG(1/SQRT((B4/(1/2/PI()/400000/0.0000000000055))^2+1))</f>
        <v>-1.3151907691514025E-5</v>
      </c>
      <c r="R4" s="5">
        <f t="shared" ref="R4:R43" si="23">-180/PI()*ATAN(B4/(1/2/PI()/400000/0.0000000000055))</f>
        <v>-9.9706791965382735E-2</v>
      </c>
      <c r="S4" s="12">
        <f t="shared" si="14"/>
        <v>1.0648474376647131E-4</v>
      </c>
      <c r="T4" s="5">
        <f t="shared" si="15"/>
        <v>0.2837091120323586</v>
      </c>
      <c r="U4" s="5">
        <f t="shared" si="16"/>
        <v>-9.5133306981339747E-5</v>
      </c>
      <c r="V4" s="15">
        <f t="shared" si="17"/>
        <v>-0.28370948281009239</v>
      </c>
      <c r="W4" s="12">
        <v>0</v>
      </c>
      <c r="X4" s="15">
        <f t="shared" si="18"/>
        <v>-2.8693820006958016E-2</v>
      </c>
      <c r="Y4" s="12">
        <f t="shared" ref="Y4:Y43" si="24">20*LOG(1/SQRT((B4/(1/2/PI()/30000/0.000000000005))^2+1))</f>
        <v>-6.1140159101059486E-8</v>
      </c>
      <c r="Z4" s="15">
        <f t="shared" ref="Z4:Z43" si="25">-180/PI()*ATAN(B4/(1/2/PI()/30000/0.000000000005))</f>
        <v>-6.7981971917867381E-3</v>
      </c>
      <c r="AA4" s="5">
        <f t="shared" si="19"/>
        <v>23.131521325899396</v>
      </c>
      <c r="AB4" s="5">
        <f t="shared" si="20"/>
        <v>77.65850866947649</v>
      </c>
      <c r="AC4" s="5">
        <f t="shared" ref="AC4:AC43" si="26">AA4+O4</f>
        <v>23.131355468926941</v>
      </c>
      <c r="AD4" s="6">
        <f t="shared" ref="AD4:AD43" si="27">AB4+P4</f>
        <v>77.304433100763788</v>
      </c>
      <c r="AF4" t="s">
        <v>177</v>
      </c>
      <c r="AG4">
        <v>100000</v>
      </c>
      <c r="AH4" s="10" t="s">
        <v>61</v>
      </c>
    </row>
    <row r="5" spans="1:34">
      <c r="A5" s="4">
        <v>1.2</v>
      </c>
      <c r="B5" s="19">
        <f t="shared" si="21"/>
        <v>158.48931924611136</v>
      </c>
      <c r="C5" s="12">
        <f t="shared" si="0"/>
        <v>4.8631706231723346E-4</v>
      </c>
      <c r="D5" s="5">
        <f t="shared" si="1"/>
        <v>-0.60629805857672359</v>
      </c>
      <c r="E5" s="5">
        <f t="shared" si="2"/>
        <v>-2.5605327771769613</v>
      </c>
      <c r="F5" s="5">
        <f t="shared" si="3"/>
        <v>-41.867838901620914</v>
      </c>
      <c r="G5" s="5">
        <f t="shared" si="4"/>
        <v>6.7535332608823726E-5</v>
      </c>
      <c r="H5" s="5">
        <f t="shared" si="5"/>
        <v>0.22594120234038184</v>
      </c>
      <c r="I5" s="5">
        <f t="shared" si="6"/>
        <v>-3.3351039842146925E-8</v>
      </c>
      <c r="J5" s="15">
        <f t="shared" si="7"/>
        <v>-5.0209416208642681E-3</v>
      </c>
      <c r="K5" s="12">
        <f t="shared" si="8"/>
        <v>-36.745273808196316</v>
      </c>
      <c r="L5" s="5">
        <f t="shared" si="9"/>
        <v>-89.166560157939657</v>
      </c>
      <c r="M5" s="5">
        <f t="shared" si="10"/>
        <v>1.0444223736603626</v>
      </c>
      <c r="N5" s="5">
        <f t="shared" si="11"/>
        <v>27.537994858446023</v>
      </c>
      <c r="O5" s="5">
        <f t="shared" si="12"/>
        <v>-2.6286265082733483E-4</v>
      </c>
      <c r="P5" s="15">
        <f t="shared" si="13"/>
        <v>-0.44575141228895504</v>
      </c>
      <c r="Q5" s="5">
        <f t="shared" si="22"/>
        <v>-2.0844350508270566E-5</v>
      </c>
      <c r="R5" s="5">
        <f t="shared" si="23"/>
        <v>-0.12552334002254481</v>
      </c>
      <c r="S5" s="12">
        <f t="shared" si="14"/>
        <v>1.6876573537434375E-4</v>
      </c>
      <c r="T5" s="5">
        <f t="shared" si="15"/>
        <v>0.35716690333929518</v>
      </c>
      <c r="U5" s="5">
        <f t="shared" si="16"/>
        <v>-1.507751716112957E-4</v>
      </c>
      <c r="V5" s="15">
        <f t="shared" si="17"/>
        <v>-0.35716764312809113</v>
      </c>
      <c r="W5" s="12">
        <v>0</v>
      </c>
      <c r="X5" s="15">
        <f t="shared" si="18"/>
        <v>-3.6123379168207313E-2</v>
      </c>
      <c r="Y5" s="12">
        <f t="shared" si="24"/>
        <v>-9.6900620560394827E-8</v>
      </c>
      <c r="Z5" s="15">
        <f t="shared" si="25"/>
        <v>-8.5584231756376181E-3</v>
      </c>
      <c r="AA5" s="5">
        <f t="shared" si="19"/>
        <v>20.709173293763662</v>
      </c>
      <c r="AB5" s="5">
        <f t="shared" si="20"/>
        <v>75.948012118873066</v>
      </c>
      <c r="AC5" s="5">
        <f t="shared" si="26"/>
        <v>20.708910431112834</v>
      </c>
      <c r="AD5" s="6">
        <f t="shared" si="27"/>
        <v>75.50226070658411</v>
      </c>
      <c r="AF5" t="s">
        <v>178</v>
      </c>
      <c r="AG5">
        <v>6.2599999999999996E-11</v>
      </c>
      <c r="AH5" t="s">
        <v>9</v>
      </c>
    </row>
    <row r="6" spans="1:34">
      <c r="A6" s="4">
        <v>1.3</v>
      </c>
      <c r="B6" s="19">
        <f t="shared" si="21"/>
        <v>199.52623149688804</v>
      </c>
      <c r="C6" s="12">
        <f t="shared" si="0"/>
        <v>7.7073536279571723E-4</v>
      </c>
      <c r="D6" s="5">
        <f t="shared" si="1"/>
        <v>-0.76326737050132176</v>
      </c>
      <c r="E6" s="5">
        <f t="shared" si="2"/>
        <v>-3.5660859375118523</v>
      </c>
      <c r="F6" s="5">
        <f t="shared" si="3"/>
        <v>-48.449633597167093</v>
      </c>
      <c r="G6" s="5">
        <f t="shared" si="4"/>
        <v>1.070358021380867E-4</v>
      </c>
      <c r="H6" s="5">
        <f t="shared" si="5"/>
        <v>0.2844422588296342</v>
      </c>
      <c r="I6" s="5">
        <f t="shared" si="6"/>
        <v>-5.2857837806067655E-8</v>
      </c>
      <c r="J6" s="15">
        <f t="shared" si="7"/>
        <v>-6.3209909881772226E-3</v>
      </c>
      <c r="K6" s="12">
        <f t="shared" si="8"/>
        <v>-38.744934690500322</v>
      </c>
      <c r="L6" s="5">
        <f t="shared" si="9"/>
        <v>-89.337957969542913</v>
      </c>
      <c r="M6" s="5">
        <f t="shared" si="10"/>
        <v>1.556040193544892</v>
      </c>
      <c r="N6" s="5">
        <f t="shared" si="11"/>
        <v>33.281556564989096</v>
      </c>
      <c r="O6" s="5">
        <f t="shared" si="12"/>
        <v>-4.1660185188554589E-4</v>
      </c>
      <c r="P6" s="15">
        <f t="shared" si="13"/>
        <v>-0.56116115850893278</v>
      </c>
      <c r="Q6" s="5">
        <f t="shared" si="22"/>
        <v>-3.30360228520592E-5</v>
      </c>
      <c r="R6" s="5">
        <f t="shared" si="23"/>
        <v>-0.15802437465688313</v>
      </c>
      <c r="S6" s="12">
        <f t="shared" si="14"/>
        <v>2.6747262549834858E-4</v>
      </c>
      <c r="T6" s="5">
        <f t="shared" si="15"/>
        <v>0.44964308431875261</v>
      </c>
      <c r="U6" s="5">
        <f t="shared" si="16"/>
        <v>-2.3896013423831418E-4</v>
      </c>
      <c r="V6" s="15">
        <f t="shared" si="17"/>
        <v>-0.44964456035969824</v>
      </c>
      <c r="W6" s="12">
        <v>0</v>
      </c>
      <c r="X6" s="15">
        <f t="shared" si="18"/>
        <v>-4.5476639994732247E-2</v>
      </c>
      <c r="Y6" s="12">
        <f t="shared" si="24"/>
        <v>-1.535771340734222E-7</v>
      </c>
      <c r="Z6" s="15">
        <f t="shared" si="25"/>
        <v>-1.0774416373828727E-2</v>
      </c>
      <c r="AA6" s="5">
        <f t="shared" si="19"/>
        <v>18.215899243851148</v>
      </c>
      <c r="AB6" s="5">
        <f t="shared" si="20"/>
        <v>74.794541988552837</v>
      </c>
      <c r="AC6" s="5">
        <f t="shared" si="26"/>
        <v>18.215482641999262</v>
      </c>
      <c r="AD6" s="6">
        <f t="shared" si="27"/>
        <v>74.233380830043899</v>
      </c>
      <c r="AF6" t="s">
        <v>180</v>
      </c>
      <c r="AG6">
        <f>0.1*MIN(Vin, Vout)</f>
        <v>0.30000000000000004</v>
      </c>
      <c r="AH6" t="s">
        <v>3</v>
      </c>
    </row>
    <row r="7" spans="1:34">
      <c r="A7" s="4">
        <v>1.4</v>
      </c>
      <c r="B7" s="19">
        <f t="shared" si="21"/>
        <v>251.188643150958</v>
      </c>
      <c r="C7" s="12">
        <f t="shared" si="0"/>
        <v>1.2214698402175032E-3</v>
      </c>
      <c r="D7" s="5">
        <f t="shared" si="1"/>
        <v>-0.96086344591115713</v>
      </c>
      <c r="E7" s="5">
        <f t="shared" si="2"/>
        <v>-4.7966814749016438</v>
      </c>
      <c r="F7" s="5">
        <f t="shared" si="3"/>
        <v>-54.854146294158951</v>
      </c>
      <c r="G7" s="5">
        <f t="shared" si="4"/>
        <v>1.6963909148123851E-4</v>
      </c>
      <c r="H7" s="5">
        <f t="shared" si="5"/>
        <v>0.3580898672026589</v>
      </c>
      <c r="I7" s="5">
        <f t="shared" si="6"/>
        <v>-8.3774025227514629E-8</v>
      </c>
      <c r="J7" s="15">
        <f t="shared" si="7"/>
        <v>-7.9576561638554626E-3</v>
      </c>
      <c r="K7" s="12">
        <f t="shared" si="8"/>
        <v>-40.744720708073814</v>
      </c>
      <c r="L7" s="5">
        <f t="shared" si="9"/>
        <v>-89.4741126855332</v>
      </c>
      <c r="M7" s="5">
        <f t="shared" si="10"/>
        <v>2.2605908132529695</v>
      </c>
      <c r="N7" s="5">
        <f t="shared" si="11"/>
        <v>39.569627406406795</v>
      </c>
      <c r="O7" s="5">
        <f t="shared" si="12"/>
        <v>-6.6025091759046208E-4</v>
      </c>
      <c r="P7" s="15">
        <f t="shared" si="13"/>
        <v>-0.70644683112639095</v>
      </c>
      <c r="Q7" s="5">
        <f t="shared" si="22"/>
        <v>-5.2358451248504887E-5</v>
      </c>
      <c r="R7" s="5">
        <f t="shared" si="23"/>
        <v>-0.19894060589872517</v>
      </c>
      <c r="S7" s="12">
        <f t="shared" si="14"/>
        <v>4.2390790845322254E-4</v>
      </c>
      <c r="T7" s="5">
        <f t="shared" si="15"/>
        <v>0.56606030837128074</v>
      </c>
      <c r="U7" s="5">
        <f t="shared" si="16"/>
        <v>-3.7872023949901202E-4</v>
      </c>
      <c r="V7" s="15">
        <f t="shared" si="17"/>
        <v>-0.56606325335972674</v>
      </c>
      <c r="W7" s="12">
        <v>0</v>
      </c>
      <c r="X7" s="15">
        <f t="shared" si="18"/>
        <v>-5.7251697732383366E-2</v>
      </c>
      <c r="Y7" s="12">
        <f t="shared" si="24"/>
        <v>-2.4340335245430343E-7</v>
      </c>
      <c r="Z7" s="15">
        <f t="shared" si="25"/>
        <v>-1.3564186476746985E-2</v>
      </c>
      <c r="AA7" s="5">
        <f t="shared" si="19"/>
        <v>15.690578878369591</v>
      </c>
      <c r="AB7" s="5">
        <f t="shared" si="20"/>
        <v>74.360877756745992</v>
      </c>
      <c r="AC7" s="5">
        <f t="shared" si="26"/>
        <v>15.689918627452</v>
      </c>
      <c r="AD7" s="6">
        <f t="shared" si="27"/>
        <v>73.654430925619607</v>
      </c>
    </row>
    <row r="8" spans="1:34">
      <c r="A8" s="4">
        <v>1.5</v>
      </c>
      <c r="B8" s="19">
        <f t="shared" si="21"/>
        <v>316.22776601683802</v>
      </c>
      <c r="C8" s="12">
        <f t="shared" si="0"/>
        <v>1.9357400358919379E-3</v>
      </c>
      <c r="D8" s="5">
        <f t="shared" si="1"/>
        <v>-1.2095890918780396</v>
      </c>
      <c r="E8" s="5">
        <f t="shared" si="2"/>
        <v>-6.2301675920942259</v>
      </c>
      <c r="F8" s="5">
        <f t="shared" si="3"/>
        <v>-60.78549163251769</v>
      </c>
      <c r="G8" s="5">
        <f t="shared" si="4"/>
        <v>2.6885677010679061E-4</v>
      </c>
      <c r="H8" s="5">
        <f t="shared" si="5"/>
        <v>0.45080500050375938</v>
      </c>
      <c r="I8" s="5">
        <f t="shared" si="6"/>
        <v>-1.3277288243782926E-7</v>
      </c>
      <c r="J8" s="15">
        <f t="shared" si="7"/>
        <v>-1.0018095525322068E-2</v>
      </c>
      <c r="K8" s="12">
        <f t="shared" si="8"/>
        <v>-42.744585688865222</v>
      </c>
      <c r="L8" s="5">
        <f t="shared" si="9"/>
        <v>-89.582268528822439</v>
      </c>
      <c r="M8" s="5">
        <f t="shared" si="10"/>
        <v>3.1854920054850573</v>
      </c>
      <c r="N8" s="5">
        <f t="shared" si="11"/>
        <v>46.132937024986497</v>
      </c>
      <c r="O8" s="5">
        <f t="shared" si="12"/>
        <v>-1.0463806653698564E-3</v>
      </c>
      <c r="P8" s="15">
        <f t="shared" si="13"/>
        <v>-0.88933750980682358</v>
      </c>
      <c r="Q8" s="5">
        <f t="shared" si="22"/>
        <v>-8.298226038036435E-5</v>
      </c>
      <c r="R8" s="5">
        <f t="shared" si="23"/>
        <v>-0.2504507955260869</v>
      </c>
      <c r="S8" s="12">
        <f t="shared" si="14"/>
        <v>6.7182958160482906E-4</v>
      </c>
      <c r="T8" s="5">
        <f t="shared" si="15"/>
        <v>0.7126141463447041</v>
      </c>
      <c r="U8" s="5">
        <f t="shared" si="16"/>
        <v>-6.0021593203675992E-4</v>
      </c>
      <c r="V8" s="15">
        <f t="shared" si="17"/>
        <v>-0.71262002205161468</v>
      </c>
      <c r="W8" s="12">
        <v>0</v>
      </c>
      <c r="X8" s="15">
        <f t="shared" si="18"/>
        <v>-7.2075617143655943E-2</v>
      </c>
      <c r="Y8" s="12">
        <f t="shared" si="24"/>
        <v>-3.8576830887491155E-7</v>
      </c>
      <c r="Z8" s="15">
        <f t="shared" si="25"/>
        <v>-1.7076298859300319E-2</v>
      </c>
      <c r="AA8" s="5">
        <f t="shared" si="19"/>
        <v>13.18293807129966</v>
      </c>
      <c r="AB8" s="5">
        <f t="shared" si="20"/>
        <v>74.656766089510825</v>
      </c>
      <c r="AC8" s="5">
        <f t="shared" si="26"/>
        <v>13.18189169063429</v>
      </c>
      <c r="AD8" s="6">
        <f t="shared" si="27"/>
        <v>73.767428579704003</v>
      </c>
    </row>
    <row r="9" spans="1:34">
      <c r="A9" s="4">
        <v>1.6</v>
      </c>
      <c r="B9" s="19">
        <f t="shared" si="21"/>
        <v>398.10717055349755</v>
      </c>
      <c r="C9" s="12">
        <f t="shared" si="0"/>
        <v>3.0675414296031677E-3</v>
      </c>
      <c r="D9" s="5">
        <f t="shared" si="1"/>
        <v>-1.5226501586426631</v>
      </c>
      <c r="E9" s="5">
        <f t="shared" si="2"/>
        <v>-7.8305237849889187</v>
      </c>
      <c r="F9" s="5">
        <f t="shared" si="3"/>
        <v>-66.04925313079822</v>
      </c>
      <c r="G9" s="5">
        <f t="shared" si="4"/>
        <v>4.2610155059791212E-4</v>
      </c>
      <c r="H9" s="5">
        <f t="shared" si="5"/>
        <v>0.56752302135801203</v>
      </c>
      <c r="I9" s="5">
        <f t="shared" si="6"/>
        <v>-2.1043083734657613E-7</v>
      </c>
      <c r="J9" s="15">
        <f t="shared" si="7"/>
        <v>-1.2612034959435759E-2</v>
      </c>
      <c r="K9" s="12">
        <f t="shared" si="8"/>
        <v>-44.744500495344035</v>
      </c>
      <c r="L9" s="5">
        <f t="shared" si="9"/>
        <v>-89.668181928198564</v>
      </c>
      <c r="M9" s="5">
        <f t="shared" si="10"/>
        <v>4.338297748569139</v>
      </c>
      <c r="N9" s="5">
        <f t="shared" si="11"/>
        <v>52.637537321999389</v>
      </c>
      <c r="O9" s="5">
        <f t="shared" si="12"/>
        <v>-1.6582847601438414E-3</v>
      </c>
      <c r="P9" s="15">
        <f t="shared" si="13"/>
        <v>-1.1195570069251279</v>
      </c>
      <c r="Q9" s="5">
        <f t="shared" si="22"/>
        <v>-1.3151728467446024E-4</v>
      </c>
      <c r="R9" s="5">
        <f t="shared" si="23"/>
        <v>-0.31529769633857607</v>
      </c>
      <c r="S9" s="12">
        <f t="shared" si="14"/>
        <v>1.0647299653402055E-3</v>
      </c>
      <c r="T9" s="5">
        <f t="shared" si="15"/>
        <v>0.89710100333404108</v>
      </c>
      <c r="U9" s="5">
        <f t="shared" si="16"/>
        <v>-9.5123997391355591E-4</v>
      </c>
      <c r="V9" s="15">
        <f t="shared" si="17"/>
        <v>-0.89711272590656244</v>
      </c>
      <c r="W9" s="12">
        <v>0</v>
      </c>
      <c r="X9" s="15">
        <f t="shared" si="18"/>
        <v>-9.0737825992895843E-2</v>
      </c>
      <c r="Y9" s="12">
        <f t="shared" si="24"/>
        <v>-6.1140154962446974E-7</v>
      </c>
      <c r="Z9" s="15">
        <f t="shared" si="25"/>
        <v>-2.149778620106645E-2</v>
      </c>
      <c r="AA9" s="5">
        <f t="shared" si="19"/>
        <v>10.736754899210808</v>
      </c>
      <c r="AB9" s="5">
        <f t="shared" si="20"/>
        <v>75.52481805965347</v>
      </c>
      <c r="AC9" s="5">
        <f t="shared" si="26"/>
        <v>10.735096614450665</v>
      </c>
      <c r="AD9" s="6">
        <f t="shared" si="27"/>
        <v>74.405261052728335</v>
      </c>
    </row>
    <row r="10" spans="1:34">
      <c r="A10" s="4">
        <v>1.7</v>
      </c>
      <c r="B10" s="19">
        <f t="shared" si="21"/>
        <v>501.18723362727235</v>
      </c>
      <c r="C10" s="12">
        <f t="shared" si="0"/>
        <v>4.8607217891385879E-3</v>
      </c>
      <c r="D10" s="5">
        <f t="shared" si="1"/>
        <v>-1.9166391374638205</v>
      </c>
      <c r="E10" s="5">
        <f t="shared" si="2"/>
        <v>-9.5580265351730951</v>
      </c>
      <c r="F10" s="5">
        <f t="shared" si="3"/>
        <v>-70.565128107755442</v>
      </c>
      <c r="G10" s="5">
        <f t="shared" si="4"/>
        <v>6.7530607112895014E-4</v>
      </c>
      <c r="H10" s="5">
        <f t="shared" si="5"/>
        <v>0.71445548750406884</v>
      </c>
      <c r="I10" s="5">
        <f t="shared" si="6"/>
        <v>-3.3351039550510187E-7</v>
      </c>
      <c r="J10" s="15">
        <f t="shared" si="7"/>
        <v>-1.5877611154878971E-2</v>
      </c>
      <c r="K10" s="12">
        <f t="shared" si="8"/>
        <v>-46.744446741006215</v>
      </c>
      <c r="L10" s="5">
        <f t="shared" si="9"/>
        <v>-89.736426449323432</v>
      </c>
      <c r="M10" s="5">
        <f t="shared" si="10"/>
        <v>5.7038948075377878</v>
      </c>
      <c r="N10" s="5">
        <f t="shared" si="11"/>
        <v>58.76379162813781</v>
      </c>
      <c r="O10" s="5">
        <f t="shared" si="12"/>
        <v>-2.6279108272102853E-3</v>
      </c>
      <c r="P10" s="15">
        <f t="shared" si="13"/>
        <v>-1.4093338703535303</v>
      </c>
      <c r="Q10" s="5">
        <f t="shared" si="22"/>
        <v>-2.0843900322962698E-4</v>
      </c>
      <c r="R10" s="5">
        <f t="shared" si="23"/>
        <v>-0.39693393869951704</v>
      </c>
      <c r="S10" s="12">
        <f t="shared" si="14"/>
        <v>1.687362307627383E-3</v>
      </c>
      <c r="T10" s="5">
        <f t="shared" si="15"/>
        <v>1.1293292771845249</v>
      </c>
      <c r="U10" s="5">
        <f t="shared" si="16"/>
        <v>-1.5075178916900789E-3</v>
      </c>
      <c r="V10" s="15">
        <f t="shared" si="17"/>
        <v>-1.1293526636173239</v>
      </c>
      <c r="W10" s="12">
        <v>0</v>
      </c>
      <c r="X10" s="15">
        <f t="shared" si="18"/>
        <v>-0.11423215495341381</v>
      </c>
      <c r="Y10" s="12">
        <f t="shared" si="24"/>
        <v>-9.6900611538725013E-7</v>
      </c>
      <c r="Z10" s="15">
        <f t="shared" si="25"/>
        <v>-2.7064108603007456E-2</v>
      </c>
      <c r="AA10" s="5">
        <f t="shared" si="19"/>
        <v>8.3769342992349962</v>
      </c>
      <c r="AB10" s="5">
        <f t="shared" si="20"/>
        <v>76.705922221255562</v>
      </c>
      <c r="AC10" s="5">
        <f t="shared" si="26"/>
        <v>8.3743063884077866</v>
      </c>
      <c r="AD10" s="6">
        <f t="shared" si="27"/>
        <v>75.296588350902027</v>
      </c>
    </row>
    <row r="11" spans="1:34">
      <c r="A11" s="4">
        <v>1.8</v>
      </c>
      <c r="B11" s="19">
        <f t="shared" si="21"/>
        <v>630.95734448019368</v>
      </c>
      <c r="C11" s="12">
        <f t="shared" si="0"/>
        <v>7.7012053855227813E-3</v>
      </c>
      <c r="D11" s="5">
        <f t="shared" si="1"/>
        <v>-2.4123796212611062</v>
      </c>
      <c r="E11" s="5">
        <f t="shared" si="2"/>
        <v>-11.376856982343668</v>
      </c>
      <c r="F11" s="5">
        <f t="shared" si="3"/>
        <v>-74.343374771426397</v>
      </c>
      <c r="G11" s="5">
        <f t="shared" si="4"/>
        <v>1.0702393301827923E-3</v>
      </c>
      <c r="H11" s="5">
        <f t="shared" si="5"/>
        <v>0.89941890426217364</v>
      </c>
      <c r="I11" s="5">
        <f t="shared" si="6"/>
        <v>-5.2857834528357585E-7</v>
      </c>
      <c r="J11" s="15">
        <f t="shared" si="7"/>
        <v>-1.9988727862192079E-2</v>
      </c>
      <c r="K11" s="12">
        <f t="shared" si="8"/>
        <v>-48.744412823969654</v>
      </c>
      <c r="L11" s="5">
        <f t="shared" si="9"/>
        <v>-89.790635541746951</v>
      </c>
      <c r="M11" s="5">
        <f t="shared" si="10"/>
        <v>7.2499853660652267</v>
      </c>
      <c r="N11" s="5">
        <f t="shared" si="11"/>
        <v>64.277621369944427</v>
      </c>
      <c r="O11" s="5">
        <f t="shared" si="12"/>
        <v>-4.1642212756611025E-3</v>
      </c>
      <c r="P11" s="15">
        <f t="shared" si="13"/>
        <v>-1.7740370012693265</v>
      </c>
      <c r="Q11" s="5">
        <f t="shared" si="22"/>
        <v>-3.3034892060042185E-4</v>
      </c>
      <c r="R11" s="5">
        <f t="shared" si="23"/>
        <v>-0.49970554646103144</v>
      </c>
      <c r="S11" s="12">
        <f t="shared" si="14"/>
        <v>2.6739852561500342E-3</v>
      </c>
      <c r="T11" s="5">
        <f t="shared" si="15"/>
        <v>1.4216336592600793</v>
      </c>
      <c r="U11" s="5">
        <f t="shared" si="16"/>
        <v>-2.3890140890865199E-3</v>
      </c>
      <c r="V11" s="15">
        <f t="shared" si="17"/>
        <v>-1.421680311293352</v>
      </c>
      <c r="W11" s="12">
        <v>0</v>
      </c>
      <c r="X11" s="15">
        <f t="shared" si="18"/>
        <v>-0.14380976271486168</v>
      </c>
      <c r="Y11" s="12">
        <f t="shared" si="24"/>
        <v>-1.5357710945554844E-6</v>
      </c>
      <c r="Z11" s="15">
        <f t="shared" si="25"/>
        <v>-3.4071692585736599E-2</v>
      </c>
      <c r="AA11" s="5">
        <f t="shared" si="19"/>
        <v>6.1074461994846878</v>
      </c>
      <c r="AB11" s="5">
        <f t="shared" si="20"/>
        <v>77.933027958115034</v>
      </c>
      <c r="AC11" s="5">
        <f t="shared" si="26"/>
        <v>6.1032819782090266</v>
      </c>
      <c r="AD11" s="6">
        <f t="shared" si="27"/>
        <v>76.158990956845713</v>
      </c>
    </row>
    <row r="12" spans="1:34">
      <c r="A12" s="4">
        <v>1.9</v>
      </c>
      <c r="B12" s="19">
        <f t="shared" si="21"/>
        <v>794.32823472428197</v>
      </c>
      <c r="C12" s="12">
        <f t="shared" si="0"/>
        <v>1.2199266446766978E-2</v>
      </c>
      <c r="D12" s="5">
        <f t="shared" si="1"/>
        <v>-3.0359573761506455</v>
      </c>
      <c r="E12" s="5">
        <f t="shared" si="2"/>
        <v>-13.25853157242139</v>
      </c>
      <c r="F12" s="5">
        <f t="shared" si="3"/>
        <v>-77.449099446690596</v>
      </c>
      <c r="G12" s="5">
        <f t="shared" si="4"/>
        <v>1.6960928074757824E-3</v>
      </c>
      <c r="H12" s="5">
        <f t="shared" si="5"/>
        <v>1.1322469221610552</v>
      </c>
      <c r="I12" s="5">
        <f t="shared" si="6"/>
        <v>-8.3774018834450453E-7</v>
      </c>
      <c r="J12" s="15">
        <f t="shared" si="7"/>
        <v>-2.5164316858026389E-2</v>
      </c>
      <c r="K12" s="12">
        <f t="shared" si="8"/>
        <v>-50.744391423630034</v>
      </c>
      <c r="L12" s="5">
        <f t="shared" si="9"/>
        <v>-89.833695626300639</v>
      </c>
      <c r="M12" s="5">
        <f t="shared" si="10"/>
        <v>8.9370795016425451</v>
      </c>
      <c r="N12" s="5">
        <f t="shared" si="11"/>
        <v>69.059823575619433</v>
      </c>
      <c r="O12" s="5">
        <f t="shared" si="12"/>
        <v>-6.5979965604902532E-3</v>
      </c>
      <c r="P12" s="15">
        <f t="shared" si="13"/>
        <v>-2.2329630388675352</v>
      </c>
      <c r="Q12" s="5">
        <f t="shared" si="22"/>
        <v>-5.2355610920028282E-4</v>
      </c>
      <c r="R12" s="5">
        <f t="shared" si="23"/>
        <v>-0.62908268187008598</v>
      </c>
      <c r="S12" s="12">
        <f t="shared" si="14"/>
        <v>4.2372182709462768E-3</v>
      </c>
      <c r="T12" s="5">
        <f t="shared" si="15"/>
        <v>1.7895159935178246</v>
      </c>
      <c r="U12" s="5">
        <f t="shared" si="16"/>
        <v>-3.7857276280555048E-3</v>
      </c>
      <c r="V12" s="15">
        <f t="shared" si="17"/>
        <v>-1.7896090448466262</v>
      </c>
      <c r="W12" s="12">
        <v>0</v>
      </c>
      <c r="X12" s="15">
        <f t="shared" si="18"/>
        <v>-0.1810457647458287</v>
      </c>
      <c r="Y12" s="12">
        <f t="shared" si="24"/>
        <v>-2.4340329028339434E-6</v>
      </c>
      <c r="Z12" s="15">
        <f t="shared" si="25"/>
        <v>-4.2893716661751957E-2</v>
      </c>
      <c r="AA12" s="5">
        <f t="shared" si="19"/>
        <v>3.9179831647260186</v>
      </c>
      <c r="AB12" s="5">
        <f t="shared" si="20"/>
        <v>78.995038517174109</v>
      </c>
      <c r="AC12" s="5">
        <f t="shared" si="26"/>
        <v>3.9113851681655283</v>
      </c>
      <c r="AD12" s="6">
        <f t="shared" si="27"/>
        <v>76.762075478306571</v>
      </c>
    </row>
    <row r="13" spans="1:34">
      <c r="A13" s="4">
        <v>2</v>
      </c>
      <c r="B13" s="18">
        <f t="shared" si="21"/>
        <v>1000</v>
      </c>
      <c r="C13" s="12">
        <f t="shared" si="0"/>
        <v>1.9318683648281119E-2</v>
      </c>
      <c r="D13" s="5">
        <f t="shared" si="1"/>
        <v>-3.8199549503312737</v>
      </c>
      <c r="E13" s="5">
        <f t="shared" si="2"/>
        <v>-15.182179694787163</v>
      </c>
      <c r="F13" s="5">
        <f t="shared" si="3"/>
        <v>-79.971560240179642</v>
      </c>
      <c r="G13" s="5">
        <f t="shared" si="4"/>
        <v>2.687819014707292E-3</v>
      </c>
      <c r="H13" s="5">
        <f t="shared" si="5"/>
        <v>1.4253059201536176</v>
      </c>
      <c r="I13" s="5">
        <f t="shared" si="6"/>
        <v>-1.3277286476259642E-6</v>
      </c>
      <c r="J13" s="15">
        <f t="shared" si="7"/>
        <v>-3.1679996771588247E-2</v>
      </c>
      <c r="K13" s="12">
        <f t="shared" si="8"/>
        <v>-52.744377920874314</v>
      </c>
      <c r="L13" s="5">
        <f t="shared" si="9"/>
        <v>-89.867899603506871</v>
      </c>
      <c r="M13" s="5">
        <f t="shared" si="10"/>
        <v>10.727380832897497</v>
      </c>
      <c r="N13" s="5">
        <f t="shared" si="11"/>
        <v>73.092677195839087</v>
      </c>
      <c r="O13" s="5">
        <f t="shared" si="12"/>
        <v>-1.0452478854633514E-2</v>
      </c>
      <c r="P13" s="15">
        <f t="shared" si="13"/>
        <v>-2.8103021658954761</v>
      </c>
      <c r="Q13" s="5">
        <f t="shared" si="22"/>
        <v>-8.2975126166051334E-4</v>
      </c>
      <c r="R13" s="5">
        <f t="shared" si="23"/>
        <v>-0.79194956183949483</v>
      </c>
      <c r="S13" s="12">
        <f t="shared" si="14"/>
        <v>6.71362361830117E-3</v>
      </c>
      <c r="T13" s="5">
        <f t="shared" si="15"/>
        <v>2.2524389227607688</v>
      </c>
      <c r="U13" s="5">
        <f t="shared" si="16"/>
        <v>-5.9984562525295425E-3</v>
      </c>
      <c r="V13" s="15">
        <f t="shared" si="17"/>
        <v>-2.2526244843668004</v>
      </c>
      <c r="W13" s="12">
        <v>0</v>
      </c>
      <c r="X13" s="15">
        <f t="shared" si="18"/>
        <v>-0.22792311393623219</v>
      </c>
      <c r="Y13" s="12">
        <f t="shared" si="24"/>
        <v>-3.8576815424639383E-6</v>
      </c>
      <c r="Z13" s="15">
        <f t="shared" si="25"/>
        <v>-5.3999984011249391E-2</v>
      </c>
      <c r="AA13" s="5">
        <f t="shared" si="19"/>
        <v>1.7927165877129916</v>
      </c>
      <c r="AB13" s="5">
        <f t="shared" si="20"/>
        <v>79.752830103810311</v>
      </c>
      <c r="AC13" s="5">
        <f t="shared" si="26"/>
        <v>1.7822641088583582</v>
      </c>
      <c r="AD13" s="6">
        <f t="shared" si="27"/>
        <v>76.942527937914832</v>
      </c>
    </row>
    <row r="14" spans="1:34">
      <c r="A14" s="4">
        <v>2.1</v>
      </c>
      <c r="B14" s="19">
        <f t="shared" si="21"/>
        <v>1258.9254117941678</v>
      </c>
      <c r="C14" s="12">
        <f t="shared" si="0"/>
        <v>3.0578347275027704E-2</v>
      </c>
      <c r="D14" s="5">
        <f t="shared" si="1"/>
        <v>-4.8048809496734659</v>
      </c>
      <c r="E14" s="5">
        <f t="shared" si="2"/>
        <v>-17.133304966826461</v>
      </c>
      <c r="F14" s="5">
        <f t="shared" si="3"/>
        <v>-82.004088274730336</v>
      </c>
      <c r="G14" s="5">
        <f t="shared" si="4"/>
        <v>4.2591353898687586E-3</v>
      </c>
      <c r="H14" s="5">
        <f t="shared" si="5"/>
        <v>1.7941374280007374</v>
      </c>
      <c r="I14" s="5">
        <f t="shared" si="6"/>
        <v>-2.10430790759797E-6</v>
      </c>
      <c r="J14" s="15">
        <f t="shared" si="7"/>
        <v>-3.9882750604111623E-2</v>
      </c>
      <c r="K14" s="12">
        <f t="shared" si="8"/>
        <v>-54.744369401189829</v>
      </c>
      <c r="L14" s="5">
        <f t="shared" si="9"/>
        <v>-89.895068856631696</v>
      </c>
      <c r="M14" s="5">
        <f t="shared" si="10"/>
        <v>12.589662900124255</v>
      </c>
      <c r="N14" s="5">
        <f t="shared" si="11"/>
        <v>76.425940592456584</v>
      </c>
      <c r="O14" s="5">
        <f t="shared" si="12"/>
        <v>-1.6554422779301487E-2</v>
      </c>
      <c r="P14" s="15">
        <f t="shared" si="13"/>
        <v>-3.5363035389725876</v>
      </c>
      <c r="Q14" s="5">
        <f t="shared" si="22"/>
        <v>-1.3149936580596211E-3</v>
      </c>
      <c r="R14" s="5">
        <f t="shared" si="23"/>
        <v>-0.99696829552674737</v>
      </c>
      <c r="S14" s="12">
        <f t="shared" si="14"/>
        <v>1.0635571396248425E-2</v>
      </c>
      <c r="T14" s="5">
        <f t="shared" si="15"/>
        <v>2.8347989096976138</v>
      </c>
      <c r="U14" s="5">
        <f t="shared" si="16"/>
        <v>-9.5031035385685133E-3</v>
      </c>
      <c r="V14" s="15">
        <f t="shared" si="17"/>
        <v>-2.8351688373470472</v>
      </c>
      <c r="W14" s="12">
        <v>0</v>
      </c>
      <c r="X14" s="15">
        <f t="shared" si="18"/>
        <v>-0.2869382000695801</v>
      </c>
      <c r="Y14" s="12">
        <f t="shared" si="24"/>
        <v>-6.1140116286050641E-6</v>
      </c>
      <c r="Z14" s="15">
        <f t="shared" si="25"/>
        <v>-6.7981940335143445E-2</v>
      </c>
      <c r="AA14" s="5">
        <f t="shared" si="19"/>
        <v>-0.28335809222699648</v>
      </c>
      <c r="AB14" s="5">
        <f t="shared" si="20"/>
        <v>80.123898825236822</v>
      </c>
      <c r="AC14" s="5">
        <f t="shared" si="26"/>
        <v>-0.29991251500629795</v>
      </c>
      <c r="AD14" s="6">
        <f t="shared" si="27"/>
        <v>76.587595286264232</v>
      </c>
    </row>
    <row r="15" spans="1:34">
      <c r="A15" s="4">
        <v>2.2000000000000002</v>
      </c>
      <c r="B15" s="19">
        <f t="shared" si="21"/>
        <v>1584.8931924611154</v>
      </c>
      <c r="C15" s="12">
        <f t="shared" si="0"/>
        <v>4.8364129172934207E-2</v>
      </c>
      <c r="D15" s="5">
        <f t="shared" si="1"/>
        <v>-6.0407248436563163</v>
      </c>
      <c r="E15" s="5">
        <f t="shared" si="2"/>
        <v>-19.102181668409781</v>
      </c>
      <c r="F15" s="5">
        <f t="shared" si="3"/>
        <v>-83.633398893403282</v>
      </c>
      <c r="G15" s="5">
        <f t="shared" si="4"/>
        <v>6.7483400582680096E-3</v>
      </c>
      <c r="H15" s="5">
        <f t="shared" si="5"/>
        <v>2.2582536389260257</v>
      </c>
      <c r="I15" s="5">
        <f t="shared" si="6"/>
        <v>-3.3351028051623173E-6</v>
      </c>
      <c r="J15" s="15">
        <f t="shared" si="7"/>
        <v>-5.0209403484633021E-2</v>
      </c>
      <c r="K15" s="12">
        <f t="shared" si="8"/>
        <v>-56.744364025623725</v>
      </c>
      <c r="L15" s="5">
        <f t="shared" si="9"/>
        <v>-89.916650195731364</v>
      </c>
      <c r="M15" s="5">
        <f t="shared" si="10"/>
        <v>14.500466614570167</v>
      </c>
      <c r="N15" s="5">
        <f t="shared" si="11"/>
        <v>79.143212823842063</v>
      </c>
      <c r="O15" s="5">
        <f t="shared" si="12"/>
        <v>-2.6207824762520072E-2</v>
      </c>
      <c r="P15" s="15">
        <f t="shared" si="13"/>
        <v>-4.4486428875368089</v>
      </c>
      <c r="Q15" s="5">
        <f t="shared" si="22"/>
        <v>-2.0839399890951221E-3</v>
      </c>
      <c r="R15" s="5">
        <f t="shared" si="23"/>
        <v>-1.2550346452872989</v>
      </c>
      <c r="S15" s="12">
        <f t="shared" si="14"/>
        <v>1.6844193916419007E-2</v>
      </c>
      <c r="T15" s="5">
        <f t="shared" si="15"/>
        <v>3.5670994346331484</v>
      </c>
      <c r="U15" s="5">
        <f t="shared" si="16"/>
        <v>-1.505184972000863E-2</v>
      </c>
      <c r="V15" s="15">
        <f t="shared" si="17"/>
        <v>-3.5678365388988129</v>
      </c>
      <c r="W15" s="12">
        <v>0</v>
      </c>
      <c r="X15" s="15">
        <f t="shared" si="18"/>
        <v>-0.36123379168207359</v>
      </c>
      <c r="Y15" s="12">
        <f t="shared" si="24"/>
        <v>-9.6900514205164675E-6</v>
      </c>
      <c r="Z15" s="15">
        <f t="shared" si="25"/>
        <v>-8.5584168740588856E-2</v>
      </c>
      <c r="AA15" s="5">
        <f t="shared" si="19"/>
        <v>-2.3212645940589907</v>
      </c>
      <c r="AB15" s="5">
        <f t="shared" si="20"/>
        <v>80.057893416516862</v>
      </c>
      <c r="AC15" s="5">
        <f t="shared" si="26"/>
        <v>-2.3474724188215106</v>
      </c>
      <c r="AD15" s="6">
        <f t="shared" si="27"/>
        <v>75.609250528980056</v>
      </c>
    </row>
    <row r="16" spans="1:34">
      <c r="A16" s="4">
        <v>2.2999999999999998</v>
      </c>
      <c r="B16" s="19">
        <f t="shared" si="21"/>
        <v>1995.2623149688802</v>
      </c>
      <c r="C16" s="12">
        <f t="shared" si="0"/>
        <v>7.6404335961211836E-2</v>
      </c>
      <c r="D16" s="5">
        <f t="shared" si="1"/>
        <v>-7.588441507527774</v>
      </c>
      <c r="E16" s="5">
        <f t="shared" si="2"/>
        <v>-21.082428808677061</v>
      </c>
      <c r="F16" s="5">
        <f t="shared" si="3"/>
        <v>-84.935145713747275</v>
      </c>
      <c r="G16" s="5">
        <f t="shared" si="4"/>
        <v>1.0690543451720127E-2</v>
      </c>
      <c r="H16" s="5">
        <f t="shared" si="5"/>
        <v>2.8421125788979755</v>
      </c>
      <c r="I16" s="5">
        <f t="shared" si="6"/>
        <v>-5.2857805434967337E-6</v>
      </c>
      <c r="J16" s="15">
        <f t="shared" si="7"/>
        <v>-6.3209884494042065E-2</v>
      </c>
      <c r="K16" s="12">
        <f t="shared" si="8"/>
        <v>-58.744360633867387</v>
      </c>
      <c r="L16" s="5">
        <f t="shared" si="9"/>
        <v>-89.933792879875185</v>
      </c>
      <c r="M16" s="5">
        <f t="shared" si="10"/>
        <v>16.443230137178261</v>
      </c>
      <c r="N16" s="5">
        <f t="shared" si="11"/>
        <v>81.33802922291737</v>
      </c>
      <c r="O16" s="5">
        <f t="shared" si="12"/>
        <v>-4.1463618125461621E-2</v>
      </c>
      <c r="P16" s="15">
        <f t="shared" si="13"/>
        <v>-5.593948835043367</v>
      </c>
      <c r="Q16" s="5">
        <f t="shared" si="22"/>
        <v>-3.302358981219515E-3</v>
      </c>
      <c r="R16" s="5">
        <f t="shared" si="23"/>
        <v>-1.5798472457547021</v>
      </c>
      <c r="S16" s="12">
        <f t="shared" si="14"/>
        <v>2.6666052486810102E-2</v>
      </c>
      <c r="T16" s="5">
        <f t="shared" si="15"/>
        <v>4.4873257931958337</v>
      </c>
      <c r="U16" s="5">
        <f t="shared" si="16"/>
        <v>-2.3831627181822329E-2</v>
      </c>
      <c r="V16" s="15">
        <f t="shared" si="17"/>
        <v>-4.4887933632545707</v>
      </c>
      <c r="W16" s="12">
        <v>0</v>
      </c>
      <c r="X16" s="15">
        <f t="shared" si="18"/>
        <v>-0.45476639994732243</v>
      </c>
      <c r="Y16" s="12">
        <f t="shared" si="24"/>
        <v>-1.5357686507960409E-5</v>
      </c>
      <c r="Z16" s="15">
        <f t="shared" si="25"/>
        <v>-0.10774403800536084</v>
      </c>
      <c r="AA16" s="5">
        <f t="shared" si="19"/>
        <v>-4.3269463659764886</v>
      </c>
      <c r="AB16" s="5">
        <f t="shared" si="20"/>
        <v>79.51572656240495</v>
      </c>
      <c r="AC16" s="5">
        <f t="shared" si="26"/>
        <v>-4.3684099841019499</v>
      </c>
      <c r="AD16" s="6">
        <f t="shared" si="27"/>
        <v>73.921777727361587</v>
      </c>
    </row>
    <row r="17" spans="1:30">
      <c r="A17" s="4">
        <v>2.4</v>
      </c>
      <c r="B17" s="19">
        <f t="shared" si="21"/>
        <v>2511.8864315095807</v>
      </c>
      <c r="C17" s="12">
        <f t="shared" si="0"/>
        <v>0.12047752063904139</v>
      </c>
      <c r="D17" s="5">
        <f t="shared" si="1"/>
        <v>-9.5209228766729712</v>
      </c>
      <c r="E17" s="5">
        <f t="shared" si="2"/>
        <v>-23.069919211451996</v>
      </c>
      <c r="F17" s="5">
        <f t="shared" si="3"/>
        <v>-85.972975267641999</v>
      </c>
      <c r="G17" s="5">
        <f t="shared" si="4"/>
        <v>1.6931193968462141E-2</v>
      </c>
      <c r="H17" s="5">
        <f t="shared" si="5"/>
        <v>3.5762936114206654</v>
      </c>
      <c r="I17" s="5">
        <f t="shared" si="6"/>
        <v>-8.3773946176564072E-6</v>
      </c>
      <c r="J17" s="15">
        <f t="shared" si="7"/>
        <v>-7.9576510983395271E-2</v>
      </c>
      <c r="K17" s="12">
        <f t="shared" si="8"/>
        <v>-60.744358493812456</v>
      </c>
      <c r="L17" s="5">
        <f t="shared" si="9"/>
        <v>-89.947409806506869</v>
      </c>
      <c r="M17" s="5">
        <f t="shared" si="10"/>
        <v>18.406724336712774</v>
      </c>
      <c r="N17" s="5">
        <f t="shared" si="11"/>
        <v>83.100198235500216</v>
      </c>
      <c r="O17" s="5">
        <f t="shared" si="12"/>
        <v>-6.5533180675500485E-2</v>
      </c>
      <c r="P17" s="15">
        <f t="shared" si="13"/>
        <v>-7.029344913515267</v>
      </c>
      <c r="Q17" s="5">
        <f t="shared" si="22"/>
        <v>-5.2327230211146047E-3</v>
      </c>
      <c r="R17" s="5">
        <f t="shared" si="23"/>
        <v>-1.9886151489575756</v>
      </c>
      <c r="S17" s="12">
        <f t="shared" si="14"/>
        <v>4.2187291359481863E-2</v>
      </c>
      <c r="T17" s="5">
        <f t="shared" si="15"/>
        <v>5.6424754788682518</v>
      </c>
      <c r="U17" s="5">
        <f t="shared" si="16"/>
        <v>-3.7710639831892927E-2</v>
      </c>
      <c r="V17" s="15">
        <f t="shared" si="17"/>
        <v>-5.6453937714440858</v>
      </c>
      <c r="W17" s="12">
        <v>0</v>
      </c>
      <c r="X17" s="15">
        <f t="shared" si="18"/>
        <v>-0.57251697732383378</v>
      </c>
      <c r="Y17" s="12">
        <f t="shared" si="24"/>
        <v>-2.4340267629658012E-5</v>
      </c>
      <c r="Z17" s="15">
        <f t="shared" si="25"/>
        <v>-0.13564161389761448</v>
      </c>
      <c r="AA17" s="5">
        <f t="shared" si="19"/>
        <v>-6.3009268059798913</v>
      </c>
      <c r="AB17" s="5">
        <f t="shared" si="20"/>
        <v>78.455915352360776</v>
      </c>
      <c r="AC17" s="5">
        <f t="shared" si="26"/>
        <v>-6.3664599866553919</v>
      </c>
      <c r="AD17" s="6">
        <f t="shared" si="27"/>
        <v>71.426570438845516</v>
      </c>
    </row>
    <row r="18" spans="1:30">
      <c r="A18" s="4">
        <v>2.5</v>
      </c>
      <c r="B18" s="19">
        <f t="shared" si="21"/>
        <v>3162.2776601683827</v>
      </c>
      <c r="C18" s="12">
        <f t="shared" si="0"/>
        <v>0.18942536373524568</v>
      </c>
      <c r="D18" s="5">
        <f t="shared" si="1"/>
        <v>-11.922569485639087</v>
      </c>
      <c r="E18" s="5">
        <f t="shared" si="2"/>
        <v>-25.062007608626232</v>
      </c>
      <c r="F18" s="5">
        <f t="shared" si="3"/>
        <v>-86.799276497900252</v>
      </c>
      <c r="G18" s="5">
        <f t="shared" si="4"/>
        <v>2.6803625990479415E-2</v>
      </c>
      <c r="H18" s="5">
        <f t="shared" si="5"/>
        <v>4.498874361218463</v>
      </c>
      <c r="I18" s="5">
        <f t="shared" si="6"/>
        <v>-1.3277268212754801E-5</v>
      </c>
      <c r="J18" s="15">
        <f t="shared" si="7"/>
        <v>-0.10018085418295929</v>
      </c>
      <c r="K18" s="12">
        <f t="shared" si="8"/>
        <v>-62.744357143528539</v>
      </c>
      <c r="L18" s="5">
        <f t="shared" si="9"/>
        <v>-89.958226120109416</v>
      </c>
      <c r="M18" s="5">
        <f t="shared" si="10"/>
        <v>20.383531837357232</v>
      </c>
      <c r="N18" s="5">
        <f t="shared" si="11"/>
        <v>84.509512342981736</v>
      </c>
      <c r="O18" s="5">
        <f t="shared" si="12"/>
        <v>-0.10340970087806317</v>
      </c>
      <c r="P18" s="15">
        <f t="shared" si="13"/>
        <v>-8.8236653860368648</v>
      </c>
      <c r="Q18" s="5">
        <f t="shared" si="22"/>
        <v>-8.2903873858568566E-3</v>
      </c>
      <c r="R18" s="5">
        <f t="shared" si="23"/>
        <v>-2.5029305556209982</v>
      </c>
      <c r="S18" s="12">
        <f t="shared" si="14"/>
        <v>6.6673731674115236E-2</v>
      </c>
      <c r="T18" s="5">
        <f t="shared" si="15"/>
        <v>7.0900957812013239</v>
      </c>
      <c r="U18" s="5">
        <f t="shared" si="16"/>
        <v>-5.9617586816831256E-2</v>
      </c>
      <c r="V18" s="15">
        <f t="shared" si="17"/>
        <v>-7.0958875225881455</v>
      </c>
      <c r="W18" s="12">
        <v>0</v>
      </c>
      <c r="X18" s="15">
        <f t="shared" si="18"/>
        <v>-0.72075617143656001</v>
      </c>
      <c r="Y18" s="12">
        <f t="shared" si="24"/>
        <v>-3.8576661238921431E-5</v>
      </c>
      <c r="Z18" s="15">
        <f t="shared" si="25"/>
        <v>-0.1707624880428292</v>
      </c>
      <c r="AA18" s="5">
        <f t="shared" si="19"/>
        <v>-8.2378833844097823</v>
      </c>
      <c r="AB18" s="5">
        <f t="shared" si="20"/>
        <v>76.82789278988129</v>
      </c>
      <c r="AC18" s="5">
        <f t="shared" si="26"/>
        <v>-8.3412930852878446</v>
      </c>
      <c r="AD18" s="6">
        <f t="shared" si="27"/>
        <v>68.004227403844425</v>
      </c>
    </row>
    <row r="19" spans="1:30">
      <c r="A19" s="4">
        <v>2.6</v>
      </c>
      <c r="B19" s="19">
        <f t="shared" si="21"/>
        <v>3981.071705534976</v>
      </c>
      <c r="C19" s="12">
        <f t="shared" si="0"/>
        <v>0.29650645729707098</v>
      </c>
      <c r="D19" s="5">
        <f t="shared" si="1"/>
        <v>-14.885859133098752</v>
      </c>
      <c r="E19" s="5">
        <f t="shared" si="2"/>
        <v>-27.05700829872919</v>
      </c>
      <c r="F19" s="5">
        <f t="shared" si="3"/>
        <v>-87.45659887516895</v>
      </c>
      <c r="G19" s="5">
        <f t="shared" si="4"/>
        <v>4.2404550816425336E-2</v>
      </c>
      <c r="H19" s="5">
        <f t="shared" si="5"/>
        <v>5.6569622643850339</v>
      </c>
      <c r="I19" s="5">
        <f t="shared" si="6"/>
        <v>-2.1043033189173894E-5</v>
      </c>
      <c r="J19" s="15">
        <f t="shared" si="7"/>
        <v>-0.12612014793289228</v>
      </c>
      <c r="K19" s="12">
        <f t="shared" si="8"/>
        <v>-64.74435629155677</v>
      </c>
      <c r="L19" s="5">
        <f t="shared" si="9"/>
        <v>-89.966817825559104</v>
      </c>
      <c r="M19" s="5">
        <f t="shared" si="10"/>
        <v>22.368834374879984</v>
      </c>
      <c r="N19" s="5">
        <f t="shared" si="11"/>
        <v>85.633823125010395</v>
      </c>
      <c r="O19" s="5">
        <f t="shared" si="12"/>
        <v>-0.16277137745153991</v>
      </c>
      <c r="P19" s="15">
        <f t="shared" si="13"/>
        <v>-11.057634452009589</v>
      </c>
      <c r="Q19" s="5">
        <f t="shared" si="22"/>
        <v>-1.3132053444384607E-2</v>
      </c>
      <c r="R19" s="5">
        <f t="shared" si="23"/>
        <v>-3.1498317638413829</v>
      </c>
      <c r="S19" s="12">
        <f t="shared" si="14"/>
        <v>0.10520152134001419</v>
      </c>
      <c r="T19" s="5">
        <f t="shared" si="15"/>
        <v>8.8994764017017314</v>
      </c>
      <c r="U19" s="5">
        <f t="shared" si="16"/>
        <v>-9.4114589164357193E-2</v>
      </c>
      <c r="V19" s="15">
        <f t="shared" si="17"/>
        <v>-8.9109356973427438</v>
      </c>
      <c r="W19" s="12">
        <v>0</v>
      </c>
      <c r="X19" s="15">
        <f t="shared" si="18"/>
        <v>-0.90737825992895849</v>
      </c>
      <c r="Y19" s="12">
        <f t="shared" si="24"/>
        <v>-6.1139728964450081E-5</v>
      </c>
      <c r="Z19" s="15">
        <f t="shared" si="25"/>
        <v>-0.21497686328490972</v>
      </c>
      <c r="AA19" s="5">
        <f t="shared" si="19"/>
        <v>-10.125739874203312</v>
      </c>
      <c r="AB19" s="5">
        <f t="shared" si="20"/>
        <v>74.571743224939482</v>
      </c>
      <c r="AC19" s="5">
        <f t="shared" si="26"/>
        <v>-10.288511251654851</v>
      </c>
      <c r="AD19" s="6">
        <f t="shared" si="27"/>
        <v>63.514108772929895</v>
      </c>
    </row>
    <row r="20" spans="1:30">
      <c r="A20" s="4">
        <v>2.7</v>
      </c>
      <c r="B20" s="19">
        <f t="shared" si="21"/>
        <v>5011.8723362727269</v>
      </c>
      <c r="C20" s="12">
        <f t="shared" si="0"/>
        <v>0.46098894415027158</v>
      </c>
      <c r="D20" s="5">
        <f t="shared" si="1"/>
        <v>-18.502377831370602</v>
      </c>
      <c r="E20" s="5">
        <f t="shared" si="2"/>
        <v>-29.053850983791772</v>
      </c>
      <c r="F20" s="5">
        <f t="shared" si="3"/>
        <v>-87.979214926045117</v>
      </c>
      <c r="G20" s="5">
        <f t="shared" si="4"/>
        <v>6.7016123816103695E-2</v>
      </c>
      <c r="H20" s="5">
        <f t="shared" si="5"/>
        <v>7.1082307633412372</v>
      </c>
      <c r="I20" s="5">
        <f t="shared" si="6"/>
        <v>-3.3350912793194556E-5</v>
      </c>
      <c r="J20" s="15">
        <f t="shared" si="7"/>
        <v>-0.15877570918195869</v>
      </c>
      <c r="K20" s="12">
        <f t="shared" si="8"/>
        <v>-66.744355753998832</v>
      </c>
      <c r="L20" s="5">
        <f t="shared" si="9"/>
        <v>-89.973642460864568</v>
      </c>
      <c r="M20" s="5">
        <f t="shared" si="10"/>
        <v>24.359535244989146</v>
      </c>
      <c r="N20" s="5">
        <f t="shared" si="11"/>
        <v>86.529344622438799</v>
      </c>
      <c r="O20" s="5">
        <f t="shared" si="12"/>
        <v>-0.25522218620543369</v>
      </c>
      <c r="P20" s="15">
        <f t="shared" si="13"/>
        <v>-13.821678457740818</v>
      </c>
      <c r="Q20" s="5">
        <f t="shared" si="22"/>
        <v>-2.0794537616627883E-2</v>
      </c>
      <c r="R20" s="5">
        <f t="shared" si="23"/>
        <v>-3.9630705996733835</v>
      </c>
      <c r="S20" s="12">
        <f t="shared" si="14"/>
        <v>0.1655723436146086</v>
      </c>
      <c r="T20" s="5">
        <f t="shared" si="15"/>
        <v>11.151768288446663</v>
      </c>
      <c r="U20" s="5">
        <f t="shared" si="16"/>
        <v>-0.14823748092458272</v>
      </c>
      <c r="V20" s="15">
        <f t="shared" si="17"/>
        <v>-11.174333179793102</v>
      </c>
      <c r="W20" s="12">
        <v>0</v>
      </c>
      <c r="X20" s="15">
        <f t="shared" si="18"/>
        <v>-1.142321549534139</v>
      </c>
      <c r="Y20" s="12">
        <f t="shared" si="24"/>
        <v>-9.6899541286150974E-5</v>
      </c>
      <c r="Z20" s="15">
        <f t="shared" si="25"/>
        <v>-0.27063909332015651</v>
      </c>
      <c r="AA20" s="5">
        <f t="shared" si="19"/>
        <v>-11.944249713095703</v>
      </c>
      <c r="AB20" s="5">
        <f t="shared" si="20"/>
        <v>71.624968324443671</v>
      </c>
      <c r="AC20" s="5">
        <f t="shared" si="26"/>
        <v>-12.199471899301136</v>
      </c>
      <c r="AD20" s="6">
        <f t="shared" si="27"/>
        <v>57.803289866702855</v>
      </c>
    </row>
    <row r="21" spans="1:30">
      <c r="A21" s="4">
        <v>2.8</v>
      </c>
      <c r="B21" s="19">
        <f t="shared" si="21"/>
        <v>6309.5734448019321</v>
      </c>
      <c r="C21" s="12">
        <f t="shared" si="0"/>
        <v>0.70955060308296547</v>
      </c>
      <c r="D21" s="5">
        <f t="shared" si="1"/>
        <v>-22.845139541286759</v>
      </c>
      <c r="E21" s="5">
        <f t="shared" si="2"/>
        <v>-31.051857671056787</v>
      </c>
      <c r="F21" s="5">
        <f t="shared" si="3"/>
        <v>-88.394587729125348</v>
      </c>
      <c r="G21" s="5">
        <f t="shared" si="4"/>
        <v>0.10573937141918635</v>
      </c>
      <c r="H21" s="5">
        <f t="shared" si="5"/>
        <v>8.9221048401160026</v>
      </c>
      <c r="I21" s="5">
        <f t="shared" si="6"/>
        <v>-5.2857515940699708E-5</v>
      </c>
      <c r="J21" s="15">
        <f t="shared" si="7"/>
        <v>-0.19988647579673086</v>
      </c>
      <c r="K21" s="12">
        <f t="shared" si="8"/>
        <v>-68.744355414822664</v>
      </c>
      <c r="L21" s="5">
        <f t="shared" si="9"/>
        <v>-89.979063461921839</v>
      </c>
      <c r="M21" s="5">
        <f t="shared" si="10"/>
        <v>26.353657629096801</v>
      </c>
      <c r="N21" s="5">
        <f t="shared" si="11"/>
        <v>87.241915987601104</v>
      </c>
      <c r="O21" s="5">
        <f t="shared" si="12"/>
        <v>-0.39783101765840745</v>
      </c>
      <c r="P21" s="15">
        <f t="shared" si="13"/>
        <v>-17.209156952094808</v>
      </c>
      <c r="Q21" s="5">
        <f t="shared" si="22"/>
        <v>-3.2911131508391096E-2</v>
      </c>
      <c r="R21" s="5">
        <f t="shared" si="23"/>
        <v>-4.9845687419598743</v>
      </c>
      <c r="S21" s="12">
        <f t="shared" si="14"/>
        <v>0.25956714409122583</v>
      </c>
      <c r="T21" s="5">
        <f t="shared" si="15"/>
        <v>13.937669267292851</v>
      </c>
      <c r="U21" s="5">
        <f t="shared" si="16"/>
        <v>-0.23266819594250837</v>
      </c>
      <c r="V21" s="15">
        <f t="shared" si="17"/>
        <v>-13.981776722581959</v>
      </c>
      <c r="W21" s="12">
        <v>0</v>
      </c>
      <c r="X21" s="15">
        <f t="shared" si="18"/>
        <v>-1.4380976271486159</v>
      </c>
      <c r="Y21" s="12">
        <f t="shared" si="24"/>
        <v>-1.5357442126543266E-4</v>
      </c>
      <c r="Z21" s="15">
        <f t="shared" si="25"/>
        <v>-0.34071294990980416</v>
      </c>
      <c r="AA21" s="5">
        <f t="shared" si="19"/>
        <v>-13.663477460457312</v>
      </c>
      <c r="AB21" s="5">
        <f t="shared" si="20"/>
        <v>67.937856845279029</v>
      </c>
      <c r="AC21" s="5">
        <f t="shared" si="26"/>
        <v>-14.06130847811572</v>
      </c>
      <c r="AD21" s="6">
        <f t="shared" si="27"/>
        <v>50.728699893184221</v>
      </c>
    </row>
    <row r="22" spans="1:30">
      <c r="A22" s="4">
        <v>2.9</v>
      </c>
      <c r="B22" s="19">
        <f t="shared" si="21"/>
        <v>7943.2823472428208</v>
      </c>
      <c r="C22" s="12">
        <f t="shared" si="0"/>
        <v>1.0764858234612535</v>
      </c>
      <c r="D22" s="5">
        <f t="shared" si="1"/>
        <v>-27.940181584384895</v>
      </c>
      <c r="E22" s="5">
        <f t="shared" si="2"/>
        <v>-33.050599504845941</v>
      </c>
      <c r="F22" s="5">
        <f t="shared" si="3"/>
        <v>-88.7246525427731</v>
      </c>
      <c r="G22" s="5">
        <f t="shared" si="4"/>
        <v>0.16641298160881923</v>
      </c>
      <c r="H22" s="5">
        <f t="shared" si="5"/>
        <v>11.179861563344964</v>
      </c>
      <c r="I22" s="5">
        <f t="shared" si="6"/>
        <v>-8.3773219009074764E-5</v>
      </c>
      <c r="J22" s="15">
        <f t="shared" si="7"/>
        <v>-0.25164156674032734</v>
      </c>
      <c r="K22" s="12">
        <f t="shared" si="8"/>
        <v>-70.744355200816969</v>
      </c>
      <c r="L22" s="5">
        <f t="shared" si="9"/>
        <v>-89.983369516393964</v>
      </c>
      <c r="M22" s="5">
        <f t="shared" si="10"/>
        <v>28.349945007104719</v>
      </c>
      <c r="N22" s="5">
        <f t="shared" si="11"/>
        <v>87.808551464188099</v>
      </c>
      <c r="O22" s="5">
        <f t="shared" si="12"/>
        <v>-0.61467539249895153</v>
      </c>
      <c r="P22" s="15">
        <f t="shared" si="13"/>
        <v>-21.301954377227201</v>
      </c>
      <c r="Q22" s="5">
        <f t="shared" si="22"/>
        <v>-5.2045660904162988E-2</v>
      </c>
      <c r="R22" s="5">
        <f t="shared" si="23"/>
        <v>-6.2659790782400488</v>
      </c>
      <c r="S22" s="12">
        <f t="shared" si="14"/>
        <v>0.40449308178000021</v>
      </c>
      <c r="T22" s="5">
        <f t="shared" si="15"/>
        <v>17.350425989038623</v>
      </c>
      <c r="U22" s="5">
        <f t="shared" si="16"/>
        <v>-0.36323186340357799</v>
      </c>
      <c r="V22" s="15">
        <f t="shared" si="17"/>
        <v>-17.435684479631966</v>
      </c>
      <c r="W22" s="12">
        <v>0</v>
      </c>
      <c r="X22" s="15">
        <f t="shared" si="18"/>
        <v>-1.8104576474582874</v>
      </c>
      <c r="Y22" s="12">
        <f t="shared" si="24"/>
        <v>-2.4339653776593397E-4</v>
      </c>
      <c r="Z22" s="15">
        <f t="shared" si="25"/>
        <v>-0.4289292336586128</v>
      </c>
      <c r="AA22" s="5">
        <f t="shared" si="19"/>
        <v>-15.243215868652578</v>
      </c>
      <c r="AB22" s="5">
        <f t="shared" si="20"/>
        <v>63.497943367290475</v>
      </c>
      <c r="AC22" s="5">
        <f t="shared" si="26"/>
        <v>-15.857891261151529</v>
      </c>
      <c r="AD22" s="6">
        <f t="shared" si="27"/>
        <v>42.19598899006327</v>
      </c>
    </row>
    <row r="23" spans="1:30">
      <c r="A23" s="4">
        <v>3</v>
      </c>
      <c r="B23" s="18">
        <f t="shared" si="21"/>
        <v>10000</v>
      </c>
      <c r="C23" s="12">
        <f t="shared" si="0"/>
        <v>1.6011421700036839</v>
      </c>
      <c r="D23" s="5">
        <f t="shared" si="1"/>
        <v>-33.730937776290205</v>
      </c>
      <c r="E23" s="5">
        <f t="shared" si="2"/>
        <v>-35.049805468049144</v>
      </c>
      <c r="F23" s="5">
        <f t="shared" si="3"/>
        <v>-88.986893760865314</v>
      </c>
      <c r="G23" s="5">
        <f t="shared" si="4"/>
        <v>0.26087087024966465</v>
      </c>
      <c r="H23" s="5">
        <f t="shared" si="5"/>
        <v>13.972277525588098</v>
      </c>
      <c r="I23" s="5">
        <f t="shared" si="6"/>
        <v>-1.3277085554423508E-4</v>
      </c>
      <c r="J23" s="15">
        <f t="shared" si="7"/>
        <v>-0.31679677164687409</v>
      </c>
      <c r="K23" s="12">
        <f t="shared" si="8"/>
        <v>-72.744355065788483</v>
      </c>
      <c r="L23" s="5">
        <f t="shared" si="9"/>
        <v>-89.986789937177704</v>
      </c>
      <c r="M23" s="5">
        <f t="shared" si="10"/>
        <v>30.347600866924815</v>
      </c>
      <c r="N23" s="5">
        <f t="shared" si="11"/>
        <v>88.258957284030004</v>
      </c>
      <c r="O23" s="5">
        <f t="shared" si="12"/>
        <v>-0.93760260843822274</v>
      </c>
      <c r="P23" s="15">
        <f t="shared" si="13"/>
        <v>-26.14568178752177</v>
      </c>
      <c r="Q23" s="5">
        <f t="shared" si="22"/>
        <v>-8.2200208034019451E-2</v>
      </c>
      <c r="R23" s="5">
        <f t="shared" si="23"/>
        <v>-7.8701265958336517</v>
      </c>
      <c r="S23" s="12">
        <f t="shared" si="14"/>
        <v>0.62471589375774927</v>
      </c>
      <c r="T23" s="5">
        <f t="shared" si="15"/>
        <v>21.471073927769854</v>
      </c>
      <c r="U23" s="5">
        <f t="shared" si="16"/>
        <v>-0.56249985072644271</v>
      </c>
      <c r="V23" s="15">
        <f t="shared" si="17"/>
        <v>-21.633166651034951</v>
      </c>
      <c r="W23" s="12">
        <v>0</v>
      </c>
      <c r="X23" s="15">
        <f t="shared" si="18"/>
        <v>-2.2792311393623219</v>
      </c>
      <c r="Y23" s="12">
        <f t="shared" si="24"/>
        <v>-3.8575119349709068E-4</v>
      </c>
      <c r="Z23" s="15">
        <f t="shared" si="25"/>
        <v>-0.53998401209295088</v>
      </c>
      <c r="AA23" s="5">
        <f t="shared" si="19"/>
        <v>-16.635042676591159</v>
      </c>
      <c r="AB23" s="5">
        <f t="shared" si="20"/>
        <v>58.358382093083968</v>
      </c>
      <c r="AC23" s="5">
        <f t="shared" si="26"/>
        <v>-17.572645285029381</v>
      </c>
      <c r="AD23" s="6">
        <f t="shared" si="27"/>
        <v>32.212700305562194</v>
      </c>
    </row>
    <row r="24" spans="1:30">
      <c r="A24" s="4">
        <v>3.1</v>
      </c>
      <c r="B24" s="19">
        <f t="shared" si="21"/>
        <v>12589.25411794168</v>
      </c>
      <c r="C24" s="12">
        <f t="shared" si="0"/>
        <v>2.3212589454717252</v>
      </c>
      <c r="D24" s="5">
        <f t="shared" si="1"/>
        <v>-40.049783197857352</v>
      </c>
      <c r="E24" s="5">
        <f t="shared" si="2"/>
        <v>-37.049304389992031</v>
      </c>
      <c r="F24" s="5">
        <f t="shared" si="3"/>
        <v>-89.195230158249103</v>
      </c>
      <c r="G24" s="5">
        <f t="shared" si="4"/>
        <v>0.40649137426522181</v>
      </c>
      <c r="H24" s="5">
        <f t="shared" si="5"/>
        <v>17.392561904505939</v>
      </c>
      <c r="I24" s="5">
        <f t="shared" si="6"/>
        <v>-2.104257438098808E-4</v>
      </c>
      <c r="J24" s="15">
        <f t="shared" si="7"/>
        <v>-0.39882112911416712</v>
      </c>
      <c r="K24" s="12">
        <f t="shared" si="8"/>
        <v>-74.744354980591282</v>
      </c>
      <c r="L24" s="5">
        <f t="shared" si="9"/>
        <v>-89.989506874049155</v>
      </c>
      <c r="M24" s="5">
        <f t="shared" si="10"/>
        <v>32.346121163175084</v>
      </c>
      <c r="N24" s="5">
        <f t="shared" si="11"/>
        <v>88.616883523434112</v>
      </c>
      <c r="O24" s="5">
        <f t="shared" si="12"/>
        <v>-1.4047884339312549</v>
      </c>
      <c r="P24" s="15">
        <f t="shared" si="13"/>
        <v>-31.715497810025006</v>
      </c>
      <c r="Q24" s="5">
        <f t="shared" si="22"/>
        <v>-0.12956716177017313</v>
      </c>
      <c r="R24" s="5">
        <f t="shared" si="23"/>
        <v>-9.8718305101423525</v>
      </c>
      <c r="S24" s="12">
        <f t="shared" si="14"/>
        <v>0.95236736694601143</v>
      </c>
      <c r="T24" s="5">
        <f t="shared" si="15"/>
        <v>26.343226364159168</v>
      </c>
      <c r="U24" s="5">
        <f t="shared" si="16"/>
        <v>-0.86084115320757648</v>
      </c>
      <c r="V24" s="15">
        <f t="shared" si="17"/>
        <v>-26.644156234065811</v>
      </c>
      <c r="W24" s="12">
        <v>0</v>
      </c>
      <c r="X24" s="15">
        <f t="shared" si="18"/>
        <v>-2.869382000695802</v>
      </c>
      <c r="Y24" s="12">
        <f t="shared" si="24"/>
        <v>-6.1135856061658679E-4</v>
      </c>
      <c r="Z24" s="15">
        <f t="shared" si="25"/>
        <v>-0.67978782329471155</v>
      </c>
      <c r="AA24" s="5">
        <f t="shared" si="19"/>
        <v>-17.788643982887386</v>
      </c>
      <c r="AB24" s="5">
        <f t="shared" si="20"/>
        <v>52.654173864630771</v>
      </c>
      <c r="AC24" s="5">
        <f t="shared" si="26"/>
        <v>-19.193432416818641</v>
      </c>
      <c r="AD24" s="6">
        <f t="shared" si="27"/>
        <v>20.938676054605764</v>
      </c>
    </row>
    <row r="25" spans="1:30">
      <c r="A25" s="4">
        <v>3.2</v>
      </c>
      <c r="B25" s="19">
        <f t="shared" si="21"/>
        <v>15848.931924611155</v>
      </c>
      <c r="C25" s="12">
        <f t="shared" si="0"/>
        <v>3.2630495047203101</v>
      </c>
      <c r="D25" s="5">
        <f t="shared" si="1"/>
        <v>-46.620519112508077</v>
      </c>
      <c r="E25" s="5">
        <f t="shared" si="2"/>
        <v>-39.048988201362434</v>
      </c>
      <c r="F25" s="5">
        <f t="shared" si="3"/>
        <v>-89.360733078129272</v>
      </c>
      <c r="G25" s="5">
        <f t="shared" si="4"/>
        <v>0.62772603016777462</v>
      </c>
      <c r="H25" s="5">
        <f t="shared" si="5"/>
        <v>21.521491227004596</v>
      </c>
      <c r="I25" s="5">
        <f t="shared" si="6"/>
        <v>-3.3349760341408582E-4</v>
      </c>
      <c r="J25" s="15">
        <f t="shared" si="7"/>
        <v>-0.50208131142280743</v>
      </c>
      <c r="K25" s="12">
        <f t="shared" si="8"/>
        <v>-76.744354926835484</v>
      </c>
      <c r="L25" s="5">
        <f t="shared" si="9"/>
        <v>-89.991665013752339</v>
      </c>
      <c r="M25" s="5">
        <f t="shared" si="10"/>
        <v>34.34518727375518</v>
      </c>
      <c r="N25" s="5">
        <f t="shared" si="11"/>
        <v>88.901272773286124</v>
      </c>
      <c r="O25" s="5">
        <f t="shared" si="12"/>
        <v>-2.055513194471982</v>
      </c>
      <c r="P25" s="15">
        <f t="shared" si="13"/>
        <v>-37.882868779757281</v>
      </c>
      <c r="Q25" s="5">
        <f t="shared" si="22"/>
        <v>-0.20359627491361529</v>
      </c>
      <c r="R25" s="5">
        <f t="shared" si="23"/>
        <v>-12.357125151353884</v>
      </c>
      <c r="S25" s="12">
        <f t="shared" si="14"/>
        <v>1.4257873001250014</v>
      </c>
      <c r="T25" s="5">
        <f t="shared" si="15"/>
        <v>31.938667423320322</v>
      </c>
      <c r="U25" s="5">
        <f t="shared" si="16"/>
        <v>-1.2956347806631154</v>
      </c>
      <c r="V25" s="15">
        <f t="shared" si="17"/>
        <v>-32.479495303562885</v>
      </c>
      <c r="W25" s="12">
        <v>0</v>
      </c>
      <c r="X25" s="15">
        <f t="shared" si="18"/>
        <v>-3.6123379168207355</v>
      </c>
      <c r="Y25" s="12">
        <f t="shared" si="24"/>
        <v>-9.6889813583300581E-4</v>
      </c>
      <c r="Z25" s="15">
        <f t="shared" si="25"/>
        <v>-0.85577868005241375</v>
      </c>
      <c r="AA25" s="5">
        <f t="shared" si="19"/>
        <v>-18.662119833625564</v>
      </c>
      <c r="AB25" s="5">
        <f t="shared" si="20"/>
        <v>46.581695856008615</v>
      </c>
      <c r="AC25" s="5">
        <f t="shared" si="26"/>
        <v>-20.717633028097545</v>
      </c>
      <c r="AD25" s="6">
        <f t="shared" si="27"/>
        <v>8.6988270762513338</v>
      </c>
    </row>
    <row r="26" spans="1:30">
      <c r="A26" s="4">
        <v>3.3</v>
      </c>
      <c r="B26" s="19">
        <f t="shared" si="21"/>
        <v>19952.623149688803</v>
      </c>
      <c r="C26" s="12">
        <f t="shared" si="0"/>
        <v>4.4323814063587061</v>
      </c>
      <c r="D26" s="5">
        <f t="shared" si="1"/>
        <v>-53.107367041954589</v>
      </c>
      <c r="E26" s="5">
        <f t="shared" si="2"/>
        <v>-41.048788687979076</v>
      </c>
      <c r="F26" s="5">
        <f t="shared" si="3"/>
        <v>-89.492204458403208</v>
      </c>
      <c r="G26" s="5">
        <f t="shared" si="4"/>
        <v>0.95679070731904048</v>
      </c>
      <c r="H26" s="5">
        <f t="shared" si="5"/>
        <v>26.402076001434445</v>
      </c>
      <c r="I26" s="5">
        <f t="shared" si="6"/>
        <v>-5.285462120961685E-4</v>
      </c>
      <c r="J26" s="15">
        <f t="shared" si="7"/>
        <v>-0.63207345906388268</v>
      </c>
      <c r="K26" s="12">
        <f t="shared" si="8"/>
        <v>-78.744354892917855</v>
      </c>
      <c r="L26" s="5">
        <f t="shared" si="9"/>
        <v>-89.993379285070205</v>
      </c>
      <c r="M26" s="5">
        <f t="shared" si="10"/>
        <v>36.344597926021713</v>
      </c>
      <c r="N26" s="5">
        <f t="shared" si="11"/>
        <v>89.127210461016958</v>
      </c>
      <c r="O26" s="5">
        <f t="shared" si="12"/>
        <v>-2.9210253983218388</v>
      </c>
      <c r="P26" s="15">
        <f t="shared" si="13"/>
        <v>-44.404970308687076</v>
      </c>
      <c r="Q26" s="5">
        <f t="shared" si="22"/>
        <v>-0.31839935762967708</v>
      </c>
      <c r="R26" s="5">
        <f t="shared" si="23"/>
        <v>-15.419136699584552</v>
      </c>
      <c r="S26" s="12">
        <f t="shared" si="14"/>
        <v>2.0841379451638131</v>
      </c>
      <c r="T26" s="5">
        <f t="shared" si="15"/>
        <v>38.124515819904452</v>
      </c>
      <c r="U26" s="5">
        <f t="shared" si="16"/>
        <v>-1.9070104517347022</v>
      </c>
      <c r="V26" s="15">
        <f t="shared" si="17"/>
        <v>-39.056879772230012</v>
      </c>
      <c r="W26" s="12">
        <v>0</v>
      </c>
      <c r="X26" s="15">
        <f t="shared" si="18"/>
        <v>-4.5476639994732251</v>
      </c>
      <c r="Y26" s="12">
        <f t="shared" si="24"/>
        <v>-1.5354998871882511E-3</v>
      </c>
      <c r="Z26" s="15">
        <f t="shared" si="25"/>
        <v>-1.0773146737951071</v>
      </c>
      <c r="AA26" s="5">
        <f t="shared" si="19"/>
        <v>-19.232702814377266</v>
      </c>
      <c r="AB26" s="5">
        <f t="shared" si="20"/>
        <v>40.327782892781066</v>
      </c>
      <c r="AC26" s="5">
        <f t="shared" si="26"/>
        <v>-22.153728212699104</v>
      </c>
      <c r="AD26" s="6">
        <f t="shared" si="27"/>
        <v>-4.0771874159060104</v>
      </c>
    </row>
    <row r="27" spans="1:30">
      <c r="A27" s="4">
        <v>3.4</v>
      </c>
      <c r="B27" s="19">
        <f t="shared" si="21"/>
        <v>25118.864315095812</v>
      </c>
      <c r="C27" s="12">
        <f t="shared" si="0"/>
        <v>5.8125926528171448</v>
      </c>
      <c r="D27" s="5">
        <f t="shared" si="1"/>
        <v>-59.194962388931458</v>
      </c>
      <c r="E27" s="5">
        <f t="shared" si="2"/>
        <v>-43.048662798828374</v>
      </c>
      <c r="F27" s="5">
        <f t="shared" si="3"/>
        <v>-89.596639766420594</v>
      </c>
      <c r="G27" s="5">
        <f t="shared" si="4"/>
        <v>1.4320724444773212</v>
      </c>
      <c r="H27" s="5">
        <f t="shared" si="5"/>
        <v>32.005088930769688</v>
      </c>
      <c r="I27" s="5">
        <f t="shared" si="6"/>
        <v>-8.3765948152937793E-4</v>
      </c>
      <c r="J27" s="15">
        <f t="shared" si="7"/>
        <v>-0.79571446053590977</v>
      </c>
      <c r="K27" s="12">
        <f t="shared" si="8"/>
        <v>-80.744354871517288</v>
      </c>
      <c r="L27" s="5">
        <f t="shared" si="9"/>
        <v>-89.994740979188563</v>
      </c>
      <c r="M27" s="5">
        <f t="shared" si="10"/>
        <v>38.344226031586459</v>
      </c>
      <c r="N27" s="5">
        <f t="shared" si="11"/>
        <v>89.306698836441257</v>
      </c>
      <c r="O27" s="5">
        <f t="shared" si="12"/>
        <v>-4.0146938297677917</v>
      </c>
      <c r="P27" s="15">
        <f t="shared" si="13"/>
        <v>-50.957928950142566</v>
      </c>
      <c r="Q27" s="5">
        <f t="shared" si="22"/>
        <v>-0.49435315656678225</v>
      </c>
      <c r="R27" s="5">
        <f t="shared" si="23"/>
        <v>-19.147934569609838</v>
      </c>
      <c r="S27" s="12">
        <f t="shared" si="14"/>
        <v>2.9581587819233728</v>
      </c>
      <c r="T27" s="5">
        <f t="shared" si="15"/>
        <v>44.653973496748613</v>
      </c>
      <c r="U27" s="5">
        <f t="shared" si="16"/>
        <v>-2.7295039642080154</v>
      </c>
      <c r="V27" s="15">
        <f t="shared" si="17"/>
        <v>-46.184328645171057</v>
      </c>
      <c r="W27" s="12">
        <v>0</v>
      </c>
      <c r="X27" s="15">
        <f t="shared" si="18"/>
        <v>-5.7251697732383393</v>
      </c>
      <c r="Y27" s="12">
        <f t="shared" si="24"/>
        <v>-2.4333517528940802E-3</v>
      </c>
      <c r="Z27" s="15">
        <f t="shared" si="25"/>
        <v>-1.3561653534395415</v>
      </c>
      <c r="AA27" s="5">
        <f t="shared" si="19"/>
        <v>-19.503089254430524</v>
      </c>
      <c r="AB27" s="5">
        <f t="shared" si="20"/>
        <v>33.970105327424257</v>
      </c>
      <c r="AC27" s="5">
        <f t="shared" si="26"/>
        <v>-23.517783084198314</v>
      </c>
      <c r="AD27" s="6">
        <f t="shared" si="27"/>
        <v>-16.987823622718309</v>
      </c>
    </row>
    <row r="28" spans="1:30">
      <c r="A28" s="4">
        <v>3.5</v>
      </c>
      <c r="B28" s="19">
        <f t="shared" si="21"/>
        <v>31622.776601683803</v>
      </c>
      <c r="C28" s="12">
        <f t="shared" si="0"/>
        <v>7.3704941585253589</v>
      </c>
      <c r="D28" s="5">
        <f t="shared" si="1"/>
        <v>-64.657328523174854</v>
      </c>
      <c r="E28" s="5">
        <f t="shared" si="2"/>
        <v>-45.048583366266506</v>
      </c>
      <c r="F28" s="5">
        <f t="shared" si="3"/>
        <v>-89.679597624309352</v>
      </c>
      <c r="G28" s="5">
        <f t="shared" si="4"/>
        <v>2.0926958316716036</v>
      </c>
      <c r="H28" s="5">
        <f t="shared" si="5"/>
        <v>38.196354780926363</v>
      </c>
      <c r="I28" s="5">
        <f t="shared" si="6"/>
        <v>-1.3275259349011135E-3</v>
      </c>
      <c r="J28" s="15">
        <f t="shared" si="7"/>
        <v>-1.0017074901017913</v>
      </c>
      <c r="K28" s="12">
        <f t="shared" si="8"/>
        <v>-82.744354858014418</v>
      </c>
      <c r="L28" s="5">
        <f t="shared" si="9"/>
        <v>-89.995822611278157</v>
      </c>
      <c r="M28" s="5">
        <f t="shared" si="10"/>
        <v>40.343991365674306</v>
      </c>
      <c r="N28" s="5">
        <f t="shared" si="11"/>
        <v>89.449281391405535</v>
      </c>
      <c r="O28" s="5">
        <f t="shared" si="12"/>
        <v>-5.3271245044920388</v>
      </c>
      <c r="P28" s="15">
        <f t="shared" si="13"/>
        <v>-57.210340301424608</v>
      </c>
      <c r="Q28" s="5">
        <f t="shared" si="22"/>
        <v>-0.75939306477023416</v>
      </c>
      <c r="R28" s="5">
        <f t="shared" si="23"/>
        <v>-23.611191258808496</v>
      </c>
      <c r="S28" s="12">
        <f t="shared" si="14"/>
        <v>4.0603993223843915</v>
      </c>
      <c r="T28" s="5">
        <f t="shared" si="15"/>
        <v>51.201378736991217</v>
      </c>
      <c r="U28" s="5">
        <f t="shared" si="16"/>
        <v>-3.7820576003044613</v>
      </c>
      <c r="V28" s="15">
        <f t="shared" si="17"/>
        <v>-53.584390016687067</v>
      </c>
      <c r="W28" s="12">
        <v>0</v>
      </c>
      <c r="X28" s="15">
        <f t="shared" si="18"/>
        <v>-7.2075617143655943</v>
      </c>
      <c r="Y28" s="12">
        <f t="shared" si="24"/>
        <v>-3.8559709495343516E-3</v>
      </c>
      <c r="Z28" s="15">
        <f t="shared" si="25"/>
        <v>-1.7071245968306352</v>
      </c>
      <c r="AA28" s="5">
        <f t="shared" si="19"/>
        <v>-19.501985070864329</v>
      </c>
      <c r="AB28" s="5">
        <f t="shared" si="20"/>
        <v>27.402291073767149</v>
      </c>
      <c r="AC28" s="5">
        <f t="shared" si="26"/>
        <v>-24.82910957535637</v>
      </c>
      <c r="AD28" s="6">
        <f t="shared" si="27"/>
        <v>-29.80804922765746</v>
      </c>
    </row>
    <row r="29" spans="1:30">
      <c r="A29" s="4">
        <v>3.6</v>
      </c>
      <c r="B29" s="19">
        <f t="shared" si="21"/>
        <v>39810.717055349771</v>
      </c>
      <c r="C29" s="12">
        <f t="shared" si="0"/>
        <v>9.0664584705723019</v>
      </c>
      <c r="D29" s="5">
        <f t="shared" si="1"/>
        <v>-69.38363710439107</v>
      </c>
      <c r="E29" s="5">
        <f t="shared" si="2"/>
        <v>-47.048533246960673</v>
      </c>
      <c r="F29" s="5">
        <f t="shared" si="3"/>
        <v>-89.745494367482763</v>
      </c>
      <c r="G29" s="5">
        <f t="shared" si="4"/>
        <v>2.9692463909972489</v>
      </c>
      <c r="H29" s="5">
        <f t="shared" si="5"/>
        <v>44.727905330728966</v>
      </c>
      <c r="I29" s="5">
        <f t="shared" si="6"/>
        <v>-2.103798776157705E-3</v>
      </c>
      <c r="J29" s="15">
        <f t="shared" si="7"/>
        <v>-1.2609998764646155</v>
      </c>
      <c r="K29" s="12">
        <f t="shared" si="8"/>
        <v>-84.744354849494698</v>
      </c>
      <c r="L29" s="5">
        <f t="shared" si="9"/>
        <v>-89.996681782188645</v>
      </c>
      <c r="M29" s="5">
        <f t="shared" si="10"/>
        <v>42.343843294969062</v>
      </c>
      <c r="N29" s="5">
        <f t="shared" si="11"/>
        <v>89.562543688159764</v>
      </c>
      <c r="O29" s="5">
        <f t="shared" si="12"/>
        <v>-6.829633111791261</v>
      </c>
      <c r="P29" s="15">
        <f t="shared" si="13"/>
        <v>-62.900867596497136</v>
      </c>
      <c r="Q29" s="5">
        <f t="shared" si="22"/>
        <v>-1.1488919197553591</v>
      </c>
      <c r="R29" s="5">
        <f t="shared" si="23"/>
        <v>-28.824157997824511</v>
      </c>
      <c r="S29" s="12">
        <f t="shared" si="14"/>
        <v>5.3806221878008467</v>
      </c>
      <c r="T29" s="5">
        <f t="shared" si="15"/>
        <v>57.436688240465173</v>
      </c>
      <c r="U29" s="5">
        <f t="shared" si="16"/>
        <v>-5.0618418530133553</v>
      </c>
      <c r="V29" s="15">
        <f t="shared" si="17"/>
        <v>-60.962626285703365</v>
      </c>
      <c r="W29" s="12">
        <v>0</v>
      </c>
      <c r="X29" s="15">
        <f t="shared" si="18"/>
        <v>-9.0737825992895882</v>
      </c>
      <c r="Y29" s="12">
        <f t="shared" si="24"/>
        <v>-6.1097162988863829E-3</v>
      </c>
      <c r="Z29" s="15">
        <f t="shared" si="25"/>
        <v>-2.1487707497674631</v>
      </c>
      <c r="AA29" s="5">
        <f t="shared" si="19"/>
        <v>-19.281658402839614</v>
      </c>
      <c r="AB29" s="5">
        <f t="shared" si="20"/>
        <v>20.330986496241863</v>
      </c>
      <c r="AC29" s="5">
        <f t="shared" si="26"/>
        <v>-26.111291514630874</v>
      </c>
      <c r="AD29" s="6">
        <f t="shared" si="27"/>
        <v>-42.569881100255273</v>
      </c>
    </row>
    <row r="30" spans="1:30">
      <c r="A30" s="4">
        <v>3.7</v>
      </c>
      <c r="B30" s="19">
        <f t="shared" si="21"/>
        <v>50118.723362727324</v>
      </c>
      <c r="C30" s="12">
        <f t="shared" si="0"/>
        <v>10.863061160118869</v>
      </c>
      <c r="D30" s="5">
        <f t="shared" si="1"/>
        <v>-73.362419511030012</v>
      </c>
      <c r="E30" s="5">
        <f t="shared" si="2"/>
        <v>-49.048501623518952</v>
      </c>
      <c r="F30" s="5">
        <f t="shared" si="3"/>
        <v>-89.79783849951059</v>
      </c>
      <c r="G30" s="5">
        <f t="shared" si="4"/>
        <v>4.074029034590648</v>
      </c>
      <c r="H30" s="5">
        <f t="shared" si="5"/>
        <v>51.273569281038881</v>
      </c>
      <c r="I30" s="5">
        <f t="shared" si="6"/>
        <v>-3.3338241667466451E-3</v>
      </c>
      <c r="J30" s="15">
        <f t="shared" si="7"/>
        <v>-1.5873549102633131</v>
      </c>
      <c r="K30" s="12">
        <f t="shared" si="8"/>
        <v>-86.744354844119144</v>
      </c>
      <c r="L30" s="5">
        <f t="shared" si="9"/>
        <v>-89.997364245902389</v>
      </c>
      <c r="M30" s="5">
        <f t="shared" si="10"/>
        <v>44.343749866072457</v>
      </c>
      <c r="N30" s="5">
        <f t="shared" si="11"/>
        <v>89.652513608238522</v>
      </c>
      <c r="O30" s="5">
        <f t="shared" si="12"/>
        <v>-8.4836276240951687</v>
      </c>
      <c r="P30" s="15">
        <f t="shared" si="13"/>
        <v>-67.880071532668964</v>
      </c>
      <c r="Q30" s="5">
        <f t="shared" si="22"/>
        <v>-1.7024999496285151</v>
      </c>
      <c r="R30" s="5">
        <f t="shared" si="23"/>
        <v>-34.713888015181389</v>
      </c>
      <c r="S30" s="12">
        <f t="shared" si="14"/>
        <v>6.8895792197809245</v>
      </c>
      <c r="T30" s="5">
        <f t="shared" si="15"/>
        <v>63.102334182848118</v>
      </c>
      <c r="U30" s="5">
        <f t="shared" si="16"/>
        <v>-6.546279413588576</v>
      </c>
      <c r="V30" s="15">
        <f t="shared" si="17"/>
        <v>-68.089793838664022</v>
      </c>
      <c r="W30" s="12">
        <v>0</v>
      </c>
      <c r="X30" s="15">
        <f t="shared" si="18"/>
        <v>-11.423215495341401</v>
      </c>
      <c r="Y30" s="12">
        <f t="shared" si="24"/>
        <v>-9.6792679566549498E-3</v>
      </c>
      <c r="Z30" s="15">
        <f t="shared" si="25"/>
        <v>-2.7044008864695801</v>
      </c>
      <c r="AA30" s="5">
        <f t="shared" si="19"/>
        <v>-18.914223005295629</v>
      </c>
      <c r="AB30" s="5">
        <f t="shared" si="20"/>
        <v>12.35214166976283</v>
      </c>
      <c r="AC30" s="5">
        <f t="shared" si="26"/>
        <v>-27.397850629390796</v>
      </c>
      <c r="AD30" s="6">
        <f t="shared" si="27"/>
        <v>-55.527929862906134</v>
      </c>
    </row>
    <row r="31" spans="1:30">
      <c r="A31" s="4">
        <v>3.8</v>
      </c>
      <c r="B31" s="19">
        <f t="shared" si="21"/>
        <v>63095.734448019386</v>
      </c>
      <c r="C31" s="12">
        <f t="shared" si="0"/>
        <v>12.7296449826101</v>
      </c>
      <c r="D31" s="5">
        <f t="shared" si="1"/>
        <v>-76.646998095117851</v>
      </c>
      <c r="E31" s="5">
        <f t="shared" si="2"/>
        <v>-51.048481670357653</v>
      </c>
      <c r="F31" s="5">
        <f t="shared" si="3"/>
        <v>-89.839417166260432</v>
      </c>
      <c r="G31" s="5">
        <f t="shared" si="4"/>
        <v>5.3965570779863565</v>
      </c>
      <c r="H31" s="5">
        <f t="shared" si="5"/>
        <v>57.503729590853609</v>
      </c>
      <c r="I31" s="5">
        <f t="shared" si="6"/>
        <v>-5.2825697130046015E-3</v>
      </c>
      <c r="J31" s="15">
        <f t="shared" si="7"/>
        <v>-1.9980625184784517</v>
      </c>
      <c r="K31" s="12">
        <f t="shared" si="8"/>
        <v>-88.744354840727368</v>
      </c>
      <c r="L31" s="5">
        <f t="shared" si="9"/>
        <v>-89.997906346099938</v>
      </c>
      <c r="M31" s="5">
        <f t="shared" si="10"/>
        <v>46.343690915389757</v>
      </c>
      <c r="N31" s="5">
        <f t="shared" si="11"/>
        <v>89.723980498952528</v>
      </c>
      <c r="O31" s="5">
        <f t="shared" si="12"/>
        <v>-10.250219341666437</v>
      </c>
      <c r="P31" s="15">
        <f t="shared" si="13"/>
        <v>-72.106541137537661</v>
      </c>
      <c r="Q31" s="5">
        <f t="shared" si="22"/>
        <v>-2.4568177055581373</v>
      </c>
      <c r="R31" s="5">
        <f t="shared" si="23"/>
        <v>-41.094052585212204</v>
      </c>
      <c r="S31" s="12">
        <f t="shared" si="14"/>
        <v>8.5485081303002488</v>
      </c>
      <c r="T31" s="5">
        <f t="shared" si="15"/>
        <v>68.053275016491853</v>
      </c>
      <c r="U31" s="5">
        <f t="shared" si="16"/>
        <v>-8.2021326686791021</v>
      </c>
      <c r="V31" s="15">
        <f t="shared" si="17"/>
        <v>-74.854892351730683</v>
      </c>
      <c r="W31" s="12">
        <v>0</v>
      </c>
      <c r="X31" s="15">
        <f t="shared" si="18"/>
        <v>-14.380976271486171</v>
      </c>
      <c r="Y31" s="12">
        <f t="shared" si="24"/>
        <v>-1.5330623196755964E-2</v>
      </c>
      <c r="Z31" s="15">
        <f t="shared" si="25"/>
        <v>-3.4031619653639114</v>
      </c>
      <c r="AA31" s="5">
        <f t="shared" si="19"/>
        <v>-18.483992334825494</v>
      </c>
      <c r="AB31" s="5">
        <f t="shared" si="20"/>
        <v>3.0655178065483435</v>
      </c>
      <c r="AC31" s="5">
        <f t="shared" si="26"/>
        <v>-28.734211676491931</v>
      </c>
      <c r="AD31" s="6">
        <f t="shared" si="27"/>
        <v>-69.041023330989319</v>
      </c>
    </row>
    <row r="32" spans="1:30">
      <c r="A32" s="4">
        <v>3.9</v>
      </c>
      <c r="B32" s="19">
        <f t="shared" si="21"/>
        <v>79432.82347242815</v>
      </c>
      <c r="C32" s="12">
        <f t="shared" si="0"/>
        <v>14.643306150545678</v>
      </c>
      <c r="D32" s="5">
        <f t="shared" si="1"/>
        <v>-79.322389570050987</v>
      </c>
      <c r="E32" s="5">
        <f t="shared" si="2"/>
        <v>-53.048469080716814</v>
      </c>
      <c r="F32" s="5">
        <f t="shared" si="3"/>
        <v>-89.872444397892806</v>
      </c>
      <c r="G32" s="5">
        <f t="shared" si="4"/>
        <v>6.9074177114523909</v>
      </c>
      <c r="H32" s="5">
        <f t="shared" si="5"/>
        <v>63.161948675126006</v>
      </c>
      <c r="I32" s="5">
        <f t="shared" si="6"/>
        <v>-8.3693332022011895E-3</v>
      </c>
      <c r="J32" s="15">
        <f t="shared" si="7"/>
        <v>-2.514815678665919</v>
      </c>
      <c r="K32" s="12">
        <f t="shared" si="8"/>
        <v>-90.744354838587299</v>
      </c>
      <c r="L32" s="5">
        <f t="shared" si="9"/>
        <v>-89.998336951593174</v>
      </c>
      <c r="M32" s="5">
        <f t="shared" si="10"/>
        <v>48.343653719611822</v>
      </c>
      <c r="N32" s="5">
        <f t="shared" si="11"/>
        <v>89.780749291048011</v>
      </c>
      <c r="O32" s="5">
        <f t="shared" si="12"/>
        <v>-12.096220976871241</v>
      </c>
      <c r="P32" s="15">
        <f t="shared" si="13"/>
        <v>-75.615883403671219</v>
      </c>
      <c r="Q32" s="5">
        <f t="shared" si="22"/>
        <v>-3.4352776927370501</v>
      </c>
      <c r="R32" s="5">
        <f t="shared" si="23"/>
        <v>-47.674421686569886</v>
      </c>
      <c r="S32" s="12">
        <f t="shared" si="14"/>
        <v>10.318654123875486</v>
      </c>
      <c r="T32" s="5">
        <f t="shared" si="15"/>
        <v>72.251658554835927</v>
      </c>
      <c r="U32" s="5">
        <f t="shared" si="16"/>
        <v>-9.996279435669102</v>
      </c>
      <c r="V32" s="15">
        <f t="shared" si="17"/>
        <v>-81.270944574141282</v>
      </c>
      <c r="W32" s="12">
        <v>0</v>
      </c>
      <c r="X32" s="15">
        <f t="shared" si="18"/>
        <v>-18.104576474582856</v>
      </c>
      <c r="Y32" s="12">
        <f t="shared" si="24"/>
        <v>-2.4272381071907167E-2</v>
      </c>
      <c r="Z32" s="15">
        <f t="shared" si="25"/>
        <v>-4.281385945012568</v>
      </c>
      <c r="AA32" s="5">
        <f t="shared" si="19"/>
        <v>-18.073984419378935</v>
      </c>
      <c r="AB32" s="5">
        <f t="shared" si="20"/>
        <v>-7.8449587574995352</v>
      </c>
      <c r="AC32" s="5">
        <f t="shared" si="26"/>
        <v>-30.170205396250175</v>
      </c>
      <c r="AD32" s="6">
        <f t="shared" si="27"/>
        <v>-83.46084216117076</v>
      </c>
    </row>
    <row r="33" spans="1:30">
      <c r="A33" s="4">
        <v>4</v>
      </c>
      <c r="B33" s="18">
        <f t="shared" si="21"/>
        <v>100000</v>
      </c>
      <c r="C33" s="12">
        <f t="shared" si="0"/>
        <v>16.587933417723459</v>
      </c>
      <c r="D33" s="5">
        <f t="shared" si="1"/>
        <v>-81.482211492231386</v>
      </c>
      <c r="E33" s="5">
        <f t="shared" si="2"/>
        <v>-55.048461137171685</v>
      </c>
      <c r="F33" s="5">
        <f t="shared" si="3"/>
        <v>-89.898678921974565</v>
      </c>
      <c r="G33" s="5">
        <f t="shared" si="4"/>
        <v>8.5678008066116842</v>
      </c>
      <c r="H33" s="5">
        <f t="shared" si="5"/>
        <v>68.104488725404451</v>
      </c>
      <c r="I33" s="5">
        <f t="shared" si="6"/>
        <v>-1.3257034057714438E-2</v>
      </c>
      <c r="J33" s="15">
        <f t="shared" si="7"/>
        <v>-3.1647774967126758</v>
      </c>
      <c r="K33" s="12">
        <f t="shared" si="8"/>
        <v>-92.744354837237012</v>
      </c>
      <c r="L33" s="5">
        <f t="shared" si="9"/>
        <v>-89.998678993694611</v>
      </c>
      <c r="M33" s="5">
        <f t="shared" si="10"/>
        <v>50.343630250498634</v>
      </c>
      <c r="N33" s="5">
        <f t="shared" si="11"/>
        <v>89.825842657682628</v>
      </c>
      <c r="O33" s="5">
        <f t="shared" si="12"/>
        <v>-13.996167578127105</v>
      </c>
      <c r="P33" s="15">
        <f t="shared" si="13"/>
        <v>-78.485595521002523</v>
      </c>
      <c r="Q33" s="5">
        <f t="shared" si="22"/>
        <v>-4.6400571362863383</v>
      </c>
      <c r="R33" s="5">
        <f t="shared" si="23"/>
        <v>-54.116835785734267</v>
      </c>
      <c r="S33" s="12">
        <f t="shared" si="14"/>
        <v>12.167105903024449</v>
      </c>
      <c r="T33" s="5">
        <f t="shared" si="15"/>
        <v>75.735281312304636</v>
      </c>
      <c r="U33" s="5">
        <f t="shared" si="16"/>
        <v>-11.903711237206092</v>
      </c>
      <c r="V33" s="15">
        <f t="shared" si="17"/>
        <v>-87.446748116449356</v>
      </c>
      <c r="W33" s="12">
        <v>0</v>
      </c>
      <c r="X33" s="15">
        <f t="shared" si="18"/>
        <v>-22.792311393623219</v>
      </c>
      <c r="Y33" s="12">
        <f t="shared" si="24"/>
        <v>-3.8406508311962344E-2</v>
      </c>
      <c r="Z33" s="15">
        <f t="shared" si="25"/>
        <v>-5.3840959173935685</v>
      </c>
      <c r="AA33" s="5">
        <f t="shared" si="19"/>
        <v>-17.751770875292515</v>
      </c>
      <c r="AB33" s="5">
        <f t="shared" si="20"/>
        <v>-20.618725422421946</v>
      </c>
      <c r="AC33" s="5">
        <f t="shared" si="26"/>
        <v>-31.747938453419621</v>
      </c>
      <c r="AD33" s="6">
        <f t="shared" si="27"/>
        <v>-99.104320943424469</v>
      </c>
    </row>
    <row r="34" spans="1:30">
      <c r="A34" s="4">
        <v>4.0999999999999996</v>
      </c>
      <c r="B34" s="19">
        <f t="shared" si="21"/>
        <v>125892.54117941672</v>
      </c>
      <c r="C34" s="12">
        <f t="shared" si="0"/>
        <v>18.552628795272732</v>
      </c>
      <c r="D34" s="5">
        <f t="shared" si="1"/>
        <v>-83.215677022537108</v>
      </c>
      <c r="E34" s="5">
        <f t="shared" si="2"/>
        <v>-57.048456125126066</v>
      </c>
      <c r="F34" s="5">
        <f t="shared" si="3"/>
        <v>-89.919517775991082</v>
      </c>
      <c r="G34" s="5">
        <f t="shared" si="4"/>
        <v>10.338992933537847</v>
      </c>
      <c r="H34" s="5">
        <f t="shared" si="5"/>
        <v>72.294544926543324</v>
      </c>
      <c r="I34" s="5">
        <f t="shared" si="6"/>
        <v>-2.0992267707378012E-2</v>
      </c>
      <c r="J34" s="15">
        <f t="shared" si="7"/>
        <v>-3.9818528373824287</v>
      </c>
      <c r="K34" s="12">
        <f t="shared" si="8"/>
        <v>-94.744354836385043</v>
      </c>
      <c r="L34" s="5">
        <f t="shared" si="9"/>
        <v>-89.998950687393304</v>
      </c>
      <c r="M34" s="5">
        <f t="shared" si="10"/>
        <v>52.343615442424039</v>
      </c>
      <c r="N34" s="5">
        <f t="shared" si="11"/>
        <v>89.861661748482746</v>
      </c>
      <c r="O34" s="5">
        <f t="shared" si="12"/>
        <v>-15.931831146326674</v>
      </c>
      <c r="P34" s="15">
        <f t="shared" si="13"/>
        <v>-80.808306590243987</v>
      </c>
      <c r="Q34" s="5">
        <f t="shared" si="22"/>
        <v>-6.0512646860105228</v>
      </c>
      <c r="R34" s="5">
        <f t="shared" si="23"/>
        <v>-60.116510881720551</v>
      </c>
      <c r="S34" s="12">
        <f t="shared" si="14"/>
        <v>14.068690800228401</v>
      </c>
      <c r="T34" s="5">
        <f t="shared" si="15"/>
        <v>78.582628650439531</v>
      </c>
      <c r="U34" s="5">
        <f t="shared" si="16"/>
        <v>-13.91173637722741</v>
      </c>
      <c r="V34" s="15">
        <f t="shared" si="17"/>
        <v>-93.546740461969122</v>
      </c>
      <c r="W34" s="12">
        <v>0</v>
      </c>
      <c r="X34" s="15">
        <f t="shared" si="18"/>
        <v>-28.693820006957999</v>
      </c>
      <c r="Y34" s="12">
        <f t="shared" si="24"/>
        <v>-6.071378943837262E-2</v>
      </c>
      <c r="Z34" s="15">
        <f t="shared" si="25"/>
        <v>-6.7665622434197772</v>
      </c>
      <c r="AA34" s="5">
        <f t="shared" si="19"/>
        <v>-17.563583473311709</v>
      </c>
      <c r="AB34" s="5">
        <f t="shared" si="20"/>
        <v>-35.500796591905754</v>
      </c>
      <c r="AC34" s="5">
        <f t="shared" si="26"/>
        <v>-33.495414619638382</v>
      </c>
      <c r="AD34" s="6">
        <f t="shared" si="27"/>
        <v>-116.30910318214974</v>
      </c>
    </row>
    <row r="35" spans="1:30">
      <c r="A35" s="4">
        <v>4.2</v>
      </c>
      <c r="B35" s="19">
        <f t="shared" si="21"/>
        <v>158489.31924611147</v>
      </c>
      <c r="C35" s="12">
        <f t="shared" si="0"/>
        <v>20.530204503759162</v>
      </c>
      <c r="D35" s="5">
        <f t="shared" si="1"/>
        <v>-84.601723388558227</v>
      </c>
      <c r="E35" s="5">
        <f t="shared" si="2"/>
        <v>-59.048452962736107</v>
      </c>
      <c r="F35" s="5">
        <f t="shared" si="3"/>
        <v>-89.936070681559244</v>
      </c>
      <c r="G35" s="5">
        <f t="shared" si="4"/>
        <v>12.188165220905203</v>
      </c>
      <c r="H35" s="5">
        <f t="shared" si="5"/>
        <v>75.770553962300397</v>
      </c>
      <c r="I35" s="5">
        <f t="shared" si="6"/>
        <v>-3.322363535507402E-2</v>
      </c>
      <c r="J35" s="15">
        <f t="shared" si="7"/>
        <v>-5.0081479893539615</v>
      </c>
      <c r="K35" s="12">
        <f t="shared" si="8"/>
        <v>-96.744354835847503</v>
      </c>
      <c r="L35" s="5">
        <f t="shared" si="9"/>
        <v>-89.999166501369416</v>
      </c>
      <c r="M35" s="5">
        <f t="shared" si="10"/>
        <v>54.343606099134654</v>
      </c>
      <c r="N35" s="5">
        <f t="shared" si="11"/>
        <v>89.890113942075502</v>
      </c>
      <c r="O35" s="5">
        <f t="shared" si="12"/>
        <v>-17.890741668955101</v>
      </c>
      <c r="P35" s="15">
        <f t="shared" si="13"/>
        <v>-82.675650938944514</v>
      </c>
      <c r="Q35" s="5">
        <f t="shared" si="22"/>
        <v>-7.6339808562719016</v>
      </c>
      <c r="R35" s="5">
        <f t="shared" si="23"/>
        <v>-65.465461788190765</v>
      </c>
      <c r="S35" s="12">
        <f t="shared" si="14"/>
        <v>16.005427605745226</v>
      </c>
      <c r="T35" s="5">
        <f t="shared" si="15"/>
        <v>80.886523372699529</v>
      </c>
      <c r="U35" s="5">
        <f t="shared" si="16"/>
        <v>-16.021492851863002</v>
      </c>
      <c r="V35" s="15">
        <f t="shared" si="17"/>
        <v>-99.751361396451628</v>
      </c>
      <c r="W35" s="12">
        <v>0</v>
      </c>
      <c r="X35" s="15">
        <f t="shared" si="18"/>
        <v>-36.123379168207336</v>
      </c>
      <c r="Y35" s="12">
        <f t="shared" si="24"/>
        <v>-9.5835405384645175E-2</v>
      </c>
      <c r="Z35" s="15">
        <f t="shared" si="25"/>
        <v>-8.4956096281859264</v>
      </c>
      <c r="AA35" s="5">
        <f t="shared" si="19"/>
        <v>-17.539930480793913</v>
      </c>
      <c r="AB35" s="5">
        <f t="shared" si="20"/>
        <v>-52.833729264801057</v>
      </c>
      <c r="AC35" s="5">
        <f t="shared" si="26"/>
        <v>-35.430672149749014</v>
      </c>
      <c r="AD35" s="6">
        <f t="shared" si="27"/>
        <v>-135.50938020374556</v>
      </c>
    </row>
    <row r="36" spans="1:30">
      <c r="A36" s="4">
        <v>4.3</v>
      </c>
      <c r="B36" s="19">
        <f t="shared" si="21"/>
        <v>199526.23149688792</v>
      </c>
      <c r="C36" s="12">
        <f t="shared" si="0"/>
        <v>22.515995924217091</v>
      </c>
      <c r="D36" s="5">
        <f t="shared" si="1"/>
        <v>-85.707313113641931</v>
      </c>
      <c r="E36" s="5">
        <f t="shared" si="2"/>
        <v>-61.048450967401742</v>
      </c>
      <c r="F36" s="5">
        <f t="shared" si="3"/>
        <v>-89.949219129558855</v>
      </c>
      <c r="G36" s="5">
        <f t="shared" si="4"/>
        <v>14.090231594695018</v>
      </c>
      <c r="H36" s="5">
        <f t="shared" si="5"/>
        <v>78.611287286417507</v>
      </c>
      <c r="I36" s="5">
        <f t="shared" si="6"/>
        <v>-5.253875849966344E-2</v>
      </c>
      <c r="J36" s="15">
        <f t="shared" si="7"/>
        <v>-6.2955324790259137</v>
      </c>
      <c r="K36" s="12">
        <f t="shared" si="8"/>
        <v>-98.744354835508318</v>
      </c>
      <c r="L36" s="5">
        <f t="shared" si="9"/>
        <v>-89.999337928504104</v>
      </c>
      <c r="M36" s="5">
        <f t="shared" si="10"/>
        <v>56.343600203907229</v>
      </c>
      <c r="N36" s="5">
        <f t="shared" si="11"/>
        <v>89.912714362093411</v>
      </c>
      <c r="O36" s="5">
        <f t="shared" si="12"/>
        <v>-19.864614496325959</v>
      </c>
      <c r="P36" s="15">
        <f t="shared" si="13"/>
        <v>-84.170363277031711</v>
      </c>
      <c r="Q36" s="5">
        <f t="shared" si="22"/>
        <v>-9.3484445148987092</v>
      </c>
      <c r="R36" s="5">
        <f t="shared" si="23"/>
        <v>-70.070638456918203</v>
      </c>
      <c r="S36" s="12">
        <f t="shared" si="14"/>
        <v>17.96503179374006</v>
      </c>
      <c r="T36" s="5">
        <f t="shared" si="15"/>
        <v>82.73836633410501</v>
      </c>
      <c r="U36" s="5">
        <f t="shared" si="16"/>
        <v>-18.24783000299038</v>
      </c>
      <c r="V36" s="15">
        <f t="shared" si="17"/>
        <v>-106.21877547003409</v>
      </c>
      <c r="W36" s="12">
        <v>0</v>
      </c>
      <c r="X36" s="15">
        <f t="shared" si="18"/>
        <v>-45.476639994732217</v>
      </c>
      <c r="Y36" s="12">
        <f t="shared" si="24"/>
        <v>-0.15092407031784399</v>
      </c>
      <c r="Z36" s="15">
        <f t="shared" si="25"/>
        <v>-10.65004171398151</v>
      </c>
      <c r="AA36" s="5">
        <f t="shared" si="19"/>
        <v>-17.707676995937199</v>
      </c>
      <c r="AB36" s="5">
        <f t="shared" si="20"/>
        <v>-73.105130303780896</v>
      </c>
      <c r="AC36" s="5">
        <f t="shared" si="26"/>
        <v>-37.572291492263162</v>
      </c>
      <c r="AD36" s="6">
        <f t="shared" si="27"/>
        <v>-157.27549358081262</v>
      </c>
    </row>
    <row r="37" spans="1:30">
      <c r="A37" s="4">
        <v>4.4000000000000004</v>
      </c>
      <c r="B37" s="19">
        <f t="shared" si="21"/>
        <v>251188.64315095858</v>
      </c>
      <c r="C37" s="12">
        <f t="shared" si="0"/>
        <v>24.507006939184926</v>
      </c>
      <c r="D37" s="5">
        <f t="shared" si="1"/>
        <v>-86.587842827738385</v>
      </c>
      <c r="E37" s="5">
        <f t="shared" si="2"/>
        <v>-63.048449708430418</v>
      </c>
      <c r="F37" s="5">
        <f t="shared" si="3"/>
        <v>-89.959663316927006</v>
      </c>
      <c r="G37" s="5">
        <f t="shared" si="4"/>
        <v>16.027283685106475</v>
      </c>
      <c r="H37" s="5">
        <f t="shared" si="5"/>
        <v>80.909620930625863</v>
      </c>
      <c r="I37" s="5">
        <f t="shared" si="6"/>
        <v>-8.2976282296572251E-2</v>
      </c>
      <c r="J37" s="15">
        <f t="shared" si="7"/>
        <v>-7.9070734844033348</v>
      </c>
      <c r="K37" s="12">
        <f t="shared" si="8"/>
        <v>-100.74435483529433</v>
      </c>
      <c r="L37" s="5">
        <f t="shared" si="9"/>
        <v>-89.9994740979174</v>
      </c>
      <c r="M37" s="5">
        <f t="shared" si="10"/>
        <v>58.343596484266101</v>
      </c>
      <c r="N37" s="5">
        <f t="shared" si="11"/>
        <v>89.930666533530655</v>
      </c>
      <c r="O37" s="5">
        <f t="shared" si="12"/>
        <v>-21.848048121484215</v>
      </c>
      <c r="P37" s="15">
        <f t="shared" si="13"/>
        <v>-85.363456616397841</v>
      </c>
      <c r="Q37" s="5">
        <f t="shared" si="22"/>
        <v>-11.158118580733529</v>
      </c>
      <c r="R37" s="5">
        <f t="shared" si="23"/>
        <v>-73.933425333650433</v>
      </c>
      <c r="S37" s="12">
        <f t="shared" si="14"/>
        <v>19.93934906278151</v>
      </c>
      <c r="T37" s="5">
        <f t="shared" si="15"/>
        <v>84.220477918408861</v>
      </c>
      <c r="U37" s="5">
        <f t="shared" si="16"/>
        <v>-20.617452190153003</v>
      </c>
      <c r="V37" s="15">
        <f t="shared" si="17"/>
        <v>-113.04485941242365</v>
      </c>
      <c r="W37" s="12">
        <v>0</v>
      </c>
      <c r="X37" s="15">
        <f t="shared" si="18"/>
        <v>-57.251697732383498</v>
      </c>
      <c r="Y37" s="12">
        <f t="shared" si="24"/>
        <v>-0.23682710262829465</v>
      </c>
      <c r="Z37" s="15">
        <f t="shared" si="25"/>
        <v>-13.318976409682179</v>
      </c>
      <c r="AA37" s="5">
        <f t="shared" si="19"/>
        <v>-18.100935891077082</v>
      </c>
      <c r="AB37" s="5">
        <f t="shared" si="20"/>
        <v>-96.942247232560518</v>
      </c>
      <c r="AC37" s="5">
        <f t="shared" si="26"/>
        <v>-39.948984012561297</v>
      </c>
      <c r="AD37" s="6">
        <f t="shared" si="27"/>
        <v>-182.30570384895836</v>
      </c>
    </row>
    <row r="38" spans="1:30">
      <c r="A38" s="4">
        <v>4.5</v>
      </c>
      <c r="B38" s="19">
        <f t="shared" si="21"/>
        <v>316227.76601683837</v>
      </c>
      <c r="C38" s="12">
        <f t="shared" si="0"/>
        <v>26.501325685061357</v>
      </c>
      <c r="D38" s="5">
        <f t="shared" si="1"/>
        <v>-87.288444638261723</v>
      </c>
      <c r="E38" s="5">
        <f t="shared" si="2"/>
        <v>-65.048448914073006</v>
      </c>
      <c r="F38" s="5">
        <f t="shared" si="3"/>
        <v>-89.967959431786511</v>
      </c>
      <c r="G38" s="5">
        <f t="shared" si="4"/>
        <v>17.987091597532697</v>
      </c>
      <c r="H38" s="5">
        <f t="shared" si="5"/>
        <v>82.756884392775248</v>
      </c>
      <c r="I38" s="5">
        <f t="shared" si="6"/>
        <v>-0.13078375265669884</v>
      </c>
      <c r="J38" s="15">
        <f t="shared" si="7"/>
        <v>-9.9178370070799797</v>
      </c>
      <c r="K38" s="12">
        <f t="shared" si="8"/>
        <v>-102.74435483515929</v>
      </c>
      <c r="L38" s="5">
        <f t="shared" si="9"/>
        <v>-89.999582261127088</v>
      </c>
      <c r="M38" s="5">
        <f t="shared" si="10"/>
        <v>60.343594137329561</v>
      </c>
      <c r="N38" s="5">
        <f t="shared" si="11"/>
        <v>89.944926460051477</v>
      </c>
      <c r="O38" s="5">
        <f t="shared" si="12"/>
        <v>-23.837562836844643</v>
      </c>
      <c r="P38" s="15">
        <f t="shared" si="13"/>
        <v>-86.31409543366803</v>
      </c>
      <c r="Q38" s="5">
        <f t="shared" si="22"/>
        <v>-13.033592463019355</v>
      </c>
      <c r="R38" s="5">
        <f t="shared" si="23"/>
        <v>-77.114232996407623</v>
      </c>
      <c r="S38" s="12">
        <f t="shared" si="14"/>
        <v>21.923065858268874</v>
      </c>
      <c r="T38" s="5">
        <f t="shared" si="15"/>
        <v>85.403414923988436</v>
      </c>
      <c r="U38" s="5">
        <f t="shared" si="16"/>
        <v>-23.164147767082927</v>
      </c>
      <c r="V38" s="15">
        <f t="shared" si="17"/>
        <v>-120.22379820491039</v>
      </c>
      <c r="W38" s="12">
        <v>0</v>
      </c>
      <c r="X38" s="15">
        <f t="shared" si="18"/>
        <v>-72.075617143656018</v>
      </c>
      <c r="Y38" s="12">
        <f t="shared" si="24"/>
        <v>-0.36958658151584989</v>
      </c>
      <c r="Z38" s="15">
        <f t="shared" si="25"/>
        <v>-16.596037696673623</v>
      </c>
      <c r="AA38" s="5">
        <f t="shared" si="19"/>
        <v>-18.76583039819457</v>
      </c>
      <c r="AB38" s="5">
        <f t="shared" si="20"/>
        <v>-125.0782836030878</v>
      </c>
      <c r="AC38" s="5">
        <f t="shared" si="26"/>
        <v>-42.603393235039213</v>
      </c>
      <c r="AD38" s="6">
        <f t="shared" si="27"/>
        <v>-211.39237903675581</v>
      </c>
    </row>
    <row r="39" spans="1:30">
      <c r="A39" s="4">
        <v>4.5999999999999996</v>
      </c>
      <c r="B39" s="19">
        <f t="shared" si="21"/>
        <v>398107.17055349739</v>
      </c>
      <c r="C39" s="12">
        <f t="shared" si="0"/>
        <v>28.49773722828084</v>
      </c>
      <c r="D39" s="5">
        <f t="shared" si="1"/>
        <v>-87.845541563257143</v>
      </c>
      <c r="E39" s="5">
        <f t="shared" si="2"/>
        <v>-67.048448412867288</v>
      </c>
      <c r="F39" s="5">
        <f t="shared" si="3"/>
        <v>-89.974549271032359</v>
      </c>
      <c r="G39" s="5">
        <f t="shared" si="4"/>
        <v>19.961539373709506</v>
      </c>
      <c r="H39" s="5">
        <f t="shared" si="5"/>
        <v>84.235274357159568</v>
      </c>
      <c r="I39" s="5">
        <f t="shared" si="6"/>
        <v>-0.20549170471022352</v>
      </c>
      <c r="J39" s="15">
        <f t="shared" si="7"/>
        <v>-12.414060546312779</v>
      </c>
      <c r="K39" s="12">
        <f t="shared" si="8"/>
        <v>-104.74435483507408</v>
      </c>
      <c r="L39" s="5">
        <f t="shared" si="9"/>
        <v>-89.999668178218499</v>
      </c>
      <c r="M39" s="5">
        <f t="shared" si="10"/>
        <v>62.343592656512044</v>
      </c>
      <c r="N39" s="5">
        <f t="shared" si="11"/>
        <v>89.956253527260586</v>
      </c>
      <c r="O39" s="5">
        <f t="shared" si="12"/>
        <v>-25.830934020406108</v>
      </c>
      <c r="P39" s="15">
        <f t="shared" si="13"/>
        <v>-87.070691265573828</v>
      </c>
      <c r="Q39" s="5">
        <f t="shared" si="22"/>
        <v>-14.953143982365336</v>
      </c>
      <c r="R39" s="5">
        <f t="shared" si="23"/>
        <v>-79.700721489836283</v>
      </c>
      <c r="S39" s="12">
        <f t="shared" si="14"/>
        <v>23.91276034882257</v>
      </c>
      <c r="T39" s="5">
        <f t="shared" si="15"/>
        <v>86.345911509455334</v>
      </c>
      <c r="U39" s="5">
        <f t="shared" si="16"/>
        <v>-25.920181659685131</v>
      </c>
      <c r="V39" s="15">
        <f t="shared" si="17"/>
        <v>-127.6237783125878</v>
      </c>
      <c r="W39" s="12">
        <v>0</v>
      </c>
      <c r="X39" s="15">
        <f t="shared" si="18"/>
        <v>-90</v>
      </c>
      <c r="Y39" s="12">
        <f t="shared" si="24"/>
        <v>-0.57202058266375577</v>
      </c>
      <c r="Z39" s="15">
        <f t="shared" si="25"/>
        <v>-20.566450991810179</v>
      </c>
      <c r="AA39" s="5">
        <f t="shared" si="19"/>
        <v>-19.758004932920791</v>
      </c>
      <c r="AB39" s="5">
        <f t="shared" si="20"/>
        <v>-157.58733095917952</v>
      </c>
      <c r="AC39" s="5">
        <f t="shared" si="26"/>
        <v>-45.588938953326902</v>
      </c>
      <c r="AD39" s="6">
        <f t="shared" si="27"/>
        <v>-244.65802222475335</v>
      </c>
    </row>
    <row r="40" spans="1:30">
      <c r="A40" s="4">
        <v>4.7</v>
      </c>
      <c r="B40" s="19">
        <f t="shared" si="21"/>
        <v>501187.23362727294</v>
      </c>
      <c r="C40" s="12">
        <f t="shared" si="0"/>
        <v>30.495471538558046</v>
      </c>
      <c r="D40" s="5">
        <f t="shared" si="1"/>
        <v>-88.288355161460544</v>
      </c>
      <c r="E40" s="5">
        <f t="shared" si="2"/>
        <v>-69.048448096627851</v>
      </c>
      <c r="F40" s="5">
        <f t="shared" si="3"/>
        <v>-89.979783766895991</v>
      </c>
      <c r="G40" s="5">
        <f t="shared" si="4"/>
        <v>21.945339311139609</v>
      </c>
      <c r="H40" s="5">
        <f t="shared" si="5"/>
        <v>85.41521218973044</v>
      </c>
      <c r="I40" s="5">
        <f t="shared" si="6"/>
        <v>-0.3213246945688128</v>
      </c>
      <c r="J40" s="15">
        <f t="shared" si="7"/>
        <v>-15.488935919673194</v>
      </c>
      <c r="K40" s="12">
        <f t="shared" si="8"/>
        <v>-106.74435483502035</v>
      </c>
      <c r="L40" s="5">
        <f t="shared" si="9"/>
        <v>-89.999736424590054</v>
      </c>
      <c r="M40" s="5">
        <f t="shared" si="10"/>
        <v>64.343591722179113</v>
      </c>
      <c r="N40" s="5">
        <f t="shared" si="11"/>
        <v>89.965250939041525</v>
      </c>
      <c r="O40" s="5">
        <f t="shared" si="12"/>
        <v>-27.82674630803719</v>
      </c>
      <c r="P40" s="15">
        <f t="shared" si="13"/>
        <v>-87.672419143310492</v>
      </c>
      <c r="Q40" s="5">
        <f t="shared" si="22"/>
        <v>-16.901606785745479</v>
      </c>
      <c r="R40" s="5">
        <f t="shared" si="23"/>
        <v>-81.786452230016096</v>
      </c>
      <c r="S40" s="12">
        <f t="shared" si="14"/>
        <v>25.906245406886388</v>
      </c>
      <c r="T40" s="5">
        <f t="shared" si="15"/>
        <v>87.096001944354953</v>
      </c>
      <c r="U40" s="5">
        <f t="shared" si="16"/>
        <v>-28.905410038664868</v>
      </c>
      <c r="V40" s="15">
        <f t="shared" si="17"/>
        <v>-135.00017184055085</v>
      </c>
      <c r="W40" s="12">
        <v>0</v>
      </c>
      <c r="X40" s="15">
        <f t="shared" si="18"/>
        <v>-90</v>
      </c>
      <c r="Y40" s="12">
        <f t="shared" si="24"/>
        <v>-0.87469752374367771</v>
      </c>
      <c r="Z40" s="15">
        <f t="shared" si="25"/>
        <v>-25.284075402004209</v>
      </c>
      <c r="AA40" s="5">
        <f t="shared" si="19"/>
        <v>-21.135187358487823</v>
      </c>
      <c r="AB40" s="5">
        <f t="shared" si="20"/>
        <v>-173.35104567206403</v>
      </c>
      <c r="AC40" s="5">
        <f t="shared" si="26"/>
        <v>-48.961933666525013</v>
      </c>
      <c r="AD40" s="6">
        <f t="shared" si="27"/>
        <v>-261.0234648153745</v>
      </c>
    </row>
    <row r="41" spans="1:30">
      <c r="A41" s="4">
        <v>4.8</v>
      </c>
      <c r="B41" s="19">
        <f t="shared" si="21"/>
        <v>630957.34448019345</v>
      </c>
      <c r="C41" s="12">
        <f t="shared" si="0"/>
        <v>32.494041376571957</v>
      </c>
      <c r="D41" s="5">
        <f t="shared" si="1"/>
        <v>-88.64024291147409</v>
      </c>
      <c r="E41" s="5">
        <f t="shared" si="2"/>
        <v>-71.048447897094206</v>
      </c>
      <c r="F41" s="5">
        <f t="shared" si="3"/>
        <v>-89.983941674999798</v>
      </c>
      <c r="G41" s="5">
        <f t="shared" si="4"/>
        <v>23.935086582040586</v>
      </c>
      <c r="H41" s="5">
        <f t="shared" si="5"/>
        <v>86.355304616532621</v>
      </c>
      <c r="I41" s="5">
        <f t="shared" si="6"/>
        <v>-0.49880463421906945</v>
      </c>
      <c r="J41" s="15">
        <f t="shared" si="7"/>
        <v>-19.232302798571574</v>
      </c>
      <c r="K41" s="12">
        <f t="shared" si="8"/>
        <v>-108.74435483498641</v>
      </c>
      <c r="L41" s="5">
        <f t="shared" si="9"/>
        <v>-89.999790634609909</v>
      </c>
      <c r="M41" s="5">
        <f t="shared" si="10"/>
        <v>66.34359113265478</v>
      </c>
      <c r="N41" s="5">
        <f t="shared" si="11"/>
        <v>89.972397838501607</v>
      </c>
      <c r="O41" s="5">
        <f t="shared" si="12"/>
        <v>-29.824101960953836</v>
      </c>
      <c r="P41" s="15">
        <f t="shared" si="13"/>
        <v>-88.150761454093313</v>
      </c>
      <c r="Q41" s="5">
        <f t="shared" si="22"/>
        <v>-18.868771490191396</v>
      </c>
      <c r="R41" s="5">
        <f t="shared" si="23"/>
        <v>-83.459246928609076</v>
      </c>
      <c r="S41" s="12">
        <f t="shared" si="14"/>
        <v>27.902129722101808</v>
      </c>
      <c r="T41" s="5">
        <f t="shared" si="15"/>
        <v>87.692543358697279</v>
      </c>
      <c r="U41" s="5">
        <f t="shared" si="16"/>
        <v>-32.119026630650765</v>
      </c>
      <c r="V41" s="15">
        <f t="shared" si="17"/>
        <v>-142.05551248526746</v>
      </c>
      <c r="W41" s="12">
        <v>0</v>
      </c>
      <c r="X41" s="15">
        <f t="shared" si="18"/>
        <v>-90</v>
      </c>
      <c r="Y41" s="12">
        <f t="shared" si="24"/>
        <v>-1.3149818237897504</v>
      </c>
      <c r="Z41" s="15">
        <f t="shared" si="25"/>
        <v>-30.738395398521529</v>
      </c>
      <c r="AA41" s="5">
        <f t="shared" si="19"/>
        <v>-22.949531860442413</v>
      </c>
      <c r="AB41" s="5">
        <f t="shared" si="20"/>
        <v>-190.08918701832195</v>
      </c>
      <c r="AC41" s="5">
        <f t="shared" si="26"/>
        <v>-52.773633821396245</v>
      </c>
      <c r="AD41" s="6">
        <f t="shared" si="27"/>
        <v>-278.23994847241528</v>
      </c>
    </row>
    <row r="42" spans="1:30">
      <c r="A42" s="4">
        <v>4.9000000000000004</v>
      </c>
      <c r="B42" s="19">
        <f t="shared" si="21"/>
        <v>794328.2347242824</v>
      </c>
      <c r="C42" s="12">
        <f t="shared" si="0"/>
        <v>34.493138762977573</v>
      </c>
      <c r="D42" s="5">
        <f t="shared" si="1"/>
        <v>-88.919831718162442</v>
      </c>
      <c r="E42" s="5">
        <f t="shared" si="2"/>
        <v>-73.048447771197004</v>
      </c>
      <c r="F42" s="5">
        <f t="shared" si="3"/>
        <v>-89.987244418926707</v>
      </c>
      <c r="G42" s="5">
        <f t="shared" si="4"/>
        <v>25.928605071151392</v>
      </c>
      <c r="H42" s="5">
        <f t="shared" si="5"/>
        <v>87.103474326861601</v>
      </c>
      <c r="I42" s="5">
        <f t="shared" si="6"/>
        <v>-0.76602882933597694</v>
      </c>
      <c r="J42" s="15">
        <f t="shared" si="7"/>
        <v>-23.71109132834761</v>
      </c>
      <c r="K42" s="12">
        <f t="shared" si="8"/>
        <v>-110.74435483496501</v>
      </c>
      <c r="L42" s="5">
        <f t="shared" si="9"/>
        <v>-89.999833695159268</v>
      </c>
      <c r="M42" s="5">
        <f t="shared" si="10"/>
        <v>68.343590760690034</v>
      </c>
      <c r="N42" s="5">
        <f t="shared" si="11"/>
        <v>89.978074823156447</v>
      </c>
      <c r="O42" s="5">
        <f t="shared" si="12"/>
        <v>-31.822432661911829</v>
      </c>
      <c r="P42" s="15">
        <f t="shared" si="13"/>
        <v>-88.530909376043098</v>
      </c>
      <c r="Q42" s="5">
        <f t="shared" si="22"/>
        <v>-20.847925351687017</v>
      </c>
      <c r="R42" s="5">
        <f t="shared" si="23"/>
        <v>-84.796163864600402</v>
      </c>
      <c r="S42" s="12">
        <f t="shared" si="14"/>
        <v>29.89953089228554</v>
      </c>
      <c r="T42" s="5">
        <f t="shared" si="15"/>
        <v>88.166756338743042</v>
      </c>
      <c r="U42" s="5">
        <f t="shared" si="16"/>
        <v>-35.538961034859248</v>
      </c>
      <c r="V42" s="15">
        <f t="shared" si="17"/>
        <v>-148.52254214603312</v>
      </c>
      <c r="W42" s="12">
        <v>0</v>
      </c>
      <c r="X42" s="15">
        <f t="shared" si="18"/>
        <v>-90</v>
      </c>
      <c r="Y42" s="12">
        <f t="shared" si="24"/>
        <v>-1.9325179030433333</v>
      </c>
      <c r="Z42" s="15">
        <f t="shared" si="25"/>
        <v>-36.819874550601085</v>
      </c>
      <c r="AA42" s="5">
        <f t="shared" si="19"/>
        <v>-25.243363600862985</v>
      </c>
      <c r="AB42" s="5">
        <f t="shared" si="20"/>
        <v>-207.50827623306952</v>
      </c>
      <c r="AC42" s="5">
        <f t="shared" si="26"/>
        <v>-57.065796262774811</v>
      </c>
      <c r="AD42" s="6">
        <f t="shared" si="27"/>
        <v>-296.03918560911262</v>
      </c>
    </row>
    <row r="43" spans="1:30" ht="13.8" thickBot="1">
      <c r="A43" s="7">
        <v>5</v>
      </c>
      <c r="B43" s="20">
        <f t="shared" si="21"/>
        <v>1000000</v>
      </c>
      <c r="C43" s="13">
        <f t="shared" si="0"/>
        <v>36.492569155762553</v>
      </c>
      <c r="D43" s="8">
        <f t="shared" si="1"/>
        <v>-89.141954321980336</v>
      </c>
      <c r="E43" s="8">
        <f t="shared" si="2"/>
        <v>-75.04844769176124</v>
      </c>
      <c r="F43" s="8">
        <f t="shared" si="3"/>
        <v>-89.98986788174139</v>
      </c>
      <c r="G43" s="8">
        <f t="shared" si="4"/>
        <v>27.924510531494491</v>
      </c>
      <c r="H43" s="8">
        <f t="shared" si="5"/>
        <v>87.698484496226627</v>
      </c>
      <c r="I43" s="8">
        <f t="shared" si="6"/>
        <v>-1.1585034436329142</v>
      </c>
      <c r="J43" s="16">
        <f t="shared" si="7"/>
        <v>-28.939096938004429</v>
      </c>
      <c r="K43" s="13">
        <f t="shared" si="8"/>
        <v>-112.74435483495151</v>
      </c>
      <c r="L43" s="8">
        <f t="shared" si="9"/>
        <v>-89.999867899369434</v>
      </c>
      <c r="M43" s="8">
        <f t="shared" si="10"/>
        <v>70.34359052599612</v>
      </c>
      <c r="N43" s="8">
        <f t="shared" si="11"/>
        <v>89.982584212668129</v>
      </c>
      <c r="O43" s="8">
        <f t="shared" si="12"/>
        <v>-33.821379075186606</v>
      </c>
      <c r="P43" s="16">
        <f t="shared" si="13"/>
        <v>-88.832965461945435</v>
      </c>
      <c r="Q43" s="8">
        <f t="shared" si="22"/>
        <v>-22.834720655594815</v>
      </c>
      <c r="R43" s="8">
        <f t="shared" si="23"/>
        <v>-85.862250788822308</v>
      </c>
      <c r="S43" s="13">
        <f t="shared" si="14"/>
        <v>31.897890340991559</v>
      </c>
      <c r="T43" s="8">
        <f t="shared" si="15"/>
        <v>88.543619406840008</v>
      </c>
      <c r="U43" s="8">
        <f t="shared" si="16"/>
        <v>-39.129075746036037</v>
      </c>
      <c r="V43" s="16">
        <f t="shared" si="17"/>
        <v>-154.2267387674656</v>
      </c>
      <c r="W43" s="13">
        <v>0</v>
      </c>
      <c r="X43" s="16">
        <f t="shared" si="18"/>
        <v>-90</v>
      </c>
      <c r="Y43" s="13">
        <f t="shared" si="24"/>
        <v>-2.7606280443612299</v>
      </c>
      <c r="Z43" s="16">
        <f t="shared" si="25"/>
        <v>-43.303807307170665</v>
      </c>
      <c r="AA43" s="8">
        <f t="shared" si="19"/>
        <v>-28.047163224972959</v>
      </c>
      <c r="AB43" s="8">
        <f t="shared" si="20"/>
        <v>-225.23889578881941</v>
      </c>
      <c r="AC43" s="8">
        <f t="shared" si="26"/>
        <v>-61.868542300159561</v>
      </c>
      <c r="AD43" s="17">
        <f t="shared" si="27"/>
        <v>-314.07186125076487</v>
      </c>
    </row>
    <row r="44" spans="1:30" ht="13.8" thickTop="1"/>
  </sheetData>
  <customSheetViews>
    <customSheetView guid="{0F8159A6-236F-4F54-A569-A835A6AD5DA8}" scale="70" state="hidden" topLeftCell="D1">
      <selection activeCell="J47" sqref="J47"/>
      <pageMargins left="0.7" right="0.7" top="0.75" bottom="0.75" header="0.3" footer="0.3"/>
      <pageSetup paperSize="9" orientation="portrait" horizontalDpi="300" verticalDpi="300" r:id="rId1"/>
    </customSheetView>
  </customSheetViews>
  <mergeCells count="7">
    <mergeCell ref="C1:J1"/>
    <mergeCell ref="K1:P1"/>
    <mergeCell ref="AA1:AD1"/>
    <mergeCell ref="A1:B1"/>
    <mergeCell ref="Q1:R1"/>
    <mergeCell ref="Y1:Z1"/>
    <mergeCell ref="S1:X1"/>
  </mergeCells>
  <phoneticPr fontId="12" type="noConversion"/>
  <pageMargins left="0.7" right="0.7" top="0.75" bottom="0.75" header="0.3" footer="0.3"/>
  <pageSetup paperSize="9" orientation="portrait" horizontalDpi="300"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workbookViewId="0">
      <selection activeCell="A5" sqref="A5"/>
    </sheetView>
  </sheetViews>
  <sheetFormatPr defaultRowHeight="13.2"/>
  <cols>
    <col min="1" max="1" width="128" customWidth="1"/>
    <col min="2" max="2" width="13.6640625" customWidth="1"/>
    <col min="257" max="257" width="128" customWidth="1"/>
    <col min="258" max="258" width="13.6640625" customWidth="1"/>
    <col min="513" max="513" width="128" customWidth="1"/>
    <col min="514" max="514" width="13.6640625" customWidth="1"/>
    <col min="769" max="769" width="128" customWidth="1"/>
    <col min="770" max="770" width="13.6640625" customWidth="1"/>
    <col min="1025" max="1025" width="128" customWidth="1"/>
    <col min="1026" max="1026" width="13.6640625" customWidth="1"/>
    <col min="1281" max="1281" width="128" customWidth="1"/>
    <col min="1282" max="1282" width="13.6640625" customWidth="1"/>
    <col min="1537" max="1537" width="128" customWidth="1"/>
    <col min="1538" max="1538" width="13.6640625" customWidth="1"/>
    <col min="1793" max="1793" width="128" customWidth="1"/>
    <col min="1794" max="1794" width="13.6640625" customWidth="1"/>
    <col min="2049" max="2049" width="128" customWidth="1"/>
    <col min="2050" max="2050" width="13.6640625" customWidth="1"/>
    <col min="2305" max="2305" width="128" customWidth="1"/>
    <col min="2306" max="2306" width="13.6640625" customWidth="1"/>
    <col min="2561" max="2561" width="128" customWidth="1"/>
    <col min="2562" max="2562" width="13.6640625" customWidth="1"/>
    <col min="2817" max="2817" width="128" customWidth="1"/>
    <col min="2818" max="2818" width="13.6640625" customWidth="1"/>
    <col min="3073" max="3073" width="128" customWidth="1"/>
    <col min="3074" max="3074" width="13.6640625" customWidth="1"/>
    <col min="3329" max="3329" width="128" customWidth="1"/>
    <col min="3330" max="3330" width="13.6640625" customWidth="1"/>
    <col min="3585" max="3585" width="128" customWidth="1"/>
    <col min="3586" max="3586" width="13.6640625" customWidth="1"/>
    <col min="3841" max="3841" width="128" customWidth="1"/>
    <col min="3842" max="3842" width="13.6640625" customWidth="1"/>
    <col min="4097" max="4097" width="128" customWidth="1"/>
    <col min="4098" max="4098" width="13.6640625" customWidth="1"/>
    <col min="4353" max="4353" width="128" customWidth="1"/>
    <col min="4354" max="4354" width="13.6640625" customWidth="1"/>
    <col min="4609" max="4609" width="128" customWidth="1"/>
    <col min="4610" max="4610" width="13.6640625" customWidth="1"/>
    <col min="4865" max="4865" width="128" customWidth="1"/>
    <col min="4866" max="4866" width="13.6640625" customWidth="1"/>
    <col min="5121" max="5121" width="128" customWidth="1"/>
    <col min="5122" max="5122" width="13.6640625" customWidth="1"/>
    <col min="5377" max="5377" width="128" customWidth="1"/>
    <col min="5378" max="5378" width="13.6640625" customWidth="1"/>
    <col min="5633" max="5633" width="128" customWidth="1"/>
    <col min="5634" max="5634" width="13.6640625" customWidth="1"/>
    <col min="5889" max="5889" width="128" customWidth="1"/>
    <col min="5890" max="5890" width="13.6640625" customWidth="1"/>
    <col min="6145" max="6145" width="128" customWidth="1"/>
    <col min="6146" max="6146" width="13.6640625" customWidth="1"/>
    <col min="6401" max="6401" width="128" customWidth="1"/>
    <col min="6402" max="6402" width="13.6640625" customWidth="1"/>
    <col min="6657" max="6657" width="128" customWidth="1"/>
    <col min="6658" max="6658" width="13.6640625" customWidth="1"/>
    <col min="6913" max="6913" width="128" customWidth="1"/>
    <col min="6914" max="6914" width="13.6640625" customWidth="1"/>
    <col min="7169" max="7169" width="128" customWidth="1"/>
    <col min="7170" max="7170" width="13.6640625" customWidth="1"/>
    <col min="7425" max="7425" width="128" customWidth="1"/>
    <col min="7426" max="7426" width="13.6640625" customWidth="1"/>
    <col min="7681" max="7681" width="128" customWidth="1"/>
    <col min="7682" max="7682" width="13.6640625" customWidth="1"/>
    <col min="7937" max="7937" width="128" customWidth="1"/>
    <col min="7938" max="7938" width="13.6640625" customWidth="1"/>
    <col min="8193" max="8193" width="128" customWidth="1"/>
    <col min="8194" max="8194" width="13.6640625" customWidth="1"/>
    <col min="8449" max="8449" width="128" customWidth="1"/>
    <col min="8450" max="8450" width="13.6640625" customWidth="1"/>
    <col min="8705" max="8705" width="128" customWidth="1"/>
    <col min="8706" max="8706" width="13.6640625" customWidth="1"/>
    <col min="8961" max="8961" width="128" customWidth="1"/>
    <col min="8962" max="8962" width="13.6640625" customWidth="1"/>
    <col min="9217" max="9217" width="128" customWidth="1"/>
    <col min="9218" max="9218" width="13.6640625" customWidth="1"/>
    <col min="9473" max="9473" width="128" customWidth="1"/>
    <col min="9474" max="9474" width="13.6640625" customWidth="1"/>
    <col min="9729" max="9729" width="128" customWidth="1"/>
    <col min="9730" max="9730" width="13.6640625" customWidth="1"/>
    <col min="9985" max="9985" width="128" customWidth="1"/>
    <col min="9986" max="9986" width="13.6640625" customWidth="1"/>
    <col min="10241" max="10241" width="128" customWidth="1"/>
    <col min="10242" max="10242" width="13.6640625" customWidth="1"/>
    <col min="10497" max="10497" width="128" customWidth="1"/>
    <col min="10498" max="10498" width="13.6640625" customWidth="1"/>
    <col min="10753" max="10753" width="128" customWidth="1"/>
    <col min="10754" max="10754" width="13.6640625" customWidth="1"/>
    <col min="11009" max="11009" width="128" customWidth="1"/>
    <col min="11010" max="11010" width="13.6640625" customWidth="1"/>
    <col min="11265" max="11265" width="128" customWidth="1"/>
    <col min="11266" max="11266" width="13.6640625" customWidth="1"/>
    <col min="11521" max="11521" width="128" customWidth="1"/>
    <col min="11522" max="11522" width="13.6640625" customWidth="1"/>
    <col min="11777" max="11777" width="128" customWidth="1"/>
    <col min="11778" max="11778" width="13.6640625" customWidth="1"/>
    <col min="12033" max="12033" width="128" customWidth="1"/>
    <col min="12034" max="12034" width="13.6640625" customWidth="1"/>
    <col min="12289" max="12289" width="128" customWidth="1"/>
    <col min="12290" max="12290" width="13.6640625" customWidth="1"/>
    <col min="12545" max="12545" width="128" customWidth="1"/>
    <col min="12546" max="12546" width="13.6640625" customWidth="1"/>
    <col min="12801" max="12801" width="128" customWidth="1"/>
    <col min="12802" max="12802" width="13.6640625" customWidth="1"/>
    <col min="13057" max="13057" width="128" customWidth="1"/>
    <col min="13058" max="13058" width="13.6640625" customWidth="1"/>
    <col min="13313" max="13313" width="128" customWidth="1"/>
    <col min="13314" max="13314" width="13.6640625" customWidth="1"/>
    <col min="13569" max="13569" width="128" customWidth="1"/>
    <col min="13570" max="13570" width="13.6640625" customWidth="1"/>
    <col min="13825" max="13825" width="128" customWidth="1"/>
    <col min="13826" max="13826" width="13.6640625" customWidth="1"/>
    <col min="14081" max="14081" width="128" customWidth="1"/>
    <col min="14082" max="14082" width="13.6640625" customWidth="1"/>
    <col min="14337" max="14337" width="128" customWidth="1"/>
    <col min="14338" max="14338" width="13.6640625" customWidth="1"/>
    <col min="14593" max="14593" width="128" customWidth="1"/>
    <col min="14594" max="14594" width="13.6640625" customWidth="1"/>
    <col min="14849" max="14849" width="128" customWidth="1"/>
    <col min="14850" max="14850" width="13.6640625" customWidth="1"/>
    <col min="15105" max="15105" width="128" customWidth="1"/>
    <col min="15106" max="15106" width="13.6640625" customWidth="1"/>
    <col min="15361" max="15361" width="128" customWidth="1"/>
    <col min="15362" max="15362" width="13.6640625" customWidth="1"/>
    <col min="15617" max="15617" width="128" customWidth="1"/>
    <col min="15618" max="15618" width="13.6640625" customWidth="1"/>
    <col min="15873" max="15873" width="128" customWidth="1"/>
    <col min="15874" max="15874" width="13.6640625" customWidth="1"/>
    <col min="16129" max="16129" width="128" customWidth="1"/>
    <col min="16130" max="16130" width="13.6640625" customWidth="1"/>
  </cols>
  <sheetData>
    <row r="1" spans="1:1" ht="66">
      <c r="A1" s="25" t="s">
        <v>291</v>
      </c>
    </row>
    <row r="2" spans="1:1">
      <c r="A2" s="9"/>
    </row>
    <row r="3" spans="1:1" ht="79.2">
      <c r="A3" s="25" t="s">
        <v>292</v>
      </c>
    </row>
    <row r="4" spans="1:1">
      <c r="A4" s="9"/>
    </row>
    <row r="5" spans="1:1" ht="52.8">
      <c r="A5" s="25" t="s">
        <v>293</v>
      </c>
    </row>
    <row r="6" spans="1:1">
      <c r="A6" s="9"/>
    </row>
    <row r="7" spans="1:1" ht="79.2">
      <c r="A7" s="25" t="s">
        <v>294</v>
      </c>
    </row>
    <row r="8" spans="1:1">
      <c r="A8" s="9"/>
    </row>
    <row r="9" spans="1:1">
      <c r="A9" s="25" t="s">
        <v>351</v>
      </c>
    </row>
  </sheetData>
  <sheetProtection password="E023" sheet="1" objects="1" scenarios="1"/>
  <customSheetViews>
    <customSheetView guid="{0F8159A6-236F-4F54-A569-A835A6AD5DA8}">
      <selection activeCell="A10" sqref="A10"/>
      <pageMargins left="0.7" right="0.7" top="0.75" bottom="0.75" header="0.3" footer="0.3"/>
      <pageSetup paperSize="9" orientation="portrait" horizontalDpi="300" verticalDpi="300" r:id="rId1"/>
    </customSheetView>
  </customSheetViews>
  <phoneticPr fontId="12" type="noConversion"/>
  <pageMargins left="0.7" right="0.7" top="0.75" bottom="0.75" header="0.3" footer="0.3"/>
  <pageSetup paperSize="9" orientation="portrait" horizontalDpi="300" verticalDpi="3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68</vt:i4>
      </vt:variant>
    </vt:vector>
  </HeadingPairs>
  <TitlesOfParts>
    <vt:vector size="71" baseType="lpstr">
      <vt:lpstr>Design Calculation</vt:lpstr>
      <vt:lpstr>Frequency Response Calculation</vt:lpstr>
      <vt:lpstr>LegalDisclaimer</vt:lpstr>
      <vt:lpstr>BST_HS_dead_time</vt:lpstr>
      <vt:lpstr>BST_HS_Rdson</vt:lpstr>
      <vt:lpstr>BST_HS_Vd</vt:lpstr>
      <vt:lpstr>BST_LS_fall_time</vt:lpstr>
      <vt:lpstr>BST_LS_Rdson</vt:lpstr>
      <vt:lpstr>BST_LS_rise_time</vt:lpstr>
      <vt:lpstr>BUCK_HS_Coss</vt:lpstr>
      <vt:lpstr>BUCK_HS_fall_time</vt:lpstr>
      <vt:lpstr>BUCK_HS_Qg</vt:lpstr>
      <vt:lpstr>BUCK_HS_Rdson</vt:lpstr>
      <vt:lpstr>BUCK_HS_rise_time</vt:lpstr>
      <vt:lpstr>BUCK_LS_dead_time</vt:lpstr>
      <vt:lpstr>BUCK_LS_deadtime</vt:lpstr>
      <vt:lpstr>BUCK_LS_Qg</vt:lpstr>
      <vt:lpstr>BUCK_LS_Qrr</vt:lpstr>
      <vt:lpstr>BUCK_LS_Rdson</vt:lpstr>
      <vt:lpstr>BUCK_LS_Vd</vt:lpstr>
      <vt:lpstr>C_bst_snubber</vt:lpstr>
      <vt:lpstr>C_buck_snubber</vt:lpstr>
      <vt:lpstr>C_ca</vt:lpstr>
      <vt:lpstr>Ccomp</vt:lpstr>
      <vt:lpstr>Cout_c</vt:lpstr>
      <vt:lpstr>Cout_e</vt:lpstr>
      <vt:lpstr>Cp</vt:lpstr>
      <vt:lpstr>DCR</vt:lpstr>
      <vt:lpstr>dVinpkpk</vt:lpstr>
      <vt:lpstr>dVoutpkpk</vt:lpstr>
      <vt:lpstr>eff</vt:lpstr>
      <vt:lpstr>ESR</vt:lpstr>
      <vt:lpstr>fco</vt:lpstr>
      <vt:lpstr>fp</vt:lpstr>
      <vt:lpstr>fp_comp2</vt:lpstr>
      <vt:lpstr>fsw</vt:lpstr>
      <vt:lpstr>fz_comp</vt:lpstr>
      <vt:lpstr>fz_ESR</vt:lpstr>
      <vt:lpstr>fzRHP</vt:lpstr>
      <vt:lpstr>gm_ca</vt:lpstr>
      <vt:lpstr>gm_EA</vt:lpstr>
      <vt:lpstr>gm_PS</vt:lpstr>
      <vt:lpstr>Iavg_limit</vt:lpstr>
      <vt:lpstr>ILpeak</vt:lpstr>
      <vt:lpstr>ILpeak_max</vt:lpstr>
      <vt:lpstr>ILrms</vt:lpstr>
      <vt:lpstr>ILrms_max</vt:lpstr>
      <vt:lpstr>ILvalley</vt:lpstr>
      <vt:lpstr>ILvalley_max</vt:lpstr>
      <vt:lpstr>Iout_limit</vt:lpstr>
      <vt:lpstr>Ioutmax</vt:lpstr>
      <vt:lpstr>K</vt:lpstr>
      <vt:lpstr>L</vt:lpstr>
      <vt:lpstr>Op_mode</vt:lpstr>
      <vt:lpstr>R_1</vt:lpstr>
      <vt:lpstr>R_7</vt:lpstr>
      <vt:lpstr>R_ca</vt:lpstr>
      <vt:lpstr>Rcomp</vt:lpstr>
      <vt:lpstr>Reg_Ilimit</vt:lpstr>
      <vt:lpstr>Reg_Vref</vt:lpstr>
      <vt:lpstr>Rpcb</vt:lpstr>
      <vt:lpstr>tou</vt:lpstr>
      <vt:lpstr>V_m</vt:lpstr>
      <vt:lpstr>Vin</vt:lpstr>
      <vt:lpstr>Vin_eff</vt:lpstr>
      <vt:lpstr>Vin_LP</vt:lpstr>
      <vt:lpstr>Vin_max</vt:lpstr>
      <vt:lpstr>Vin_min</vt:lpstr>
      <vt:lpstr>Vout</vt:lpstr>
      <vt:lpstr>Vout_LP</vt:lpstr>
      <vt:lpstr>Vout_max</vt:lpstr>
    </vt:vector>
  </TitlesOfParts>
  <Company>Texas Instruments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a0216859</dc:creator>
  <cp:lastModifiedBy>杭 苏</cp:lastModifiedBy>
  <dcterms:created xsi:type="dcterms:W3CDTF">2011-04-19T20:45:42Z</dcterms:created>
  <dcterms:modified xsi:type="dcterms:W3CDTF">2024-06-20T04:22:00Z</dcterms:modified>
</cp:coreProperties>
</file>