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185" yWindow="165" windowWidth="14805" windowHeight="7950" activeTab="3"/>
  </bookViews>
  <sheets>
    <sheet name="实验室测试项目" sheetId="7" r:id="rId1"/>
    <sheet name="地址对应码" sheetId="8" r:id="rId2"/>
    <sheet name="Sheet1" sheetId="9" r:id="rId3"/>
    <sheet name="Gain_offset step test" sheetId="15" r:id="rId4"/>
    <sheet name="Reload" sheetId="19" r:id="rId5"/>
    <sheet name="Sheet4" sheetId="18" r:id="rId6"/>
    <sheet name="Labtest_itme1" sheetId="10" r:id="rId7"/>
    <sheet name="Labtest_item2" sheetId="11" r:id="rId8"/>
    <sheet name="labtest_item3" sheetId="12" r:id="rId9"/>
    <sheet name="labtest_item4" sheetId="13" r:id="rId10"/>
    <sheet name="labtest_item5" sheetId="14" r:id="rId11"/>
    <sheet name="Sheet2" sheetId="16" r:id="rId12"/>
    <sheet name="Sheet3" sheetId="17" r:id="rId13"/>
  </sheets>
  <calcPr calcId="152511"/>
</workbook>
</file>

<file path=xl/calcChain.xml><?xml version="1.0" encoding="utf-8"?>
<calcChain xmlns="http://schemas.openxmlformats.org/spreadsheetml/2006/main">
  <c r="I22" i="15" l="1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21" i="15"/>
  <c r="AF5" i="15" l="1"/>
  <c r="AF6" i="15"/>
  <c r="AF7" i="15"/>
  <c r="AF8" i="15"/>
  <c r="AF9" i="15"/>
  <c r="AF10" i="15"/>
  <c r="AF11" i="15"/>
  <c r="AF12" i="15"/>
  <c r="AF13" i="15"/>
  <c r="AF14" i="15"/>
  <c r="AF15" i="15"/>
  <c r="AF16" i="15"/>
  <c r="AF17" i="15"/>
  <c r="AF18" i="15"/>
  <c r="AF4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U49" i="19" l="1"/>
  <c r="U50" i="19"/>
  <c r="U51" i="19"/>
  <c r="U52" i="19"/>
  <c r="U57" i="19"/>
  <c r="U58" i="19"/>
  <c r="U59" i="19"/>
  <c r="U60" i="19"/>
  <c r="U61" i="19"/>
  <c r="U62" i="19"/>
  <c r="U63" i="19"/>
  <c r="U64" i="19"/>
  <c r="W53" i="19"/>
  <c r="W54" i="19"/>
  <c r="W55" i="19"/>
  <c r="W56" i="19"/>
  <c r="W57" i="19"/>
  <c r="W58" i="19"/>
  <c r="W59" i="19"/>
  <c r="W60" i="19"/>
  <c r="W61" i="19"/>
  <c r="W62" i="19"/>
  <c r="W63" i="19"/>
  <c r="W64" i="19"/>
  <c r="W49" i="19"/>
  <c r="W50" i="19"/>
  <c r="W51" i="19"/>
  <c r="W52" i="19"/>
  <c r="V49" i="19"/>
  <c r="V50" i="19"/>
  <c r="V51" i="19"/>
  <c r="V52" i="19"/>
  <c r="V53" i="19"/>
  <c r="V54" i="19"/>
  <c r="V61" i="19"/>
  <c r="V62" i="19"/>
  <c r="V63" i="19"/>
  <c r="V64" i="19"/>
  <c r="V56" i="19"/>
  <c r="V59" i="19"/>
  <c r="V60" i="19"/>
  <c r="V55" i="19"/>
  <c r="U54" i="19"/>
  <c r="U55" i="19"/>
  <c r="U56" i="19"/>
  <c r="U53" i="19"/>
  <c r="V35" i="19"/>
  <c r="V36" i="19"/>
  <c r="V37" i="19"/>
  <c r="V38" i="19"/>
  <c r="V39" i="19"/>
  <c r="V40" i="19"/>
  <c r="V41" i="19"/>
  <c r="V34" i="19"/>
  <c r="V19" i="19"/>
  <c r="V20" i="19"/>
  <c r="V23" i="19"/>
  <c r="V24" i="19"/>
  <c r="V11" i="19"/>
  <c r="V12" i="19"/>
  <c r="V15" i="19"/>
  <c r="V16" i="19"/>
  <c r="S69" i="19"/>
  <c r="S71" i="19"/>
  <c r="S73" i="19"/>
  <c r="S75" i="19"/>
  <c r="S77" i="19"/>
  <c r="S79" i="19"/>
  <c r="S81" i="19"/>
  <c r="S83" i="19"/>
  <c r="S85" i="19"/>
  <c r="S87" i="19"/>
  <c r="S89" i="19"/>
  <c r="S91" i="19"/>
  <c r="S93" i="19"/>
  <c r="S95" i="19"/>
  <c r="S97" i="19"/>
  <c r="S67" i="19"/>
  <c r="R72" i="19"/>
  <c r="R73" i="19"/>
  <c r="R76" i="19"/>
  <c r="R77" i="19"/>
  <c r="R80" i="19"/>
  <c r="R81" i="19"/>
  <c r="R84" i="19"/>
  <c r="R85" i="19"/>
  <c r="R88" i="19"/>
  <c r="R89" i="19"/>
  <c r="R92" i="19"/>
  <c r="R93" i="19"/>
  <c r="R96" i="19"/>
  <c r="R97" i="19"/>
  <c r="R69" i="19"/>
  <c r="R68" i="19"/>
  <c r="Q86" i="19"/>
  <c r="Q87" i="19"/>
  <c r="Q88" i="19"/>
  <c r="Q89" i="19"/>
  <c r="Q94" i="19"/>
  <c r="Q95" i="19"/>
  <c r="Q96" i="19"/>
  <c r="Q97" i="19"/>
  <c r="Q78" i="19"/>
  <c r="Q79" i="19"/>
  <c r="Q80" i="19"/>
  <c r="Q81" i="19"/>
  <c r="Q71" i="19"/>
  <c r="Q72" i="19"/>
  <c r="Q73" i="19"/>
  <c r="Q70" i="19"/>
  <c r="P90" i="19"/>
  <c r="P75" i="19"/>
  <c r="P76" i="19"/>
  <c r="P77" i="19"/>
  <c r="P78" i="19"/>
  <c r="P79" i="19"/>
  <c r="P80" i="19"/>
  <c r="P81" i="19"/>
  <c r="P91" i="19"/>
  <c r="P92" i="19"/>
  <c r="P93" i="19"/>
  <c r="P94" i="19"/>
  <c r="P95" i="19"/>
  <c r="P96" i="19"/>
  <c r="P97" i="19"/>
  <c r="P74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82" i="19"/>
  <c r="S52" i="19"/>
  <c r="S54" i="19"/>
  <c r="S56" i="19"/>
  <c r="S58" i="19"/>
  <c r="S60" i="19"/>
  <c r="S62" i="19"/>
  <c r="S64" i="19"/>
  <c r="S50" i="19"/>
  <c r="R55" i="19"/>
  <c r="R56" i="19"/>
  <c r="R59" i="19"/>
  <c r="R60" i="19"/>
  <c r="R63" i="19"/>
  <c r="R64" i="19"/>
  <c r="R52" i="19"/>
  <c r="R51" i="19"/>
  <c r="Q61" i="19"/>
  <c r="Q62" i="19"/>
  <c r="Q63" i="19"/>
  <c r="Q64" i="19"/>
  <c r="Q54" i="19"/>
  <c r="Q55" i="19"/>
  <c r="Q56" i="19"/>
  <c r="Q53" i="19"/>
  <c r="P58" i="19"/>
  <c r="P59" i="19"/>
  <c r="P60" i="19"/>
  <c r="P61" i="19"/>
  <c r="P62" i="19"/>
  <c r="P63" i="19"/>
  <c r="P64" i="19"/>
  <c r="P57" i="19"/>
  <c r="AG5" i="15"/>
  <c r="AG6" i="15"/>
  <c r="AG7" i="15"/>
  <c r="AG8" i="15"/>
  <c r="AG9" i="15"/>
  <c r="AG10" i="15"/>
  <c r="AG11" i="15"/>
  <c r="AG12" i="15"/>
  <c r="AG13" i="15"/>
  <c r="AG14" i="15"/>
  <c r="AG15" i="15"/>
  <c r="AG16" i="15"/>
  <c r="AG17" i="15"/>
  <c r="AG18" i="15"/>
  <c r="I10" i="19"/>
  <c r="I11" i="19"/>
  <c r="I12" i="19" s="1"/>
  <c r="I13" i="19" s="1"/>
  <c r="I14" i="19" s="1"/>
  <c r="I15" i="19" s="1"/>
  <c r="I16" i="19" s="1"/>
  <c r="I17" i="19"/>
  <c r="I18" i="19"/>
  <c r="I19" i="19"/>
  <c r="I20" i="19"/>
  <c r="I21" i="19"/>
  <c r="I22" i="19"/>
  <c r="I23" i="19"/>
  <c r="I24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P9" i="19"/>
  <c r="S29" i="19"/>
  <c r="S31" i="19"/>
  <c r="S33" i="19"/>
  <c r="S35" i="19"/>
  <c r="S37" i="19"/>
  <c r="S39" i="19"/>
  <c r="S41" i="19"/>
  <c r="S27" i="19"/>
  <c r="R29" i="19"/>
  <c r="R32" i="19"/>
  <c r="R33" i="19"/>
  <c r="R36" i="19"/>
  <c r="R37" i="19"/>
  <c r="R40" i="19"/>
  <c r="R41" i="19"/>
  <c r="R28" i="19"/>
  <c r="Q38" i="19"/>
  <c r="Q39" i="19"/>
  <c r="Q40" i="19"/>
  <c r="Q41" i="19"/>
  <c r="Q31" i="19"/>
  <c r="Q32" i="19"/>
  <c r="Q33" i="19"/>
  <c r="Q30" i="19"/>
  <c r="P35" i="19"/>
  <c r="P36" i="19"/>
  <c r="P37" i="19"/>
  <c r="P38" i="19"/>
  <c r="P39" i="19"/>
  <c r="P40" i="19"/>
  <c r="P41" i="19"/>
  <c r="P34" i="19"/>
  <c r="S14" i="19"/>
  <c r="S16" i="19"/>
  <c r="S18" i="19"/>
  <c r="S20" i="19"/>
  <c r="S22" i="19"/>
  <c r="S24" i="19"/>
  <c r="S12" i="19"/>
  <c r="S10" i="19"/>
  <c r="R19" i="19"/>
  <c r="R20" i="19"/>
  <c r="R23" i="19"/>
  <c r="R24" i="19"/>
  <c r="R16" i="19"/>
  <c r="R15" i="19"/>
  <c r="R12" i="19"/>
  <c r="R11" i="19"/>
  <c r="Q22" i="19"/>
  <c r="Q23" i="19"/>
  <c r="Q24" i="19"/>
  <c r="Q21" i="19"/>
  <c r="Q16" i="19"/>
  <c r="Q15" i="19"/>
  <c r="Q14" i="19"/>
  <c r="Q13" i="19"/>
  <c r="P10" i="19"/>
  <c r="P11" i="19"/>
  <c r="P12" i="19"/>
  <c r="P13" i="19"/>
  <c r="P14" i="19"/>
  <c r="P15" i="19"/>
  <c r="P16" i="19"/>
  <c r="AF56" i="15"/>
  <c r="AF57" i="15"/>
  <c r="AF58" i="15"/>
  <c r="AF59" i="15"/>
  <c r="AF60" i="15"/>
  <c r="AF61" i="15"/>
  <c r="AF62" i="15"/>
  <c r="AF55" i="15"/>
  <c r="F126" i="9" l="1"/>
  <c r="H126" i="9" s="1"/>
  <c r="R126" i="9"/>
  <c r="S126" i="9" s="1" a="1"/>
  <c r="S126" i="9" s="1"/>
  <c r="AH126" i="9"/>
  <c r="AJ126" i="9" s="1"/>
  <c r="AI126" i="9"/>
  <c r="X126" i="9" l="1" a="1"/>
  <c r="X126" i="9" s="1"/>
  <c r="I126" i="9" a="1"/>
  <c r="I126" i="9" s="1"/>
  <c r="W126" i="9" a="1"/>
  <c r="W126" i="9" s="1"/>
  <c r="T126" i="9"/>
  <c r="AC126" i="9" a="1"/>
  <c r="AC126" i="9" s="1"/>
  <c r="Z126" i="9" a="1"/>
  <c r="Z126" i="9" s="1"/>
  <c r="AB126" i="9" l="1"/>
  <c r="AD126" i="9" a="1"/>
  <c r="AD126" i="9" s="1"/>
  <c r="AE126" i="9" s="1"/>
  <c r="U126" i="9" a="1"/>
  <c r="U126" i="9" s="1"/>
  <c r="O126" i="9"/>
  <c r="F122" i="9"/>
  <c r="H122" i="9" s="1"/>
  <c r="X122" i="9" s="1" a="1"/>
  <c r="X122" i="9" s="1"/>
  <c r="R122" i="9"/>
  <c r="S122" i="9" s="1" a="1"/>
  <c r="S122" i="9" s="1"/>
  <c r="AH122" i="9"/>
  <c r="AJ122" i="9" s="1"/>
  <c r="AI122" i="9"/>
  <c r="F123" i="9"/>
  <c r="H123" i="9" s="1"/>
  <c r="R123" i="9"/>
  <c r="S123" i="9" a="1"/>
  <c r="S123" i="9"/>
  <c r="Z123" i="9" a="1"/>
  <c r="Z123" i="9" s="1"/>
  <c r="AC123" i="9" a="1"/>
  <c r="AC123" i="9" s="1"/>
  <c r="AH123" i="9"/>
  <c r="AJ123" i="9" s="1"/>
  <c r="AI123" i="9"/>
  <c r="F124" i="9"/>
  <c r="H124" i="9" s="1"/>
  <c r="R124" i="9"/>
  <c r="AC124" i="9" s="1" a="1"/>
  <c r="AC124" i="9" s="1"/>
  <c r="S124" i="9" a="1"/>
  <c r="S124" i="9" s="1"/>
  <c r="Z124" i="9" a="1"/>
  <c r="Z124" i="9" s="1"/>
  <c r="AH124" i="9"/>
  <c r="AI124" i="9"/>
  <c r="F125" i="9"/>
  <c r="H125" i="9" s="1"/>
  <c r="R125" i="9"/>
  <c r="AC125" i="9" a="1"/>
  <c r="AC125" i="9" s="1"/>
  <c r="AH125" i="9"/>
  <c r="AI125" i="9"/>
  <c r="F127" i="9"/>
  <c r="H127" i="9" s="1"/>
  <c r="R127" i="9"/>
  <c r="AC127" i="9" s="1" a="1"/>
  <c r="AC127" i="9" s="1"/>
  <c r="S127" i="9" a="1"/>
  <c r="S127" i="9" s="1"/>
  <c r="Z127" i="9" a="1"/>
  <c r="Z127" i="9" s="1"/>
  <c r="AH127" i="9"/>
  <c r="AI127" i="9"/>
  <c r="F128" i="9"/>
  <c r="H128" i="9" s="1"/>
  <c r="R128" i="9"/>
  <c r="S128" i="9" a="1"/>
  <c r="S128" i="9" s="1"/>
  <c r="Z128" i="9" a="1"/>
  <c r="Z128" i="9" s="1"/>
  <c r="AC128" i="9" a="1"/>
  <c r="AC128" i="9" s="1"/>
  <c r="AH128" i="9"/>
  <c r="AI128" i="9"/>
  <c r="F121" i="9"/>
  <c r="H121" i="9"/>
  <c r="I121" i="9" a="1"/>
  <c r="I121" i="9"/>
  <c r="R121" i="9"/>
  <c r="S121" i="9" a="1"/>
  <c r="S121" i="9" s="1"/>
  <c r="T121" i="9" s="1"/>
  <c r="U121" i="9" s="1" a="1"/>
  <c r="U121" i="9" s="1"/>
  <c r="Z121" i="9" a="1"/>
  <c r="Z121" i="9" s="1"/>
  <c r="AC121" i="9" a="1"/>
  <c r="AC121" i="9" s="1"/>
  <c r="AH121" i="9"/>
  <c r="AI121" i="9"/>
  <c r="AJ121" i="9"/>
  <c r="S117" i="9" a="1"/>
  <c r="S117" i="9" s="1"/>
  <c r="T117" i="9" s="1"/>
  <c r="R120" i="9"/>
  <c r="AG56" i="15"/>
  <c r="AG57" i="15"/>
  <c r="AG58" i="15"/>
  <c r="AG59" i="15"/>
  <c r="AG60" i="15"/>
  <c r="AG61" i="15"/>
  <c r="AG62" i="15"/>
  <c r="AG63" i="15"/>
  <c r="AG64" i="15"/>
  <c r="AG65" i="15"/>
  <c r="AG66" i="15"/>
  <c r="AG67" i="15"/>
  <c r="AG68" i="15"/>
  <c r="AG69" i="15"/>
  <c r="AG70" i="15"/>
  <c r="AC73" i="15"/>
  <c r="AC74" i="15"/>
  <c r="AC75" i="15"/>
  <c r="AC76" i="15"/>
  <c r="AC77" i="15"/>
  <c r="AC78" i="15"/>
  <c r="AC79" i="15"/>
  <c r="AC80" i="15"/>
  <c r="AC81" i="15"/>
  <c r="AC82" i="15"/>
  <c r="AC83" i="15"/>
  <c r="AC84" i="15"/>
  <c r="AC85" i="15"/>
  <c r="AC86" i="15"/>
  <c r="AC87" i="15"/>
  <c r="AC72" i="15"/>
  <c r="Z73" i="15"/>
  <c r="Z74" i="15"/>
  <c r="Z75" i="15"/>
  <c r="Z76" i="15"/>
  <c r="Z77" i="15"/>
  <c r="Z78" i="15"/>
  <c r="Z79" i="15"/>
  <c r="Z80" i="15"/>
  <c r="Z81" i="15"/>
  <c r="Z82" i="15"/>
  <c r="Z83" i="15"/>
  <c r="Z84" i="15"/>
  <c r="Z85" i="15"/>
  <c r="Z86" i="15"/>
  <c r="Z87" i="15"/>
  <c r="Z72" i="15"/>
  <c r="W73" i="15"/>
  <c r="W74" i="15"/>
  <c r="W75" i="15"/>
  <c r="W76" i="15"/>
  <c r="W77" i="15"/>
  <c r="W78" i="15"/>
  <c r="W79" i="15"/>
  <c r="W80" i="15"/>
  <c r="W81" i="15"/>
  <c r="W82" i="15"/>
  <c r="W83" i="15"/>
  <c r="W84" i="15"/>
  <c r="W85" i="15"/>
  <c r="W86" i="15"/>
  <c r="W87" i="15"/>
  <c r="W72" i="15"/>
  <c r="T73" i="15"/>
  <c r="T74" i="15"/>
  <c r="T75" i="15"/>
  <c r="T76" i="15"/>
  <c r="T77" i="15"/>
  <c r="T78" i="15"/>
  <c r="T79" i="15"/>
  <c r="T80" i="15"/>
  <c r="T81" i="15"/>
  <c r="T82" i="15"/>
  <c r="T83" i="15"/>
  <c r="T84" i="15"/>
  <c r="T85" i="15"/>
  <c r="T86" i="15"/>
  <c r="T87" i="15"/>
  <c r="T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72" i="15"/>
  <c r="AC56" i="15"/>
  <c r="AC57" i="15"/>
  <c r="AC58" i="15"/>
  <c r="AC59" i="15"/>
  <c r="AC60" i="15"/>
  <c r="AC61" i="15"/>
  <c r="AC62" i="15"/>
  <c r="AC63" i="15"/>
  <c r="AC64" i="15"/>
  <c r="AC65" i="15"/>
  <c r="AC66" i="15"/>
  <c r="AC67" i="15"/>
  <c r="AC68" i="15"/>
  <c r="AC69" i="15"/>
  <c r="AC70" i="15"/>
  <c r="Z56" i="15"/>
  <c r="Z57" i="15"/>
  <c r="Z58" i="15"/>
  <c r="Z59" i="15"/>
  <c r="Z60" i="15"/>
  <c r="Z61" i="15"/>
  <c r="Z62" i="15"/>
  <c r="Z63" i="15"/>
  <c r="Z64" i="15"/>
  <c r="Z65" i="15"/>
  <c r="Z66" i="15"/>
  <c r="Z67" i="15"/>
  <c r="Z68" i="15"/>
  <c r="Z69" i="15"/>
  <c r="Z70" i="15"/>
  <c r="W56" i="15"/>
  <c r="W57" i="15"/>
  <c r="W58" i="15"/>
  <c r="W59" i="15"/>
  <c r="W60" i="15"/>
  <c r="W61" i="15"/>
  <c r="W62" i="15"/>
  <c r="W63" i="15"/>
  <c r="W64" i="15"/>
  <c r="W65" i="15"/>
  <c r="W66" i="15"/>
  <c r="W67" i="15"/>
  <c r="W68" i="15"/>
  <c r="W69" i="15"/>
  <c r="W70" i="15"/>
  <c r="AC55" i="15"/>
  <c r="Z55" i="15"/>
  <c r="W55" i="15"/>
  <c r="T56" i="15"/>
  <c r="T57" i="15"/>
  <c r="T58" i="15"/>
  <c r="T59" i="15"/>
  <c r="T60" i="15"/>
  <c r="T61" i="15"/>
  <c r="T62" i="15"/>
  <c r="T63" i="15"/>
  <c r="T64" i="15"/>
  <c r="T65" i="15"/>
  <c r="T66" i="15"/>
  <c r="T67" i="15"/>
  <c r="T68" i="15"/>
  <c r="T69" i="15"/>
  <c r="T70" i="15"/>
  <c r="T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55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72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55" i="15"/>
  <c r="G79" i="15"/>
  <c r="G80" i="15"/>
  <c r="G78" i="15"/>
  <c r="H117" i="9"/>
  <c r="W117" i="9" s="1" a="1"/>
  <c r="W117" i="9" s="1"/>
  <c r="F117" i="9"/>
  <c r="R117" i="9"/>
  <c r="AC117" i="9" a="1"/>
  <c r="AC117" i="9" s="1"/>
  <c r="T123" i="9" l="1"/>
  <c r="U123" i="9" s="1" a="1"/>
  <c r="U123" i="9" s="1"/>
  <c r="AK123" i="9" s="1"/>
  <c r="P126" i="9" a="1"/>
  <c r="P126" i="9" s="1"/>
  <c r="Q126" i="9" s="1"/>
  <c r="Y126" i="9" a="1"/>
  <c r="Y126" i="9" s="1"/>
  <c r="AA126" i="9" s="1"/>
  <c r="AK126" i="9"/>
  <c r="V126" i="9"/>
  <c r="AC122" i="9" a="1"/>
  <c r="AC122" i="9" s="1"/>
  <c r="AJ125" i="9"/>
  <c r="AJ128" i="9"/>
  <c r="I124" i="9" a="1"/>
  <c r="I124" i="9" s="1"/>
  <c r="O124" i="9" s="1"/>
  <c r="W124" i="9" a="1"/>
  <c r="W124" i="9" s="1"/>
  <c r="T127" i="9"/>
  <c r="U127" i="9" s="1" a="1"/>
  <c r="U127" i="9" s="1"/>
  <c r="AK127" i="9" s="1"/>
  <c r="AJ127" i="9"/>
  <c r="I123" i="9" a="1"/>
  <c r="I123" i="9" s="1"/>
  <c r="O123" i="9" s="1"/>
  <c r="W123" i="9" a="1"/>
  <c r="W123" i="9" s="1"/>
  <c r="I127" i="9" a="1"/>
  <c r="I127" i="9" s="1"/>
  <c r="O127" i="9" s="1"/>
  <c r="W127" i="9" a="1"/>
  <c r="W127" i="9" s="1"/>
  <c r="W128" i="9" a="1"/>
  <c r="W128" i="9" s="1"/>
  <c r="I128" i="9" a="1"/>
  <c r="I128" i="9" s="1"/>
  <c r="O128" i="9" s="1"/>
  <c r="I125" i="9" a="1"/>
  <c r="I125" i="9" s="1"/>
  <c r="W125" i="9" a="1"/>
  <c r="W125" i="9" s="1"/>
  <c r="X125" i="9" a="1"/>
  <c r="X125" i="9" s="1"/>
  <c r="I122" i="9" a="1"/>
  <c r="I122" i="9" s="1"/>
  <c r="O122" i="9" s="1"/>
  <c r="W122" i="9" a="1"/>
  <c r="W122" i="9" s="1"/>
  <c r="T128" i="9"/>
  <c r="X128" i="9" a="1"/>
  <c r="X128" i="9" s="1"/>
  <c r="AB128" i="9" s="1"/>
  <c r="Z125" i="9" a="1"/>
  <c r="Z125" i="9" s="1"/>
  <c r="AJ124" i="9"/>
  <c r="Z122" i="9" a="1"/>
  <c r="Z122" i="9" s="1"/>
  <c r="AB122" i="9" s="1"/>
  <c r="S125" i="9" a="1"/>
  <c r="S125" i="9" s="1"/>
  <c r="T124" i="9"/>
  <c r="X124" i="9" a="1"/>
  <c r="X124" i="9" s="1"/>
  <c r="AB124" i="9" s="1"/>
  <c r="T122" i="9"/>
  <c r="X127" i="9" a="1"/>
  <c r="X127" i="9" s="1"/>
  <c r="AB127" i="9" s="1"/>
  <c r="X123" i="9" a="1"/>
  <c r="X123" i="9" s="1"/>
  <c r="AB123" i="9" s="1"/>
  <c r="O121" i="9"/>
  <c r="P121" i="9" s="1" a="1"/>
  <c r="P121" i="9" s="1"/>
  <c r="Q121" i="9" s="1"/>
  <c r="W121" i="9" a="1"/>
  <c r="W121" i="9" s="1"/>
  <c r="AK121" i="9"/>
  <c r="AD121" i="9" a="1"/>
  <c r="AD121" i="9" s="1"/>
  <c r="AE121" i="9" s="1"/>
  <c r="X121" i="9" a="1"/>
  <c r="X121" i="9" s="1"/>
  <c r="AB121" i="9" s="1"/>
  <c r="Z117" i="9" a="1"/>
  <c r="Z117" i="9" s="1"/>
  <c r="X117" i="9" a="1"/>
  <c r="X117" i="9" s="1"/>
  <c r="I117" i="9" a="1"/>
  <c r="I117" i="9" s="1"/>
  <c r="AD117" i="9" a="1"/>
  <c r="AD117" i="9" s="1"/>
  <c r="AE117" i="9" s="1"/>
  <c r="U117" i="9" a="1"/>
  <c r="U117" i="9" s="1"/>
  <c r="AD23" i="15"/>
  <c r="AD24" i="15"/>
  <c r="AD25" i="15"/>
  <c r="AD26" i="15"/>
  <c r="AD27" i="15"/>
  <c r="AD28" i="15"/>
  <c r="AD29" i="15"/>
  <c r="AD30" i="15"/>
  <c r="AD31" i="15"/>
  <c r="AD32" i="15"/>
  <c r="AD33" i="15"/>
  <c r="AD34" i="15"/>
  <c r="AD35" i="15"/>
  <c r="AD36" i="15"/>
  <c r="AD37" i="15"/>
  <c r="AD38" i="15"/>
  <c r="AD39" i="15"/>
  <c r="AD40" i="15"/>
  <c r="AD41" i="15"/>
  <c r="AD42" i="15"/>
  <c r="AD43" i="15"/>
  <c r="AD44" i="15"/>
  <c r="AD45" i="15"/>
  <c r="AD46" i="15"/>
  <c r="AD47" i="15"/>
  <c r="AD48" i="15"/>
  <c r="AD49" i="15"/>
  <c r="AD50" i="15"/>
  <c r="AD51" i="15"/>
  <c r="AD52" i="15"/>
  <c r="AD22" i="15"/>
  <c r="AA23" i="15"/>
  <c r="AA24" i="15"/>
  <c r="AA25" i="15"/>
  <c r="AA26" i="15"/>
  <c r="AA27" i="15"/>
  <c r="AA28" i="15"/>
  <c r="AA29" i="15"/>
  <c r="AA30" i="15"/>
  <c r="AA31" i="15"/>
  <c r="AA32" i="15"/>
  <c r="AA33" i="15"/>
  <c r="AA34" i="15"/>
  <c r="AA35" i="15"/>
  <c r="AA36" i="15"/>
  <c r="AA37" i="15"/>
  <c r="AA38" i="15"/>
  <c r="AA39" i="15"/>
  <c r="AA40" i="15"/>
  <c r="AA41" i="15"/>
  <c r="AA42" i="15"/>
  <c r="AA43" i="15"/>
  <c r="AA44" i="15"/>
  <c r="AA45" i="15"/>
  <c r="AA46" i="15"/>
  <c r="AA47" i="15"/>
  <c r="AA48" i="15"/>
  <c r="AA49" i="15"/>
  <c r="AA50" i="15"/>
  <c r="AA51" i="15"/>
  <c r="AA52" i="15"/>
  <c r="AA22" i="15"/>
  <c r="X23" i="15"/>
  <c r="X24" i="15"/>
  <c r="X25" i="15"/>
  <c r="X26" i="15"/>
  <c r="X27" i="15"/>
  <c r="X28" i="15"/>
  <c r="X29" i="15"/>
  <c r="X30" i="15"/>
  <c r="X31" i="15"/>
  <c r="X32" i="15"/>
  <c r="X33" i="15"/>
  <c r="X34" i="15"/>
  <c r="X35" i="15"/>
  <c r="X36" i="15"/>
  <c r="X37" i="15"/>
  <c r="X38" i="15"/>
  <c r="X39" i="15"/>
  <c r="X40" i="15"/>
  <c r="X41" i="15"/>
  <c r="X42" i="15"/>
  <c r="X43" i="15"/>
  <c r="X44" i="15"/>
  <c r="X45" i="15"/>
  <c r="X46" i="15"/>
  <c r="X47" i="15"/>
  <c r="X48" i="15"/>
  <c r="X49" i="15"/>
  <c r="X50" i="15"/>
  <c r="X51" i="15"/>
  <c r="X52" i="15"/>
  <c r="X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22" i="15"/>
  <c r="AD4" i="15"/>
  <c r="AD5" i="15"/>
  <c r="AD6" i="15"/>
  <c r="AD7" i="15"/>
  <c r="AD8" i="15"/>
  <c r="AD9" i="15"/>
  <c r="AD10" i="15"/>
  <c r="AD11" i="15"/>
  <c r="AD12" i="15"/>
  <c r="AD13" i="15"/>
  <c r="AD14" i="15"/>
  <c r="AD15" i="15"/>
  <c r="AD16" i="15"/>
  <c r="AD17" i="15"/>
  <c r="AD18" i="15"/>
  <c r="AA4" i="15"/>
  <c r="AA5" i="15"/>
  <c r="AA6" i="15"/>
  <c r="AA7" i="15"/>
  <c r="AA8" i="15"/>
  <c r="AA9" i="15"/>
  <c r="AA10" i="15"/>
  <c r="AA11" i="15"/>
  <c r="AA12" i="15"/>
  <c r="AA13" i="15"/>
  <c r="AA14" i="15"/>
  <c r="AA15" i="15"/>
  <c r="AA16" i="15"/>
  <c r="AA17" i="15"/>
  <c r="AA18" i="15"/>
  <c r="X4" i="15"/>
  <c r="X5" i="15"/>
  <c r="X6" i="15"/>
  <c r="X7" i="15"/>
  <c r="X8" i="15"/>
  <c r="X9" i="15"/>
  <c r="X10" i="15"/>
  <c r="X11" i="15"/>
  <c r="X12" i="15"/>
  <c r="X13" i="15"/>
  <c r="X14" i="15"/>
  <c r="X15" i="15"/>
  <c r="X16" i="15"/>
  <c r="X17" i="15"/>
  <c r="X18" i="15"/>
  <c r="U4" i="15"/>
  <c r="U5" i="15"/>
  <c r="U6" i="15"/>
  <c r="U7" i="15"/>
  <c r="U8" i="15"/>
  <c r="U9" i="15"/>
  <c r="U10" i="15"/>
  <c r="U11" i="15"/>
  <c r="U12" i="15"/>
  <c r="U13" i="15"/>
  <c r="U14" i="15"/>
  <c r="U15" i="15"/>
  <c r="U16" i="15"/>
  <c r="U17" i="15"/>
  <c r="U18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V123" i="9" l="1"/>
  <c r="AD123" i="9" a="1"/>
  <c r="AD123" i="9" s="1"/>
  <c r="AE123" i="9" s="1"/>
  <c r="V127" i="9"/>
  <c r="Y121" i="9" a="1"/>
  <c r="Y121" i="9" s="1"/>
  <c r="AA121" i="9" s="1"/>
  <c r="AD127" i="9" a="1"/>
  <c r="AD127" i="9" s="1"/>
  <c r="AE127" i="9" s="1"/>
  <c r="P123" i="9" a="1"/>
  <c r="P123" i="9" s="1"/>
  <c r="Q123" i="9" s="1"/>
  <c r="Y123" i="9" a="1"/>
  <c r="Y123" i="9" s="1"/>
  <c r="AA123" i="9" s="1"/>
  <c r="P124" i="9" a="1"/>
  <c r="P124" i="9" s="1"/>
  <c r="Q124" i="9" s="1"/>
  <c r="Y124" i="9" a="1"/>
  <c r="Y124" i="9" s="1"/>
  <c r="AA124" i="9" s="1"/>
  <c r="P127" i="9" a="1"/>
  <c r="P127" i="9" s="1"/>
  <c r="Q127" i="9" s="1"/>
  <c r="Y127" i="9" a="1"/>
  <c r="Y127" i="9" s="1"/>
  <c r="AA127" i="9" s="1"/>
  <c r="U124" i="9" a="1"/>
  <c r="U124" i="9" s="1"/>
  <c r="AD124" i="9" a="1"/>
  <c r="AD124" i="9" s="1"/>
  <c r="AE124" i="9" s="1"/>
  <c r="P122" i="9" a="1"/>
  <c r="P122" i="9" s="1"/>
  <c r="Q122" i="9" s="1"/>
  <c r="Y122" i="9" a="1"/>
  <c r="Y122" i="9" s="1"/>
  <c r="AA122" i="9" s="1"/>
  <c r="AB125" i="9"/>
  <c r="AD122" i="9" a="1"/>
  <c r="AD122" i="9" s="1"/>
  <c r="AE122" i="9" s="1"/>
  <c r="U122" i="9" a="1"/>
  <c r="U122" i="9" s="1"/>
  <c r="P128" i="9" a="1"/>
  <c r="P128" i="9" s="1"/>
  <c r="Q128" i="9" s="1"/>
  <c r="Y128" i="9" a="1"/>
  <c r="Y128" i="9" s="1"/>
  <c r="AA128" i="9" s="1"/>
  <c r="T125" i="9"/>
  <c r="O125" i="9"/>
  <c r="U128" i="9" a="1"/>
  <c r="U128" i="9" s="1"/>
  <c r="AD128" i="9" a="1"/>
  <c r="AD128" i="9" s="1"/>
  <c r="AE128" i="9" s="1"/>
  <c r="AB117" i="9"/>
  <c r="O117" i="9"/>
  <c r="F118" i="9"/>
  <c r="H118" i="9" s="1"/>
  <c r="R118" i="9"/>
  <c r="AH118" i="9"/>
  <c r="AI118" i="9"/>
  <c r="F120" i="9"/>
  <c r="H120" i="9" s="1"/>
  <c r="AH120" i="9"/>
  <c r="AJ120" i="9" s="1"/>
  <c r="AI120" i="9"/>
  <c r="F116" i="9"/>
  <c r="H116" i="9" s="1"/>
  <c r="R116" i="9"/>
  <c r="AH116" i="9"/>
  <c r="AI116" i="9"/>
  <c r="F115" i="9"/>
  <c r="H115" i="9" s="1"/>
  <c r="R115" i="9"/>
  <c r="AH115" i="9"/>
  <c r="AJ115" i="9" s="1"/>
  <c r="AI115" i="9"/>
  <c r="AH114" i="9"/>
  <c r="AJ114" i="9" s="1"/>
  <c r="AI114" i="9"/>
  <c r="F114" i="9"/>
  <c r="H114" i="9" s="1"/>
  <c r="F113" i="9"/>
  <c r="H113" i="9" s="1"/>
  <c r="AI113" i="9"/>
  <c r="AH113" i="9"/>
  <c r="R114" i="9"/>
  <c r="R113" i="9"/>
  <c r="N104" i="9"/>
  <c r="O104" i="9" s="1"/>
  <c r="R104" i="9"/>
  <c r="N105" i="9"/>
  <c r="O105" i="9" s="1"/>
  <c r="R105" i="9"/>
  <c r="N106" i="9"/>
  <c r="O106" i="9"/>
  <c r="Y106" i="9" s="1" a="1"/>
  <c r="Y106" i="9" s="1"/>
  <c r="R106" i="9"/>
  <c r="N107" i="9"/>
  <c r="O107" i="9"/>
  <c r="P107" i="9" s="1" a="1"/>
  <c r="P107" i="9" s="1"/>
  <c r="R107" i="9"/>
  <c r="N108" i="9"/>
  <c r="O108" i="9" s="1"/>
  <c r="R108" i="9"/>
  <c r="N109" i="9"/>
  <c r="O109" i="9" s="1"/>
  <c r="R109" i="9"/>
  <c r="N110" i="9"/>
  <c r="O110" i="9"/>
  <c r="Y110" i="9" s="1" a="1"/>
  <c r="Y110" i="9" s="1"/>
  <c r="R110" i="9"/>
  <c r="H111" i="9"/>
  <c r="N111" i="9"/>
  <c r="O111" i="9"/>
  <c r="P111" i="9" s="1" a="1"/>
  <c r="P111" i="9" s="1"/>
  <c r="R111" i="9"/>
  <c r="N112" i="9"/>
  <c r="O112" i="9" s="1"/>
  <c r="R112" i="9"/>
  <c r="F96" i="9"/>
  <c r="N97" i="9"/>
  <c r="O97" i="9" s="1"/>
  <c r="N98" i="9"/>
  <c r="F97" i="9"/>
  <c r="F98" i="9"/>
  <c r="G98" i="9"/>
  <c r="O98" i="9" s="1"/>
  <c r="N96" i="9"/>
  <c r="G96" i="9"/>
  <c r="AG96" i="9" s="1"/>
  <c r="G97" i="9"/>
  <c r="N92" i="9"/>
  <c r="N93" i="9"/>
  <c r="F92" i="9"/>
  <c r="G92" i="9"/>
  <c r="O92" i="9" s="1"/>
  <c r="F93" i="9"/>
  <c r="G93" i="9"/>
  <c r="N91" i="9"/>
  <c r="F91" i="9"/>
  <c r="G91" i="9"/>
  <c r="O91" i="9" s="1"/>
  <c r="R90" i="9"/>
  <c r="N90" i="9"/>
  <c r="G90" i="9"/>
  <c r="AG90" i="9" s="1"/>
  <c r="F90" i="9"/>
  <c r="G88" i="9"/>
  <c r="F87" i="9"/>
  <c r="N81" i="9"/>
  <c r="AG47" i="9"/>
  <c r="AF47" i="9"/>
  <c r="R47" i="9"/>
  <c r="N47" i="9"/>
  <c r="O47" i="9" s="1"/>
  <c r="F47" i="9"/>
  <c r="N44" i="9"/>
  <c r="O44" i="9" s="1"/>
  <c r="AG46" i="9"/>
  <c r="AF46" i="9"/>
  <c r="R46" i="9"/>
  <c r="N46" i="9"/>
  <c r="O46" i="9" s="1"/>
  <c r="F46" i="9"/>
  <c r="AG45" i="9"/>
  <c r="AF45" i="9"/>
  <c r="R45" i="9"/>
  <c r="N45" i="9"/>
  <c r="O45" i="9" s="1"/>
  <c r="F45" i="9"/>
  <c r="AG44" i="9"/>
  <c r="AF44" i="9"/>
  <c r="R44" i="9"/>
  <c r="F44" i="9"/>
  <c r="AG43" i="9"/>
  <c r="AF43" i="9"/>
  <c r="R43" i="9"/>
  <c r="N43" i="9"/>
  <c r="O43" i="9" s="1"/>
  <c r="F43" i="9"/>
  <c r="A44" i="9"/>
  <c r="A45" i="9" s="1"/>
  <c r="A46" i="9" s="1"/>
  <c r="A47" i="9" s="1"/>
  <c r="N78" i="9"/>
  <c r="O78" i="9" s="1"/>
  <c r="AG64" i="9"/>
  <c r="AF64" i="9"/>
  <c r="R64" i="9"/>
  <c r="N64" i="9"/>
  <c r="O64" i="9" s="1"/>
  <c r="P64" i="9" s="1" a="1"/>
  <c r="P64" i="9" s="1"/>
  <c r="F64" i="9"/>
  <c r="N74" i="9"/>
  <c r="O74" i="9" s="1"/>
  <c r="AG112" i="9"/>
  <c r="AF112" i="9"/>
  <c r="F112" i="9"/>
  <c r="AG111" i="9"/>
  <c r="AF111" i="9"/>
  <c r="F111" i="9"/>
  <c r="AG110" i="9"/>
  <c r="AF110" i="9"/>
  <c r="F110" i="9"/>
  <c r="H110" i="9" s="1"/>
  <c r="AG109" i="9"/>
  <c r="AF109" i="9"/>
  <c r="F109" i="9"/>
  <c r="H109" i="9" s="1"/>
  <c r="AG108" i="9"/>
  <c r="AF108" i="9"/>
  <c r="F108" i="9"/>
  <c r="AG107" i="9"/>
  <c r="AF107" i="9"/>
  <c r="F107" i="9"/>
  <c r="H107" i="9" s="1"/>
  <c r="AG106" i="9"/>
  <c r="AF106" i="9"/>
  <c r="F106" i="9"/>
  <c r="AG105" i="9"/>
  <c r="AF105" i="9"/>
  <c r="F105" i="9"/>
  <c r="H105" i="9" s="1"/>
  <c r="AG104" i="9"/>
  <c r="AF104" i="9"/>
  <c r="F104" i="9"/>
  <c r="AG103" i="9"/>
  <c r="AF103" i="9"/>
  <c r="R103" i="9"/>
  <c r="N103" i="9"/>
  <c r="O103" i="9" s="1"/>
  <c r="F103" i="9"/>
  <c r="AG102" i="9"/>
  <c r="AF102" i="9"/>
  <c r="R102" i="9"/>
  <c r="N102" i="9"/>
  <c r="O102" i="9" s="1"/>
  <c r="F102" i="9"/>
  <c r="AG101" i="9"/>
  <c r="AF101" i="9"/>
  <c r="R101" i="9"/>
  <c r="N101" i="9"/>
  <c r="O101" i="9" s="1"/>
  <c r="F101" i="9"/>
  <c r="AF98" i="9"/>
  <c r="R98" i="9"/>
  <c r="AG97" i="9"/>
  <c r="AF97" i="9"/>
  <c r="R97" i="9"/>
  <c r="R96" i="9"/>
  <c r="AG93" i="9"/>
  <c r="AF93" i="9"/>
  <c r="R93" i="9"/>
  <c r="O93" i="9"/>
  <c r="AG92" i="9"/>
  <c r="AF92" i="9"/>
  <c r="R92" i="9"/>
  <c r="R91" i="9"/>
  <c r="AG88" i="9"/>
  <c r="AF88" i="9"/>
  <c r="R88" i="9"/>
  <c r="N88" i="9"/>
  <c r="O88" i="9" s="1"/>
  <c r="F88" i="9"/>
  <c r="AG87" i="9"/>
  <c r="AF87" i="9"/>
  <c r="R87" i="9"/>
  <c r="N87" i="9"/>
  <c r="O87" i="9" s="1"/>
  <c r="AG86" i="9"/>
  <c r="AF86" i="9"/>
  <c r="R86" i="9"/>
  <c r="N86" i="9"/>
  <c r="O86" i="9" s="1"/>
  <c r="F86" i="9"/>
  <c r="AG85" i="9"/>
  <c r="AF85" i="9"/>
  <c r="R85" i="9"/>
  <c r="N85" i="9"/>
  <c r="O85" i="9" s="1"/>
  <c r="F85" i="9"/>
  <c r="AG84" i="9"/>
  <c r="AF84" i="9"/>
  <c r="R84" i="9"/>
  <c r="N84" i="9"/>
  <c r="O84" i="9" s="1"/>
  <c r="F84" i="9"/>
  <c r="AG83" i="9"/>
  <c r="AF83" i="9"/>
  <c r="R83" i="9"/>
  <c r="N83" i="9"/>
  <c r="O83" i="9" s="1"/>
  <c r="F83" i="9"/>
  <c r="AG82" i="9"/>
  <c r="AF82" i="9"/>
  <c r="R82" i="9"/>
  <c r="N82" i="9"/>
  <c r="O82" i="9" s="1"/>
  <c r="F82" i="9"/>
  <c r="AG81" i="9"/>
  <c r="AF81" i="9"/>
  <c r="R81" i="9"/>
  <c r="O81" i="9"/>
  <c r="F81" i="9"/>
  <c r="AG80" i="9"/>
  <c r="AF80" i="9"/>
  <c r="R80" i="9"/>
  <c r="N80" i="9"/>
  <c r="O80" i="9" s="1"/>
  <c r="F80" i="9"/>
  <c r="AG79" i="9"/>
  <c r="AF79" i="9"/>
  <c r="R79" i="9"/>
  <c r="N79" i="9"/>
  <c r="O79" i="9" s="1"/>
  <c r="F79" i="9"/>
  <c r="AG78" i="9"/>
  <c r="AF78" i="9"/>
  <c r="R78" i="9"/>
  <c r="F78" i="9"/>
  <c r="AG77" i="9"/>
  <c r="AF77" i="9"/>
  <c r="R77" i="9"/>
  <c r="N77" i="9"/>
  <c r="O77" i="9" s="1"/>
  <c r="F77" i="9"/>
  <c r="AG76" i="9"/>
  <c r="AF76" i="9"/>
  <c r="R76" i="9"/>
  <c r="N76" i="9"/>
  <c r="O76" i="9" s="1"/>
  <c r="F76" i="9"/>
  <c r="AG75" i="9"/>
  <c r="AF75" i="9"/>
  <c r="R75" i="9"/>
  <c r="N75" i="9"/>
  <c r="O75" i="9" s="1"/>
  <c r="F75" i="9"/>
  <c r="AG74" i="9"/>
  <c r="AF74" i="9"/>
  <c r="R74" i="9"/>
  <c r="F74" i="9"/>
  <c r="AG73" i="9"/>
  <c r="AF73" i="9"/>
  <c r="R73" i="9"/>
  <c r="N73" i="9"/>
  <c r="O73" i="9" s="1"/>
  <c r="F73" i="9"/>
  <c r="R67" i="9"/>
  <c r="R68" i="9"/>
  <c r="R69" i="9"/>
  <c r="R70" i="9"/>
  <c r="R71" i="9"/>
  <c r="R72" i="9"/>
  <c r="F70" i="9"/>
  <c r="N69" i="9"/>
  <c r="F69" i="9"/>
  <c r="A68" i="9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91" i="9" s="1"/>
  <c r="A92" i="9" s="1"/>
  <c r="A93" i="9" s="1"/>
  <c r="A96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G72" i="9"/>
  <c r="AF72" i="9"/>
  <c r="N72" i="9"/>
  <c r="O72" i="9" s="1"/>
  <c r="P72" i="9" s="1" a="1"/>
  <c r="P72" i="9" s="1"/>
  <c r="F72" i="9"/>
  <c r="AG71" i="9"/>
  <c r="AF71" i="9"/>
  <c r="N71" i="9"/>
  <c r="O71" i="9" s="1"/>
  <c r="F71" i="9"/>
  <c r="AG70" i="9"/>
  <c r="AF70" i="9"/>
  <c r="N70" i="9"/>
  <c r="O70" i="9" s="1"/>
  <c r="AG69" i="9"/>
  <c r="AF69" i="9"/>
  <c r="O69" i="9"/>
  <c r="AG68" i="9"/>
  <c r="AF68" i="9"/>
  <c r="N68" i="9"/>
  <c r="O68" i="9" s="1"/>
  <c r="F68" i="9"/>
  <c r="AG67" i="9"/>
  <c r="AF67" i="9"/>
  <c r="N67" i="9"/>
  <c r="O67" i="9" s="1"/>
  <c r="F67" i="9"/>
  <c r="AG63" i="9"/>
  <c r="AF63" i="9"/>
  <c r="R63" i="9"/>
  <c r="N63" i="9"/>
  <c r="O63" i="9" s="1"/>
  <c r="F63" i="9"/>
  <c r="AG62" i="9"/>
  <c r="AF62" i="9"/>
  <c r="R62" i="9"/>
  <c r="N62" i="9"/>
  <c r="O62" i="9" s="1"/>
  <c r="F62" i="9"/>
  <c r="N39" i="9"/>
  <c r="AG58" i="9"/>
  <c r="AF58" i="9"/>
  <c r="R58" i="9"/>
  <c r="AC58" i="9" s="1" a="1"/>
  <c r="AC58" i="9" s="1"/>
  <c r="N58" i="9"/>
  <c r="O58" i="9" s="1"/>
  <c r="F58" i="9"/>
  <c r="AG57" i="9"/>
  <c r="AF57" i="9"/>
  <c r="R57" i="9"/>
  <c r="N57" i="9"/>
  <c r="O57" i="9" s="1"/>
  <c r="F57" i="9"/>
  <c r="AG56" i="9"/>
  <c r="AF56" i="9"/>
  <c r="R56" i="9"/>
  <c r="N56" i="9"/>
  <c r="O56" i="9" s="1"/>
  <c r="F56" i="9"/>
  <c r="AG55" i="9"/>
  <c r="AF55" i="9"/>
  <c r="R55" i="9"/>
  <c r="N55" i="9"/>
  <c r="O55" i="9" s="1"/>
  <c r="F55" i="9"/>
  <c r="AG54" i="9"/>
  <c r="AF54" i="9"/>
  <c r="R54" i="9"/>
  <c r="N54" i="9"/>
  <c r="O54" i="9" s="1"/>
  <c r="F54" i="9"/>
  <c r="AG53" i="9"/>
  <c r="AF53" i="9"/>
  <c r="R53" i="9"/>
  <c r="N53" i="9"/>
  <c r="O53" i="9" s="1"/>
  <c r="F53" i="9"/>
  <c r="AG52" i="9"/>
  <c r="AF52" i="9"/>
  <c r="R52" i="9"/>
  <c r="N52" i="9"/>
  <c r="O52" i="9" s="1"/>
  <c r="F52" i="9"/>
  <c r="AG51" i="9"/>
  <c r="AF51" i="9"/>
  <c r="R51" i="9"/>
  <c r="N51" i="9"/>
  <c r="O51" i="9" s="1"/>
  <c r="F51" i="9"/>
  <c r="AG50" i="9"/>
  <c r="AF50" i="9"/>
  <c r="R50" i="9"/>
  <c r="N50" i="9"/>
  <c r="O50" i="9" s="1"/>
  <c r="F50" i="9"/>
  <c r="AG49" i="9"/>
  <c r="AF49" i="9"/>
  <c r="R49" i="9"/>
  <c r="N49" i="9"/>
  <c r="O49" i="9" s="1"/>
  <c r="F49" i="9"/>
  <c r="AG41" i="9"/>
  <c r="AF41" i="9"/>
  <c r="R41" i="9"/>
  <c r="N41" i="9"/>
  <c r="O41" i="9" s="1"/>
  <c r="F41" i="9"/>
  <c r="AG40" i="9"/>
  <c r="AF40" i="9"/>
  <c r="R40" i="9"/>
  <c r="N40" i="9"/>
  <c r="O40" i="9" s="1"/>
  <c r="F40" i="9"/>
  <c r="AG39" i="9"/>
  <c r="AF39" i="9"/>
  <c r="R39" i="9"/>
  <c r="O39" i="9"/>
  <c r="F39" i="9"/>
  <c r="AG38" i="9"/>
  <c r="AF38" i="9"/>
  <c r="R38" i="9"/>
  <c r="N38" i="9"/>
  <c r="O38" i="9" s="1"/>
  <c r="F38" i="9"/>
  <c r="AG36" i="9"/>
  <c r="AF36" i="9"/>
  <c r="R36" i="9"/>
  <c r="N36" i="9"/>
  <c r="O36" i="9" s="1"/>
  <c r="F36" i="9"/>
  <c r="AG37" i="9"/>
  <c r="AF37" i="9"/>
  <c r="R37" i="9"/>
  <c r="N37" i="9"/>
  <c r="O37" i="9" s="1"/>
  <c r="F37" i="9"/>
  <c r="AG35" i="9"/>
  <c r="AF35" i="9"/>
  <c r="R35" i="9"/>
  <c r="N35" i="9"/>
  <c r="O35" i="9" s="1"/>
  <c r="F35" i="9"/>
  <c r="AG34" i="9"/>
  <c r="AF34" i="9"/>
  <c r="R34" i="9"/>
  <c r="N34" i="9"/>
  <c r="O34" i="9" s="1"/>
  <c r="F34" i="9"/>
  <c r="N33" i="9"/>
  <c r="O33" i="9" s="1"/>
  <c r="R33" i="9"/>
  <c r="N32" i="9"/>
  <c r="AG32" i="9"/>
  <c r="AF32" i="9"/>
  <c r="R32" i="9"/>
  <c r="O32" i="9"/>
  <c r="F32" i="9"/>
  <c r="N31" i="9"/>
  <c r="N30" i="9"/>
  <c r="N29" i="9"/>
  <c r="N28" i="9"/>
  <c r="N27" i="9"/>
  <c r="N26" i="9"/>
  <c r="N25" i="9"/>
  <c r="N24" i="9"/>
  <c r="AG33" i="9"/>
  <c r="AF33" i="9"/>
  <c r="F31" i="9"/>
  <c r="H31" i="9" s="1"/>
  <c r="R31" i="9"/>
  <c r="AF31" i="9"/>
  <c r="AG31" i="9"/>
  <c r="F33" i="9"/>
  <c r="AK124" i="9" l="1"/>
  <c r="V124" i="9"/>
  <c r="AK128" i="9"/>
  <c r="V128" i="9"/>
  <c r="AK122" i="9"/>
  <c r="V122" i="9"/>
  <c r="Y125" i="9" a="1"/>
  <c r="Y125" i="9" s="1"/>
  <c r="AA125" i="9" s="1"/>
  <c r="P125" i="9" a="1"/>
  <c r="P125" i="9" s="1"/>
  <c r="Q125" i="9" s="1"/>
  <c r="AD125" i="9" a="1"/>
  <c r="AD125" i="9" s="1"/>
  <c r="AE125" i="9" s="1"/>
  <c r="U125" i="9" a="1"/>
  <c r="U125" i="9" s="1"/>
  <c r="P117" i="9" a="1"/>
  <c r="P117" i="9" s="1"/>
  <c r="Q117" i="9" s="1"/>
  <c r="Y117" i="9" a="1"/>
  <c r="Y117" i="9" s="1"/>
  <c r="AA117" i="9" s="1"/>
  <c r="P109" i="9" a="1"/>
  <c r="P109" i="9" s="1"/>
  <c r="Y109" i="9" a="1"/>
  <c r="Y109" i="9" s="1"/>
  <c r="AF91" i="9"/>
  <c r="AF96" i="9"/>
  <c r="AG98" i="9"/>
  <c r="P106" i="9" a="1"/>
  <c r="P106" i="9" s="1"/>
  <c r="AG91" i="9"/>
  <c r="O96" i="9"/>
  <c r="P96" i="9" s="1" a="1"/>
  <c r="P96" i="9" s="1"/>
  <c r="P110" i="9" a="1"/>
  <c r="P110" i="9" s="1"/>
  <c r="AJ118" i="9"/>
  <c r="AJ113" i="9"/>
  <c r="AJ116" i="9"/>
  <c r="H108" i="9"/>
  <c r="H106" i="9"/>
  <c r="H104" i="9"/>
  <c r="H112" i="9"/>
  <c r="P112" i="9" a="1"/>
  <c r="P112" i="9" s="1"/>
  <c r="Y112" i="9" a="1"/>
  <c r="Y112" i="9" s="1"/>
  <c r="Y105" i="9" a="1"/>
  <c r="Y105" i="9" s="1"/>
  <c r="P105" i="9" a="1"/>
  <c r="P105" i="9" s="1"/>
  <c r="Y104" i="9" a="1"/>
  <c r="Y104" i="9" s="1"/>
  <c r="P104" i="9" a="1"/>
  <c r="P104" i="9" s="1"/>
  <c r="P108" i="9" a="1"/>
  <c r="P108" i="9" s="1"/>
  <c r="Y108" i="9" a="1"/>
  <c r="Y108" i="9" s="1"/>
  <c r="Y111" i="9" a="1"/>
  <c r="Y111" i="9" s="1"/>
  <c r="Y107" i="9" a="1"/>
  <c r="Y107" i="9" s="1"/>
  <c r="Y33" i="9" a="1"/>
  <c r="Y33" i="9" s="1"/>
  <c r="P33" i="9" a="1"/>
  <c r="P33" i="9" s="1"/>
  <c r="H90" i="9"/>
  <c r="O90" i="9"/>
  <c r="AF90" i="9"/>
  <c r="Y47" i="9" a="1"/>
  <c r="Y47" i="9" s="1"/>
  <c r="P47" i="9" a="1"/>
  <c r="P47" i="9" s="1"/>
  <c r="H47" i="9"/>
  <c r="Y43" i="9" a="1"/>
  <c r="Y43" i="9" s="1"/>
  <c r="P43" i="9" a="1"/>
  <c r="P43" i="9" s="1"/>
  <c r="Y44" i="9" a="1"/>
  <c r="Y44" i="9" s="1"/>
  <c r="P44" i="9" a="1"/>
  <c r="P44" i="9" s="1"/>
  <c r="Y45" i="9" a="1"/>
  <c r="Y45" i="9" s="1"/>
  <c r="P45" i="9" a="1"/>
  <c r="P45" i="9" s="1"/>
  <c r="Y46" i="9" a="1"/>
  <c r="Y46" i="9" s="1"/>
  <c r="P46" i="9" a="1"/>
  <c r="P46" i="9" s="1"/>
  <c r="H43" i="9"/>
  <c r="H44" i="9"/>
  <c r="H45" i="9"/>
  <c r="H46" i="9"/>
  <c r="Y64" i="9" a="1"/>
  <c r="Y64" i="9" s="1"/>
  <c r="H64" i="9"/>
  <c r="Y73" i="9" a="1"/>
  <c r="Y73" i="9" s="1"/>
  <c r="P73" i="9" a="1"/>
  <c r="P73" i="9" s="1"/>
  <c r="Y74" i="9" a="1"/>
  <c r="Y74" i="9" s="1"/>
  <c r="P74" i="9" a="1"/>
  <c r="P74" i="9" s="1"/>
  <c r="Y75" i="9" a="1"/>
  <c r="Y75" i="9" s="1"/>
  <c r="P75" i="9" a="1"/>
  <c r="P75" i="9" s="1"/>
  <c r="Y76" i="9" a="1"/>
  <c r="Y76" i="9" s="1"/>
  <c r="P76" i="9" a="1"/>
  <c r="P76" i="9" s="1"/>
  <c r="Y77" i="9" a="1"/>
  <c r="Y77" i="9" s="1"/>
  <c r="P77" i="9" a="1"/>
  <c r="P77" i="9" s="1"/>
  <c r="Y78" i="9" a="1"/>
  <c r="Y78" i="9" s="1"/>
  <c r="P78" i="9" a="1"/>
  <c r="P78" i="9" s="1"/>
  <c r="Y79" i="9" a="1"/>
  <c r="Y79" i="9" s="1"/>
  <c r="P79" i="9" a="1"/>
  <c r="P79" i="9" s="1"/>
  <c r="Y80" i="9" a="1"/>
  <c r="Y80" i="9" s="1"/>
  <c r="P80" i="9" a="1"/>
  <c r="P80" i="9" s="1"/>
  <c r="Y81" i="9" a="1"/>
  <c r="Y81" i="9" s="1"/>
  <c r="P81" i="9" a="1"/>
  <c r="P81" i="9" s="1"/>
  <c r="Y82" i="9" a="1"/>
  <c r="Y82" i="9" s="1"/>
  <c r="P82" i="9" a="1"/>
  <c r="P82" i="9" s="1"/>
  <c r="Y83" i="9" a="1"/>
  <c r="Y83" i="9" s="1"/>
  <c r="P83" i="9" a="1"/>
  <c r="P83" i="9" s="1"/>
  <c r="Y84" i="9" a="1"/>
  <c r="Y84" i="9" s="1"/>
  <c r="P84" i="9" a="1"/>
  <c r="P84" i="9" s="1"/>
  <c r="Y85" i="9" a="1"/>
  <c r="Y85" i="9" s="1"/>
  <c r="P85" i="9" a="1"/>
  <c r="P85" i="9" s="1"/>
  <c r="Y86" i="9" a="1"/>
  <c r="Y86" i="9" s="1"/>
  <c r="P86" i="9" a="1"/>
  <c r="P86" i="9" s="1"/>
  <c r="Y87" i="9" a="1"/>
  <c r="Y87" i="9" s="1"/>
  <c r="P87" i="9" a="1"/>
  <c r="P87" i="9" s="1"/>
  <c r="Y88" i="9" a="1"/>
  <c r="Y88" i="9" s="1"/>
  <c r="P88" i="9" a="1"/>
  <c r="P88" i="9" s="1"/>
  <c r="Y91" i="9" a="1"/>
  <c r="Y91" i="9" s="1"/>
  <c r="P91" i="9" a="1"/>
  <c r="P91" i="9" s="1"/>
  <c r="Y92" i="9" a="1"/>
  <c r="Y92" i="9" s="1"/>
  <c r="P92" i="9" a="1"/>
  <c r="P92" i="9" s="1"/>
  <c r="Y93" i="9" a="1"/>
  <c r="Y93" i="9" s="1"/>
  <c r="P93" i="9" a="1"/>
  <c r="P93" i="9" s="1"/>
  <c r="Y96" i="9" a="1"/>
  <c r="Y96" i="9" s="1"/>
  <c r="Y97" i="9" a="1"/>
  <c r="Y97" i="9" s="1"/>
  <c r="P97" i="9" a="1"/>
  <c r="P97" i="9" s="1"/>
  <c r="Y98" i="9" a="1"/>
  <c r="Y98" i="9" s="1"/>
  <c r="P98" i="9" a="1"/>
  <c r="P98" i="9" s="1"/>
  <c r="Y101" i="9" a="1"/>
  <c r="Y101" i="9" s="1"/>
  <c r="P101" i="9" a="1"/>
  <c r="P101" i="9" s="1"/>
  <c r="Y102" i="9" a="1"/>
  <c r="Y102" i="9" s="1"/>
  <c r="P102" i="9" a="1"/>
  <c r="P102" i="9" s="1"/>
  <c r="Y103" i="9" a="1"/>
  <c r="Y103" i="9" s="1"/>
  <c r="P103" i="9" a="1"/>
  <c r="P103" i="9" s="1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91" i="9"/>
  <c r="H92" i="9"/>
  <c r="H93" i="9"/>
  <c r="H96" i="9"/>
  <c r="H97" i="9"/>
  <c r="H98" i="9"/>
  <c r="H101" i="9"/>
  <c r="H102" i="9"/>
  <c r="H103" i="9"/>
  <c r="Y72" i="9" a="1"/>
  <c r="Y72" i="9" s="1"/>
  <c r="H72" i="9"/>
  <c r="Y71" i="9" a="1"/>
  <c r="Y71" i="9" s="1"/>
  <c r="P71" i="9" a="1"/>
  <c r="P71" i="9" s="1"/>
  <c r="H71" i="9"/>
  <c r="Y70" i="9" a="1"/>
  <c r="Y70" i="9" s="1"/>
  <c r="P70" i="9" a="1"/>
  <c r="P70" i="9" s="1"/>
  <c r="H70" i="9"/>
  <c r="Y69" i="9" a="1"/>
  <c r="Y69" i="9" s="1"/>
  <c r="P69" i="9" a="1"/>
  <c r="P69" i="9" s="1"/>
  <c r="H69" i="9"/>
  <c r="Y68" i="9" a="1"/>
  <c r="Y68" i="9" s="1"/>
  <c r="P68" i="9" a="1"/>
  <c r="P68" i="9" s="1"/>
  <c r="H68" i="9"/>
  <c r="Y67" i="9" a="1"/>
  <c r="Y67" i="9" s="1"/>
  <c r="P67" i="9" a="1"/>
  <c r="P67" i="9" s="1"/>
  <c r="H67" i="9"/>
  <c r="Y63" i="9" a="1"/>
  <c r="Y63" i="9" s="1"/>
  <c r="P63" i="9" a="1"/>
  <c r="P63" i="9" s="1"/>
  <c r="H63" i="9"/>
  <c r="Y62" i="9" a="1"/>
  <c r="Y62" i="9" s="1"/>
  <c r="P62" i="9" a="1"/>
  <c r="P62" i="9" s="1"/>
  <c r="H62" i="9"/>
  <c r="Y49" i="9" a="1"/>
  <c r="Y49" i="9" s="1"/>
  <c r="P49" i="9" a="1"/>
  <c r="P49" i="9" s="1"/>
  <c r="Y50" i="9" a="1"/>
  <c r="Y50" i="9" s="1"/>
  <c r="P50" i="9" a="1"/>
  <c r="P50" i="9" s="1"/>
  <c r="Y51" i="9" a="1"/>
  <c r="Y51" i="9" s="1"/>
  <c r="P51" i="9" a="1"/>
  <c r="P51" i="9" s="1"/>
  <c r="Y52" i="9" a="1"/>
  <c r="Y52" i="9" s="1"/>
  <c r="P52" i="9" a="1"/>
  <c r="P52" i="9" s="1"/>
  <c r="Y53" i="9" a="1"/>
  <c r="Y53" i="9" s="1"/>
  <c r="P53" i="9" a="1"/>
  <c r="P53" i="9" s="1"/>
  <c r="Y54" i="9" a="1"/>
  <c r="Y54" i="9" s="1"/>
  <c r="P54" i="9" a="1"/>
  <c r="P54" i="9" s="1"/>
  <c r="Y55" i="9" a="1"/>
  <c r="Y55" i="9" s="1"/>
  <c r="P55" i="9" a="1"/>
  <c r="P55" i="9" s="1"/>
  <c r="Y56" i="9" a="1"/>
  <c r="Y56" i="9" s="1"/>
  <c r="P56" i="9" a="1"/>
  <c r="P56" i="9" s="1"/>
  <c r="Y57" i="9" a="1"/>
  <c r="Y57" i="9" s="1"/>
  <c r="P57" i="9" a="1"/>
  <c r="P57" i="9" s="1"/>
  <c r="Y58" i="9" a="1"/>
  <c r="Y58" i="9" s="1"/>
  <c r="P58" i="9" a="1"/>
  <c r="P58" i="9" s="1"/>
  <c r="H49" i="9"/>
  <c r="H50" i="9"/>
  <c r="H51" i="9"/>
  <c r="H52" i="9"/>
  <c r="H53" i="9"/>
  <c r="H54" i="9"/>
  <c r="H55" i="9"/>
  <c r="H56" i="9"/>
  <c r="H57" i="9"/>
  <c r="H58" i="9"/>
  <c r="S58" i="9" a="1"/>
  <c r="S58" i="9" s="1"/>
  <c r="T58" i="9" s="1"/>
  <c r="Z58" i="9" a="1"/>
  <c r="Z58" i="9" s="1"/>
  <c r="Y39" i="9" a="1"/>
  <c r="Y39" i="9" s="1"/>
  <c r="P39" i="9" a="1"/>
  <c r="P39" i="9" s="1"/>
  <c r="Y40" i="9" a="1"/>
  <c r="Y40" i="9" s="1"/>
  <c r="P40" i="9" a="1"/>
  <c r="P40" i="9" s="1"/>
  <c r="Y41" i="9" a="1"/>
  <c r="Y41" i="9" s="1"/>
  <c r="P41" i="9" a="1"/>
  <c r="P41" i="9" s="1"/>
  <c r="H39" i="9"/>
  <c r="H40" i="9"/>
  <c r="H41" i="9"/>
  <c r="Y34" i="9" a="1"/>
  <c r="Y34" i="9" s="1"/>
  <c r="P34" i="9" a="1"/>
  <c r="P34" i="9" s="1"/>
  <c r="Y35" i="9" a="1"/>
  <c r="Y35" i="9" s="1"/>
  <c r="P35" i="9" a="1"/>
  <c r="P35" i="9" s="1"/>
  <c r="Y37" i="9" a="1"/>
  <c r="Y37" i="9" s="1"/>
  <c r="P37" i="9" a="1"/>
  <c r="P37" i="9" s="1"/>
  <c r="Y36" i="9" a="1"/>
  <c r="Y36" i="9" s="1"/>
  <c r="P36" i="9" a="1"/>
  <c r="P36" i="9" s="1"/>
  <c r="Y38" i="9" a="1"/>
  <c r="Y38" i="9" s="1"/>
  <c r="P38" i="9" a="1"/>
  <c r="P38" i="9" s="1"/>
  <c r="H34" i="9"/>
  <c r="H35" i="9"/>
  <c r="H37" i="9"/>
  <c r="H36" i="9"/>
  <c r="H38" i="9"/>
  <c r="H33" i="9"/>
  <c r="Y32" i="9" a="1"/>
  <c r="Y32" i="9" s="1"/>
  <c r="P32" i="9" a="1"/>
  <c r="P32" i="9" s="1"/>
  <c r="H32" i="9"/>
  <c r="AG29" i="9"/>
  <c r="AG30" i="9"/>
  <c r="AF29" i="9"/>
  <c r="AF30" i="9"/>
  <c r="R29" i="9"/>
  <c r="R30" i="9"/>
  <c r="F30" i="9"/>
  <c r="H30" i="9" s="1"/>
  <c r="F29" i="9"/>
  <c r="H29" i="9" s="1"/>
  <c r="F28" i="9"/>
  <c r="H28" i="9" s="1"/>
  <c r="AG28" i="9"/>
  <c r="AF28" i="9"/>
  <c r="R28" i="9"/>
  <c r="AK125" i="9" l="1"/>
  <c r="V125" i="9"/>
  <c r="Y90" i="9" a="1"/>
  <c r="Y90" i="9" s="1"/>
  <c r="P90" i="9" a="1"/>
  <c r="P90" i="9" s="1"/>
  <c r="AA86" i="9"/>
  <c r="AA85" i="9"/>
  <c r="AA84" i="9"/>
  <c r="AA83" i="9"/>
  <c r="AD58" i="9" a="1"/>
  <c r="AD58" i="9" s="1"/>
  <c r="U58" i="9" a="1"/>
  <c r="U58" i="9" s="1"/>
  <c r="AG27" i="9" l="1"/>
  <c r="AF27" i="9"/>
  <c r="AB27" i="9"/>
  <c r="AA27" i="9"/>
  <c r="R27" i="9"/>
  <c r="T27" i="9" s="1"/>
  <c r="F27" i="9"/>
  <c r="H27" i="9" s="1"/>
  <c r="O27" i="9" s="1"/>
  <c r="AG25" i="9"/>
  <c r="AG26" i="9"/>
  <c r="AG24" i="9"/>
  <c r="AF25" i="9"/>
  <c r="AF26" i="9"/>
  <c r="AF24" i="9"/>
  <c r="AA26" i="9"/>
  <c r="AB26" i="9"/>
  <c r="R26" i="9"/>
  <c r="T26" i="9"/>
  <c r="F26" i="9"/>
  <c r="Q26" i="9" s="1"/>
  <c r="AB25" i="9"/>
  <c r="AA25" i="9"/>
  <c r="T25" i="9"/>
  <c r="R25" i="9"/>
  <c r="F25" i="9"/>
  <c r="AB24" i="9"/>
  <c r="AA24" i="9"/>
  <c r="T24" i="9"/>
  <c r="R24" i="9"/>
  <c r="F24" i="9"/>
  <c r="Q24" i="9" s="1"/>
  <c r="AD21" i="15"/>
  <c r="AD19" i="15"/>
  <c r="Z108" i="9" l="1" a="1"/>
  <c r="Z108" i="9" s="1"/>
  <c r="S108" i="9" a="1"/>
  <c r="S108" i="9" s="1"/>
  <c r="T108" i="9" s="1"/>
  <c r="AC110" i="9" a="1"/>
  <c r="AC110" i="9" s="1"/>
  <c r="S112" i="9" a="1"/>
  <c r="S112" i="9" s="1"/>
  <c r="T112" i="9" s="1"/>
  <c r="AC107" i="9" a="1"/>
  <c r="AC107" i="9" s="1"/>
  <c r="AC108" i="9" a="1"/>
  <c r="AC108" i="9" s="1"/>
  <c r="Z109" i="9" a="1"/>
  <c r="Z109" i="9" s="1"/>
  <c r="Z115" i="9" a="1"/>
  <c r="Z115" i="9" s="1"/>
  <c r="S113" i="9" a="1"/>
  <c r="S113" i="9" s="1"/>
  <c r="T113" i="9" s="1"/>
  <c r="S104" i="9" a="1"/>
  <c r="S104" i="9" s="1"/>
  <c r="T104" i="9" s="1"/>
  <c r="AC106" i="9" a="1"/>
  <c r="AC106" i="9" s="1"/>
  <c r="S109" i="9" a="1"/>
  <c r="S109" i="9" s="1"/>
  <c r="T109" i="9" s="1"/>
  <c r="Z110" i="9" a="1"/>
  <c r="Z110" i="9" s="1"/>
  <c r="S110" i="9" a="1"/>
  <c r="S110" i="9" s="1"/>
  <c r="T110" i="9" s="1"/>
  <c r="Z120" i="9" a="1"/>
  <c r="Z120" i="9" s="1"/>
  <c r="Z113" i="9" a="1"/>
  <c r="Z113" i="9" s="1"/>
  <c r="Z116" i="9" a="1"/>
  <c r="Z116" i="9" s="1"/>
  <c r="Z114" i="9" a="1"/>
  <c r="Z114" i="9" s="1"/>
  <c r="AC112" i="9" a="1"/>
  <c r="AC112" i="9" s="1"/>
  <c r="S120" i="9" a="1"/>
  <c r="S120" i="9" s="1"/>
  <c r="AC109" i="9" a="1"/>
  <c r="AC109" i="9" s="1"/>
  <c r="AC120" i="9" a="1"/>
  <c r="AC120" i="9" s="1"/>
  <c r="AC105" i="9" a="1"/>
  <c r="AC105" i="9" s="1"/>
  <c r="Z106" i="9" a="1"/>
  <c r="Z106" i="9" s="1"/>
  <c r="S107" i="9" a="1"/>
  <c r="S107" i="9" s="1"/>
  <c r="T107" i="9" s="1"/>
  <c r="AC115" i="9" a="1"/>
  <c r="AC115" i="9" s="1"/>
  <c r="Z105" i="9" a="1"/>
  <c r="Z105" i="9" s="1"/>
  <c r="S116" i="9" a="1"/>
  <c r="S116" i="9" s="1"/>
  <c r="T116" i="9" s="1"/>
  <c r="S105" i="9" a="1"/>
  <c r="S105" i="9" s="1"/>
  <c r="T105" i="9" s="1"/>
  <c r="Z118" i="9" a="1"/>
  <c r="Z118" i="9" s="1"/>
  <c r="S114" i="9" a="1"/>
  <c r="S114" i="9" s="1"/>
  <c r="T114" i="9" s="1"/>
  <c r="AC113" i="9" a="1"/>
  <c r="AC113" i="9" s="1"/>
  <c r="S118" i="9" a="1"/>
  <c r="S118" i="9" s="1"/>
  <c r="T118" i="9" s="1"/>
  <c r="AC114" i="9" a="1"/>
  <c r="AC114" i="9" s="1"/>
  <c r="S72" i="9" a="1"/>
  <c r="S72" i="9" s="1"/>
  <c r="T72" i="9" s="1"/>
  <c r="AC70" i="9" a="1"/>
  <c r="AC70" i="9" s="1"/>
  <c r="Z31" i="9" a="1"/>
  <c r="Z31" i="9" s="1"/>
  <c r="AC67" i="9" a="1"/>
  <c r="AC67" i="9" s="1"/>
  <c r="S31" i="9" a="1"/>
  <c r="S31" i="9" s="1"/>
  <c r="T31" i="9" s="1"/>
  <c r="AC71" i="9" a="1"/>
  <c r="AC71" i="9" s="1"/>
  <c r="AC68" i="9" a="1"/>
  <c r="AC68" i="9" s="1"/>
  <c r="S33" i="9" a="1"/>
  <c r="S33" i="9" s="1"/>
  <c r="T33" i="9" s="1"/>
  <c r="AC52" i="9" a="1"/>
  <c r="AC52" i="9" s="1"/>
  <c r="AC39" i="9" a="1"/>
  <c r="AC39" i="9" s="1"/>
  <c r="AC78" i="9" a="1"/>
  <c r="AC78" i="9" s="1"/>
  <c r="AC103" i="9" a="1"/>
  <c r="AC103" i="9" s="1"/>
  <c r="AC47" i="9" a="1"/>
  <c r="AC47" i="9" s="1"/>
  <c r="AC51" i="9" a="1"/>
  <c r="AC51" i="9" s="1"/>
  <c r="AC83" i="9" a="1"/>
  <c r="AC83" i="9" s="1"/>
  <c r="AC93" i="9" a="1"/>
  <c r="AC93" i="9" s="1"/>
  <c r="AC90" i="9" a="1"/>
  <c r="AC90" i="9" s="1"/>
  <c r="AC101" i="9" a="1"/>
  <c r="AC101" i="9" s="1"/>
  <c r="AC32" i="9" a="1"/>
  <c r="AC32" i="9" s="1"/>
  <c r="AC53" i="9" a="1"/>
  <c r="AC53" i="9" s="1"/>
  <c r="AC77" i="9" a="1"/>
  <c r="AC77" i="9" s="1"/>
  <c r="Z90" i="9" a="1"/>
  <c r="Z90" i="9" s="1"/>
  <c r="Z64" i="9" a="1"/>
  <c r="Z64" i="9" s="1"/>
  <c r="Z73" i="9" a="1"/>
  <c r="Z73" i="9" s="1"/>
  <c r="Z74" i="9" a="1"/>
  <c r="Z74" i="9" s="1"/>
  <c r="Z75" i="9" a="1"/>
  <c r="Z75" i="9" s="1"/>
  <c r="Z76" i="9" a="1"/>
  <c r="Z76" i="9" s="1"/>
  <c r="Z77" i="9" a="1"/>
  <c r="Z77" i="9" s="1"/>
  <c r="Z78" i="9" a="1"/>
  <c r="Z78" i="9" s="1"/>
  <c r="Z79" i="9" a="1"/>
  <c r="Z79" i="9" s="1"/>
  <c r="Z80" i="9" a="1"/>
  <c r="Z80" i="9" s="1"/>
  <c r="Z81" i="9" a="1"/>
  <c r="Z81" i="9" s="1"/>
  <c r="Z82" i="9" a="1"/>
  <c r="Z82" i="9" s="1"/>
  <c r="Z83" i="9" a="1"/>
  <c r="Z83" i="9" s="1"/>
  <c r="AB83" i="9" s="1"/>
  <c r="Z84" i="9" a="1"/>
  <c r="Z84" i="9" s="1"/>
  <c r="AB84" i="9" s="1"/>
  <c r="Z85" i="9" a="1"/>
  <c r="Z85" i="9" s="1"/>
  <c r="AB85" i="9" s="1"/>
  <c r="Z86" i="9" a="1"/>
  <c r="Z86" i="9" s="1"/>
  <c r="AB86" i="9" s="1"/>
  <c r="Z87" i="9" a="1"/>
  <c r="Z87" i="9" s="1"/>
  <c r="Z88" i="9" a="1"/>
  <c r="Z88" i="9" s="1"/>
  <c r="Z91" i="9" a="1"/>
  <c r="Z91" i="9" s="1"/>
  <c r="Z92" i="9" a="1"/>
  <c r="Z92" i="9" s="1"/>
  <c r="Z93" i="9" a="1"/>
  <c r="Z93" i="9" s="1"/>
  <c r="Z96" i="9" a="1"/>
  <c r="Z96" i="9" s="1"/>
  <c r="Z97" i="9" a="1"/>
  <c r="Z97" i="9" s="1"/>
  <c r="Z98" i="9" a="1"/>
  <c r="Z98" i="9" s="1"/>
  <c r="Z101" i="9" a="1"/>
  <c r="Z101" i="9" s="1"/>
  <c r="Z102" i="9" a="1"/>
  <c r="Z102" i="9" s="1"/>
  <c r="Z103" i="9" a="1"/>
  <c r="Z103" i="9" s="1"/>
  <c r="Z32" i="9" a="1"/>
  <c r="Z32" i="9" s="1"/>
  <c r="AC62" i="9" a="1"/>
  <c r="AC62" i="9" s="1"/>
  <c r="AC86" i="9" a="1"/>
  <c r="AC86" i="9" s="1"/>
  <c r="AC37" i="9" a="1"/>
  <c r="AC37" i="9" s="1"/>
  <c r="AC91" i="9" a="1"/>
  <c r="AC91" i="9" s="1"/>
  <c r="AC63" i="9" a="1"/>
  <c r="AC63" i="9" s="1"/>
  <c r="AC64" i="9" a="1"/>
  <c r="AC64" i="9" s="1"/>
  <c r="AC69" i="9" a="1"/>
  <c r="AC69" i="9" s="1"/>
  <c r="AC56" i="9" a="1"/>
  <c r="AC56" i="9" s="1"/>
  <c r="AC50" i="9" a="1"/>
  <c r="AC50" i="9" s="1"/>
  <c r="AC82" i="9" a="1"/>
  <c r="AC82" i="9" s="1"/>
  <c r="AC55" i="9" a="1"/>
  <c r="AC55" i="9" s="1"/>
  <c r="AC88" i="9" a="1"/>
  <c r="AC88" i="9" s="1"/>
  <c r="AC96" i="9" a="1"/>
  <c r="AC96" i="9" s="1"/>
  <c r="AC76" i="9" a="1"/>
  <c r="AC76" i="9" s="1"/>
  <c r="AC34" i="9" a="1"/>
  <c r="AC34" i="9" s="1"/>
  <c r="AC57" i="9" a="1"/>
  <c r="AC57" i="9" s="1"/>
  <c r="AC81" i="9" a="1"/>
  <c r="AC81" i="9" s="1"/>
  <c r="S47" i="9" a="1"/>
  <c r="S47" i="9" s="1"/>
  <c r="T47" i="9" s="1"/>
  <c r="S43" i="9" a="1"/>
  <c r="S43" i="9" s="1"/>
  <c r="T43" i="9" s="1"/>
  <c r="S44" i="9" a="1"/>
  <c r="S44" i="9" s="1"/>
  <c r="T44" i="9" s="1"/>
  <c r="S45" i="9" a="1"/>
  <c r="S45" i="9" s="1"/>
  <c r="T45" i="9" s="1"/>
  <c r="S46" i="9" a="1"/>
  <c r="S46" i="9" s="1"/>
  <c r="T46" i="9" s="1"/>
  <c r="Z71" i="9" a="1"/>
  <c r="Z71" i="9" s="1"/>
  <c r="S70" i="9" a="1"/>
  <c r="S70" i="9" s="1"/>
  <c r="T70" i="9" s="1"/>
  <c r="Z69" i="9" a="1"/>
  <c r="Z69" i="9" s="1"/>
  <c r="S68" i="9" a="1"/>
  <c r="S68" i="9" s="1"/>
  <c r="T68" i="9" s="1"/>
  <c r="Z67" i="9" a="1"/>
  <c r="Z67" i="9" s="1"/>
  <c r="S63" i="9" a="1"/>
  <c r="S63" i="9" s="1"/>
  <c r="T63" i="9" s="1"/>
  <c r="Z62" i="9" a="1"/>
  <c r="Z62" i="9" s="1"/>
  <c r="Z49" i="9" a="1"/>
  <c r="Z49" i="9" s="1"/>
  <c r="Z50" i="9" a="1"/>
  <c r="Z50" i="9" s="1"/>
  <c r="Z51" i="9" a="1"/>
  <c r="Z51" i="9" s="1"/>
  <c r="Z52" i="9" a="1"/>
  <c r="Z52" i="9" s="1"/>
  <c r="Z53" i="9" a="1"/>
  <c r="Z53" i="9" s="1"/>
  <c r="Z54" i="9" a="1"/>
  <c r="Z54" i="9" s="1"/>
  <c r="Z55" i="9" a="1"/>
  <c r="Z55" i="9" s="1"/>
  <c r="Z56" i="9" a="1"/>
  <c r="Z56" i="9" s="1"/>
  <c r="Z57" i="9" a="1"/>
  <c r="Z57" i="9" s="1"/>
  <c r="S39" i="9" a="1"/>
  <c r="S39" i="9" s="1"/>
  <c r="T39" i="9" s="1"/>
  <c r="S40" i="9" a="1"/>
  <c r="S40" i="9" s="1"/>
  <c r="T40" i="9" s="1"/>
  <c r="S41" i="9" a="1"/>
  <c r="S41" i="9" s="1"/>
  <c r="T41" i="9" s="1"/>
  <c r="Z34" i="9" a="1"/>
  <c r="Z34" i="9" s="1"/>
  <c r="Z35" i="9" a="1"/>
  <c r="Z35" i="9" s="1"/>
  <c r="Z37" i="9" a="1"/>
  <c r="Z37" i="9" s="1"/>
  <c r="Z36" i="9" a="1"/>
  <c r="Z36" i="9" s="1"/>
  <c r="Z38" i="9" a="1"/>
  <c r="Z38" i="9" s="1"/>
  <c r="AC36" i="9" a="1"/>
  <c r="AC36" i="9" s="1"/>
  <c r="AC54" i="9" a="1"/>
  <c r="AC54" i="9" s="1"/>
  <c r="AC75" i="9" a="1"/>
  <c r="AC75" i="9" s="1"/>
  <c r="AC97" i="9" a="1"/>
  <c r="AC97" i="9" s="1"/>
  <c r="AC80" i="9" a="1"/>
  <c r="AC80" i="9" s="1"/>
  <c r="AC38" i="9" a="1"/>
  <c r="AC38" i="9" s="1"/>
  <c r="AC85" i="9" a="1"/>
  <c r="AC85" i="9" s="1"/>
  <c r="S90" i="9" a="1"/>
  <c r="S90" i="9" s="1"/>
  <c r="T90" i="9" s="1"/>
  <c r="S64" i="9" a="1"/>
  <c r="S64" i="9" s="1"/>
  <c r="T64" i="9" s="1"/>
  <c r="AC74" i="9" a="1"/>
  <c r="AC74" i="9" s="1"/>
  <c r="AC79" i="9" a="1"/>
  <c r="AC79" i="9" s="1"/>
  <c r="AC84" i="9" a="1"/>
  <c r="AC84" i="9" s="1"/>
  <c r="AC102" i="9" a="1"/>
  <c r="AC102" i="9" s="1"/>
  <c r="S73" i="9" a="1"/>
  <c r="S73" i="9" s="1"/>
  <c r="T73" i="9" s="1"/>
  <c r="S77" i="9" a="1"/>
  <c r="S77" i="9" s="1"/>
  <c r="T77" i="9" s="1"/>
  <c r="S81" i="9" a="1"/>
  <c r="S81" i="9" s="1"/>
  <c r="T81" i="9" s="1"/>
  <c r="S85" i="9" a="1"/>
  <c r="S85" i="9" s="1"/>
  <c r="T85" i="9" s="1"/>
  <c r="S91" i="9" a="1"/>
  <c r="S91" i="9" s="1"/>
  <c r="T91" i="9" s="1"/>
  <c r="S97" i="9" a="1"/>
  <c r="S97" i="9" s="1"/>
  <c r="T97" i="9" s="1"/>
  <c r="S103" i="9" a="1"/>
  <c r="S103" i="9" s="1"/>
  <c r="T103" i="9" s="1"/>
  <c r="Z72" i="9" a="1"/>
  <c r="Z72" i="9" s="1"/>
  <c r="S71" i="9" a="1"/>
  <c r="S71" i="9" s="1"/>
  <c r="T71" i="9" s="1"/>
  <c r="Z40" i="9" a="1"/>
  <c r="Z40" i="9" s="1"/>
  <c r="S32" i="9" a="1"/>
  <c r="S32" i="9" s="1"/>
  <c r="T32" i="9" s="1"/>
  <c r="S53" i="9" a="1"/>
  <c r="S53" i="9" s="1"/>
  <c r="T53" i="9" s="1"/>
  <c r="S57" i="9" a="1"/>
  <c r="S57" i="9" s="1"/>
  <c r="T57" i="9" s="1"/>
  <c r="S35" i="9" a="1"/>
  <c r="S35" i="9" s="1"/>
  <c r="T35" i="9" s="1"/>
  <c r="AC45" i="9" a="1"/>
  <c r="AC45" i="9" s="1"/>
  <c r="S79" i="9" a="1"/>
  <c r="S79" i="9" s="1"/>
  <c r="T79" i="9" s="1"/>
  <c r="S87" i="9" a="1"/>
  <c r="S87" i="9" s="1"/>
  <c r="T87" i="9" s="1"/>
  <c r="S101" i="9" a="1"/>
  <c r="S101" i="9" s="1"/>
  <c r="T101" i="9" s="1"/>
  <c r="S67" i="9" a="1"/>
  <c r="S67" i="9" s="1"/>
  <c r="T67" i="9" s="1"/>
  <c r="AC40" i="9" a="1"/>
  <c r="AC40" i="9" s="1"/>
  <c r="AC46" i="9" a="1"/>
  <c r="AC46" i="9" s="1"/>
  <c r="Z43" i="9" a="1"/>
  <c r="Z43" i="9" s="1"/>
  <c r="Z45" i="9" a="1"/>
  <c r="Z45" i="9" s="1"/>
  <c r="S78" i="9" a="1"/>
  <c r="S78" i="9" s="1"/>
  <c r="T78" i="9" s="1"/>
  <c r="S82" i="9" a="1"/>
  <c r="S82" i="9" s="1"/>
  <c r="T82" i="9" s="1"/>
  <c r="S92" i="9" a="1"/>
  <c r="S92" i="9" s="1"/>
  <c r="T92" i="9" s="1"/>
  <c r="Z63" i="9" a="1"/>
  <c r="Z63" i="9" s="1"/>
  <c r="S50" i="9" a="1"/>
  <c r="S50" i="9" s="1"/>
  <c r="T50" i="9" s="1"/>
  <c r="S54" i="9" a="1"/>
  <c r="S54" i="9" s="1"/>
  <c r="T54" i="9" s="1"/>
  <c r="S38" i="9" a="1"/>
  <c r="S38" i="9" s="1"/>
  <c r="T38" i="9" s="1"/>
  <c r="AC87" i="9" a="1"/>
  <c r="AC87" i="9" s="1"/>
  <c r="AC92" i="9" a="1"/>
  <c r="AC92" i="9" s="1"/>
  <c r="AC43" i="9" a="1"/>
  <c r="AC43" i="9" s="1"/>
  <c r="AC44" i="9" a="1"/>
  <c r="AC44" i="9" s="1"/>
  <c r="Z47" i="9" a="1"/>
  <c r="Z47" i="9" s="1"/>
  <c r="Z44" i="9" a="1"/>
  <c r="Z44" i="9" s="1"/>
  <c r="Z46" i="9" a="1"/>
  <c r="Z46" i="9" s="1"/>
  <c r="S76" i="9" a="1"/>
  <c r="S76" i="9" s="1"/>
  <c r="T76" i="9" s="1"/>
  <c r="S80" i="9" a="1"/>
  <c r="S80" i="9" s="1"/>
  <c r="T80" i="9" s="1"/>
  <c r="S84" i="9" a="1"/>
  <c r="S84" i="9" s="1"/>
  <c r="T84" i="9" s="1"/>
  <c r="S88" i="9" a="1"/>
  <c r="S88" i="9" s="1"/>
  <c r="T88" i="9" s="1"/>
  <c r="S96" i="9" a="1"/>
  <c r="S96" i="9" s="1"/>
  <c r="T96" i="9" s="1"/>
  <c r="S102" i="9" a="1"/>
  <c r="S102" i="9" s="1"/>
  <c r="T102" i="9" s="1"/>
  <c r="Z70" i="9" a="1"/>
  <c r="Z70" i="9" s="1"/>
  <c r="S69" i="9" a="1"/>
  <c r="S69" i="9" s="1"/>
  <c r="T69" i="9" s="1"/>
  <c r="S49" i="9" a="1"/>
  <c r="S49" i="9" s="1"/>
  <c r="T49" i="9" s="1"/>
  <c r="S51" i="9" a="1"/>
  <c r="S51" i="9" s="1"/>
  <c r="T51" i="9" s="1"/>
  <c r="S55" i="9" a="1"/>
  <c r="S55" i="9" s="1"/>
  <c r="T55" i="9" s="1"/>
  <c r="Z39" i="9" a="1"/>
  <c r="Z39" i="9" s="1"/>
  <c r="S36" i="9" a="1"/>
  <c r="S36" i="9" s="1"/>
  <c r="T36" i="9" s="1"/>
  <c r="AC41" i="9" a="1"/>
  <c r="AC41" i="9" s="1"/>
  <c r="AC98" i="9" a="1"/>
  <c r="AC98" i="9" s="1"/>
  <c r="AC49" i="9" a="1"/>
  <c r="AC49" i="9" s="1"/>
  <c r="S75" i="9" a="1"/>
  <c r="S75" i="9" s="1"/>
  <c r="T75" i="9" s="1"/>
  <c r="S83" i="9" a="1"/>
  <c r="S83" i="9" s="1"/>
  <c r="T83" i="9" s="1"/>
  <c r="S93" i="9" a="1"/>
  <c r="S93" i="9" s="1"/>
  <c r="T93" i="9" s="1"/>
  <c r="Z68" i="9" a="1"/>
  <c r="Z68" i="9" s="1"/>
  <c r="Z33" i="9" a="1"/>
  <c r="Z33" i="9" s="1"/>
  <c r="AC35" i="9" a="1"/>
  <c r="AC35" i="9" s="1"/>
  <c r="AC73" i="9" a="1"/>
  <c r="AC73" i="9" s="1"/>
  <c r="S74" i="9" a="1"/>
  <c r="S74" i="9" s="1"/>
  <c r="T74" i="9" s="1"/>
  <c r="S86" i="9" a="1"/>
  <c r="S86" i="9" s="1"/>
  <c r="T86" i="9" s="1"/>
  <c r="S98" i="9" a="1"/>
  <c r="S98" i="9" s="1"/>
  <c r="T98" i="9" s="1"/>
  <c r="S62" i="9" a="1"/>
  <c r="S62" i="9" s="1"/>
  <c r="T62" i="9" s="1"/>
  <c r="S52" i="9" a="1"/>
  <c r="S52" i="9" s="1"/>
  <c r="T52" i="9" s="1"/>
  <c r="S56" i="9" a="1"/>
  <c r="S56" i="9" s="1"/>
  <c r="T56" i="9" s="1"/>
  <c r="Z41" i="9" a="1"/>
  <c r="Z41" i="9" s="1"/>
  <c r="S34" i="9" a="1"/>
  <c r="S34" i="9" s="1"/>
  <c r="T34" i="9" s="1"/>
  <c r="S37" i="9" a="1"/>
  <c r="S37" i="9" s="1"/>
  <c r="T37" i="9" s="1"/>
  <c r="AC29" i="9" a="1"/>
  <c r="AC29" i="9" s="1"/>
  <c r="AC30" i="9" a="1"/>
  <c r="AC30" i="9" s="1"/>
  <c r="S29" i="9" a="1"/>
  <c r="S29" i="9" s="1"/>
  <c r="T29" i="9" s="1"/>
  <c r="Z28" i="9" a="1"/>
  <c r="Z28" i="9" s="1"/>
  <c r="AC28" i="9" a="1"/>
  <c r="AC28" i="9" s="1"/>
  <c r="S30" i="9" a="1"/>
  <c r="S30" i="9" s="1"/>
  <c r="T30" i="9" s="1"/>
  <c r="Z29" i="9" a="1"/>
  <c r="Z29" i="9" s="1"/>
  <c r="S28" i="9" a="1"/>
  <c r="S28" i="9" s="1"/>
  <c r="T28" i="9" s="1"/>
  <c r="Z30" i="9" a="1"/>
  <c r="Z30" i="9" s="1"/>
  <c r="Q27" i="9"/>
  <c r="Q25" i="9"/>
  <c r="H26" i="9"/>
  <c r="O26" i="9" s="1"/>
  <c r="H25" i="9"/>
  <c r="O25" i="9" s="1"/>
  <c r="H24" i="9"/>
  <c r="O24" i="9" s="1"/>
  <c r="AN72" i="15"/>
  <c r="AN55" i="15"/>
  <c r="AN64" i="15"/>
  <c r="AN63" i="15"/>
  <c r="AN56" i="15"/>
  <c r="AN81" i="15"/>
  <c r="AN80" i="15"/>
  <c r="G63" i="15"/>
  <c r="G82" i="15"/>
  <c r="G83" i="15"/>
  <c r="G84" i="15"/>
  <c r="G85" i="15"/>
  <c r="G86" i="15"/>
  <c r="G87" i="15"/>
  <c r="G81" i="15"/>
  <c r="G74" i="15"/>
  <c r="G75" i="15"/>
  <c r="G76" i="15"/>
  <c r="G77" i="15"/>
  <c r="G73" i="15"/>
  <c r="G64" i="15"/>
  <c r="G65" i="15"/>
  <c r="G66" i="15"/>
  <c r="G67" i="15"/>
  <c r="G68" i="15"/>
  <c r="G69" i="15"/>
  <c r="G70" i="15"/>
  <c r="G56" i="15"/>
  <c r="G57" i="15" s="1"/>
  <c r="G58" i="15" s="1"/>
  <c r="G59" i="15" s="1"/>
  <c r="G60" i="15" s="1"/>
  <c r="G61" i="15" s="1"/>
  <c r="G62" i="15" s="1"/>
  <c r="AN57" i="15"/>
  <c r="F125" i="7"/>
  <c r="H125" i="7" s="1"/>
  <c r="F124" i="7"/>
  <c r="AA21" i="15"/>
  <c r="X21" i="15"/>
  <c r="U21" i="15"/>
  <c r="R21" i="15"/>
  <c r="AG24" i="15"/>
  <c r="AG28" i="15"/>
  <c r="AG32" i="15"/>
  <c r="AG33" i="15"/>
  <c r="AJ33" i="15" s="1"/>
  <c r="AG36" i="15"/>
  <c r="AG40" i="15"/>
  <c r="AG44" i="15"/>
  <c r="AJ44" i="15" s="1"/>
  <c r="AG48" i="15"/>
  <c r="AG52" i="15"/>
  <c r="O21" i="15"/>
  <c r="AA19" i="15"/>
  <c r="X19" i="15"/>
  <c r="U19" i="15"/>
  <c r="R19" i="15"/>
  <c r="O19" i="15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J42" i="12"/>
  <c r="I42" i="12"/>
  <c r="H42" i="12"/>
  <c r="G42" i="12"/>
  <c r="F42" i="12"/>
  <c r="J38" i="12"/>
  <c r="I38" i="12"/>
  <c r="H38" i="12"/>
  <c r="G38" i="12"/>
  <c r="F38" i="12"/>
  <c r="J34" i="12"/>
  <c r="I34" i="12"/>
  <c r="H34" i="12"/>
  <c r="G34" i="12"/>
  <c r="F34" i="12"/>
  <c r="J30" i="12"/>
  <c r="I30" i="12"/>
  <c r="H30" i="12"/>
  <c r="G30" i="12"/>
  <c r="F30" i="12"/>
  <c r="J26" i="12"/>
  <c r="I26" i="12"/>
  <c r="H26" i="12"/>
  <c r="G26" i="12"/>
  <c r="F26" i="12"/>
  <c r="J22" i="12"/>
  <c r="I22" i="12"/>
  <c r="H22" i="12"/>
  <c r="G22" i="12"/>
  <c r="F22" i="12"/>
  <c r="J18" i="12"/>
  <c r="I18" i="12"/>
  <c r="H18" i="12"/>
  <c r="G18" i="12"/>
  <c r="F18" i="12"/>
  <c r="J14" i="12"/>
  <c r="I14" i="12"/>
  <c r="H14" i="12"/>
  <c r="G14" i="12"/>
  <c r="F14" i="12"/>
  <c r="J10" i="12"/>
  <c r="I10" i="12"/>
  <c r="H10" i="12"/>
  <c r="G10" i="12"/>
  <c r="F10" i="12"/>
  <c r="J6" i="12"/>
  <c r="I6" i="12"/>
  <c r="H6" i="12"/>
  <c r="G6" i="12"/>
  <c r="F6" i="12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B6" i="10"/>
  <c r="B9" i="10" s="1"/>
  <c r="B12" i="10" s="1"/>
  <c r="B15" i="10" s="1"/>
  <c r="B18" i="10" s="1"/>
  <c r="B21" i="10" s="1"/>
  <c r="B24" i="10" s="1"/>
  <c r="B27" i="10" s="1"/>
  <c r="B30" i="10" s="1"/>
  <c r="T19" i="9"/>
  <c r="R19" i="9"/>
  <c r="F19" i="9"/>
  <c r="O19" i="9" s="1"/>
  <c r="T14" i="9"/>
  <c r="V14" i="9"/>
  <c r="T15" i="9"/>
  <c r="V15" i="9"/>
  <c r="T16" i="9"/>
  <c r="V16" i="9"/>
  <c r="T17" i="9"/>
  <c r="V17" i="9"/>
  <c r="T18" i="9"/>
  <c r="V18" i="9"/>
  <c r="R18" i="9"/>
  <c r="F18" i="9"/>
  <c r="H18" i="9" s="1"/>
  <c r="AA17" i="9"/>
  <c r="AB17" i="9"/>
  <c r="AA18" i="9"/>
  <c r="AB18" i="9"/>
  <c r="AA19" i="9"/>
  <c r="AB19" i="9"/>
  <c r="R17" i="9"/>
  <c r="F17" i="9"/>
  <c r="O17" i="9" s="1"/>
  <c r="AB16" i="9"/>
  <c r="AA16" i="9"/>
  <c r="R16" i="9"/>
  <c r="F16" i="9"/>
  <c r="H16" i="9" s="1"/>
  <c r="AB15" i="9"/>
  <c r="AA15" i="9"/>
  <c r="R15" i="9"/>
  <c r="F15" i="9"/>
  <c r="O15" i="9" s="1"/>
  <c r="AA14" i="9"/>
  <c r="AB14" i="9"/>
  <c r="F14" i="9"/>
  <c r="H14" i="9" s="1"/>
  <c r="R14" i="9"/>
  <c r="AB11" i="9"/>
  <c r="AA12" i="9"/>
  <c r="AB10" i="9"/>
  <c r="AB12" i="9"/>
  <c r="AB13" i="9"/>
  <c r="AB9" i="9"/>
  <c r="AA10" i="9"/>
  <c r="AA11" i="9"/>
  <c r="AA13" i="9"/>
  <c r="AA9" i="9"/>
  <c r="R13" i="9"/>
  <c r="T13" i="9"/>
  <c r="V13" i="9"/>
  <c r="F13" i="9"/>
  <c r="O13" i="9" s="1"/>
  <c r="F10" i="9"/>
  <c r="Q10" i="9" s="1"/>
  <c r="F11" i="9"/>
  <c r="Q11" i="9" s="1"/>
  <c r="F12" i="9"/>
  <c r="Q12" i="9" s="1"/>
  <c r="F9" i="9"/>
  <c r="Q9" i="9" s="1"/>
  <c r="V12" i="9"/>
  <c r="T12" i="9"/>
  <c r="R12" i="9"/>
  <c r="V11" i="9"/>
  <c r="T11" i="9"/>
  <c r="R11" i="9"/>
  <c r="V10" i="9"/>
  <c r="T10" i="9"/>
  <c r="R10" i="9"/>
  <c r="V9" i="9"/>
  <c r="T9" i="9"/>
  <c r="R9" i="9"/>
  <c r="F6" i="9"/>
  <c r="F5" i="9"/>
  <c r="F4" i="9"/>
  <c r="F3" i="9"/>
  <c r="F2" i="9"/>
  <c r="F126" i="7"/>
  <c r="F127" i="7"/>
  <c r="S85" i="7"/>
  <c r="T85" i="7" s="1"/>
  <c r="S84" i="7"/>
  <c r="T84" i="7" s="1"/>
  <c r="S83" i="7"/>
  <c r="T83" i="7" s="1"/>
  <c r="S82" i="7"/>
  <c r="T82" i="7" s="1"/>
  <c r="S81" i="7"/>
  <c r="T81" i="7" s="1"/>
  <c r="S80" i="7"/>
  <c r="T80" i="7" s="1"/>
  <c r="S79" i="7"/>
  <c r="T79" i="7" s="1"/>
  <c r="S78" i="7"/>
  <c r="T78" i="7" s="1"/>
  <c r="S77" i="7"/>
  <c r="T77" i="7" s="1"/>
  <c r="S76" i="7"/>
  <c r="T76" i="7" s="1"/>
  <c r="S75" i="7"/>
  <c r="T75" i="7" s="1"/>
  <c r="S74" i="7"/>
  <c r="T74" i="7" s="1"/>
  <c r="S73" i="7"/>
  <c r="T73" i="7" s="1"/>
  <c r="S72" i="7"/>
  <c r="T72" i="7" s="1"/>
  <c r="S71" i="7"/>
  <c r="T71" i="7" s="1"/>
  <c r="S70" i="7"/>
  <c r="T70" i="7" s="1"/>
  <c r="S69" i="7"/>
  <c r="T69" i="7" s="1"/>
  <c r="S68" i="7"/>
  <c r="T68" i="7" s="1"/>
  <c r="S67" i="7"/>
  <c r="T67" i="7" s="1"/>
  <c r="S66" i="7"/>
  <c r="T66" i="7" s="1"/>
  <c r="S65" i="7"/>
  <c r="T65" i="7" s="1"/>
  <c r="S64" i="7"/>
  <c r="T64" i="7" s="1"/>
  <c r="S63" i="7"/>
  <c r="T63" i="7" s="1"/>
  <c r="S62" i="7"/>
  <c r="T62" i="7" s="1"/>
  <c r="S61" i="7"/>
  <c r="T61" i="7" s="1"/>
  <c r="S60" i="7"/>
  <c r="T60" i="7" s="1"/>
  <c r="S59" i="7"/>
  <c r="T59" i="7" s="1"/>
  <c r="S58" i="7"/>
  <c r="T58" i="7" s="1"/>
  <c r="S57" i="7"/>
  <c r="T57" i="7" s="1"/>
  <c r="S56" i="7"/>
  <c r="T56" i="7" s="1"/>
  <c r="S55" i="7"/>
  <c r="T55" i="7" s="1"/>
  <c r="S54" i="7"/>
  <c r="T54" i="7" s="1"/>
  <c r="T120" i="9" l="1"/>
  <c r="AN73" i="15"/>
  <c r="AC111" i="9" a="1"/>
  <c r="AC111" i="9" s="1"/>
  <c r="S111" i="9" a="1"/>
  <c r="S111" i="9" s="1"/>
  <c r="T111" i="9" s="1"/>
  <c r="AC118" i="9" a="1"/>
  <c r="AC118" i="9" s="1"/>
  <c r="S106" i="9" a="1"/>
  <c r="S106" i="9" s="1"/>
  <c r="T106" i="9" s="1"/>
  <c r="S115" i="9" a="1"/>
  <c r="S115" i="9" s="1"/>
  <c r="T115" i="9" s="1"/>
  <c r="AC116" i="9" a="1"/>
  <c r="AC116" i="9" s="1"/>
  <c r="Z111" i="9" a="1"/>
  <c r="Z111" i="9" s="1"/>
  <c r="AC104" i="9" a="1"/>
  <c r="AC104" i="9" s="1"/>
  <c r="Z112" i="9" a="1"/>
  <c r="Z112" i="9" s="1"/>
  <c r="Z104" i="9" a="1"/>
  <c r="Z104" i="9" s="1"/>
  <c r="Z107" i="9" a="1"/>
  <c r="Z107" i="9" s="1"/>
  <c r="AJ68" i="15"/>
  <c r="AJ64" i="15"/>
  <c r="AJ60" i="15"/>
  <c r="AM56" i="15"/>
  <c r="AG85" i="15"/>
  <c r="AJ85" i="15" s="1"/>
  <c r="AG81" i="15"/>
  <c r="AG77" i="15"/>
  <c r="AJ77" i="15" s="1"/>
  <c r="AG73" i="15"/>
  <c r="AC33" i="9" a="1"/>
  <c r="AC33" i="9" s="1"/>
  <c r="AC31" i="9" a="1"/>
  <c r="AC31" i="9" s="1"/>
  <c r="AC72" i="9" a="1"/>
  <c r="AC72" i="9" s="1"/>
  <c r="AN87" i="15"/>
  <c r="AJ19" i="15"/>
  <c r="AN74" i="15"/>
  <c r="AJ69" i="15"/>
  <c r="AJ61" i="15"/>
  <c r="AG86" i="15"/>
  <c r="AJ86" i="15" s="1"/>
  <c r="AG78" i="15"/>
  <c r="AJ78" i="15" s="1"/>
  <c r="AJ16" i="15"/>
  <c r="AG21" i="15"/>
  <c r="AJ21" i="15" s="1"/>
  <c r="AG45" i="15"/>
  <c r="AJ45" i="15" s="1"/>
  <c r="AG41" i="15"/>
  <c r="AJ41" i="15" s="1"/>
  <c r="AG37" i="15"/>
  <c r="AJ37" i="15" s="1"/>
  <c r="AG29" i="15"/>
  <c r="AJ29" i="15" s="1"/>
  <c r="AG4" i="15"/>
  <c r="AJ70" i="15"/>
  <c r="AJ66" i="15"/>
  <c r="AJ62" i="15"/>
  <c r="AJ58" i="15"/>
  <c r="AG87" i="15"/>
  <c r="AJ87" i="15" s="1"/>
  <c r="AG83" i="15"/>
  <c r="AJ83" i="15" s="1"/>
  <c r="AG79" i="15"/>
  <c r="AJ79" i="15" s="1"/>
  <c r="AG75" i="15"/>
  <c r="AJ75" i="15" s="1"/>
  <c r="AJ17" i="15"/>
  <c r="AJ13" i="15"/>
  <c r="AJ9" i="15"/>
  <c r="AJ11" i="15"/>
  <c r="AJ15" i="15"/>
  <c r="AG50" i="15"/>
  <c r="AJ50" i="15" s="1"/>
  <c r="AG46" i="15"/>
  <c r="AJ46" i="15" s="1"/>
  <c r="AG42" i="15"/>
  <c r="AJ42" i="15" s="1"/>
  <c r="AG38" i="15"/>
  <c r="AJ38" i="15" s="1"/>
  <c r="AG34" i="15"/>
  <c r="AJ34" i="15" s="1"/>
  <c r="AG30" i="15"/>
  <c r="AJ30" i="15" s="1"/>
  <c r="AG26" i="15"/>
  <c r="AJ26" i="15" s="1"/>
  <c r="AG22" i="15"/>
  <c r="AJ22" i="15" s="1"/>
  <c r="AJ24" i="15"/>
  <c r="AJ28" i="15"/>
  <c r="AJ32" i="15"/>
  <c r="AJ36" i="15"/>
  <c r="AJ40" i="15"/>
  <c r="AJ48" i="15"/>
  <c r="AN86" i="15"/>
  <c r="AJ65" i="15"/>
  <c r="AM57" i="15"/>
  <c r="AG82" i="15"/>
  <c r="AJ82" i="15" s="1"/>
  <c r="AG74" i="15"/>
  <c r="AM74" i="15" s="1"/>
  <c r="AJ12" i="15"/>
  <c r="AJ8" i="15"/>
  <c r="AG49" i="15"/>
  <c r="AJ49" i="15" s="1"/>
  <c r="AG25" i="15"/>
  <c r="AJ25" i="15" s="1"/>
  <c r="AG55" i="15"/>
  <c r="AJ55" i="15" s="1"/>
  <c r="AM55" i="15" s="1"/>
  <c r="AJ67" i="15"/>
  <c r="AJ63" i="15"/>
  <c r="AJ59" i="15"/>
  <c r="AG72" i="15"/>
  <c r="AJ72" i="15" s="1"/>
  <c r="AM72" i="15" s="1"/>
  <c r="AG84" i="15"/>
  <c r="AJ84" i="15" s="1"/>
  <c r="AG80" i="15"/>
  <c r="AJ80" i="15" s="1"/>
  <c r="AG76" i="15"/>
  <c r="AJ76" i="15" s="1"/>
  <c r="AJ14" i="15"/>
  <c r="AJ10" i="15"/>
  <c r="AJ6" i="15"/>
  <c r="AG51" i="15"/>
  <c r="AJ51" i="15" s="1"/>
  <c r="AG47" i="15"/>
  <c r="AJ47" i="15" s="1"/>
  <c r="AG43" i="15"/>
  <c r="AJ43" i="15" s="1"/>
  <c r="AG39" i="15"/>
  <c r="AJ39" i="15" s="1"/>
  <c r="AG35" i="15"/>
  <c r="AJ35" i="15" s="1"/>
  <c r="AG31" i="15"/>
  <c r="AJ31" i="15" s="1"/>
  <c r="AG27" i="15"/>
  <c r="AJ27" i="15" s="1"/>
  <c r="AG23" i="15"/>
  <c r="AJ23" i="15" s="1"/>
  <c r="H13" i="9"/>
  <c r="H17" i="9"/>
  <c r="O18" i="9"/>
  <c r="H19" i="9"/>
  <c r="AN65" i="15"/>
  <c r="AJ52" i="15"/>
  <c r="AJ7" i="15"/>
  <c r="AJ5" i="15"/>
  <c r="Q13" i="9"/>
  <c r="H15" i="9"/>
  <c r="O14" i="9"/>
  <c r="O16" i="9"/>
  <c r="H9" i="9"/>
  <c r="O9" i="9"/>
  <c r="H10" i="9"/>
  <c r="O10" i="9"/>
  <c r="H11" i="9"/>
  <c r="O11" i="9"/>
  <c r="H12" i="9"/>
  <c r="O12" i="9"/>
  <c r="H25" i="7"/>
  <c r="H26" i="7"/>
  <c r="H27" i="7"/>
  <c r="H24" i="7"/>
  <c r="G21" i="7"/>
  <c r="H21" i="7"/>
  <c r="I21" i="7"/>
  <c r="J21" i="7"/>
  <c r="F21" i="7"/>
  <c r="AJ18" i="15" l="1"/>
  <c r="X107" i="9" a="1"/>
  <c r="X107" i="9" s="1"/>
  <c r="AB107" i="9" s="1"/>
  <c r="X111" i="9" a="1"/>
  <c r="X111" i="9" s="1"/>
  <c r="AB111" i="9" s="1"/>
  <c r="I111" i="9" a="1"/>
  <c r="I111" i="9" s="1"/>
  <c r="Q111" i="9" s="1"/>
  <c r="X120" i="9" a="1"/>
  <c r="X120" i="9" s="1"/>
  <c r="AB120" i="9" s="1"/>
  <c r="X115" i="9" a="1"/>
  <c r="X115" i="9" s="1"/>
  <c r="AB115" i="9" s="1"/>
  <c r="X105" i="9" a="1"/>
  <c r="X105" i="9" s="1"/>
  <c r="AB105" i="9" s="1"/>
  <c r="X109" i="9" a="1"/>
  <c r="X109" i="9" s="1"/>
  <c r="AB109" i="9" s="1"/>
  <c r="W107" i="9" a="1"/>
  <c r="W107" i="9" s="1"/>
  <c r="AA107" i="9" s="1"/>
  <c r="W110" i="9" a="1"/>
  <c r="W110" i="9" s="1"/>
  <c r="AA110" i="9" s="1"/>
  <c r="I109" i="9" a="1"/>
  <c r="I109" i="9" s="1"/>
  <c r="Q109" i="9" s="1"/>
  <c r="I118" i="9" a="1"/>
  <c r="I118" i="9" s="1"/>
  <c r="O118" i="9" s="1"/>
  <c r="X118" i="9" a="1"/>
  <c r="X118" i="9" s="1"/>
  <c r="AB118" i="9" s="1"/>
  <c r="I116" i="9" a="1"/>
  <c r="I116" i="9" s="1"/>
  <c r="O116" i="9" s="1"/>
  <c r="P116" i="9" s="1" a="1"/>
  <c r="P116" i="9" s="1"/>
  <c r="I114" i="9" a="1"/>
  <c r="I114" i="9" s="1"/>
  <c r="O114" i="9" s="1"/>
  <c r="I110" i="9" a="1"/>
  <c r="I110" i="9" s="1"/>
  <c r="Q110" i="9" s="1"/>
  <c r="W111" i="9" a="1"/>
  <c r="W111" i="9" s="1"/>
  <c r="AA111" i="9" s="1"/>
  <c r="I115" i="9" a="1"/>
  <c r="I115" i="9" s="1"/>
  <c r="O115" i="9" s="1"/>
  <c r="W113" i="9" a="1"/>
  <c r="W113" i="9" s="1"/>
  <c r="W109" i="9" a="1"/>
  <c r="W109" i="9" s="1"/>
  <c r="AA109" i="9" s="1"/>
  <c r="I107" i="9" a="1"/>
  <c r="I107" i="9" s="1"/>
  <c r="Q107" i="9" s="1"/>
  <c r="W120" i="9" a="1"/>
  <c r="W120" i="9" s="1"/>
  <c r="W116" i="9" a="1"/>
  <c r="W116" i="9" s="1"/>
  <c r="X114" i="9" a="1"/>
  <c r="X114" i="9" s="1"/>
  <c r="AB114" i="9" s="1"/>
  <c r="X113" i="9" a="1"/>
  <c r="X113" i="9" s="1"/>
  <c r="AB113" i="9" s="1"/>
  <c r="I105" i="9" a="1"/>
  <c r="I105" i="9" s="1"/>
  <c r="Q105" i="9" s="1"/>
  <c r="I120" i="9" a="1"/>
  <c r="I120" i="9" s="1"/>
  <c r="W118" i="9" a="1"/>
  <c r="W118" i="9" s="1"/>
  <c r="W115" i="9" a="1"/>
  <c r="W115" i="9" s="1"/>
  <c r="I113" i="9" a="1"/>
  <c r="I113" i="9" s="1"/>
  <c r="O113" i="9" s="1"/>
  <c r="W105" i="9" a="1"/>
  <c r="W105" i="9" s="1"/>
  <c r="AA105" i="9" s="1"/>
  <c r="X116" i="9" a="1"/>
  <c r="X116" i="9" s="1"/>
  <c r="AB116" i="9" s="1"/>
  <c r="W114" i="9" a="1"/>
  <c r="W114" i="9" s="1"/>
  <c r="X110" i="9" a="1"/>
  <c r="X110" i="9" s="1"/>
  <c r="AB110" i="9" s="1"/>
  <c r="X108" i="9" a="1"/>
  <c r="X108" i="9" s="1"/>
  <c r="AB108" i="9" s="1"/>
  <c r="X104" i="9" a="1"/>
  <c r="X104" i="9" s="1"/>
  <c r="AB104" i="9" s="1"/>
  <c r="X106" i="9" a="1"/>
  <c r="X106" i="9" s="1"/>
  <c r="AB106" i="9" s="1"/>
  <c r="W104" i="9" a="1"/>
  <c r="W104" i="9" s="1"/>
  <c r="AA104" i="9" s="1"/>
  <c r="I108" i="9" a="1"/>
  <c r="I108" i="9" s="1"/>
  <c r="Q108" i="9" s="1"/>
  <c r="I112" i="9" a="1"/>
  <c r="I112" i="9" s="1"/>
  <c r="Q112" i="9" s="1"/>
  <c r="W106" i="9" a="1"/>
  <c r="W106" i="9" s="1"/>
  <c r="AA106" i="9" s="1"/>
  <c r="W112" i="9" a="1"/>
  <c r="W112" i="9" s="1"/>
  <c r="AA112" i="9" s="1"/>
  <c r="W108" i="9" a="1"/>
  <c r="W108" i="9" s="1"/>
  <c r="AA108" i="9" s="1"/>
  <c r="I106" i="9" a="1"/>
  <c r="I106" i="9" s="1"/>
  <c r="Q106" i="9" s="1"/>
  <c r="X112" i="9" a="1"/>
  <c r="X112" i="9" s="1"/>
  <c r="AB112" i="9" s="1"/>
  <c r="I104" i="9" a="1"/>
  <c r="I104" i="9" s="1"/>
  <c r="Q104" i="9" s="1"/>
  <c r="AN84" i="15"/>
  <c r="AM80" i="15"/>
  <c r="AN85" i="15"/>
  <c r="AJ4" i="15"/>
  <c r="I31" i="9" a="1"/>
  <c r="I31" i="9" s="1"/>
  <c r="W31" i="9" a="1"/>
  <c r="W31" i="9" s="1"/>
  <c r="X31" i="9" a="1"/>
  <c r="X31" i="9" s="1"/>
  <c r="AB31" i="9" s="1"/>
  <c r="I33" i="9" a="1"/>
  <c r="I33" i="9" s="1"/>
  <c r="Q33" i="9" s="1"/>
  <c r="I30" i="9" a="1"/>
  <c r="I30" i="9" s="1"/>
  <c r="O30" i="9" s="1"/>
  <c r="W90" i="9" a="1"/>
  <c r="W90" i="9" s="1"/>
  <c r="AA90" i="9" s="1"/>
  <c r="X47" i="9" a="1"/>
  <c r="X47" i="9" s="1"/>
  <c r="AB47" i="9" s="1"/>
  <c r="I45" i="9" a="1"/>
  <c r="I45" i="9" s="1"/>
  <c r="Q45" i="9" s="1"/>
  <c r="W44" i="9" a="1"/>
  <c r="W44" i="9" s="1"/>
  <c r="AA44" i="9" s="1"/>
  <c r="X43" i="9" a="1"/>
  <c r="X43" i="9" s="1"/>
  <c r="AB43" i="9" s="1"/>
  <c r="I102" i="9" a="1"/>
  <c r="I102" i="9" s="1"/>
  <c r="Q102" i="9" s="1"/>
  <c r="W101" i="9" a="1"/>
  <c r="W101" i="9" s="1"/>
  <c r="AA101" i="9" s="1"/>
  <c r="X98" i="9" a="1"/>
  <c r="X98" i="9" s="1"/>
  <c r="AB98" i="9" s="1"/>
  <c r="I96" i="9" a="1"/>
  <c r="I96" i="9" s="1"/>
  <c r="Q96" i="9" s="1"/>
  <c r="W93" i="9" a="1"/>
  <c r="W93" i="9" s="1"/>
  <c r="AA93" i="9" s="1"/>
  <c r="X92" i="9" a="1"/>
  <c r="X92" i="9" s="1"/>
  <c r="AB92" i="9" s="1"/>
  <c r="I88" i="9" a="1"/>
  <c r="I88" i="9" s="1"/>
  <c r="Q88" i="9" s="1"/>
  <c r="W87" i="9" a="1"/>
  <c r="W87" i="9" s="1"/>
  <c r="AA87" i="9" s="1"/>
  <c r="I84" i="9" a="1"/>
  <c r="I84" i="9" s="1"/>
  <c r="Q84" i="9" s="1"/>
  <c r="X82" i="9" a="1"/>
  <c r="X82" i="9" s="1"/>
  <c r="AB82" i="9" s="1"/>
  <c r="I80" i="9" a="1"/>
  <c r="I80" i="9" s="1"/>
  <c r="Q80" i="9" s="1"/>
  <c r="W79" i="9" a="1"/>
  <c r="W79" i="9" s="1"/>
  <c r="AA79" i="9" s="1"/>
  <c r="X78" i="9" a="1"/>
  <c r="X78" i="9" s="1"/>
  <c r="AB78" i="9" s="1"/>
  <c r="I76" i="9" a="1"/>
  <c r="I76" i="9" s="1"/>
  <c r="Q76" i="9" s="1"/>
  <c r="W75" i="9" a="1"/>
  <c r="W75" i="9" s="1"/>
  <c r="AA75" i="9" s="1"/>
  <c r="X74" i="9" a="1"/>
  <c r="X74" i="9" s="1"/>
  <c r="AB74" i="9" s="1"/>
  <c r="I71" i="9" a="1"/>
  <c r="I71" i="9" s="1"/>
  <c r="Q71" i="9" s="1"/>
  <c r="W70" i="9" a="1"/>
  <c r="W70" i="9" s="1"/>
  <c r="AA70" i="9" s="1"/>
  <c r="X69" i="9" a="1"/>
  <c r="X69" i="9" s="1"/>
  <c r="AB69" i="9" s="1"/>
  <c r="I67" i="9" a="1"/>
  <c r="I67" i="9" s="1"/>
  <c r="Q67" i="9" s="1"/>
  <c r="W63" i="9" a="1"/>
  <c r="W63" i="9" s="1"/>
  <c r="AA63" i="9" s="1"/>
  <c r="X62" i="9" a="1"/>
  <c r="X62" i="9" s="1"/>
  <c r="AB62" i="9" s="1"/>
  <c r="I57" i="9" a="1"/>
  <c r="I57" i="9" s="1"/>
  <c r="Q57" i="9" s="1"/>
  <c r="W56" i="9" a="1"/>
  <c r="W56" i="9" s="1"/>
  <c r="AA56" i="9" s="1"/>
  <c r="X55" i="9" a="1"/>
  <c r="X55" i="9" s="1"/>
  <c r="AB55" i="9" s="1"/>
  <c r="I53" i="9" a="1"/>
  <c r="I53" i="9" s="1"/>
  <c r="Q53" i="9" s="1"/>
  <c r="W52" i="9" a="1"/>
  <c r="W52" i="9" s="1"/>
  <c r="AA52" i="9" s="1"/>
  <c r="X51" i="9" a="1"/>
  <c r="X51" i="9" s="1"/>
  <c r="AB51" i="9" s="1"/>
  <c r="I49" i="9" a="1"/>
  <c r="I49" i="9" s="1"/>
  <c r="Q49" i="9" s="1"/>
  <c r="W41" i="9" a="1"/>
  <c r="W41" i="9" s="1"/>
  <c r="AA41" i="9" s="1"/>
  <c r="X40" i="9" a="1"/>
  <c r="X40" i="9" s="1"/>
  <c r="AB40" i="9" s="1"/>
  <c r="I38" i="9" a="1"/>
  <c r="I38" i="9" s="1"/>
  <c r="Q38" i="9" s="1"/>
  <c r="W36" i="9" a="1"/>
  <c r="W36" i="9" s="1"/>
  <c r="AA36" i="9" s="1"/>
  <c r="X37" i="9" a="1"/>
  <c r="X37" i="9" s="1"/>
  <c r="AB37" i="9" s="1"/>
  <c r="I34" i="9" a="1"/>
  <c r="I34" i="9" s="1"/>
  <c r="Q34" i="9" s="1"/>
  <c r="W28" i="9" a="1"/>
  <c r="W28" i="9" s="1"/>
  <c r="X29" i="9" a="1"/>
  <c r="X29" i="9" s="1"/>
  <c r="AB29" i="9" s="1"/>
  <c r="W33" i="9" a="1"/>
  <c r="W33" i="9" s="1"/>
  <c r="AA33" i="9" s="1"/>
  <c r="W32" i="9" a="1"/>
  <c r="W32" i="9" s="1"/>
  <c r="AA32" i="9" s="1"/>
  <c r="X77" i="9" a="1"/>
  <c r="X77" i="9" s="1"/>
  <c r="AB77" i="9" s="1"/>
  <c r="W74" i="9" a="1"/>
  <c r="W74" i="9" s="1"/>
  <c r="AA74" i="9" s="1"/>
  <c r="X72" i="9" a="1"/>
  <c r="X72" i="9" s="1"/>
  <c r="AB72" i="9" s="1"/>
  <c r="W69" i="9" a="1"/>
  <c r="W69" i="9" s="1"/>
  <c r="AA69" i="9" s="1"/>
  <c r="I63" i="9" a="1"/>
  <c r="I63" i="9" s="1"/>
  <c r="Q63" i="9" s="1"/>
  <c r="X58" i="9" a="1"/>
  <c r="X58" i="9" s="1"/>
  <c r="AB58" i="9" s="1"/>
  <c r="W55" i="9" a="1"/>
  <c r="W55" i="9" s="1"/>
  <c r="AA55" i="9" s="1"/>
  <c r="X54" i="9" a="1"/>
  <c r="X54" i="9" s="1"/>
  <c r="AB54" i="9" s="1"/>
  <c r="W51" i="9" a="1"/>
  <c r="W51" i="9" s="1"/>
  <c r="AA51" i="9" s="1"/>
  <c r="I41" i="9" a="1"/>
  <c r="I41" i="9" s="1"/>
  <c r="Q41" i="9" s="1"/>
  <c r="X39" i="9" a="1"/>
  <c r="X39" i="9" s="1"/>
  <c r="AB39" i="9" s="1"/>
  <c r="W37" i="9" a="1"/>
  <c r="W37" i="9" s="1"/>
  <c r="AA37" i="9" s="1"/>
  <c r="I28" i="9" a="1"/>
  <c r="I28" i="9" s="1"/>
  <c r="W64" i="9" a="1"/>
  <c r="W64" i="9" s="1"/>
  <c r="AA64" i="9" s="1"/>
  <c r="X102" i="9" a="1"/>
  <c r="X102" i="9" s="1"/>
  <c r="AB102" i="9" s="1"/>
  <c r="X88" i="9" a="1"/>
  <c r="X88" i="9" s="1"/>
  <c r="AB88" i="9" s="1"/>
  <c r="I29" i="9" a="1"/>
  <c r="I29" i="9" s="1"/>
  <c r="O29" i="9" s="1"/>
  <c r="X32" i="9" a="1"/>
  <c r="X32" i="9" s="1"/>
  <c r="AB32" i="9" s="1"/>
  <c r="W96" i="9" a="1"/>
  <c r="W96" i="9" s="1"/>
  <c r="AA96" i="9" s="1"/>
  <c r="I90" i="9" a="1"/>
  <c r="I90" i="9" s="1"/>
  <c r="Q90" i="9" s="1"/>
  <c r="W47" i="9" a="1"/>
  <c r="W47" i="9" s="1"/>
  <c r="AA47" i="9" s="1"/>
  <c r="X46" i="9" a="1"/>
  <c r="X46" i="9" s="1"/>
  <c r="AB46" i="9" s="1"/>
  <c r="I44" i="9" a="1"/>
  <c r="I44" i="9" s="1"/>
  <c r="Q44" i="9" s="1"/>
  <c r="W43" i="9" a="1"/>
  <c r="W43" i="9" s="1"/>
  <c r="AA43" i="9" s="1"/>
  <c r="X64" i="9" a="1"/>
  <c r="X64" i="9" s="1"/>
  <c r="AB64" i="9" s="1"/>
  <c r="X103" i="9" a="1"/>
  <c r="X103" i="9" s="1"/>
  <c r="AB103" i="9" s="1"/>
  <c r="I101" i="9" a="1"/>
  <c r="I101" i="9" s="1"/>
  <c r="Q101" i="9" s="1"/>
  <c r="W98" i="9" a="1"/>
  <c r="W98" i="9" s="1"/>
  <c r="AA98" i="9" s="1"/>
  <c r="X97" i="9" a="1"/>
  <c r="X97" i="9" s="1"/>
  <c r="AB97" i="9" s="1"/>
  <c r="I93" i="9" a="1"/>
  <c r="I93" i="9" s="1"/>
  <c r="Q93" i="9" s="1"/>
  <c r="W92" i="9" a="1"/>
  <c r="W92" i="9" s="1"/>
  <c r="AA92" i="9" s="1"/>
  <c r="X91" i="9" a="1"/>
  <c r="X91" i="9" s="1"/>
  <c r="AB91" i="9" s="1"/>
  <c r="I87" i="9" a="1"/>
  <c r="I87" i="9" s="1"/>
  <c r="Q87" i="9" s="1"/>
  <c r="I83" i="9" a="1"/>
  <c r="I83" i="9" s="1"/>
  <c r="Q83" i="9" s="1"/>
  <c r="W82" i="9" a="1"/>
  <c r="W82" i="9" s="1"/>
  <c r="AA82" i="9" s="1"/>
  <c r="X81" i="9" a="1"/>
  <c r="X81" i="9" s="1"/>
  <c r="AB81" i="9" s="1"/>
  <c r="I79" i="9" a="1"/>
  <c r="I79" i="9" s="1"/>
  <c r="Q79" i="9" s="1"/>
  <c r="W78" i="9" a="1"/>
  <c r="W78" i="9" s="1"/>
  <c r="AA78" i="9" s="1"/>
  <c r="I75" i="9" a="1"/>
  <c r="I75" i="9" s="1"/>
  <c r="Q75" i="9" s="1"/>
  <c r="X73" i="9" a="1"/>
  <c r="X73" i="9" s="1"/>
  <c r="AB73" i="9" s="1"/>
  <c r="I70" i="9" a="1"/>
  <c r="I70" i="9" s="1"/>
  <c r="Q70" i="9" s="1"/>
  <c r="X68" i="9" a="1"/>
  <c r="X68" i="9" s="1"/>
  <c r="AB68" i="9" s="1"/>
  <c r="W62" i="9" a="1"/>
  <c r="W62" i="9" s="1"/>
  <c r="AA62" i="9" s="1"/>
  <c r="I56" i="9" a="1"/>
  <c r="I56" i="9" s="1"/>
  <c r="Q56" i="9" s="1"/>
  <c r="I52" i="9" a="1"/>
  <c r="I52" i="9" s="1"/>
  <c r="Q52" i="9" s="1"/>
  <c r="X50" i="9" a="1"/>
  <c r="X50" i="9" s="1"/>
  <c r="AB50" i="9" s="1"/>
  <c r="W40" i="9" a="1"/>
  <c r="W40" i="9" s="1"/>
  <c r="AA40" i="9" s="1"/>
  <c r="I36" i="9" a="1"/>
  <c r="I36" i="9" s="1"/>
  <c r="Q36" i="9" s="1"/>
  <c r="X35" i="9" a="1"/>
  <c r="X35" i="9" s="1"/>
  <c r="AB35" i="9" s="1"/>
  <c r="W30" i="9" a="1"/>
  <c r="W30" i="9" s="1"/>
  <c r="X33" i="9" a="1"/>
  <c r="X33" i="9" s="1"/>
  <c r="AB33" i="9" s="1"/>
  <c r="I32" i="9" a="1"/>
  <c r="I32" i="9" s="1"/>
  <c r="Q32" i="9" s="1"/>
  <c r="W97" i="9" a="1"/>
  <c r="W97" i="9" s="1"/>
  <c r="AA97" i="9" s="1"/>
  <c r="X96" i="9" a="1"/>
  <c r="X96" i="9" s="1"/>
  <c r="AB96" i="9" s="1"/>
  <c r="I47" i="9" a="1"/>
  <c r="I47" i="9" s="1"/>
  <c r="Q47" i="9" s="1"/>
  <c r="W46" i="9" a="1"/>
  <c r="W46" i="9" s="1"/>
  <c r="AA46" i="9" s="1"/>
  <c r="X45" i="9" a="1"/>
  <c r="X45" i="9" s="1"/>
  <c r="AB45" i="9" s="1"/>
  <c r="I43" i="9" a="1"/>
  <c r="I43" i="9" s="1"/>
  <c r="Q43" i="9" s="1"/>
  <c r="W103" i="9" a="1"/>
  <c r="W103" i="9" s="1"/>
  <c r="AA103" i="9" s="1"/>
  <c r="I98" i="9" a="1"/>
  <c r="I98" i="9" s="1"/>
  <c r="Q98" i="9" s="1"/>
  <c r="W91" i="9" a="1"/>
  <c r="W91" i="9" s="1"/>
  <c r="AA91" i="9" s="1"/>
  <c r="I37" i="9" a="1"/>
  <c r="I37" i="9" s="1"/>
  <c r="Q37" i="9" s="1"/>
  <c r="I46" i="9" a="1"/>
  <c r="I46" i="9" s="1"/>
  <c r="Q46" i="9" s="1"/>
  <c r="X101" i="9" a="1"/>
  <c r="X101" i="9" s="1"/>
  <c r="AB101" i="9" s="1"/>
  <c r="I91" i="9" a="1"/>
  <c r="I91" i="9" s="1"/>
  <c r="Q91" i="9" s="1"/>
  <c r="I85" i="9" a="1"/>
  <c r="I85" i="9" s="1"/>
  <c r="Q85" i="9" s="1"/>
  <c r="I82" i="9" a="1"/>
  <c r="I82" i="9" s="1"/>
  <c r="Q82" i="9" s="1"/>
  <c r="X80" i="9" a="1"/>
  <c r="X80" i="9" s="1"/>
  <c r="AB80" i="9" s="1"/>
  <c r="W77" i="9" a="1"/>
  <c r="W77" i="9" s="1"/>
  <c r="AA77" i="9" s="1"/>
  <c r="I74" i="9" a="1"/>
  <c r="I74" i="9" s="1"/>
  <c r="Q74" i="9" s="1"/>
  <c r="W72" i="9" a="1"/>
  <c r="W72" i="9" s="1"/>
  <c r="AA72" i="9" s="1"/>
  <c r="I69" i="9" a="1"/>
  <c r="I69" i="9" s="1"/>
  <c r="Q69" i="9" s="1"/>
  <c r="X67" i="9" a="1"/>
  <c r="X67" i="9" s="1"/>
  <c r="AB67" i="9" s="1"/>
  <c r="W57" i="9" a="1"/>
  <c r="W57" i="9" s="1"/>
  <c r="AA57" i="9" s="1"/>
  <c r="I54" i="9" a="1"/>
  <c r="I54" i="9" s="1"/>
  <c r="Q54" i="9" s="1"/>
  <c r="X52" i="9" a="1"/>
  <c r="X52" i="9" s="1"/>
  <c r="AB52" i="9" s="1"/>
  <c r="W49" i="9" a="1"/>
  <c r="W49" i="9" s="1"/>
  <c r="AA49" i="9" s="1"/>
  <c r="I39" i="9" a="1"/>
  <c r="I39" i="9" s="1"/>
  <c r="Q39" i="9" s="1"/>
  <c r="X36" i="9" a="1"/>
  <c r="X36" i="9" s="1"/>
  <c r="AB36" i="9" s="1"/>
  <c r="W34" i="9" a="1"/>
  <c r="W34" i="9" s="1"/>
  <c r="AA34" i="9" s="1"/>
  <c r="I92" i="9" a="1"/>
  <c r="I92" i="9" s="1"/>
  <c r="Q92" i="9" s="1"/>
  <c r="X90" i="9" a="1"/>
  <c r="X90" i="9" s="1"/>
  <c r="AB90" i="9" s="1"/>
  <c r="W45" i="9" a="1"/>
  <c r="W45" i="9" s="1"/>
  <c r="AA45" i="9" s="1"/>
  <c r="I64" i="9" a="1"/>
  <c r="I64" i="9" s="1"/>
  <c r="Q64" i="9" s="1"/>
  <c r="X93" i="9" a="1"/>
  <c r="X93" i="9" s="1"/>
  <c r="AB93" i="9" s="1"/>
  <c r="W88" i="9" a="1"/>
  <c r="W88" i="9" s="1"/>
  <c r="AA88" i="9" s="1"/>
  <c r="I86" i="9" a="1"/>
  <c r="I86" i="9" s="1"/>
  <c r="Q86" i="9" s="1"/>
  <c r="W80" i="9" a="1"/>
  <c r="W80" i="9" s="1"/>
  <c r="AA80" i="9" s="1"/>
  <c r="I77" i="9" a="1"/>
  <c r="I77" i="9" s="1"/>
  <c r="Q77" i="9" s="1"/>
  <c r="X75" i="9" a="1"/>
  <c r="X75" i="9" s="1"/>
  <c r="AB75" i="9" s="1"/>
  <c r="I72" i="9" a="1"/>
  <c r="I72" i="9" s="1"/>
  <c r="Q72" i="9" s="1"/>
  <c r="X70" i="9" a="1"/>
  <c r="X70" i="9" s="1"/>
  <c r="AB70" i="9" s="1"/>
  <c r="W67" i="9" a="1"/>
  <c r="W67" i="9" s="1"/>
  <c r="AA67" i="9" s="1"/>
  <c r="W58" i="9" a="1"/>
  <c r="W58" i="9" s="1"/>
  <c r="AA58" i="9" s="1"/>
  <c r="I55" i="9" a="1"/>
  <c r="I55" i="9" s="1"/>
  <c r="Q55" i="9" s="1"/>
  <c r="X53" i="9" a="1"/>
  <c r="X53" i="9" s="1"/>
  <c r="AB53" i="9" s="1"/>
  <c r="W50" i="9" a="1"/>
  <c r="W50" i="9" s="1"/>
  <c r="AA50" i="9" s="1"/>
  <c r="I40" i="9" a="1"/>
  <c r="I40" i="9" s="1"/>
  <c r="Q40" i="9" s="1"/>
  <c r="X38" i="9" a="1"/>
  <c r="X38" i="9" s="1"/>
  <c r="AB38" i="9" s="1"/>
  <c r="W35" i="9" a="1"/>
  <c r="W35" i="9" s="1"/>
  <c r="AA35" i="9" s="1"/>
  <c r="W29" i="9" a="1"/>
  <c r="W29" i="9" s="1"/>
  <c r="X44" i="9" a="1"/>
  <c r="X44" i="9" s="1"/>
  <c r="AB44" i="9" s="1"/>
  <c r="I103" i="9" a="1"/>
  <c r="I103" i="9" s="1"/>
  <c r="Q103" i="9" s="1"/>
  <c r="X87" i="9" a="1"/>
  <c r="X87" i="9" s="1"/>
  <c r="AB87" i="9" s="1"/>
  <c r="W81" i="9" a="1"/>
  <c r="W81" i="9" s="1"/>
  <c r="AA81" i="9" s="1"/>
  <c r="I78" i="9" a="1"/>
  <c r="I78" i="9" s="1"/>
  <c r="Q78" i="9" s="1"/>
  <c r="X76" i="9" a="1"/>
  <c r="X76" i="9" s="1"/>
  <c r="AB76" i="9" s="1"/>
  <c r="W73" i="9" a="1"/>
  <c r="W73" i="9" s="1"/>
  <c r="AA73" i="9" s="1"/>
  <c r="X71" i="9" a="1"/>
  <c r="X71" i="9" s="1"/>
  <c r="AB71" i="9" s="1"/>
  <c r="W68" i="9" a="1"/>
  <c r="W68" i="9" s="1"/>
  <c r="AA68" i="9" s="1"/>
  <c r="I62" i="9" a="1"/>
  <c r="I62" i="9" s="1"/>
  <c r="Q62" i="9" s="1"/>
  <c r="I58" i="9" a="1"/>
  <c r="I58" i="9" s="1"/>
  <c r="Q58" i="9" s="1"/>
  <c r="X56" i="9" a="1"/>
  <c r="X56" i="9" s="1"/>
  <c r="AB56" i="9" s="1"/>
  <c r="W53" i="9" a="1"/>
  <c r="W53" i="9" s="1"/>
  <c r="AA53" i="9" s="1"/>
  <c r="I50" i="9" a="1"/>
  <c r="I50" i="9" s="1"/>
  <c r="Q50" i="9" s="1"/>
  <c r="X41" i="9" a="1"/>
  <c r="X41" i="9" s="1"/>
  <c r="AB41" i="9" s="1"/>
  <c r="W38" i="9" a="1"/>
  <c r="W38" i="9" s="1"/>
  <c r="AA38" i="9" s="1"/>
  <c r="I35" i="9" a="1"/>
  <c r="I35" i="9" s="1"/>
  <c r="Q35" i="9" s="1"/>
  <c r="X28" i="9" a="1"/>
  <c r="X28" i="9" s="1"/>
  <c r="AB28" i="9" s="1"/>
  <c r="X30" i="9" a="1"/>
  <c r="X30" i="9" s="1"/>
  <c r="AB30" i="9" s="1"/>
  <c r="W102" i="9" a="1"/>
  <c r="W102" i="9" s="1"/>
  <c r="AA102" i="9" s="1"/>
  <c r="I97" i="9" a="1"/>
  <c r="I97" i="9" s="1"/>
  <c r="Q97" i="9" s="1"/>
  <c r="I81" i="9" a="1"/>
  <c r="I81" i="9" s="1"/>
  <c r="Q81" i="9" s="1"/>
  <c r="X79" i="9" a="1"/>
  <c r="X79" i="9" s="1"/>
  <c r="AB79" i="9" s="1"/>
  <c r="W76" i="9" a="1"/>
  <c r="W76" i="9" s="1"/>
  <c r="AA76" i="9" s="1"/>
  <c r="I73" i="9" a="1"/>
  <c r="I73" i="9" s="1"/>
  <c r="Q73" i="9" s="1"/>
  <c r="W71" i="9" a="1"/>
  <c r="W71" i="9" s="1"/>
  <c r="AA71" i="9" s="1"/>
  <c r="I68" i="9" a="1"/>
  <c r="I68" i="9" s="1"/>
  <c r="Q68" i="9" s="1"/>
  <c r="X63" i="9" a="1"/>
  <c r="X63" i="9" s="1"/>
  <c r="AB63" i="9" s="1"/>
  <c r="X57" i="9" a="1"/>
  <c r="X57" i="9" s="1"/>
  <c r="AB57" i="9" s="1"/>
  <c r="W54" i="9" a="1"/>
  <c r="W54" i="9" s="1"/>
  <c r="AA54" i="9" s="1"/>
  <c r="I51" i="9" a="1"/>
  <c r="I51" i="9" s="1"/>
  <c r="Q51" i="9" s="1"/>
  <c r="X49" i="9" a="1"/>
  <c r="X49" i="9" s="1"/>
  <c r="AB49" i="9" s="1"/>
  <c r="W39" i="9" a="1"/>
  <c r="W39" i="9" s="1"/>
  <c r="AA39" i="9" s="1"/>
  <c r="X34" i="9" a="1"/>
  <c r="X34" i="9" s="1"/>
  <c r="AB34" i="9" s="1"/>
  <c r="AJ56" i="15"/>
  <c r="AN83" i="15"/>
  <c r="AN82" i="15"/>
  <c r="AJ74" i="15"/>
  <c r="AJ57" i="15"/>
  <c r="AN75" i="15"/>
  <c r="AJ73" i="15"/>
  <c r="AM73" i="15"/>
  <c r="AJ81" i="15"/>
  <c r="AM81" i="15"/>
  <c r="AN66" i="15"/>
  <c r="AN58" i="15"/>
  <c r="AM75" i="15"/>
  <c r="AM82" i="15"/>
  <c r="AM63" i="15"/>
  <c r="AM64" i="15"/>
  <c r="AM58" i="15"/>
  <c r="Q127" i="7"/>
  <c r="O127" i="7"/>
  <c r="M127" i="7"/>
  <c r="L127" i="7"/>
  <c r="J127" i="7"/>
  <c r="Q126" i="7"/>
  <c r="O126" i="7"/>
  <c r="M126" i="7"/>
  <c r="H126" i="7"/>
  <c r="F2" i="17" a="1"/>
  <c r="O120" i="9" l="1"/>
  <c r="P120" i="9" s="1" a="1"/>
  <c r="P120" i="9" s="1"/>
  <c r="Q120" i="9" s="1"/>
  <c r="Y114" i="9" a="1"/>
  <c r="Y114" i="9" s="1"/>
  <c r="AA114" i="9" s="1"/>
  <c r="P114" i="9" a="1"/>
  <c r="P114" i="9" s="1"/>
  <c r="Q114" i="9" s="1"/>
  <c r="P113" i="9" a="1"/>
  <c r="P113" i="9" s="1"/>
  <c r="Q113" i="9" s="1"/>
  <c r="Y113" i="9" a="1"/>
  <c r="Y113" i="9" s="1"/>
  <c r="AA113" i="9" s="1"/>
  <c r="P115" i="9" a="1"/>
  <c r="P115" i="9" s="1"/>
  <c r="Q115" i="9" s="1"/>
  <c r="Y115" i="9" a="1"/>
  <c r="Y115" i="9" s="1"/>
  <c r="AA115" i="9" s="1"/>
  <c r="Q116" i="9"/>
  <c r="Y116" i="9" a="1"/>
  <c r="Y116" i="9" s="1"/>
  <c r="AA116" i="9" s="1"/>
  <c r="Y118" i="9" a="1"/>
  <c r="Y118" i="9" s="1"/>
  <c r="AA118" i="9" s="1"/>
  <c r="P118" i="9" a="1"/>
  <c r="P118" i="9" s="1"/>
  <c r="Q118" i="9" s="1"/>
  <c r="F2" i="17"/>
  <c r="Y29" i="9" a="1"/>
  <c r="Y29" i="9" s="1"/>
  <c r="AA29" i="9" s="1"/>
  <c r="P29" i="9" a="1"/>
  <c r="P29" i="9" s="1"/>
  <c r="Q29" i="9" s="1"/>
  <c r="O31" i="9"/>
  <c r="O28" i="9"/>
  <c r="P30" i="9" a="1"/>
  <c r="P30" i="9" s="1"/>
  <c r="Q30" i="9" s="1"/>
  <c r="Y30" i="9" a="1"/>
  <c r="Y30" i="9" s="1"/>
  <c r="AA30" i="9" s="1"/>
  <c r="AN76" i="15"/>
  <c r="AM76" i="15"/>
  <c r="AN67" i="15"/>
  <c r="AM67" i="15"/>
  <c r="AN59" i="15"/>
  <c r="AM83" i="15"/>
  <c r="AM59" i="15"/>
  <c r="H127" i="7"/>
  <c r="J126" i="7"/>
  <c r="L126" i="7"/>
  <c r="L125" i="7"/>
  <c r="Q125" i="7"/>
  <c r="O125" i="7"/>
  <c r="M125" i="7"/>
  <c r="Q124" i="7"/>
  <c r="O124" i="7"/>
  <c r="M124" i="7"/>
  <c r="H124" i="7"/>
  <c r="Y120" i="9" l="1" a="1"/>
  <c r="Y120" i="9" s="1"/>
  <c r="AA120" i="9" s="1"/>
  <c r="Y31" i="9" a="1"/>
  <c r="Y31" i="9" s="1"/>
  <c r="AA31" i="9" s="1"/>
  <c r="P31" i="9" a="1"/>
  <c r="P31" i="9" s="1"/>
  <c r="Q31" i="9" s="1"/>
  <c r="Y28" i="9" a="1"/>
  <c r="Y28" i="9" s="1"/>
  <c r="AA28" i="9" s="1"/>
  <c r="P28" i="9" a="1"/>
  <c r="P28" i="9" s="1"/>
  <c r="Q28" i="9" s="1"/>
  <c r="AN77" i="15"/>
  <c r="AM77" i="15"/>
  <c r="AN68" i="15"/>
  <c r="AM68" i="15"/>
  <c r="AN60" i="15"/>
  <c r="AM84" i="15"/>
  <c r="AM60" i="15"/>
  <c r="J125" i="7"/>
  <c r="J124" i="7"/>
  <c r="L124" i="7"/>
  <c r="U107" i="9" l="1" a="1"/>
  <c r="U107" i="9" s="1"/>
  <c r="AD118" i="9" a="1"/>
  <c r="AD118" i="9" s="1"/>
  <c r="AE118" i="9" s="1"/>
  <c r="U120" i="9" a="1"/>
  <c r="U120" i="9" s="1"/>
  <c r="AK120" i="9" s="1"/>
  <c r="U113" i="9" a="1"/>
  <c r="U113" i="9" s="1"/>
  <c r="AD107" i="9" a="1"/>
  <c r="AD107" i="9" s="1"/>
  <c r="AE107" i="9" s="1"/>
  <c r="U116" i="9" a="1"/>
  <c r="U116" i="9" s="1"/>
  <c r="AD115" i="9" a="1"/>
  <c r="AD115" i="9" s="1"/>
  <c r="AE115" i="9" s="1"/>
  <c r="AD113" i="9" a="1"/>
  <c r="AD113" i="9" s="1"/>
  <c r="AE113" i="9" s="1"/>
  <c r="AD104" i="9" a="1"/>
  <c r="AD104" i="9" s="1"/>
  <c r="AE104" i="9" s="1"/>
  <c r="AD111" i="9" a="1"/>
  <c r="AD111" i="9" s="1"/>
  <c r="AE111" i="9" s="1"/>
  <c r="U112" i="9" a="1"/>
  <c r="U112" i="9" s="1"/>
  <c r="AD47" i="9" a="1"/>
  <c r="AD47" i="9" s="1"/>
  <c r="AE47" i="9" s="1"/>
  <c r="AD74" i="9" a="1"/>
  <c r="AD74" i="9" s="1"/>
  <c r="AE74" i="9" s="1"/>
  <c r="U56" i="9" a="1"/>
  <c r="U56" i="9" s="1"/>
  <c r="U35" i="9" a="1"/>
  <c r="U35" i="9" s="1"/>
  <c r="AD62" i="9" a="1"/>
  <c r="AD62" i="9" s="1"/>
  <c r="AE62" i="9" s="1"/>
  <c r="U79" i="9" a="1"/>
  <c r="U79" i="9" s="1"/>
  <c r="U46" i="9" a="1"/>
  <c r="U46" i="9" s="1"/>
  <c r="AD72" i="9" a="1"/>
  <c r="AD72" i="9" s="1"/>
  <c r="AE72" i="9" s="1"/>
  <c r="U53" i="9" a="1"/>
  <c r="U53" i="9" s="1"/>
  <c r="U29" i="9" a="1"/>
  <c r="U29" i="9" s="1"/>
  <c r="AD37" i="9" a="1"/>
  <c r="AD37" i="9" s="1"/>
  <c r="AD45" i="9" a="1"/>
  <c r="AD45" i="9" s="1"/>
  <c r="AE45" i="9" s="1"/>
  <c r="AD39" i="9" a="1"/>
  <c r="AD39" i="9" s="1"/>
  <c r="AD96" i="9" a="1"/>
  <c r="AD96" i="9" s="1"/>
  <c r="AE96" i="9" s="1"/>
  <c r="AD76" i="9" a="1"/>
  <c r="AD76" i="9" s="1"/>
  <c r="AE76" i="9" s="1"/>
  <c r="AD78" i="9" a="1"/>
  <c r="AD78" i="9" s="1"/>
  <c r="AE78" i="9" s="1"/>
  <c r="AD88" i="9" a="1"/>
  <c r="AD88" i="9" s="1"/>
  <c r="AE88" i="9" s="1"/>
  <c r="U83" i="9" a="1"/>
  <c r="U83" i="9" s="1"/>
  <c r="U86" i="9" a="1"/>
  <c r="U86" i="9" s="1"/>
  <c r="U71" i="9" a="1"/>
  <c r="U71" i="9" s="1"/>
  <c r="U103" i="9" a="1"/>
  <c r="U103" i="9" s="1"/>
  <c r="AD46" i="9" a="1"/>
  <c r="AD46" i="9" s="1"/>
  <c r="AE46" i="9" s="1"/>
  <c r="AD41" i="9" a="1"/>
  <c r="AD41" i="9" s="1"/>
  <c r="AE41" i="9" s="1"/>
  <c r="AD50" i="9" a="1"/>
  <c r="AD50" i="9" s="1"/>
  <c r="U54" i="9" a="1"/>
  <c r="U54" i="9" s="1"/>
  <c r="AD33" i="9" a="1"/>
  <c r="AD33" i="9" s="1"/>
  <c r="U92" i="9" a="1"/>
  <c r="U92" i="9" s="1"/>
  <c r="AD103" i="9" a="1"/>
  <c r="AD103" i="9" s="1"/>
  <c r="AE103" i="9" s="1"/>
  <c r="U44" i="9" a="1"/>
  <c r="U44" i="9" s="1"/>
  <c r="AD55" i="9" a="1"/>
  <c r="AD55" i="9" s="1"/>
  <c r="U32" i="9" a="1"/>
  <c r="U32" i="9" s="1"/>
  <c r="U63" i="9" a="1"/>
  <c r="U63" i="9" s="1"/>
  <c r="U37" i="9" a="1"/>
  <c r="U37" i="9" s="1"/>
  <c r="AD31" i="9" a="1"/>
  <c r="AD31" i="9" s="1"/>
  <c r="U36" i="9" a="1"/>
  <c r="U36" i="9" s="1"/>
  <c r="AD112" i="9" a="1"/>
  <c r="AD112" i="9" s="1"/>
  <c r="AE112" i="9" s="1"/>
  <c r="AN78" i="15"/>
  <c r="AM78" i="15"/>
  <c r="AN69" i="15"/>
  <c r="AN62" i="15"/>
  <c r="AN61" i="15"/>
  <c r="AM85" i="15"/>
  <c r="AM61" i="15"/>
  <c r="U30" i="9" l="1" a="1"/>
  <c r="U30" i="9" s="1"/>
  <c r="U82" i="9" a="1"/>
  <c r="U82" i="9" s="1"/>
  <c r="U38" i="9" a="1"/>
  <c r="U38" i="9" s="1"/>
  <c r="AD91" i="9" a="1"/>
  <c r="AD91" i="9" s="1"/>
  <c r="AE91" i="9" s="1"/>
  <c r="AD69" i="9" a="1"/>
  <c r="AD69" i="9" s="1"/>
  <c r="AE69" i="9" s="1"/>
  <c r="U73" i="9" a="1"/>
  <c r="U73" i="9" s="1"/>
  <c r="U81" i="9" a="1"/>
  <c r="U81" i="9" s="1"/>
  <c r="U78" i="9" a="1"/>
  <c r="U78" i="9" s="1"/>
  <c r="AD80" i="9" a="1"/>
  <c r="AD80" i="9" s="1"/>
  <c r="AE80" i="9" s="1"/>
  <c r="AD101" i="9" a="1"/>
  <c r="AD101" i="9" s="1"/>
  <c r="AE101" i="9" s="1"/>
  <c r="U70" i="9" a="1"/>
  <c r="U70" i="9" s="1"/>
  <c r="U87" i="9" a="1"/>
  <c r="U87" i="9" s="1"/>
  <c r="U98" i="9" a="1"/>
  <c r="U98" i="9" s="1"/>
  <c r="AD57" i="9" a="1"/>
  <c r="AD57" i="9" s="1"/>
  <c r="U101" i="9" a="1"/>
  <c r="U101" i="9" s="1"/>
  <c r="U97" i="9" a="1"/>
  <c r="U97" i="9" s="1"/>
  <c r="U69" i="9" a="1"/>
  <c r="U69" i="9" s="1"/>
  <c r="AD108" i="9" a="1"/>
  <c r="AD108" i="9" s="1"/>
  <c r="AE108" i="9" s="1"/>
  <c r="U106" i="9" a="1"/>
  <c r="U106" i="9" s="1"/>
  <c r="U114" i="9" a="1"/>
  <c r="U114" i="9" s="1"/>
  <c r="AD110" i="9" a="1"/>
  <c r="AD110" i="9" s="1"/>
  <c r="AE110" i="9" s="1"/>
  <c r="AD116" i="9" a="1"/>
  <c r="AD116" i="9" s="1"/>
  <c r="AE116" i="9" s="1"/>
  <c r="U115" i="9" a="1"/>
  <c r="U115" i="9" s="1"/>
  <c r="AD109" i="9" a="1"/>
  <c r="AD109" i="9" s="1"/>
  <c r="AE109" i="9" s="1"/>
  <c r="U110" i="9" a="1"/>
  <c r="U110" i="9" s="1"/>
  <c r="AD114" i="9" a="1"/>
  <c r="AD114" i="9" s="1"/>
  <c r="AE114" i="9" s="1"/>
  <c r="AD120" i="9" a="1"/>
  <c r="AD120" i="9" s="1"/>
  <c r="AE120" i="9" s="1"/>
  <c r="U109" i="9" a="1"/>
  <c r="U109" i="9" s="1"/>
  <c r="U118" i="9" a="1"/>
  <c r="U118" i="9" s="1"/>
  <c r="U33" i="9" a="1"/>
  <c r="U33" i="9" s="1"/>
  <c r="U88" i="9" a="1"/>
  <c r="U88" i="9" s="1"/>
  <c r="U45" i="9" a="1"/>
  <c r="U45" i="9" s="1"/>
  <c r="AD93" i="9" a="1"/>
  <c r="AD93" i="9" s="1"/>
  <c r="AE93" i="9" s="1"/>
  <c r="AD29" i="9" a="1"/>
  <c r="AD29" i="9" s="1"/>
  <c r="AD44" i="9" a="1"/>
  <c r="AD44" i="9" s="1"/>
  <c r="AE44" i="9" s="1"/>
  <c r="AD56" i="9" a="1"/>
  <c r="AD56" i="9" s="1"/>
  <c r="U85" i="9" a="1"/>
  <c r="U85" i="9" s="1"/>
  <c r="AD63" i="9" a="1"/>
  <c r="AD63" i="9" s="1"/>
  <c r="AE63" i="9" s="1"/>
  <c r="AD64" i="9" a="1"/>
  <c r="AD64" i="9" s="1"/>
  <c r="AE64" i="9" s="1"/>
  <c r="U40" i="9" a="1"/>
  <c r="U40" i="9" s="1"/>
  <c r="AD36" i="9" a="1"/>
  <c r="AD36" i="9" s="1"/>
  <c r="U64" i="9" a="1"/>
  <c r="U64" i="9" s="1"/>
  <c r="AD81" i="9" a="1"/>
  <c r="AD81" i="9" s="1"/>
  <c r="AE81" i="9" s="1"/>
  <c r="U74" i="9" a="1"/>
  <c r="U74" i="9" s="1"/>
  <c r="AD97" i="9" a="1"/>
  <c r="AD97" i="9" s="1"/>
  <c r="AE97" i="9" s="1"/>
  <c r="U62" i="9" a="1"/>
  <c r="U62" i="9" s="1"/>
  <c r="U111" i="9" a="1"/>
  <c r="U111" i="9" s="1"/>
  <c r="U105" i="9" a="1"/>
  <c r="U105" i="9" s="1"/>
  <c r="AD106" i="9" a="1"/>
  <c r="AD106" i="9" s="1"/>
  <c r="AE106" i="9" s="1"/>
  <c r="AD105" i="9" a="1"/>
  <c r="AD105" i="9" s="1"/>
  <c r="AE105" i="9" s="1"/>
  <c r="U108" i="9" a="1"/>
  <c r="U108" i="9" s="1"/>
  <c r="U104" i="9" a="1"/>
  <c r="U104" i="9" s="1"/>
  <c r="U84" i="9" a="1"/>
  <c r="U84" i="9" s="1"/>
  <c r="U57" i="9" a="1"/>
  <c r="U57" i="9" s="1"/>
  <c r="AD28" i="9" a="1"/>
  <c r="AD28" i="9" s="1"/>
  <c r="U77" i="9" a="1"/>
  <c r="U77" i="9" s="1"/>
  <c r="AD85" i="9" a="1"/>
  <c r="AD85" i="9" s="1"/>
  <c r="AE85" i="9" s="1"/>
  <c r="U76" i="9" a="1"/>
  <c r="U76" i="9" s="1"/>
  <c r="AD68" i="9" a="1"/>
  <c r="AD68" i="9" s="1"/>
  <c r="AD51" i="9" a="1"/>
  <c r="AD51" i="9" s="1"/>
  <c r="AE51" i="9" s="1"/>
  <c r="U67" i="9" a="1"/>
  <c r="U67" i="9" s="1"/>
  <c r="U31" i="9" a="1"/>
  <c r="U31" i="9" s="1"/>
  <c r="U90" i="9" a="1"/>
  <c r="U90" i="9" s="1"/>
  <c r="AD86" i="9" a="1"/>
  <c r="AD86" i="9" s="1"/>
  <c r="AE86" i="9" s="1"/>
  <c r="AD38" i="9" a="1"/>
  <c r="AD38" i="9" s="1"/>
  <c r="AD35" i="9" a="1"/>
  <c r="AD35" i="9" s="1"/>
  <c r="U41" i="9" a="1"/>
  <c r="U41" i="9" s="1"/>
  <c r="AD34" i="9" a="1"/>
  <c r="AD34" i="9" s="1"/>
  <c r="AD70" i="9" a="1"/>
  <c r="AD70" i="9" s="1"/>
  <c r="AE70" i="9" s="1"/>
  <c r="AD67" i="9" a="1"/>
  <c r="AD67" i="9" s="1"/>
  <c r="AD92" i="9" a="1"/>
  <c r="AD92" i="9" s="1"/>
  <c r="AE92" i="9" s="1"/>
  <c r="AD52" i="9" a="1"/>
  <c r="AD52" i="9" s="1"/>
  <c r="AE52" i="9" s="1"/>
  <c r="AD84" i="9" a="1"/>
  <c r="AD84" i="9" s="1"/>
  <c r="AE84" i="9" s="1"/>
  <c r="AD43" i="9" a="1"/>
  <c r="AD43" i="9" s="1"/>
  <c r="AE43" i="9" s="1"/>
  <c r="U102" i="9" a="1"/>
  <c r="U102" i="9" s="1"/>
  <c r="U91" i="9" a="1"/>
  <c r="U91" i="9" s="1"/>
  <c r="AD79" i="9" a="1"/>
  <c r="AD79" i="9" s="1"/>
  <c r="AE79" i="9" s="1"/>
  <c r="AD30" i="9" a="1"/>
  <c r="AD30" i="9" s="1"/>
  <c r="AD90" i="9" a="1"/>
  <c r="AD90" i="9" s="1"/>
  <c r="AE90" i="9" s="1"/>
  <c r="AD53" i="9" a="1"/>
  <c r="AD53" i="9" s="1"/>
  <c r="AD49" i="9" a="1"/>
  <c r="AD49" i="9" s="1"/>
  <c r="AE49" i="9" s="1"/>
  <c r="AD87" i="9" a="1"/>
  <c r="AD87" i="9" s="1"/>
  <c r="AE87" i="9" s="1"/>
  <c r="AD102" i="9" a="1"/>
  <c r="AD102" i="9" s="1"/>
  <c r="AE102" i="9" s="1"/>
  <c r="U68" i="9" a="1"/>
  <c r="U68" i="9" s="1"/>
  <c r="AD83" i="9" a="1"/>
  <c r="AD83" i="9" s="1"/>
  <c r="AE83" i="9" s="1"/>
  <c r="U72" i="9" a="1"/>
  <c r="U72" i="9" s="1"/>
  <c r="U52" i="9" a="1"/>
  <c r="U52" i="9" s="1"/>
  <c r="AD73" i="9" a="1"/>
  <c r="AD73" i="9" s="1"/>
  <c r="AE73" i="9" s="1"/>
  <c r="AD82" i="9" a="1"/>
  <c r="AD82" i="9" s="1"/>
  <c r="AE82" i="9" s="1"/>
  <c r="U55" i="9" a="1"/>
  <c r="U55" i="9" s="1"/>
  <c r="U75" i="9" a="1"/>
  <c r="U75" i="9" s="1"/>
  <c r="AD54" i="9" a="1"/>
  <c r="AD54" i="9" s="1"/>
  <c r="U51" i="9" a="1"/>
  <c r="U51" i="9" s="1"/>
  <c r="U34" i="9" a="1"/>
  <c r="U34" i="9" s="1"/>
  <c r="U50" i="9" a="1"/>
  <c r="U50" i="9" s="1"/>
  <c r="U49" i="9" a="1"/>
  <c r="U49" i="9" s="1"/>
  <c r="AD75" i="9" a="1"/>
  <c r="AD75" i="9" s="1"/>
  <c r="AE75" i="9" s="1"/>
  <c r="U28" i="9" a="1"/>
  <c r="U28" i="9" s="1"/>
  <c r="AD40" i="9" a="1"/>
  <c r="AD40" i="9" s="1"/>
  <c r="AE40" i="9" s="1"/>
  <c r="U39" i="9" a="1"/>
  <c r="U39" i="9" s="1"/>
  <c r="AD71" i="9" a="1"/>
  <c r="AD71" i="9" s="1"/>
  <c r="U80" i="9" a="1"/>
  <c r="U80" i="9" s="1"/>
  <c r="U43" i="9" a="1"/>
  <c r="U43" i="9" s="1"/>
  <c r="U47" i="9" a="1"/>
  <c r="U47" i="9" s="1"/>
  <c r="AD32" i="9" a="1"/>
  <c r="AD32" i="9" s="1"/>
  <c r="U93" i="9" a="1"/>
  <c r="U93" i="9" s="1"/>
  <c r="U96" i="9" a="1"/>
  <c r="U96" i="9" s="1"/>
  <c r="AD98" i="9" a="1"/>
  <c r="AD98" i="9" s="1"/>
  <c r="AE98" i="9" s="1"/>
  <c r="AD77" i="9" a="1"/>
  <c r="AD77" i="9" s="1"/>
  <c r="AE77" i="9" s="1"/>
  <c r="AN79" i="15"/>
  <c r="AM79" i="15"/>
  <c r="AN70" i="15"/>
  <c r="AM70" i="15"/>
  <c r="AM62" i="15"/>
  <c r="AM86" i="15"/>
  <c r="AM87" i="15"/>
  <c r="AM69" i="15" l="1"/>
  <c r="AM65" i="15"/>
  <c r="AM66" i="15"/>
</calcChain>
</file>

<file path=xl/sharedStrings.xml><?xml version="1.0" encoding="utf-8"?>
<sst xmlns="http://schemas.openxmlformats.org/spreadsheetml/2006/main" count="735" uniqueCount="302">
  <si>
    <t>cout=4.7nf</t>
    <phoneticPr fontId="1" type="noConversion"/>
  </si>
  <si>
    <t>cvref=47nf</t>
    <phoneticPr fontId="1" type="noConversion"/>
  </si>
  <si>
    <t>REF_A3</t>
    <phoneticPr fontId="3" type="noConversion"/>
  </si>
  <si>
    <t>REF_A2</t>
    <phoneticPr fontId="3" type="noConversion"/>
  </si>
  <si>
    <t>REF_A1</t>
    <phoneticPr fontId="3" type="noConversion"/>
  </si>
  <si>
    <t>REF_A0</t>
    <phoneticPr fontId="3" type="noConversion"/>
  </si>
  <si>
    <t>EN_I_OUT</t>
    <phoneticPr fontId="3" type="noConversion"/>
  </si>
  <si>
    <t>S1_A3</t>
    <phoneticPr fontId="3" type="noConversion"/>
  </si>
  <si>
    <t>S1_A2</t>
    <phoneticPr fontId="3" type="noConversion"/>
  </si>
  <si>
    <t>S1_A1</t>
    <phoneticPr fontId="3" type="noConversion"/>
  </si>
  <si>
    <t>S1_A0</t>
    <phoneticPr fontId="3" type="noConversion"/>
  </si>
  <si>
    <t>0x83</t>
    <phoneticPr fontId="1" type="noConversion"/>
  </si>
  <si>
    <t>RCC_SEL0</t>
  </si>
  <si>
    <t>RCC_SEL4</t>
  </si>
  <si>
    <t>RCC_SEL3</t>
  </si>
  <si>
    <t>RCC_SEL2</t>
  </si>
  <si>
    <t>RCC_SEL1</t>
  </si>
  <si>
    <t>IP0</t>
  </si>
  <si>
    <t>GTEST</t>
  </si>
  <si>
    <t>Gtarget(mv/A)</t>
  </si>
  <si>
    <t>SAMPLE1</t>
  </si>
  <si>
    <t>0x80</t>
  </si>
  <si>
    <t>IP10</t>
  </si>
  <si>
    <t>EN_I_OUT</t>
    <phoneticPr fontId="1" type="noConversion"/>
  </si>
  <si>
    <t>0x81</t>
  </si>
  <si>
    <t>0</t>
  </si>
  <si>
    <t>80</t>
  </si>
  <si>
    <t>测试环境</t>
    <phoneticPr fontId="1" type="noConversion"/>
  </si>
  <si>
    <t>vdd=5v</t>
    <phoneticPr fontId="1" type="noConversion"/>
  </si>
  <si>
    <t>编程存储测试，不做fuse</t>
    <phoneticPr fontId="1" type="noConversion"/>
  </si>
  <si>
    <t>VDD(v)</t>
    <phoneticPr fontId="1" type="noConversion"/>
  </si>
  <si>
    <t>IQ(mA)</t>
    <phoneticPr fontId="1" type="noConversion"/>
  </si>
  <si>
    <t>Vref(v)</t>
    <phoneticPr fontId="1" type="noConversion"/>
  </si>
  <si>
    <t>Vout(v)</t>
    <phoneticPr fontId="1" type="noConversion"/>
  </si>
  <si>
    <t>vdd</t>
    <phoneticPr fontId="1" type="noConversion"/>
  </si>
  <si>
    <t>GAIN</t>
    <phoneticPr fontId="1" type="noConversion"/>
  </si>
  <si>
    <t>VOUT_IP5A</t>
    <phoneticPr fontId="1" type="noConversion"/>
  </si>
  <si>
    <t>VOUT_IP10A</t>
    <phoneticPr fontId="1" type="noConversion"/>
  </si>
  <si>
    <t>VOUT_IP15A</t>
    <phoneticPr fontId="1" type="noConversion"/>
  </si>
  <si>
    <t>E0</t>
  </si>
  <si>
    <t>60</t>
  </si>
  <si>
    <t>A0</t>
  </si>
  <si>
    <t>20</t>
  </si>
  <si>
    <t>C0</t>
  </si>
  <si>
    <t>40</t>
  </si>
  <si>
    <t>8</t>
  </si>
  <si>
    <t>4</t>
  </si>
  <si>
    <t>C</t>
  </si>
  <si>
    <t>2</t>
  </si>
  <si>
    <t>A</t>
  </si>
  <si>
    <t>6</t>
  </si>
  <si>
    <t>E</t>
  </si>
  <si>
    <t>1</t>
  </si>
  <si>
    <t>9</t>
  </si>
  <si>
    <t>5</t>
  </si>
  <si>
    <t>D</t>
  </si>
  <si>
    <t>3</t>
  </si>
  <si>
    <t>B</t>
  </si>
  <si>
    <t>7</t>
  </si>
  <si>
    <t>F</t>
  </si>
  <si>
    <t>10</t>
  </si>
  <si>
    <t>18</t>
  </si>
  <si>
    <t>14</t>
  </si>
  <si>
    <t>1C</t>
  </si>
  <si>
    <t>12</t>
  </si>
  <si>
    <t>1A</t>
  </si>
  <si>
    <t>16</t>
  </si>
  <si>
    <t>1E</t>
  </si>
  <si>
    <t>11</t>
  </si>
  <si>
    <t>19</t>
  </si>
  <si>
    <t>15</t>
  </si>
  <si>
    <t>1D</t>
  </si>
  <si>
    <t>13</t>
  </si>
  <si>
    <t>1B</t>
  </si>
  <si>
    <t>17</t>
  </si>
  <si>
    <t>1F</t>
  </si>
  <si>
    <t>计算gain修正高位代码</t>
    <phoneticPr fontId="1" type="noConversion"/>
  </si>
  <si>
    <t>计算gain修正低位代码</t>
    <phoneticPr fontId="1" type="noConversion"/>
  </si>
  <si>
    <t>计算offset修正高位代码</t>
    <phoneticPr fontId="1" type="noConversion"/>
  </si>
  <si>
    <t>计算offset修正低位代码</t>
    <phoneticPr fontId="1" type="noConversion"/>
  </si>
  <si>
    <t>选择gain高位码</t>
    <phoneticPr fontId="1" type="noConversion"/>
  </si>
  <si>
    <t>选择offset高位修正码</t>
    <phoneticPr fontId="1" type="noConversion"/>
  </si>
  <si>
    <t>选择offset低位修正码</t>
    <phoneticPr fontId="1" type="noConversion"/>
  </si>
  <si>
    <t>理想修正值Vofset</t>
    <phoneticPr fontId="1" type="noConversion"/>
  </si>
  <si>
    <t>理想修正值</t>
    <phoneticPr fontId="1" type="noConversion"/>
  </si>
  <si>
    <r>
      <t>V</t>
    </r>
    <r>
      <rPr>
        <sz val="12"/>
        <rFont val="宋体"/>
        <family val="3"/>
        <charset val="134"/>
      </rPr>
      <t>DD=5V</t>
    </r>
    <phoneticPr fontId="1" type="noConversion"/>
  </si>
  <si>
    <t>选择gain 低位码</t>
    <phoneticPr fontId="1" type="noConversion"/>
  </si>
  <si>
    <t>IP=0 测试VOUT</t>
    <phoneticPr fontId="1" type="noConversion"/>
  </si>
  <si>
    <t>0x82</t>
  </si>
  <si>
    <t>30</t>
  </si>
  <si>
    <t>28</t>
  </si>
  <si>
    <t>38</t>
  </si>
  <si>
    <t>24</t>
  </si>
  <si>
    <t>34</t>
  </si>
  <si>
    <t>2C</t>
  </si>
  <si>
    <t>3C</t>
  </si>
  <si>
    <t xml:space="preserve">Iout=vout/R </t>
    <phoneticPr fontId="1" type="noConversion"/>
  </si>
  <si>
    <t xml:space="preserve">Vout挂载个电阻20k，测试vout电压值 </t>
    <phoneticPr fontId="1" type="noConversion"/>
  </si>
  <si>
    <r>
      <t>X</t>
    </r>
    <r>
      <rPr>
        <sz val="12"/>
        <rFont val="宋体"/>
        <family val="3"/>
        <charset val="134"/>
      </rPr>
      <t xml:space="preserve">GD510 </t>
    </r>
    <phoneticPr fontId="3" type="noConversion"/>
  </si>
  <si>
    <t>FuseMap</t>
    <phoneticPr fontId="3" type="noConversion"/>
  </si>
  <si>
    <t>ADDR</t>
    <phoneticPr fontId="3" type="noConversion"/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</si>
  <si>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</si>
  <si>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</si>
  <si>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</si>
  <si>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</si>
  <si>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</si>
  <si>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</si>
  <si>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</si>
  <si>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</si>
  <si>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8'h80</t>
  </si>
  <si>
    <t>S1_A1</t>
    <phoneticPr fontId="3" type="noConversion"/>
  </si>
  <si>
    <t>S1_A2</t>
    <phoneticPr fontId="3" type="noConversion"/>
  </si>
  <si>
    <t>RCC_SEL4</t>
    <phoneticPr fontId="3" type="noConversion"/>
  </si>
  <si>
    <t>RCC_SEL0</t>
    <phoneticPr fontId="3" type="noConversion"/>
  </si>
  <si>
    <t>RCC_SEL1</t>
    <phoneticPr fontId="3" type="noConversion"/>
  </si>
  <si>
    <t>RCC_SEL2</t>
    <phoneticPr fontId="3" type="noConversion"/>
  </si>
  <si>
    <t>RCC_SEL3</t>
    <phoneticPr fontId="3" type="noConversion"/>
  </si>
  <si>
    <t>7：0</t>
    <phoneticPr fontId="15" type="noConversion"/>
  </si>
  <si>
    <t>8'h81</t>
  </si>
  <si>
    <t>REF_A3</t>
    <phoneticPr fontId="3" type="noConversion"/>
  </si>
  <si>
    <t>S1_A0</t>
    <phoneticPr fontId="3" type="noConversion"/>
  </si>
  <si>
    <t>15：8</t>
    <phoneticPr fontId="15" type="noConversion"/>
  </si>
  <si>
    <t>8'h82</t>
  </si>
  <si>
    <t>REF_A0</t>
    <phoneticPr fontId="3" type="noConversion"/>
  </si>
  <si>
    <t>23：16</t>
    <phoneticPr fontId="15" type="noConversion"/>
  </si>
  <si>
    <t>8'h83</t>
  </si>
  <si>
    <t>31:24</t>
    <phoneticPr fontId="15" type="noConversion"/>
  </si>
  <si>
    <t>8'h84</t>
  </si>
  <si>
    <t>Reserved_dig [4:0]</t>
    <phoneticPr fontId="15" type="noConversion"/>
  </si>
  <si>
    <t>Master</t>
    <phoneticPr fontId="3" type="noConversion"/>
  </si>
  <si>
    <t>DIG_dis</t>
  </si>
  <si>
    <t>pre_clk_dis</t>
  </si>
  <si>
    <t>39：32</t>
    <phoneticPr fontId="15" type="noConversion"/>
  </si>
  <si>
    <t>OPA_SEL1</t>
    <phoneticPr fontId="3" type="noConversion"/>
  </si>
  <si>
    <t>OPA_SEL2</t>
    <phoneticPr fontId="3" type="noConversion"/>
  </si>
  <si>
    <t>OPA_SEL3</t>
    <phoneticPr fontId="3" type="noConversion"/>
  </si>
  <si>
    <t>SEL_CAP</t>
    <phoneticPr fontId="3" type="noConversion"/>
  </si>
  <si>
    <t>MODE_A</t>
    <phoneticPr fontId="3" type="noConversion"/>
  </si>
  <si>
    <t>MODE_B</t>
    <phoneticPr fontId="3" type="noConversion"/>
  </si>
  <si>
    <t>SEL_IR</t>
    <phoneticPr fontId="3" type="noConversion"/>
  </si>
  <si>
    <t>SEL_VR</t>
    <phoneticPr fontId="3" type="noConversion"/>
  </si>
  <si>
    <t>ADJ_A3</t>
    <phoneticPr fontId="3" type="noConversion"/>
  </si>
  <si>
    <t>ADJ_A0</t>
    <phoneticPr fontId="3" type="noConversion"/>
  </si>
  <si>
    <t>ADJ_A1</t>
    <phoneticPr fontId="3" type="noConversion"/>
  </si>
  <si>
    <t>ADJ_A2N</t>
    <phoneticPr fontId="3" type="noConversion"/>
  </si>
  <si>
    <t>INC_4X</t>
    <phoneticPr fontId="3" type="noConversion"/>
  </si>
  <si>
    <t>INC_1X</t>
    <phoneticPr fontId="3" type="noConversion"/>
  </si>
  <si>
    <t>SEL_IR</t>
    <phoneticPr fontId="3" type="noConversion"/>
  </si>
  <si>
    <t>SEL_VR</t>
    <phoneticPr fontId="1" type="noConversion"/>
  </si>
  <si>
    <t>ADJ_A2N</t>
    <phoneticPr fontId="3" type="noConversion"/>
  </si>
  <si>
    <t>ADJ_A0</t>
    <phoneticPr fontId="3" type="noConversion"/>
  </si>
  <si>
    <t>ADJ_A3</t>
    <phoneticPr fontId="3" type="noConversion"/>
  </si>
  <si>
    <t>1修正复测值5v</t>
    <phoneticPr fontId="1" type="noConversion"/>
  </si>
  <si>
    <t>1修正复测值4.5v</t>
    <phoneticPr fontId="1" type="noConversion"/>
  </si>
  <si>
    <t>1修正复测值5.5v</t>
    <phoneticPr fontId="1" type="noConversion"/>
  </si>
  <si>
    <t>倍数</t>
    <phoneticPr fontId="1" type="noConversion"/>
  </si>
  <si>
    <t>这一列的增益必需以实验室测试为准，测5个以上</t>
    <phoneticPr fontId="1" type="noConversion"/>
  </si>
  <si>
    <t>Vout@IP=0A =(1+N*Step)*VoutTest</t>
    <phoneticPr fontId="1" type="noConversion"/>
  </si>
  <si>
    <t>step=0.0029034</t>
    <phoneticPr fontId="1" type="noConversion"/>
  </si>
  <si>
    <t>直接用step</t>
    <phoneticPr fontId="1" type="noConversion"/>
  </si>
  <si>
    <t>R2</t>
    <phoneticPr fontId="1" type="noConversion"/>
  </si>
  <si>
    <t>建议用比例关系</t>
    <phoneticPr fontId="1" type="noConversion"/>
  </si>
  <si>
    <t>实验室随机抽测10个XGL510芯片             201406</t>
    <phoneticPr fontId="1" type="noConversion"/>
  </si>
  <si>
    <t>1,实验室测试IQ时，设置fuse_supply_en=1    2,实验室记录VOUT@IP=0时，先上大电流，在回零纪录</t>
    <phoneticPr fontId="1" type="noConversion"/>
  </si>
  <si>
    <t>vref=2.5v</t>
    <phoneticPr fontId="1" type="noConversion"/>
  </si>
  <si>
    <t>记录10个样片数据</t>
    <phoneticPr fontId="1" type="noConversion"/>
  </si>
  <si>
    <t>Rload=20k（默认不挂负载）</t>
    <phoneticPr fontId="1" type="noConversion"/>
  </si>
  <si>
    <t>VOUT_IP15A</t>
    <phoneticPr fontId="1" type="noConversion"/>
  </si>
  <si>
    <t>VOUT_IP5A</t>
    <phoneticPr fontId="1" type="noConversion"/>
  </si>
  <si>
    <t>先加15A</t>
    <phoneticPr fontId="1" type="noConversion"/>
  </si>
  <si>
    <t>记录10个样片数据</t>
    <phoneticPr fontId="1" type="noConversion"/>
  </si>
  <si>
    <t>先加15A，记录10个样片数据</t>
    <phoneticPr fontId="1" type="noConversion"/>
  </si>
  <si>
    <t>先加15A，记录10个样片数据</t>
    <phoneticPr fontId="1" type="noConversion"/>
  </si>
  <si>
    <t>先加15A</t>
    <phoneticPr fontId="1" type="noConversion"/>
  </si>
  <si>
    <t>VOUT_ip0</t>
    <phoneticPr fontId="1" type="noConversion"/>
  </si>
  <si>
    <t>记录10个样片零点数据</t>
    <phoneticPr fontId="1" type="noConversion"/>
  </si>
  <si>
    <t>上述5项为实验室测试，不进入自动化编程程序</t>
    <phoneticPr fontId="1" type="noConversion"/>
  </si>
  <si>
    <t>建议用公式，rocky提供</t>
    <phoneticPr fontId="1" type="noConversion"/>
  </si>
  <si>
    <t>建议用比例关系，公式由rocky提供</t>
    <phoneticPr fontId="1" type="noConversion"/>
  </si>
  <si>
    <t>r2</t>
  </si>
  <si>
    <t>r1_0</t>
  </si>
  <si>
    <t>r1_1</t>
  </si>
  <si>
    <t>r1_2</t>
  </si>
  <si>
    <t>r1_4</t>
  </si>
  <si>
    <t>r1_8</t>
  </si>
  <si>
    <t>r1_16</t>
  </si>
  <si>
    <t>rpara</t>
  </si>
  <si>
    <t>gain2 x</t>
  </si>
  <si>
    <r>
      <t>d</t>
    </r>
    <r>
      <rPr>
        <sz val="12"/>
        <rFont val="宋体"/>
        <family val="3"/>
        <charset val="134"/>
      </rPr>
      <t>efault</t>
    </r>
    <phoneticPr fontId="1" type="noConversion"/>
  </si>
  <si>
    <r>
      <t>IP</t>
    </r>
    <r>
      <rPr>
        <sz val="12"/>
        <rFont val="宋体"/>
        <family val="3"/>
        <charset val="134"/>
      </rPr>
      <t>1</t>
    </r>
    <r>
      <rPr>
        <sz val="12"/>
        <rFont val="宋体"/>
        <charset val="134"/>
      </rPr>
      <t>5</t>
    </r>
    <phoneticPr fontId="1" type="noConversion"/>
  </si>
  <si>
    <t>IP5</t>
    <phoneticPr fontId="1" type="noConversion"/>
  </si>
  <si>
    <t>NC_4X</t>
    <phoneticPr fontId="3" type="noConversion"/>
  </si>
  <si>
    <t>NC_1X</t>
    <phoneticPr fontId="3" type="noConversion"/>
  </si>
  <si>
    <t>NC_1X</t>
    <phoneticPr fontId="3" type="noConversion"/>
  </si>
  <si>
    <t>C_OUT</t>
    <phoneticPr fontId="3" type="noConversion"/>
  </si>
  <si>
    <t>CH_CK</t>
    <phoneticPr fontId="3" type="noConversion"/>
  </si>
  <si>
    <t>H2_CLK</t>
    <phoneticPr fontId="3" type="noConversion"/>
  </si>
  <si>
    <t>H2_CLK</t>
    <phoneticPr fontId="1" type="noConversion"/>
  </si>
  <si>
    <t>EN_2</t>
    <phoneticPr fontId="1" type="noConversion"/>
  </si>
  <si>
    <t>EN_2</t>
    <phoneticPr fontId="3" type="noConversion"/>
  </si>
  <si>
    <t>XGL510 A版本测试</t>
    <phoneticPr fontId="3" type="noConversion"/>
  </si>
  <si>
    <t>No.</t>
  </si>
  <si>
    <t>Vout_IP0A</t>
  </si>
  <si>
    <t>0X80</t>
  </si>
  <si>
    <t>0X81</t>
  </si>
  <si>
    <t>0X82</t>
  </si>
  <si>
    <t>0X83</t>
  </si>
  <si>
    <t>ROUGH</t>
  </si>
  <si>
    <t>REF-ROUGH</t>
  </si>
  <si>
    <t>PERSISE</t>
  </si>
  <si>
    <t>Lab test Item 1:</t>
  </si>
  <si>
    <t>VDD(v)</t>
  </si>
  <si>
    <t>Lab test Item 2:</t>
  </si>
  <si>
    <t>vdd</t>
  </si>
  <si>
    <t>Item 3:</t>
  </si>
  <si>
    <t>addr:</t>
  </si>
  <si>
    <t>Item 4:</t>
  </si>
  <si>
    <t>Addr</t>
  </si>
  <si>
    <t>SEL_IR</t>
  </si>
  <si>
    <t>SEL_VR</t>
  </si>
  <si>
    <t>IQ(mA)</t>
  </si>
  <si>
    <t>VOUT_IP5A</t>
  </si>
  <si>
    <t>Vref(v)</t>
  </si>
  <si>
    <t>VOUT_IP10A</t>
  </si>
  <si>
    <t>Vout(v)</t>
  </si>
  <si>
    <t>VOUT_IP15A</t>
  </si>
  <si>
    <t>GAIN</t>
  </si>
  <si>
    <t>C_OUT</t>
  </si>
  <si>
    <t>EN_I_OUT</t>
  </si>
  <si>
    <t>NC_1X</t>
  </si>
  <si>
    <t>NC_4X</t>
  </si>
  <si>
    <t xml:space="preserve">Vout挂载个电阻20k，测试vout电压值 </t>
  </si>
  <si>
    <t>INC_1X</t>
  </si>
  <si>
    <t>INC_4X</t>
  </si>
  <si>
    <t>先加15A</t>
  </si>
  <si>
    <t>先加15A，记录10个样片数据</t>
  </si>
  <si>
    <t>Item 5</t>
  </si>
  <si>
    <t>addr</t>
  </si>
  <si>
    <t>EN_2</t>
  </si>
  <si>
    <t>H2_CLK</t>
  </si>
  <si>
    <t>VOUT_ip0</t>
  </si>
  <si>
    <t>C3</t>
  </si>
  <si>
    <t>Iout=vout/R mA</t>
  </si>
  <si>
    <t>C0/</t>
  </si>
  <si>
    <t>C1/</t>
  </si>
  <si>
    <t>C2/</t>
  </si>
  <si>
    <t>4/</t>
  </si>
  <si>
    <t>0/</t>
  </si>
  <si>
    <t>1/</t>
  </si>
  <si>
    <t>2/</t>
  </si>
  <si>
    <t>gain和voffset 修正测试验证公式</t>
  </si>
  <si>
    <t>S1_A3</t>
  </si>
  <si>
    <t>S1_A2</t>
  </si>
  <si>
    <t>S1_A1</t>
  </si>
  <si>
    <t>S1_A0</t>
  </si>
  <si>
    <t>倍数</t>
  </si>
  <si>
    <t>这一列的增益必需以实验室测试为准，测5个以上</t>
  </si>
  <si>
    <t>建议用公式，rocky提供</t>
  </si>
  <si>
    <t>IP=0 测试VOUT</t>
  </si>
  <si>
    <t>REF_A3</t>
  </si>
  <si>
    <t>REF_A2</t>
  </si>
  <si>
    <t>REF_A1</t>
  </si>
  <si>
    <t>REF_A0</t>
  </si>
  <si>
    <t>R2</t>
  </si>
  <si>
    <t>ADJ_A2N</t>
  </si>
  <si>
    <t>ADJ_A1</t>
  </si>
  <si>
    <t>ADJ_A0</t>
  </si>
  <si>
    <t>ADJ_A3</t>
  </si>
  <si>
    <t>0x83</t>
  </si>
  <si>
    <t>Vout_IP0</t>
  </si>
  <si>
    <t>Vout_IP15A</t>
  </si>
  <si>
    <t>No.1</t>
  </si>
  <si>
    <t>No.2</t>
  </si>
  <si>
    <t>No.3</t>
  </si>
  <si>
    <t>No.4</t>
  </si>
  <si>
    <t>No.5</t>
  </si>
  <si>
    <t>AVG</t>
  </si>
  <si>
    <t>REF</t>
  </si>
  <si>
    <t>step=gain/(-0.45%)</t>
  </si>
  <si>
    <t>查表</t>
  </si>
  <si>
    <t>If&gt;0, Step =16-abs( (gain)/0.29%); else Step =abs( (gain)/0.29%)</t>
  </si>
  <si>
    <t>If&gt;0, Step =16-abs( (gain)/1.035%); else Step =abs( (gain)/1.08%)</t>
  </si>
  <si>
    <t>No.6</t>
  </si>
  <si>
    <t>IP15</t>
  </si>
  <si>
    <t>用这个</t>
  </si>
  <si>
    <t>Final0X83</t>
  </si>
  <si>
    <t>2X</t>
  </si>
  <si>
    <t>1X</t>
  </si>
  <si>
    <t>50A/40mV/A</t>
  </si>
  <si>
    <t>20A/100mV/A</t>
  </si>
  <si>
    <t>2-14/6/19</t>
  </si>
  <si>
    <t>SOP8</t>
  </si>
  <si>
    <t>TO94</t>
  </si>
  <si>
    <t>IP9</t>
  </si>
  <si>
    <t>IP6</t>
  </si>
  <si>
    <t>IP3</t>
  </si>
  <si>
    <t>IP5</t>
  </si>
  <si>
    <t>ΔIP15</t>
  </si>
  <si>
    <t>ΔIP0</t>
  </si>
  <si>
    <t>0A</t>
  </si>
  <si>
    <t>15A</t>
  </si>
  <si>
    <t>所有红色的烧写码代表Reload不一致，需要剔除的。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</si>
</sst>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;[Red]\(0.00\)"/>
    <numFmt numFmtId="165" formatCode="0.000_ "/>
    <numFmt numFmtId="166" formatCode="0.00_ "/>
    <numFmt numFmtId="167" formatCode="0.000%"/>
  </numFmts>
  <fonts count="2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b/>
      <sz val="12"/>
      <color rgb="FFFF0000"/>
      <name val="宋体"/>
      <family val="3"/>
      <charset val="134"/>
    </font>
    <font>
      <b/>
      <sz val="18"/>
      <name val="宋体"/>
      <family val="3"/>
      <charset val="134"/>
    </font>
    <font>
      <sz val="12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name val="Microsoft YaHei UI"/>
      <family val="2"/>
      <charset val="134"/>
    </font>
    <font>
      <sz val="10"/>
      <name val="Arial Narrow"/>
      <family val="2"/>
    </font>
    <font>
      <sz val="10"/>
      <name val="Microsoft YaHei UI"/>
      <family val="2"/>
      <charset val="134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宋体"/>
      <charset val="134"/>
    </font>
    <font>
      <sz val="11"/>
      <color rgb="FF0070C0"/>
      <name val="Calibri"/>
      <family val="2"/>
      <scheme val="minor"/>
    </font>
    <font>
      <sz val="12"/>
      <color rgb="FF0070C0"/>
      <name val="宋体"/>
      <charset val="134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</cellStyleXfs>
  <cellXfs count="718">
    <xf numFmtId="0" fontId="0" fillId="0" borderId="0" xfId="0"/>
    <xf numFmtId="0" fontId="0" fillId="0" borderId="7" xfId="0" applyBorder="1" applyAlignment="1"/>
    <xf numFmtId="0" fontId="0" fillId="0" borderId="0" xfId="0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Alignment="1">
      <alignment horizontal="right"/>
    </xf>
    <xf numFmtId="0" fontId="5" fillId="0" borderId="0" xfId="1" applyBorder="1"/>
    <xf numFmtId="0" fontId="5" fillId="0" borderId="0" xfId="1" applyFont="1" applyFill="1" applyBorder="1"/>
    <xf numFmtId="0" fontId="5" fillId="0" borderId="0" xfId="1"/>
    <xf numFmtId="0" fontId="5" fillId="0" borderId="0" xfId="1" applyFill="1" applyBorder="1"/>
    <xf numFmtId="10" fontId="0" fillId="0" borderId="0" xfId="0" applyNumberFormat="1"/>
    <xf numFmtId="10" fontId="0" fillId="0" borderId="0" xfId="0" applyNumberFormat="1" applyBorder="1"/>
    <xf numFmtId="10" fontId="0" fillId="0" borderId="0" xfId="0" applyNumberFormat="1" applyFill="1" applyBorder="1"/>
    <xf numFmtId="10" fontId="5" fillId="0" borderId="0" xfId="1" applyNumberFormat="1" applyFill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15" xfId="0" applyBorder="1"/>
    <xf numFmtId="0" fontId="0" fillId="0" borderId="15" xfId="0" applyBorder="1" applyAlignment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17" xfId="0" applyBorder="1" applyAlignment="1">
      <alignment wrapText="1"/>
    </xf>
    <xf numFmtId="0" fontId="0" fillId="0" borderId="0" xfId="0" applyFill="1" applyBorder="1" applyAlignment="1"/>
    <xf numFmtId="10" fontId="0" fillId="0" borderId="15" xfId="0" applyNumberFormat="1" applyBorder="1"/>
    <xf numFmtId="10" fontId="0" fillId="0" borderId="15" xfId="0" applyNumberFormat="1" applyBorder="1" applyAlignment="1">
      <alignment horizontal="right"/>
    </xf>
    <xf numFmtId="0" fontId="4" fillId="0" borderId="15" xfId="0" applyFont="1" applyFill="1" applyBorder="1"/>
    <xf numFmtId="0" fontId="4" fillId="0" borderId="0" xfId="1" applyFont="1"/>
    <xf numFmtId="0" fontId="4" fillId="0" borderId="0" xfId="1" applyFont="1" applyAlignment="1">
      <alignment wrapText="1"/>
    </xf>
    <xf numFmtId="0" fontId="4" fillId="0" borderId="0" xfId="1" applyFont="1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15" xfId="1" applyBorder="1"/>
    <xf numFmtId="10" fontId="5" fillId="0" borderId="15" xfId="1" applyNumberFormat="1" applyBorder="1"/>
    <xf numFmtId="166" fontId="0" fillId="0" borderId="15" xfId="0" applyNumberFormat="1" applyBorder="1"/>
    <xf numFmtId="0" fontId="4" fillId="0" borderId="16" xfId="1" applyFont="1" applyBorder="1"/>
    <xf numFmtId="0" fontId="5" fillId="0" borderId="17" xfId="1" applyBorder="1"/>
    <xf numFmtId="0" fontId="4" fillId="0" borderId="17" xfId="1" applyFont="1" applyBorder="1"/>
    <xf numFmtId="0" fontId="4" fillId="0" borderId="17" xfId="1" applyFont="1" applyBorder="1" applyAlignment="1">
      <alignment wrapText="1"/>
    </xf>
    <xf numFmtId="0" fontId="4" fillId="0" borderId="18" xfId="1" applyFont="1" applyFill="1" applyBorder="1" applyAlignment="1">
      <alignment wrapText="1"/>
    </xf>
    <xf numFmtId="0" fontId="5" fillId="0" borderId="19" xfId="1" applyBorder="1"/>
    <xf numFmtId="165" fontId="0" fillId="0" borderId="20" xfId="0" applyNumberFormat="1" applyBorder="1"/>
    <xf numFmtId="0" fontId="4" fillId="0" borderId="19" xfId="1" applyFont="1" applyBorder="1" applyAlignment="1">
      <alignment wrapText="1"/>
    </xf>
    <xf numFmtId="0" fontId="4" fillId="0" borderId="19" xfId="1" applyFont="1" applyBorder="1"/>
    <xf numFmtId="0" fontId="4" fillId="0" borderId="21" xfId="1" applyFont="1" applyBorder="1" applyAlignment="1">
      <alignment wrapText="1"/>
    </xf>
    <xf numFmtId="0" fontId="5" fillId="0" borderId="22" xfId="1" applyBorder="1"/>
    <xf numFmtId="10" fontId="0" fillId="0" borderId="22" xfId="0" applyNumberFormat="1" applyBorder="1"/>
    <xf numFmtId="10" fontId="5" fillId="0" borderId="22" xfId="1" applyNumberFormat="1" applyBorder="1"/>
    <xf numFmtId="166" fontId="0" fillId="0" borderId="22" xfId="0" applyNumberFormat="1" applyBorder="1"/>
    <xf numFmtId="165" fontId="0" fillId="0" borderId="23" xfId="0" applyNumberFormat="1" applyBorder="1"/>
    <xf numFmtId="0" fontId="4" fillId="2" borderId="17" xfId="1" applyFont="1" applyFill="1" applyBorder="1" applyAlignment="1">
      <alignment wrapText="1"/>
    </xf>
    <xf numFmtId="10" fontId="0" fillId="2" borderId="15" xfId="0" applyNumberFormat="1" applyFill="1" applyBorder="1"/>
    <xf numFmtId="0" fontId="5" fillId="2" borderId="15" xfId="1" applyFill="1" applyBorder="1"/>
    <xf numFmtId="0" fontId="0" fillId="2" borderId="15" xfId="0" applyFill="1" applyBorder="1"/>
    <xf numFmtId="0" fontId="0" fillId="2" borderId="22" xfId="0" applyFill="1" applyBorder="1"/>
    <xf numFmtId="0" fontId="0" fillId="0" borderId="0" xfId="0" applyBorder="1" applyAlignment="1">
      <alignment vertical="center" wrapText="1"/>
    </xf>
    <xf numFmtId="9" fontId="0" fillId="0" borderId="0" xfId="0" applyNumberFormat="1" applyBorder="1"/>
    <xf numFmtId="10" fontId="0" fillId="0" borderId="0" xfId="0" applyNumberFormat="1" applyFill="1" applyBorder="1" applyAlignment="1">
      <alignment horizontal="right"/>
    </xf>
    <xf numFmtId="0" fontId="4" fillId="0" borderId="15" xfId="0" applyFont="1" applyBorder="1" applyAlignment="1"/>
    <xf numFmtId="0" fontId="0" fillId="0" borderId="15" xfId="0" applyBorder="1" applyAlignment="1">
      <alignment horizontal="right"/>
    </xf>
    <xf numFmtId="10" fontId="0" fillId="0" borderId="15" xfId="0" applyNumberFormat="1" applyFill="1" applyBorder="1" applyAlignment="1">
      <alignment horizontal="right"/>
    </xf>
    <xf numFmtId="0" fontId="4" fillId="0" borderId="15" xfId="0" applyFont="1" applyFill="1" applyBorder="1" applyAlignment="1">
      <alignment horizontal="right"/>
    </xf>
    <xf numFmtId="0" fontId="4" fillId="0" borderId="17" xfId="0" applyFont="1" applyBorder="1"/>
    <xf numFmtId="0" fontId="4" fillId="0" borderId="17" xfId="0" applyFont="1" applyBorder="1" applyAlignment="1"/>
    <xf numFmtId="0" fontId="0" fillId="0" borderId="17" xfId="0" applyBorder="1" applyAlignment="1">
      <alignment horizontal="right" wrapText="1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/>
    <xf numFmtId="0" fontId="0" fillId="0" borderId="20" xfId="0" applyFill="1" applyBorder="1"/>
    <xf numFmtId="0" fontId="4" fillId="0" borderId="22" xfId="0" applyFont="1" applyFill="1" applyBorder="1"/>
    <xf numFmtId="0" fontId="0" fillId="0" borderId="22" xfId="0" applyBorder="1" applyAlignment="1">
      <alignment horizontal="right"/>
    </xf>
    <xf numFmtId="0" fontId="0" fillId="0" borderId="23" xfId="0" applyFill="1" applyBorder="1"/>
    <xf numFmtId="0" fontId="4" fillId="4" borderId="17" xfId="0" applyFont="1" applyFill="1" applyBorder="1" applyAlignment="1"/>
    <xf numFmtId="0" fontId="4" fillId="4" borderId="15" xfId="0" applyFont="1" applyFill="1" applyBorder="1"/>
    <xf numFmtId="10" fontId="0" fillId="4" borderId="15" xfId="0" applyNumberFormat="1" applyFill="1" applyBorder="1"/>
    <xf numFmtId="0" fontId="0" fillId="4" borderId="15" xfId="0" applyFill="1" applyBorder="1" applyAlignment="1"/>
    <xf numFmtId="10" fontId="0" fillId="4" borderId="22" xfId="0" applyNumberFormat="1" applyFill="1" applyBorder="1"/>
    <xf numFmtId="0" fontId="5" fillId="0" borderId="15" xfId="1" applyFont="1" applyFill="1" applyBorder="1"/>
    <xf numFmtId="0" fontId="5" fillId="0" borderId="15" xfId="1" applyFill="1" applyBorder="1"/>
    <xf numFmtId="164" fontId="5" fillId="0" borderId="15" xfId="1" applyNumberFormat="1" applyBorder="1"/>
    <xf numFmtId="0" fontId="0" fillId="0" borderId="20" xfId="0" applyBorder="1"/>
    <xf numFmtId="0" fontId="5" fillId="0" borderId="21" xfId="1" applyBorder="1"/>
    <xf numFmtId="0" fontId="5" fillId="0" borderId="22" xfId="1" applyFill="1" applyBorder="1"/>
    <xf numFmtId="0" fontId="4" fillId="0" borderId="18" xfId="0" applyFont="1" applyBorder="1" applyAlignment="1"/>
    <xf numFmtId="0" fontId="4" fillId="0" borderId="22" xfId="0" applyFont="1" applyFill="1" applyBorder="1" applyAlignment="1"/>
    <xf numFmtId="0" fontId="10" fillId="0" borderId="16" xfId="0" applyFont="1" applyBorder="1"/>
    <xf numFmtId="0" fontId="10" fillId="0" borderId="17" xfId="0" applyFont="1" applyBorder="1" applyAlignment="1">
      <alignment horizontal="left" wrapText="1"/>
    </xf>
    <xf numFmtId="0" fontId="10" fillId="0" borderId="18" xfId="0" applyFont="1" applyBorder="1" applyAlignment="1">
      <alignment horizontal="left" wrapText="1"/>
    </xf>
    <xf numFmtId="0" fontId="10" fillId="0" borderId="0" xfId="0" applyFont="1" applyBorder="1"/>
    <xf numFmtId="0" fontId="10" fillId="0" borderId="0" xfId="0" applyFont="1" applyBorder="1" applyAlignment="1">
      <alignment wrapText="1"/>
    </xf>
    <xf numFmtId="0" fontId="10" fillId="0" borderId="19" xfId="0" applyFont="1" applyBorder="1"/>
    <xf numFmtId="0" fontId="10" fillId="0" borderId="15" xfId="0" applyFont="1" applyBorder="1" applyAlignment="1">
      <alignment horizontal="center" wrapText="1"/>
    </xf>
    <xf numFmtId="0" fontId="10" fillId="0" borderId="15" xfId="0" applyFont="1" applyBorder="1" applyAlignment="1"/>
    <xf numFmtId="0" fontId="10" fillId="0" borderId="15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15" xfId="0" applyFont="1" applyBorder="1" applyAlignment="1">
      <alignment horizontal="left" wrapText="1"/>
    </xf>
    <xf numFmtId="0" fontId="10" fillId="0" borderId="2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0" fillId="0" borderId="21" xfId="0" applyFont="1" applyBorder="1"/>
    <xf numFmtId="0" fontId="10" fillId="0" borderId="22" xfId="0" applyFont="1" applyBorder="1"/>
    <xf numFmtId="0" fontId="10" fillId="0" borderId="22" xfId="0" applyFont="1" applyBorder="1" applyAlignment="1"/>
    <xf numFmtId="0" fontId="10" fillId="0" borderId="23" xfId="0" applyFont="1" applyBorder="1"/>
    <xf numFmtId="0" fontId="10" fillId="0" borderId="17" xfId="0" applyFont="1" applyBorder="1" applyAlignment="1">
      <alignment wrapText="1"/>
    </xf>
    <xf numFmtId="0" fontId="10" fillId="0" borderId="17" xfId="0" applyFont="1" applyBorder="1"/>
    <xf numFmtId="0" fontId="10" fillId="0" borderId="18" xfId="0" applyFont="1" applyBorder="1"/>
    <xf numFmtId="0" fontId="10" fillId="0" borderId="15" xfId="0" applyFont="1" applyBorder="1"/>
    <xf numFmtId="0" fontId="10" fillId="0" borderId="15" xfId="0" applyFont="1" applyFill="1" applyBorder="1"/>
    <xf numFmtId="0" fontId="10" fillId="0" borderId="20" xfId="0" applyFont="1" applyBorder="1" applyAlignment="1"/>
    <xf numFmtId="0" fontId="10" fillId="0" borderId="0" xfId="0" applyFont="1" applyBorder="1" applyAlignment="1"/>
    <xf numFmtId="0" fontId="10" fillId="0" borderId="22" xfId="0" applyFont="1" applyFill="1" applyBorder="1"/>
    <xf numFmtId="0" fontId="10" fillId="0" borderId="22" xfId="0" applyFont="1" applyBorder="1" applyAlignment="1">
      <alignment wrapText="1"/>
    </xf>
    <xf numFmtId="0" fontId="10" fillId="0" borderId="23" xfId="0" applyFont="1" applyBorder="1" applyAlignment="1">
      <alignment wrapText="1"/>
    </xf>
    <xf numFmtId="0" fontId="10" fillId="0" borderId="22" xfId="0" applyFont="1" applyFill="1" applyBorder="1" applyAlignment="1"/>
    <xf numFmtId="0" fontId="10" fillId="0" borderId="23" xfId="0" applyFont="1" applyFill="1" applyBorder="1" applyAlignment="1"/>
    <xf numFmtId="0" fontId="11" fillId="0" borderId="0" xfId="0" applyFont="1" applyAlignment="1">
      <alignment horizontal="center"/>
    </xf>
    <xf numFmtId="0" fontId="4" fillId="2" borderId="16" xfId="0" applyFont="1" applyFill="1" applyBorder="1"/>
    <xf numFmtId="0" fontId="4" fillId="2" borderId="17" xfId="0" applyFont="1" applyFill="1" applyBorder="1"/>
    <xf numFmtId="0" fontId="0" fillId="2" borderId="17" xfId="0" applyFill="1" applyBorder="1" applyAlignment="1"/>
    <xf numFmtId="0" fontId="0" fillId="2" borderId="17" xfId="0" applyFill="1" applyBorder="1"/>
    <xf numFmtId="0" fontId="0" fillId="2" borderId="18" xfId="0" applyFill="1" applyBorder="1"/>
    <xf numFmtId="0" fontId="0" fillId="0" borderId="15" xfId="0" applyFont="1" applyFill="1" applyBorder="1" applyAlignment="1">
      <alignment wrapText="1"/>
    </xf>
    <xf numFmtId="10" fontId="0" fillId="3" borderId="15" xfId="0" applyNumberFormat="1" applyFill="1" applyBorder="1"/>
    <xf numFmtId="0" fontId="0" fillId="3" borderId="15" xfId="0" applyFill="1" applyBorder="1" applyAlignment="1">
      <alignment horizontal="right" vertical="center"/>
    </xf>
    <xf numFmtId="164" fontId="5" fillId="3" borderId="15" xfId="1" applyNumberFormat="1" applyFont="1" applyFill="1" applyBorder="1"/>
    <xf numFmtId="10" fontId="5" fillId="3" borderId="15" xfId="1" applyNumberFormat="1" applyFill="1" applyBorder="1"/>
    <xf numFmtId="10" fontId="5" fillId="3" borderId="22" xfId="1" applyNumberFormat="1" applyFill="1" applyBorder="1"/>
    <xf numFmtId="0" fontId="5" fillId="2" borderId="15" xfId="1" applyFont="1" applyFill="1" applyBorder="1"/>
    <xf numFmtId="0" fontId="0" fillId="2" borderId="20" xfId="0" applyFill="1" applyBorder="1"/>
    <xf numFmtId="0" fontId="5" fillId="0" borderId="17" xfId="1" applyBorder="1" applyAlignment="1">
      <alignment wrapText="1"/>
    </xf>
    <xf numFmtId="0" fontId="5" fillId="2" borderId="19" xfId="1" applyFill="1" applyBorder="1" applyAlignment="1">
      <alignment wrapText="1"/>
    </xf>
    <xf numFmtId="0" fontId="5" fillId="2" borderId="15" xfId="1" applyFill="1" applyBorder="1" applyAlignment="1">
      <alignment wrapText="1"/>
    </xf>
    <xf numFmtId="0" fontId="4" fillId="0" borderId="15" xfId="0" applyFont="1" applyBorder="1" applyAlignment="1">
      <alignment wrapText="1"/>
    </xf>
    <xf numFmtId="0" fontId="12" fillId="0" borderId="17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3" fillId="0" borderId="15" xfId="0" applyFont="1" applyBorder="1" applyAlignment="1"/>
    <xf numFmtId="49" fontId="14" fillId="0" borderId="10" xfId="0" applyNumberFormat="1" applyFont="1" applyBorder="1" applyAlignment="1"/>
    <xf numFmtId="0" fontId="12" fillId="0" borderId="22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2" xfId="0" applyFont="1" applyBorder="1" applyAlignment="1"/>
    <xf numFmtId="0" fontId="13" fillId="5" borderId="22" xfId="0" applyFont="1" applyFill="1" applyBorder="1" applyAlignment="1"/>
    <xf numFmtId="49" fontId="14" fillId="0" borderId="12" xfId="0" applyNumberFormat="1" applyFont="1" applyBorder="1" applyAlignment="1"/>
    <xf numFmtId="0" fontId="4" fillId="0" borderId="11" xfId="0" applyFont="1" applyBorder="1"/>
    <xf numFmtId="164" fontId="4" fillId="0" borderId="0" xfId="0" applyNumberFormat="1" applyFont="1" applyFill="1" applyBorder="1"/>
    <xf numFmtId="164" fontId="0" fillId="0" borderId="0" xfId="0" applyNumberFormat="1"/>
    <xf numFmtId="0" fontId="4" fillId="0" borderId="0" xfId="0" applyFont="1"/>
    <xf numFmtId="0" fontId="4" fillId="0" borderId="0" xfId="0" applyFont="1" applyBorder="1"/>
    <xf numFmtId="0" fontId="4" fillId="8" borderId="0" xfId="0" applyFont="1" applyFill="1" applyBorder="1"/>
    <xf numFmtId="166" fontId="0" fillId="0" borderId="0" xfId="0" applyNumberFormat="1" applyFill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6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10" fillId="0" borderId="0" xfId="0" applyFont="1" applyFill="1" applyBorder="1"/>
    <xf numFmtId="0" fontId="4" fillId="0" borderId="0" xfId="0" applyFont="1" applyFill="1" applyBorder="1" applyAlignment="1"/>
    <xf numFmtId="0" fontId="10" fillId="0" borderId="0" xfId="0" applyFont="1" applyFill="1" applyBorder="1" applyAlignment="1"/>
    <xf numFmtId="0" fontId="10" fillId="0" borderId="27" xfId="0" applyFont="1" applyBorder="1" applyAlignment="1">
      <alignment wrapText="1"/>
    </xf>
    <xf numFmtId="0" fontId="10" fillId="0" borderId="28" xfId="0" applyFont="1" applyBorder="1"/>
    <xf numFmtId="0" fontId="10" fillId="0" borderId="29" xfId="0" applyFont="1" applyBorder="1"/>
    <xf numFmtId="0" fontId="4" fillId="0" borderId="15" xfId="0" applyFont="1" applyFill="1" applyBorder="1" applyAlignment="1"/>
    <xf numFmtId="0" fontId="10" fillId="0" borderId="15" xfId="0" applyFont="1" applyFill="1" applyBorder="1" applyAlignment="1"/>
    <xf numFmtId="0" fontId="10" fillId="0" borderId="15" xfId="0" applyFont="1" applyBorder="1" applyAlignment="1">
      <alignment horizontal="center"/>
    </xf>
    <xf numFmtId="165" fontId="0" fillId="0" borderId="0" xfId="0" applyNumberFormat="1" applyFill="1" applyBorder="1"/>
    <xf numFmtId="0" fontId="5" fillId="0" borderId="0" xfId="1" applyNumberFormat="1" applyFill="1" applyBorder="1"/>
    <xf numFmtId="0" fontId="0" fillId="0" borderId="0" xfId="0" applyNumberFormat="1"/>
    <xf numFmtId="0" fontId="10" fillId="0" borderId="10" xfId="0" applyFont="1" applyBorder="1" applyAlignment="1">
      <alignment wrapText="1"/>
    </xf>
    <xf numFmtId="0" fontId="10" fillId="0" borderId="10" xfId="0" applyFont="1" applyBorder="1" applyAlignment="1">
      <alignment horizontal="left" wrapText="1"/>
    </xf>
    <xf numFmtId="0" fontId="10" fillId="0" borderId="10" xfId="0" applyFont="1" applyBorder="1"/>
    <xf numFmtId="0" fontId="10" fillId="0" borderId="10" xfId="0" applyFont="1" applyBorder="1" applyAlignment="1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 wrapText="1"/>
    </xf>
    <xf numFmtId="0" fontId="4" fillId="0" borderId="15" xfId="1" applyFont="1" applyFill="1" applyBorder="1" applyAlignment="1">
      <alignment wrapText="1"/>
    </xf>
    <xf numFmtId="0" fontId="4" fillId="2" borderId="30" xfId="1" applyFont="1" applyFill="1" applyBorder="1" applyAlignment="1">
      <alignment wrapText="1"/>
    </xf>
    <xf numFmtId="0" fontId="4" fillId="0" borderId="0" xfId="1" applyFont="1" applyFill="1" applyBorder="1" applyAlignment="1">
      <alignment wrapText="1"/>
    </xf>
    <xf numFmtId="0" fontId="4" fillId="2" borderId="0" xfId="1" applyFont="1" applyFill="1" applyBorder="1" applyAlignment="1">
      <alignment wrapText="1"/>
    </xf>
    <xf numFmtId="0" fontId="4" fillId="5" borderId="0" xfId="1" applyFont="1" applyFill="1" applyBorder="1" applyAlignment="1">
      <alignment wrapText="1"/>
    </xf>
    <xf numFmtId="0" fontId="4" fillId="9" borderId="0" xfId="1" applyFont="1" applyFill="1" applyBorder="1" applyAlignment="1">
      <alignment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0" fontId="5" fillId="2" borderId="15" xfId="1" applyNumberFormat="1" applyFill="1" applyBorder="1"/>
    <xf numFmtId="10" fontId="0" fillId="2" borderId="15" xfId="3" applyNumberFormat="1" applyFont="1" applyFill="1" applyBorder="1"/>
    <xf numFmtId="167" fontId="0" fillId="2" borderId="15" xfId="3" applyNumberFormat="1" applyFont="1" applyFill="1" applyBorder="1"/>
    <xf numFmtId="10" fontId="5" fillId="2" borderId="15" xfId="3" applyNumberFormat="1" applyFont="1" applyFill="1" applyBorder="1"/>
    <xf numFmtId="0" fontId="4" fillId="0" borderId="16" xfId="1" applyFont="1" applyBorder="1" applyAlignment="1">
      <alignment wrapText="1"/>
    </xf>
    <xf numFmtId="10" fontId="0" fillId="0" borderId="19" xfId="0" applyNumberFormat="1" applyBorder="1"/>
    <xf numFmtId="10" fontId="0" fillId="0" borderId="21" xfId="0" applyNumberFormat="1" applyBorder="1"/>
    <xf numFmtId="167" fontId="0" fillId="2" borderId="22" xfId="3" applyNumberFormat="1" applyFont="1" applyFill="1" applyBorder="1"/>
    <xf numFmtId="10" fontId="0" fillId="2" borderId="22" xfId="3" applyNumberFormat="1" applyFont="1" applyFill="1" applyBorder="1"/>
    <xf numFmtId="0" fontId="5" fillId="0" borderId="31" xfId="1" applyBorder="1" applyAlignment="1">
      <alignment wrapText="1"/>
    </xf>
    <xf numFmtId="0" fontId="5" fillId="0" borderId="32" xfId="1" applyBorder="1"/>
    <xf numFmtId="0" fontId="4" fillId="0" borderId="18" xfId="1" applyFont="1" applyBorder="1" applyAlignment="1">
      <alignment wrapText="1"/>
    </xf>
    <xf numFmtId="166" fontId="0" fillId="0" borderId="20" xfId="0" applyNumberFormat="1" applyBorder="1"/>
    <xf numFmtId="10" fontId="5" fillId="2" borderId="22" xfId="3" applyNumberFormat="1" applyFont="1" applyFill="1" applyBorder="1"/>
    <xf numFmtId="166" fontId="0" fillId="0" borderId="23" xfId="0" applyNumberFormat="1" applyBorder="1"/>
    <xf numFmtId="0" fontId="0" fillId="0" borderId="33" xfId="0" applyFill="1" applyBorder="1"/>
    <xf numFmtId="10" fontId="0" fillId="0" borderId="25" xfId="0" applyNumberFormat="1" applyFill="1" applyBorder="1"/>
    <xf numFmtId="0" fontId="5" fillId="0" borderId="33" xfId="1" applyFill="1" applyBorder="1"/>
    <xf numFmtId="0" fontId="5" fillId="0" borderId="30" xfId="1" applyFill="1" applyBorder="1"/>
    <xf numFmtId="0" fontId="0" fillId="0" borderId="0" xfId="0" applyFill="1" applyBorder="1" applyAlignment="1">
      <alignment horizontal="left"/>
    </xf>
    <xf numFmtId="0" fontId="5" fillId="0" borderId="30" xfId="1" quotePrefix="1" applyFill="1" applyBorder="1" applyAlignment="1">
      <alignment horizontal="right"/>
    </xf>
    <xf numFmtId="10" fontId="5" fillId="2" borderId="33" xfId="3" applyNumberFormat="1" applyFont="1" applyFill="1" applyBorder="1"/>
    <xf numFmtId="167" fontId="0" fillId="2" borderId="33" xfId="3" applyNumberFormat="1" applyFont="1" applyFill="1" applyBorder="1"/>
    <xf numFmtId="10" fontId="0" fillId="0" borderId="33" xfId="0" applyNumberFormat="1" applyFill="1" applyBorder="1"/>
    <xf numFmtId="0" fontId="0" fillId="0" borderId="0" xfId="0" applyAlignment="1">
      <alignment horizontal="center"/>
    </xf>
    <xf numFmtId="0" fontId="19" fillId="0" borderId="16" xfId="0" applyFont="1" applyBorder="1"/>
    <xf numFmtId="0" fontId="19" fillId="0" borderId="17" xfId="0" applyFont="1" applyBorder="1" applyAlignment="1">
      <alignment horizontal="center" wrapText="1"/>
    </xf>
    <xf numFmtId="0" fontId="19" fillId="0" borderId="18" xfId="0" applyFont="1" applyBorder="1" applyAlignment="1">
      <alignment horizontal="center" wrapText="1"/>
    </xf>
    <xf numFmtId="0" fontId="16" fillId="0" borderId="2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34" xfId="0" applyFont="1" applyBorder="1"/>
    <xf numFmtId="0" fontId="9" fillId="0" borderId="27" xfId="0" applyFont="1" applyBorder="1" applyAlignment="1">
      <alignment wrapText="1"/>
    </xf>
    <xf numFmtId="0" fontId="20" fillId="0" borderId="17" xfId="0" applyFont="1" applyBorder="1" applyAlignment="1"/>
    <xf numFmtId="0" fontId="20" fillId="0" borderId="18" xfId="0" applyFont="1" applyBorder="1" applyAlignment="1"/>
    <xf numFmtId="0" fontId="9" fillId="0" borderId="8" xfId="0" applyFont="1" applyBorder="1" applyAlignment="1">
      <alignment horizontal="center" vertical="center"/>
    </xf>
    <xf numFmtId="0" fontId="9" fillId="0" borderId="19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 applyAlignment="1">
      <alignment horizontal="center"/>
    </xf>
    <xf numFmtId="0" fontId="9" fillId="0" borderId="20" xfId="0" applyFont="1" applyBorder="1" applyAlignment="1">
      <alignment horizontal="center" wrapText="1"/>
    </xf>
    <xf numFmtId="0" fontId="0" fillId="0" borderId="5" xfId="0" applyFont="1" applyBorder="1"/>
    <xf numFmtId="0" fontId="20" fillId="0" borderId="15" xfId="0" applyFont="1" applyBorder="1" applyAlignment="1"/>
    <xf numFmtId="0" fontId="9" fillId="0" borderId="15" xfId="0" applyFont="1" applyBorder="1" applyAlignment="1"/>
    <xf numFmtId="0" fontId="9" fillId="0" borderId="20" xfId="0" applyFont="1" applyBorder="1" applyAlignment="1"/>
    <xf numFmtId="0" fontId="0" fillId="0" borderId="9" xfId="0" applyFont="1" applyBorder="1"/>
    <xf numFmtId="0" fontId="9" fillId="0" borderId="13" xfId="0" applyFont="1" applyBorder="1" applyAlignment="1">
      <alignment horizontal="center" vertical="center"/>
    </xf>
    <xf numFmtId="0" fontId="9" fillId="0" borderId="21" xfId="0" applyFont="1" applyBorder="1"/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0" fillId="0" borderId="14" xfId="0" applyFont="1" applyBorder="1"/>
    <xf numFmtId="0" fontId="20" fillId="0" borderId="22" xfId="0" applyFont="1" applyFill="1" applyBorder="1" applyAlignment="1"/>
    <xf numFmtId="0" fontId="9" fillId="0" borderId="22" xfId="0" applyFont="1" applyFill="1" applyBorder="1" applyAlignment="1"/>
    <xf numFmtId="0" fontId="9" fillId="0" borderId="23" xfId="0" applyFont="1" applyFill="1" applyBorder="1" applyAlignment="1"/>
    <xf numFmtId="0" fontId="0" fillId="0" borderId="35" xfId="0" applyFont="1" applyBorder="1"/>
    <xf numFmtId="0" fontId="9" fillId="0" borderId="17" xfId="0" applyFont="1" applyBorder="1"/>
    <xf numFmtId="0" fontId="9" fillId="0" borderId="17" xfId="0" applyFont="1" applyBorder="1" applyAlignment="1">
      <alignment wrapText="1"/>
    </xf>
    <xf numFmtId="0" fontId="9" fillId="0" borderId="18" xfId="0" applyFont="1" applyBorder="1"/>
    <xf numFmtId="0" fontId="9" fillId="0" borderId="43" xfId="0" applyFont="1" applyBorder="1" applyAlignment="1">
      <alignment wrapText="1"/>
    </xf>
    <xf numFmtId="0" fontId="9" fillId="0" borderId="44" xfId="0" applyFont="1" applyBorder="1" applyAlignment="1">
      <alignment wrapText="1"/>
    </xf>
    <xf numFmtId="0" fontId="20" fillId="0" borderId="44" xfId="0" applyFont="1" applyBorder="1" applyAlignment="1">
      <alignment wrapText="1"/>
    </xf>
    <xf numFmtId="0" fontId="20" fillId="0" borderId="45" xfId="0" applyFont="1" applyFill="1" applyBorder="1" applyAlignment="1"/>
    <xf numFmtId="0" fontId="0" fillId="0" borderId="0" xfId="0" applyFont="1" applyBorder="1" applyAlignment="1">
      <alignment horizontal="left" vertical="center" wrapText="1"/>
    </xf>
    <xf numFmtId="0" fontId="9" fillId="0" borderId="15" xfId="0" applyFont="1" applyBorder="1"/>
    <xf numFmtId="0" fontId="9" fillId="0" borderId="15" xfId="0" applyFont="1" applyFill="1" applyBorder="1"/>
    <xf numFmtId="0" fontId="9" fillId="0" borderId="27" xfId="0" applyFont="1" applyBorder="1"/>
    <xf numFmtId="0" fontId="9" fillId="0" borderId="17" xfId="0" applyFont="1" applyFill="1" applyBorder="1"/>
    <xf numFmtId="0" fontId="20" fillId="0" borderId="17" xfId="0" applyFont="1" applyBorder="1" applyAlignment="1">
      <alignment wrapText="1"/>
    </xf>
    <xf numFmtId="0" fontId="9" fillId="0" borderId="17" xfId="0" applyFont="1" applyBorder="1" applyAlignment="1"/>
    <xf numFmtId="0" fontId="9" fillId="0" borderId="18" xfId="0" applyFont="1" applyBorder="1" applyAlignment="1"/>
    <xf numFmtId="0" fontId="9" fillId="0" borderId="15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9" fillId="0" borderId="28" xfId="0" applyFont="1" applyBorder="1"/>
    <xf numFmtId="0" fontId="20" fillId="0" borderId="15" xfId="0" applyFont="1" applyBorder="1" applyAlignment="1">
      <alignment wrapText="1"/>
    </xf>
    <xf numFmtId="0" fontId="9" fillId="0" borderId="22" xfId="0" applyFont="1" applyBorder="1"/>
    <xf numFmtId="0" fontId="9" fillId="0" borderId="22" xfId="0" applyFont="1" applyFill="1" applyBorder="1"/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9" xfId="0" applyFont="1" applyBorder="1"/>
    <xf numFmtId="0" fontId="9" fillId="0" borderId="22" xfId="0" applyFont="1" applyBorder="1" applyAlignment="1"/>
    <xf numFmtId="0" fontId="9" fillId="0" borderId="38" xfId="0" applyFont="1" applyBorder="1"/>
    <xf numFmtId="0" fontId="9" fillId="0" borderId="39" xfId="0" applyFont="1" applyFill="1" applyBorder="1"/>
    <xf numFmtId="0" fontId="20" fillId="0" borderId="39" xfId="0" applyFont="1" applyBorder="1" applyAlignment="1">
      <alignment wrapText="1"/>
    </xf>
    <xf numFmtId="0" fontId="9" fillId="0" borderId="39" xfId="0" applyFont="1" applyBorder="1" applyAlignment="1"/>
    <xf numFmtId="0" fontId="9" fillId="0" borderId="40" xfId="0" applyFont="1" applyBorder="1" applyAlignment="1"/>
    <xf numFmtId="0" fontId="9" fillId="0" borderId="41" xfId="0" applyFont="1" applyBorder="1"/>
    <xf numFmtId="0" fontId="9" fillId="0" borderId="37" xfId="0" applyFont="1" applyFill="1" applyBorder="1"/>
    <xf numFmtId="0" fontId="20" fillId="0" borderId="37" xfId="0" applyFont="1" applyFill="1" applyBorder="1" applyAlignment="1"/>
    <xf numFmtId="0" fontId="9" fillId="0" borderId="37" xfId="0" applyFont="1" applyFill="1" applyBorder="1" applyAlignment="1"/>
    <xf numFmtId="0" fontId="9" fillId="0" borderId="37" xfId="0" applyFont="1" applyBorder="1" applyAlignment="1"/>
    <xf numFmtId="0" fontId="9" fillId="0" borderId="42" xfId="0" applyFont="1" applyFill="1" applyBorder="1" applyAlignment="1"/>
    <xf numFmtId="0" fontId="9" fillId="0" borderId="2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0" borderId="4" xfId="0" applyBorder="1"/>
    <xf numFmtId="0" fontId="20" fillId="0" borderId="17" xfId="0" applyFont="1" applyFill="1" applyBorder="1" applyAlignment="1"/>
    <xf numFmtId="0" fontId="9" fillId="0" borderId="18" xfId="0" applyFont="1" applyFill="1" applyBorder="1" applyAlignment="1"/>
    <xf numFmtId="0" fontId="9" fillId="0" borderId="36" xfId="0" applyFont="1" applyBorder="1"/>
    <xf numFmtId="0" fontId="9" fillId="0" borderId="36" xfId="0" applyFont="1" applyFill="1" applyBorder="1"/>
    <xf numFmtId="0" fontId="20" fillId="0" borderId="36" xfId="0" applyFont="1" applyFill="1" applyBorder="1" applyAlignment="1"/>
    <xf numFmtId="0" fontId="9" fillId="0" borderId="46" xfId="0" applyFont="1" applyFill="1" applyBorder="1" applyAlignment="1"/>
    <xf numFmtId="0" fontId="9" fillId="0" borderId="37" xfId="0" applyFont="1" applyBorder="1"/>
    <xf numFmtId="0" fontId="9" fillId="0" borderId="37" xfId="0" applyFont="1" applyBorder="1" applyAlignment="1">
      <alignment wrapText="1"/>
    </xf>
    <xf numFmtId="0" fontId="9" fillId="0" borderId="42" xfId="0" applyFont="1" applyBorder="1" applyAlignment="1">
      <alignment wrapText="1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39" xfId="0" applyFont="1" applyBorder="1"/>
    <xf numFmtId="0" fontId="9" fillId="0" borderId="2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20" fillId="2" borderId="16" xfId="0" applyFont="1" applyFill="1" applyBorder="1"/>
    <xf numFmtId="0" fontId="20" fillId="2" borderId="17" xfId="0" applyFont="1" applyFill="1" applyBorder="1"/>
    <xf numFmtId="0" fontId="0" fillId="2" borderId="17" xfId="0" applyFont="1" applyFill="1" applyBorder="1" applyAlignment="1"/>
    <xf numFmtId="0" fontId="0" fillId="2" borderId="17" xfId="0" applyFont="1" applyFill="1" applyBorder="1"/>
    <xf numFmtId="0" fontId="0" fillId="2" borderId="18" xfId="0" applyFont="1" applyFill="1" applyBorder="1"/>
    <xf numFmtId="0" fontId="0" fillId="0" borderId="0" xfId="0" applyFont="1" applyBorder="1" applyAlignment="1"/>
    <xf numFmtId="0" fontId="0" fillId="0" borderId="19" xfId="0" applyFont="1" applyBorder="1"/>
    <xf numFmtId="0" fontId="0" fillId="0" borderId="15" xfId="0" applyFont="1" applyBorder="1"/>
    <xf numFmtId="0" fontId="0" fillId="0" borderId="0" xfId="0" applyFont="1" applyBorder="1"/>
    <xf numFmtId="10" fontId="0" fillId="3" borderId="15" xfId="0" applyNumberFormat="1" applyFont="1" applyFill="1" applyBorder="1"/>
    <xf numFmtId="0" fontId="0" fillId="0" borderId="15" xfId="0" applyFont="1" applyBorder="1" applyAlignment="1">
      <alignment horizontal="right"/>
    </xf>
    <xf numFmtId="0" fontId="0" fillId="0" borderId="20" xfId="0" applyFont="1" applyBorder="1"/>
    <xf numFmtId="0" fontId="20" fillId="0" borderId="11" xfId="0" applyFont="1" applyBorder="1"/>
    <xf numFmtId="0" fontId="0" fillId="3" borderId="15" xfId="0" applyFont="1" applyFill="1" applyBorder="1" applyAlignment="1">
      <alignment horizontal="right" vertical="center"/>
    </xf>
    <xf numFmtId="0" fontId="20" fillId="2" borderId="19" xfId="1" applyFont="1" applyFill="1" applyBorder="1" applyAlignment="1">
      <alignment wrapText="1"/>
    </xf>
    <xf numFmtId="0" fontId="20" fillId="2" borderId="15" xfId="1" applyFont="1" applyFill="1" applyBorder="1" applyAlignment="1">
      <alignment wrapText="1"/>
    </xf>
    <xf numFmtId="0" fontId="20" fillId="2" borderId="15" xfId="1" applyFont="1" applyFill="1" applyBorder="1"/>
    <xf numFmtId="0" fontId="0" fillId="2" borderId="20" xfId="0" applyFont="1" applyFill="1" applyBorder="1"/>
    <xf numFmtId="0" fontId="20" fillId="0" borderId="19" xfId="1" applyFont="1" applyBorder="1"/>
    <xf numFmtId="0" fontId="20" fillId="0" borderId="15" xfId="1" applyFont="1" applyBorder="1"/>
    <xf numFmtId="164" fontId="20" fillId="3" borderId="15" xfId="1" applyNumberFormat="1" applyFont="1" applyFill="1" applyBorder="1"/>
    <xf numFmtId="164" fontId="20" fillId="0" borderId="15" xfId="1" applyNumberFormat="1" applyFont="1" applyBorder="1"/>
    <xf numFmtId="10" fontId="20" fillId="3" borderId="15" xfId="1" applyNumberFormat="1" applyFont="1" applyFill="1" applyBorder="1"/>
    <xf numFmtId="0" fontId="20" fillId="0" borderId="15" xfId="1" applyFont="1" applyFill="1" applyBorder="1"/>
    <xf numFmtId="0" fontId="20" fillId="0" borderId="0" xfId="1" applyFont="1" applyFill="1" applyBorder="1"/>
    <xf numFmtId="0" fontId="20" fillId="0" borderId="0" xfId="1" applyFont="1" applyBorder="1"/>
    <xf numFmtId="0" fontId="20" fillId="0" borderId="21" xfId="1" applyFont="1" applyBorder="1"/>
    <xf numFmtId="0" fontId="20" fillId="0" borderId="22" xfId="1" applyFont="1" applyFill="1" applyBorder="1"/>
    <xf numFmtId="0" fontId="20" fillId="0" borderId="22" xfId="1" applyFont="1" applyBorder="1"/>
    <xf numFmtId="10" fontId="20" fillId="3" borderId="22" xfId="1" applyNumberFormat="1" applyFont="1" applyFill="1" applyBorder="1"/>
    <xf numFmtId="0" fontId="0" fillId="0" borderId="22" xfId="0" applyFont="1" applyBorder="1" applyAlignment="1">
      <alignment horizontal="right"/>
    </xf>
    <xf numFmtId="0" fontId="0" fillId="0" borderId="23" xfId="0" applyFont="1" applyBorder="1"/>
    <xf numFmtId="0" fontId="20" fillId="0" borderId="17" xfId="0" applyFont="1" applyBorder="1"/>
    <xf numFmtId="0" fontId="20" fillId="4" borderId="17" xfId="0" applyFont="1" applyFill="1" applyBorder="1" applyAlignment="1"/>
    <xf numFmtId="0" fontId="0" fillId="0" borderId="17" xfId="0" applyFont="1" applyBorder="1" applyAlignment="1">
      <alignment wrapText="1"/>
    </xf>
    <xf numFmtId="0" fontId="0" fillId="0" borderId="17" xfId="0" applyFont="1" applyBorder="1" applyAlignment="1">
      <alignment horizontal="right" wrapText="1"/>
    </xf>
    <xf numFmtId="0" fontId="0" fillId="0" borderId="18" xfId="0" applyFont="1" applyBorder="1" applyAlignment="1">
      <alignment horizontal="right"/>
    </xf>
    <xf numFmtId="0" fontId="0" fillId="0" borderId="0" xfId="0" applyFont="1" applyBorder="1" applyAlignment="1">
      <alignment wrapText="1"/>
    </xf>
    <xf numFmtId="0" fontId="20" fillId="4" borderId="15" xfId="0" applyFont="1" applyFill="1" applyBorder="1"/>
    <xf numFmtId="10" fontId="0" fillId="0" borderId="15" xfId="0" applyNumberFormat="1" applyFont="1" applyBorder="1" applyAlignment="1">
      <alignment horizontal="right"/>
    </xf>
    <xf numFmtId="0" fontId="0" fillId="0" borderId="20" xfId="0" applyFont="1" applyBorder="1" applyAlignment="1">
      <alignment horizontal="right"/>
    </xf>
    <xf numFmtId="10" fontId="0" fillId="0" borderId="0" xfId="0" applyNumberFormat="1" applyFont="1" applyFill="1" applyBorder="1" applyAlignment="1">
      <alignment horizontal="right"/>
    </xf>
    <xf numFmtId="10" fontId="0" fillId="4" borderId="15" xfId="0" applyNumberFormat="1" applyFont="1" applyFill="1" applyBorder="1"/>
    <xf numFmtId="0" fontId="20" fillId="0" borderId="15" xfId="0" applyFont="1" applyFill="1" applyBorder="1"/>
    <xf numFmtId="10" fontId="0" fillId="0" borderId="15" xfId="0" applyNumberFormat="1" applyFont="1" applyFill="1" applyBorder="1" applyAlignment="1">
      <alignment horizontal="right"/>
    </xf>
    <xf numFmtId="10" fontId="0" fillId="0" borderId="0" xfId="0" applyNumberFormat="1" applyFont="1" applyFill="1" applyBorder="1"/>
    <xf numFmtId="0" fontId="0" fillId="4" borderId="15" xfId="0" applyFont="1" applyFill="1" applyBorder="1" applyAlignment="1"/>
    <xf numFmtId="0" fontId="0" fillId="0" borderId="15" xfId="0" applyFont="1" applyBorder="1" applyAlignment="1"/>
    <xf numFmtId="0" fontId="20" fillId="0" borderId="15" xfId="0" applyFont="1" applyFill="1" applyBorder="1" applyAlignment="1">
      <alignment horizontal="right"/>
    </xf>
    <xf numFmtId="0" fontId="0" fillId="0" borderId="20" xfId="0" applyFont="1" applyBorder="1" applyAlignment="1"/>
    <xf numFmtId="0" fontId="0" fillId="0" borderId="20" xfId="0" applyFont="1" applyFill="1" applyBorder="1"/>
    <xf numFmtId="0" fontId="20" fillId="0" borderId="0" xfId="0" applyFont="1" applyBorder="1"/>
    <xf numFmtId="0" fontId="20" fillId="0" borderId="0" xfId="0" applyFont="1" applyFill="1" applyBorder="1"/>
    <xf numFmtId="0" fontId="20" fillId="8" borderId="0" xfId="0" applyFont="1" applyFill="1" applyBorder="1"/>
    <xf numFmtId="0" fontId="0" fillId="0" borderId="22" xfId="0" applyFont="1" applyBorder="1"/>
    <xf numFmtId="10" fontId="0" fillId="4" borderId="22" xfId="0" applyNumberFormat="1" applyFont="1" applyFill="1" applyBorder="1"/>
    <xf numFmtId="0" fontId="0" fillId="0" borderId="23" xfId="0" applyFont="1" applyFill="1" applyBorder="1"/>
    <xf numFmtId="10" fontId="16" fillId="0" borderId="0" xfId="0" applyNumberFormat="1" applyFont="1" applyBorder="1" applyAlignment="1">
      <alignment horizontal="center" wrapText="1"/>
    </xf>
    <xf numFmtId="0" fontId="20" fillId="0" borderId="0" xfId="1" applyFont="1" applyFill="1" applyBorder="1" applyAlignment="1">
      <alignment horizontal="center" wrapText="1"/>
    </xf>
    <xf numFmtId="0" fontId="0" fillId="0" borderId="3" xfId="0" applyFont="1" applyBorder="1"/>
    <xf numFmtId="0" fontId="0" fillId="0" borderId="1" xfId="0" applyBorder="1"/>
    <xf numFmtId="0" fontId="0" fillId="2" borderId="7" xfId="0" applyFont="1" applyFill="1" applyBorder="1"/>
    <xf numFmtId="0" fontId="0" fillId="0" borderId="8" xfId="0" applyFont="1" applyBorder="1"/>
    <xf numFmtId="0" fontId="0" fillId="0" borderId="10" xfId="0" applyFont="1" applyBorder="1"/>
    <xf numFmtId="0" fontId="0" fillId="0" borderId="13" xfId="0" applyFont="1" applyBorder="1"/>
    <xf numFmtId="0" fontId="0" fillId="0" borderId="12" xfId="0" applyFont="1" applyBorder="1"/>
    <xf numFmtId="0" fontId="0" fillId="0" borderId="8" xfId="0" applyBorder="1"/>
    <xf numFmtId="0" fontId="0" fillId="2" borderId="10" xfId="0" applyFont="1" applyFill="1" applyBorder="1"/>
    <xf numFmtId="0" fontId="0" fillId="0" borderId="34" xfId="0" applyBorder="1"/>
    <xf numFmtId="0" fontId="0" fillId="0" borderId="2" xfId="0" applyBorder="1"/>
    <xf numFmtId="0" fontId="0" fillId="0" borderId="2" xfId="0" applyFont="1" applyBorder="1"/>
    <xf numFmtId="0" fontId="0" fillId="2" borderId="0" xfId="0" applyFont="1" applyFill="1" applyBorder="1"/>
    <xf numFmtId="10" fontId="0" fillId="0" borderId="0" xfId="0" applyNumberFormat="1" applyFont="1" applyBorder="1"/>
    <xf numFmtId="10" fontId="0" fillId="9" borderId="0" xfId="0" applyNumberFormat="1" applyFont="1" applyFill="1" applyBorder="1"/>
    <xf numFmtId="10" fontId="0" fillId="0" borderId="0" xfId="0" applyNumberFormat="1" applyFont="1"/>
    <xf numFmtId="10" fontId="0" fillId="4" borderId="0" xfId="0" applyNumberFormat="1" applyFont="1" applyFill="1" applyBorder="1"/>
    <xf numFmtId="0" fontId="0" fillId="2" borderId="0" xfId="0" applyFill="1" applyBorder="1" applyAlignment="1">
      <alignment horizontal="center"/>
    </xf>
    <xf numFmtId="0" fontId="16" fillId="0" borderId="10" xfId="0" applyFont="1" applyBorder="1"/>
    <xf numFmtId="10" fontId="20" fillId="0" borderId="15" xfId="0" applyNumberFormat="1" applyFont="1" applyFill="1" applyBorder="1"/>
    <xf numFmtId="0" fontId="16" fillId="5" borderId="0" xfId="0" quotePrefix="1" applyFont="1" applyFill="1"/>
    <xf numFmtId="0" fontId="16" fillId="0" borderId="0" xfId="0" applyFont="1"/>
    <xf numFmtId="0" fontId="16" fillId="0" borderId="0" xfId="0" quotePrefix="1" applyFont="1"/>
    <xf numFmtId="0" fontId="0" fillId="0" borderId="0" xfId="0" applyNumberFormat="1" applyFont="1"/>
    <xf numFmtId="0" fontId="0" fillId="2" borderId="0" xfId="0" applyFill="1" applyAlignment="1">
      <alignment horizontal="center"/>
    </xf>
    <xf numFmtId="0" fontId="4" fillId="0" borderId="48" xfId="1" applyFont="1" applyBorder="1"/>
    <xf numFmtId="0" fontId="4" fillId="0" borderId="39" xfId="1" applyFont="1" applyBorder="1"/>
    <xf numFmtId="0" fontId="5" fillId="0" borderId="39" xfId="1" applyBorder="1"/>
    <xf numFmtId="0" fontId="5" fillId="0" borderId="49" xfId="1" applyBorder="1" applyAlignment="1">
      <alignment wrapText="1"/>
    </xf>
    <xf numFmtId="0" fontId="4" fillId="0" borderId="48" xfId="1" applyFont="1" applyBorder="1" applyAlignment="1">
      <alignment wrapText="1"/>
    </xf>
    <xf numFmtId="0" fontId="4" fillId="2" borderId="39" xfId="1" applyFont="1" applyFill="1" applyBorder="1" applyAlignment="1">
      <alignment wrapText="1"/>
    </xf>
    <xf numFmtId="0" fontId="4" fillId="0" borderId="39" xfId="1" applyFont="1" applyBorder="1" applyAlignment="1">
      <alignment wrapText="1"/>
    </xf>
    <xf numFmtId="0" fontId="4" fillId="0" borderId="40" xfId="1" applyFont="1" applyBorder="1" applyAlignment="1">
      <alignment wrapText="1"/>
    </xf>
    <xf numFmtId="0" fontId="4" fillId="0" borderId="40" xfId="1" applyFont="1" applyFill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47" xfId="0" applyBorder="1"/>
    <xf numFmtId="0" fontId="0" fillId="0" borderId="39" xfId="0" applyFill="1" applyBorder="1"/>
    <xf numFmtId="0" fontId="5" fillId="0" borderId="39" xfId="1" applyFill="1" applyBorder="1"/>
    <xf numFmtId="0" fontId="5" fillId="0" borderId="49" xfId="1" applyFill="1" applyBorder="1"/>
    <xf numFmtId="10" fontId="0" fillId="0" borderId="48" xfId="0" applyNumberFormat="1" applyFill="1" applyBorder="1"/>
    <xf numFmtId="10" fontId="5" fillId="2" borderId="39" xfId="3" applyNumberFormat="1" applyFont="1" applyFill="1" applyBorder="1"/>
    <xf numFmtId="167" fontId="0" fillId="2" borderId="39" xfId="3" applyNumberFormat="1" applyFont="1" applyFill="1" applyBorder="1"/>
    <xf numFmtId="10" fontId="0" fillId="0" borderId="39" xfId="0" applyNumberFormat="1" applyFill="1" applyBorder="1"/>
    <xf numFmtId="0" fontId="0" fillId="0" borderId="47" xfId="0" applyFill="1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7" xfId="0" applyNumberFormat="1" applyBorder="1" applyAlignment="1">
      <alignment horizontal="left"/>
    </xf>
    <xf numFmtId="14" fontId="0" fillId="0" borderId="47" xfId="0" applyNumberFormat="1" applyBorder="1"/>
    <xf numFmtId="10" fontId="20" fillId="9" borderId="15" xfId="1" applyNumberFormat="1" applyFont="1" applyFill="1" applyBorder="1"/>
    <xf numFmtId="10" fontId="20" fillId="9" borderId="22" xfId="1" applyNumberFormat="1" applyFont="1" applyFill="1" applyBorder="1"/>
    <xf numFmtId="0" fontId="0" fillId="9" borderId="0" xfId="0" applyFill="1"/>
    <xf numFmtId="10" fontId="0" fillId="3" borderId="37" xfId="0" applyNumberFormat="1" applyFill="1" applyBorder="1"/>
    <xf numFmtId="0" fontId="0" fillId="9" borderId="33" xfId="0" applyFill="1" applyBorder="1"/>
    <xf numFmtId="0" fontId="5" fillId="9" borderId="33" xfId="1" applyFill="1" applyBorder="1"/>
    <xf numFmtId="0" fontId="5" fillId="9" borderId="30" xfId="1" applyFill="1" applyBorder="1"/>
    <xf numFmtId="10" fontId="0" fillId="9" borderId="25" xfId="0" applyNumberFormat="1" applyFill="1" applyBorder="1"/>
    <xf numFmtId="10" fontId="5" fillId="9" borderId="33" xfId="3" applyNumberFormat="1" applyFont="1" applyFill="1" applyBorder="1"/>
    <xf numFmtId="10" fontId="0" fillId="9" borderId="15" xfId="3" applyNumberFormat="1" applyFont="1" applyFill="1" applyBorder="1"/>
    <xf numFmtId="166" fontId="0" fillId="9" borderId="20" xfId="0" applyNumberFormat="1" applyFill="1" applyBorder="1"/>
    <xf numFmtId="167" fontId="0" fillId="9" borderId="33" xfId="3" applyNumberFormat="1" applyFont="1" applyFill="1" applyBorder="1"/>
    <xf numFmtId="10" fontId="0" fillId="9" borderId="33" xfId="0" applyNumberFormat="1" applyFill="1" applyBorder="1"/>
    <xf numFmtId="10" fontId="0" fillId="9" borderId="0" xfId="0" applyNumberFormat="1" applyFill="1"/>
    <xf numFmtId="0" fontId="0" fillId="9" borderId="0" xfId="0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NumberFormat="1" applyFill="1" applyAlignment="1">
      <alignment horizontal="left"/>
    </xf>
    <xf numFmtId="166" fontId="0" fillId="5" borderId="20" xfId="0" applyNumberFormat="1" applyFill="1" applyBorder="1"/>
    <xf numFmtId="10" fontId="0" fillId="5" borderId="25" xfId="0" applyNumberFormat="1" applyFill="1" applyBorder="1"/>
    <xf numFmtId="10" fontId="0" fillId="5" borderId="33" xfId="0" applyNumberFormat="1" applyFill="1" applyBorder="1"/>
    <xf numFmtId="10" fontId="0" fillId="5" borderId="0" xfId="0" applyNumberFormat="1" applyFill="1"/>
    <xf numFmtId="10" fontId="0" fillId="2" borderId="37" xfId="3" applyNumberFormat="1" applyFont="1" applyFill="1" applyBorder="1"/>
    <xf numFmtId="166" fontId="0" fillId="5" borderId="42" xfId="0" applyNumberFormat="1" applyFill="1" applyBorder="1"/>
    <xf numFmtId="10" fontId="0" fillId="2" borderId="39" xfId="3" applyNumberFormat="1" applyFont="1" applyFill="1" applyBorder="1"/>
    <xf numFmtId="166" fontId="0" fillId="5" borderId="40" xfId="0" applyNumberFormat="1" applyFill="1" applyBorder="1"/>
    <xf numFmtId="10" fontId="0" fillId="5" borderId="0" xfId="0" applyNumberFormat="1" applyFill="1" applyBorder="1"/>
    <xf numFmtId="0" fontId="0" fillId="0" borderId="10" xfId="0" applyBorder="1"/>
    <xf numFmtId="166" fontId="0" fillId="5" borderId="23" xfId="0" applyNumberFormat="1" applyFill="1" applyBorder="1"/>
    <xf numFmtId="0" fontId="0" fillId="9" borderId="0" xfId="0" applyNumberFormat="1" applyFill="1" applyBorder="1" applyAlignment="1">
      <alignment horizontal="left"/>
    </xf>
    <xf numFmtId="0" fontId="0" fillId="10" borderId="24" xfId="0" applyFill="1" applyBorder="1"/>
    <xf numFmtId="0" fontId="0" fillId="10" borderId="36" xfId="0" applyFill="1" applyBorder="1"/>
    <xf numFmtId="0" fontId="5" fillId="10" borderId="36" xfId="1" applyFill="1" applyBorder="1"/>
    <xf numFmtId="10" fontId="0" fillId="10" borderId="36" xfId="0" applyNumberFormat="1" applyFill="1" applyBorder="1"/>
    <xf numFmtId="10" fontId="5" fillId="10" borderId="36" xfId="3" applyNumberFormat="1" applyFont="1" applyFill="1" applyBorder="1"/>
    <xf numFmtId="10" fontId="0" fillId="10" borderId="36" xfId="3" applyNumberFormat="1" applyFont="1" applyFill="1" applyBorder="1"/>
    <xf numFmtId="166" fontId="0" fillId="10" borderId="36" xfId="0" applyNumberFormat="1" applyFill="1" applyBorder="1"/>
    <xf numFmtId="167" fontId="0" fillId="10" borderId="36" xfId="3" applyNumberFormat="1" applyFont="1" applyFill="1" applyBorder="1"/>
    <xf numFmtId="10" fontId="0" fillId="10" borderId="50" xfId="0" applyNumberFormat="1" applyFill="1" applyBorder="1"/>
    <xf numFmtId="10" fontId="0" fillId="10" borderId="6" xfId="0" applyNumberFormat="1" applyFill="1" applyBorder="1"/>
    <xf numFmtId="0" fontId="0" fillId="10" borderId="6" xfId="0" applyFill="1" applyBorder="1"/>
    <xf numFmtId="0" fontId="0" fillId="10" borderId="6" xfId="0" applyFill="1" applyBorder="1" applyAlignment="1">
      <alignment horizontal="left"/>
    </xf>
    <xf numFmtId="0" fontId="0" fillId="10" borderId="6" xfId="0" applyNumberFormat="1" applyFill="1" applyBorder="1" applyAlignment="1">
      <alignment horizontal="left"/>
    </xf>
    <xf numFmtId="0" fontId="0" fillId="10" borderId="50" xfId="0" applyFill="1" applyBorder="1"/>
    <xf numFmtId="0" fontId="0" fillId="10" borderId="7" xfId="0" applyFill="1" applyBorder="1"/>
    <xf numFmtId="0" fontId="0" fillId="10" borderId="0" xfId="0" applyFill="1" applyBorder="1"/>
    <xf numFmtId="0" fontId="16" fillId="0" borderId="8" xfId="0" applyFont="1" applyBorder="1"/>
    <xf numFmtId="0" fontId="16" fillId="0" borderId="33" xfId="0" applyFont="1" applyFill="1" applyBorder="1"/>
    <xf numFmtId="0" fontId="21" fillId="0" borderId="33" xfId="1" applyFont="1" applyFill="1" applyBorder="1"/>
    <xf numFmtId="0" fontId="21" fillId="0" borderId="30" xfId="1" applyFont="1" applyFill="1" applyBorder="1"/>
    <xf numFmtId="10" fontId="16" fillId="0" borderId="25" xfId="0" applyNumberFormat="1" applyFont="1" applyFill="1" applyBorder="1"/>
    <xf numFmtId="10" fontId="21" fillId="2" borderId="33" xfId="3" applyNumberFormat="1" applyFont="1" applyFill="1" applyBorder="1"/>
    <xf numFmtId="10" fontId="16" fillId="2" borderId="15" xfId="3" applyNumberFormat="1" applyFont="1" applyFill="1" applyBorder="1"/>
    <xf numFmtId="166" fontId="16" fillId="5" borderId="20" xfId="0" applyNumberFormat="1" applyFont="1" applyFill="1" applyBorder="1"/>
    <xf numFmtId="10" fontId="16" fillId="5" borderId="25" xfId="0" applyNumberFormat="1" applyFont="1" applyFill="1" applyBorder="1"/>
    <xf numFmtId="167" fontId="16" fillId="2" borderId="33" xfId="3" applyNumberFormat="1" applyFont="1" applyFill="1" applyBorder="1"/>
    <xf numFmtId="10" fontId="16" fillId="5" borderId="33" xfId="0" applyNumberFormat="1" applyFont="1" applyFill="1" applyBorder="1"/>
    <xf numFmtId="10" fontId="16" fillId="5" borderId="0" xfId="0" applyNumberFormat="1" applyFont="1" applyFill="1" applyBorder="1"/>
    <xf numFmtId="0" fontId="16" fillId="0" borderId="0" xfId="0" applyFont="1" applyBorder="1"/>
    <xf numFmtId="0" fontId="16" fillId="9" borderId="0" xfId="0" applyFont="1" applyFill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9" borderId="0" xfId="0" applyNumberFormat="1" applyFont="1" applyFill="1" applyBorder="1" applyAlignment="1">
      <alignment horizontal="left"/>
    </xf>
    <xf numFmtId="14" fontId="0" fillId="0" borderId="0" xfId="0" applyNumberFormat="1"/>
    <xf numFmtId="10" fontId="5" fillId="2" borderId="0" xfId="3" applyNumberFormat="1" applyFont="1" applyFill="1" applyBorder="1"/>
    <xf numFmtId="10" fontId="0" fillId="2" borderId="0" xfId="3" applyNumberFormat="1" applyFont="1" applyFill="1" applyBorder="1"/>
    <xf numFmtId="166" fontId="0" fillId="5" borderId="0" xfId="0" applyNumberFormat="1" applyFill="1" applyBorder="1"/>
    <xf numFmtId="167" fontId="0" fillId="2" borderId="0" xfId="3" applyNumberFormat="1" applyFont="1" applyFill="1" applyBorder="1"/>
    <xf numFmtId="14" fontId="16" fillId="0" borderId="8" xfId="0" applyNumberFormat="1" applyFont="1" applyBorder="1"/>
    <xf numFmtId="0" fontId="0" fillId="0" borderId="51" xfId="0" applyBorder="1"/>
    <xf numFmtId="0" fontId="0" fillId="0" borderId="22" xfId="0" applyFill="1" applyBorder="1"/>
    <xf numFmtId="0" fontId="5" fillId="0" borderId="52" xfId="1" applyFill="1" applyBorder="1"/>
    <xf numFmtId="10" fontId="0" fillId="0" borderId="21" xfId="0" applyNumberFormat="1" applyFill="1" applyBorder="1"/>
    <xf numFmtId="10" fontId="0" fillId="5" borderId="21" xfId="0" applyNumberFormat="1" applyFill="1" applyBorder="1"/>
    <xf numFmtId="10" fontId="0" fillId="5" borderId="22" xfId="0" applyNumberFormat="1" applyFill="1" applyBorder="1"/>
    <xf numFmtId="10" fontId="0" fillId="5" borderId="51" xfId="0" applyNumberFormat="1" applyFill="1" applyBorder="1"/>
    <xf numFmtId="0" fontId="0" fillId="9" borderId="51" xfId="0" applyFill="1" applyBorder="1" applyAlignment="1">
      <alignment horizontal="left"/>
    </xf>
    <xf numFmtId="0" fontId="0" fillId="0" borderId="51" xfId="0" applyBorder="1" applyAlignment="1">
      <alignment horizontal="left"/>
    </xf>
    <xf numFmtId="0" fontId="0" fillId="9" borderId="51" xfId="0" applyNumberFormat="1" applyFill="1" applyBorder="1" applyAlignment="1">
      <alignment horizontal="left"/>
    </xf>
    <xf numFmtId="0" fontId="0" fillId="11" borderId="8" xfId="0" applyFont="1" applyFill="1" applyBorder="1"/>
    <xf numFmtId="0" fontId="22" fillId="0" borderId="8" xfId="0" applyFont="1" applyBorder="1"/>
    <xf numFmtId="0" fontId="22" fillId="0" borderId="33" xfId="0" applyFont="1" applyFill="1" applyBorder="1"/>
    <xf numFmtId="0" fontId="23" fillId="0" borderId="33" xfId="1" applyFont="1" applyFill="1" applyBorder="1"/>
    <xf numFmtId="0" fontId="23" fillId="0" borderId="30" xfId="1" applyFont="1" applyFill="1" applyBorder="1"/>
    <xf numFmtId="10" fontId="22" fillId="0" borderId="25" xfId="0" applyNumberFormat="1" applyFont="1" applyFill="1" applyBorder="1"/>
    <xf numFmtId="10" fontId="23" fillId="2" borderId="33" xfId="3" applyNumberFormat="1" applyFont="1" applyFill="1" applyBorder="1"/>
    <xf numFmtId="10" fontId="22" fillId="2" borderId="15" xfId="3" applyNumberFormat="1" applyFont="1" applyFill="1" applyBorder="1"/>
    <xf numFmtId="166" fontId="22" fillId="5" borderId="20" xfId="0" applyNumberFormat="1" applyFont="1" applyFill="1" applyBorder="1"/>
    <xf numFmtId="10" fontId="22" fillId="5" borderId="25" xfId="0" applyNumberFormat="1" applyFont="1" applyFill="1" applyBorder="1"/>
    <xf numFmtId="167" fontId="22" fillId="2" borderId="33" xfId="3" applyNumberFormat="1" applyFont="1" applyFill="1" applyBorder="1"/>
    <xf numFmtId="10" fontId="22" fillId="5" borderId="33" xfId="0" applyNumberFormat="1" applyFont="1" applyFill="1" applyBorder="1"/>
    <xf numFmtId="10" fontId="22" fillId="5" borderId="0" xfId="0" applyNumberFormat="1" applyFont="1" applyFill="1" applyBorder="1"/>
    <xf numFmtId="0" fontId="22" fillId="0" borderId="0" xfId="0" applyFont="1" applyBorder="1"/>
    <xf numFmtId="0" fontId="22" fillId="9" borderId="0" xfId="0" applyFont="1" applyFill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9" borderId="0" xfId="0" applyNumberFormat="1" applyFont="1" applyFill="1" applyBorder="1" applyAlignment="1">
      <alignment horizontal="left"/>
    </xf>
    <xf numFmtId="0" fontId="22" fillId="0" borderId="10" xfId="0" applyFont="1" applyBorder="1"/>
    <xf numFmtId="0" fontId="22" fillId="0" borderId="0" xfId="0" applyFont="1"/>
    <xf numFmtId="166" fontId="0" fillId="5" borderId="20" xfId="0" applyNumberFormat="1" applyFont="1" applyFill="1" applyBorder="1"/>
    <xf numFmtId="10" fontId="0" fillId="5" borderId="25" xfId="0" applyNumberFormat="1" applyFont="1" applyFill="1" applyBorder="1"/>
    <xf numFmtId="10" fontId="0" fillId="5" borderId="33" xfId="0" applyNumberFormat="1" applyFont="1" applyFill="1" applyBorder="1"/>
    <xf numFmtId="10" fontId="0" fillId="5" borderId="0" xfId="0" applyNumberFormat="1" applyFont="1" applyFill="1" applyBorder="1"/>
    <xf numFmtId="0" fontId="0" fillId="12" borderId="8" xfId="0" applyFont="1" applyFill="1" applyBorder="1"/>
    <xf numFmtId="0" fontId="0" fillId="12" borderId="33" xfId="0" applyFont="1" applyFill="1" applyBorder="1"/>
    <xf numFmtId="0" fontId="23" fillId="12" borderId="33" xfId="1" applyFont="1" applyFill="1" applyBorder="1"/>
    <xf numFmtId="0" fontId="23" fillId="12" borderId="30" xfId="1" applyFont="1" applyFill="1" applyBorder="1"/>
    <xf numFmtId="10" fontId="0" fillId="12" borderId="25" xfId="0" applyNumberFormat="1" applyFont="1" applyFill="1" applyBorder="1"/>
    <xf numFmtId="10" fontId="5" fillId="12" borderId="33" xfId="3" applyNumberFormat="1" applyFont="1" applyFill="1" applyBorder="1"/>
    <xf numFmtId="10" fontId="0" fillId="12" borderId="15" xfId="3" applyNumberFormat="1" applyFont="1" applyFill="1" applyBorder="1"/>
    <xf numFmtId="166" fontId="0" fillId="12" borderId="20" xfId="0" applyNumberFormat="1" applyFont="1" applyFill="1" applyBorder="1"/>
    <xf numFmtId="167" fontId="0" fillId="12" borderId="33" xfId="3" applyNumberFormat="1" applyFont="1" applyFill="1" applyBorder="1"/>
    <xf numFmtId="10" fontId="0" fillId="12" borderId="33" xfId="0" applyNumberFormat="1" applyFont="1" applyFill="1" applyBorder="1"/>
    <xf numFmtId="10" fontId="0" fillId="12" borderId="0" xfId="0" applyNumberFormat="1" applyFont="1" applyFill="1" applyBorder="1"/>
    <xf numFmtId="0" fontId="0" fillId="12" borderId="0" xfId="0" applyFont="1" applyFill="1" applyBorder="1"/>
    <xf numFmtId="0" fontId="0" fillId="12" borderId="0" xfId="0" applyFont="1" applyFill="1" applyBorder="1" applyAlignment="1">
      <alignment horizontal="left"/>
    </xf>
    <xf numFmtId="0" fontId="0" fillId="12" borderId="0" xfId="0" applyNumberFormat="1" applyFont="1" applyFill="1" applyBorder="1" applyAlignment="1">
      <alignment horizontal="left"/>
    </xf>
    <xf numFmtId="0" fontId="0" fillId="12" borderId="10" xfId="0" applyFont="1" applyFill="1" applyBorder="1"/>
    <xf numFmtId="0" fontId="0" fillId="12" borderId="0" xfId="0" applyFont="1" applyFill="1"/>
    <xf numFmtId="0" fontId="0" fillId="5" borderId="33" xfId="0" applyFont="1" applyFill="1" applyBorder="1"/>
    <xf numFmtId="0" fontId="23" fillId="5" borderId="33" xfId="1" applyFont="1" applyFill="1" applyBorder="1"/>
    <xf numFmtId="0" fontId="23" fillId="5" borderId="30" xfId="1" applyFont="1" applyFill="1" applyBorder="1"/>
    <xf numFmtId="10" fontId="5" fillId="5" borderId="33" xfId="3" applyNumberFormat="1" applyFont="1" applyFill="1" applyBorder="1"/>
    <xf numFmtId="10" fontId="0" fillId="5" borderId="15" xfId="3" applyNumberFormat="1" applyFont="1" applyFill="1" applyBorder="1"/>
    <xf numFmtId="167" fontId="0" fillId="5" borderId="33" xfId="3" applyNumberFormat="1" applyFont="1" applyFill="1" applyBorder="1"/>
    <xf numFmtId="0" fontId="0" fillId="5" borderId="0" xfId="0" applyFont="1" applyFill="1" applyBorder="1"/>
    <xf numFmtId="0" fontId="0" fillId="5" borderId="0" xfId="0" applyFont="1" applyFill="1" applyBorder="1" applyAlignment="1">
      <alignment horizontal="left"/>
    </xf>
    <xf numFmtId="0" fontId="0" fillId="5" borderId="0" xfId="0" applyNumberFormat="1" applyFont="1" applyFill="1" applyBorder="1" applyAlignment="1">
      <alignment horizontal="left"/>
    </xf>
    <xf numFmtId="0" fontId="0" fillId="5" borderId="10" xfId="0" applyFont="1" applyFill="1" applyBorder="1"/>
    <xf numFmtId="0" fontId="0" fillId="5" borderId="0" xfId="0" applyFont="1" applyFill="1"/>
    <xf numFmtId="14" fontId="0" fillId="5" borderId="8" xfId="0" applyNumberFormat="1" applyFont="1" applyFill="1" applyBorder="1"/>
    <xf numFmtId="0" fontId="0" fillId="5" borderId="33" xfId="0" applyFill="1" applyBorder="1"/>
    <xf numFmtId="14" fontId="0" fillId="0" borderId="8" xfId="0" applyNumberFormat="1" applyBorder="1"/>
    <xf numFmtId="0" fontId="0" fillId="13" borderId="0" xfId="0" applyFill="1"/>
    <xf numFmtId="0" fontId="0" fillId="13" borderId="33" xfId="0" applyFill="1" applyBorder="1"/>
    <xf numFmtId="0" fontId="5" fillId="13" borderId="33" xfId="1" applyFill="1" applyBorder="1"/>
    <xf numFmtId="0" fontId="5" fillId="13" borderId="30" xfId="1" applyFill="1" applyBorder="1"/>
    <xf numFmtId="10" fontId="0" fillId="13" borderId="25" xfId="0" applyNumberFormat="1" applyFill="1" applyBorder="1"/>
    <xf numFmtId="10" fontId="5" fillId="13" borderId="33" xfId="3" applyNumberFormat="1" applyFont="1" applyFill="1" applyBorder="1"/>
    <xf numFmtId="10" fontId="0" fillId="13" borderId="15" xfId="3" applyNumberFormat="1" applyFont="1" applyFill="1" applyBorder="1"/>
    <xf numFmtId="166" fontId="0" fillId="13" borderId="20" xfId="0" applyNumberFormat="1" applyFill="1" applyBorder="1"/>
    <xf numFmtId="167" fontId="0" fillId="13" borderId="33" xfId="3" applyNumberFormat="1" applyFont="1" applyFill="1" applyBorder="1"/>
    <xf numFmtId="10" fontId="0" fillId="13" borderId="33" xfId="0" applyNumberFormat="1" applyFill="1" applyBorder="1"/>
    <xf numFmtId="10" fontId="0" fillId="13" borderId="0" xfId="0" applyNumberFormat="1" applyFill="1" applyBorder="1"/>
    <xf numFmtId="0" fontId="0" fillId="13" borderId="0" xfId="0" applyFill="1" applyBorder="1"/>
    <xf numFmtId="0" fontId="0" fillId="13" borderId="0" xfId="0" applyFill="1" applyBorder="1" applyAlignment="1">
      <alignment horizontal="left"/>
    </xf>
    <xf numFmtId="0" fontId="0" fillId="13" borderId="0" xfId="0" applyNumberFormat="1" applyFill="1" applyBorder="1" applyAlignment="1">
      <alignment horizontal="left"/>
    </xf>
    <xf numFmtId="0" fontId="0" fillId="13" borderId="10" xfId="0" applyFill="1" applyBorder="1"/>
    <xf numFmtId="2" fontId="0" fillId="0" borderId="0" xfId="0" applyNumberFormat="1"/>
    <xf numFmtId="2" fontId="4" fillId="0" borderId="17" xfId="1" applyNumberFormat="1" applyFont="1" applyBorder="1" applyAlignment="1">
      <alignment wrapText="1"/>
    </xf>
    <xf numFmtId="2" fontId="5" fillId="0" borderId="15" xfId="1" applyNumberFormat="1" applyBorder="1"/>
    <xf numFmtId="2" fontId="5" fillId="0" borderId="22" xfId="1" applyNumberFormat="1" applyBorder="1"/>
    <xf numFmtId="2" fontId="5" fillId="0" borderId="33" xfId="1" applyNumberFormat="1" applyFill="1" applyBorder="1"/>
    <xf numFmtId="2" fontId="5" fillId="0" borderId="39" xfId="1" applyNumberFormat="1" applyFill="1" applyBorder="1"/>
    <xf numFmtId="2" fontId="4" fillId="0" borderId="39" xfId="1" applyNumberFormat="1" applyFont="1" applyBorder="1" applyAlignment="1">
      <alignment wrapText="1"/>
    </xf>
    <xf numFmtId="2" fontId="5" fillId="9" borderId="33" xfId="1" applyNumberFormat="1" applyFill="1" applyBorder="1"/>
    <xf numFmtId="2" fontId="5" fillId="5" borderId="33" xfId="1" applyNumberFormat="1" applyFill="1" applyBorder="1"/>
    <xf numFmtId="2" fontId="5" fillId="10" borderId="36" xfId="1" applyNumberFormat="1" applyFill="1" applyBorder="1"/>
    <xf numFmtId="2" fontId="21" fillId="5" borderId="33" xfId="1" applyNumberFormat="1" applyFont="1" applyFill="1" applyBorder="1"/>
    <xf numFmtId="2" fontId="5" fillId="5" borderId="22" xfId="1" applyNumberFormat="1" applyFill="1" applyBorder="1"/>
    <xf numFmtId="2" fontId="5" fillId="5" borderId="0" xfId="1" applyNumberFormat="1" applyFill="1" applyBorder="1"/>
    <xf numFmtId="2" fontId="23" fillId="5" borderId="33" xfId="1" applyNumberFormat="1" applyFont="1" applyFill="1" applyBorder="1"/>
    <xf numFmtId="2" fontId="5" fillId="12" borderId="33" xfId="1" applyNumberFormat="1" applyFont="1" applyFill="1" applyBorder="1"/>
    <xf numFmtId="2" fontId="5" fillId="5" borderId="33" xfId="1" applyNumberFormat="1" applyFont="1" applyFill="1" applyBorder="1"/>
    <xf numFmtId="2" fontId="5" fillId="13" borderId="33" xfId="1" applyNumberFormat="1" applyFill="1" applyBorder="1"/>
    <xf numFmtId="0" fontId="0" fillId="4" borderId="8" xfId="0" applyFill="1" applyBorder="1"/>
    <xf numFmtId="0" fontId="0" fillId="4" borderId="33" xfId="0" applyFill="1" applyBorder="1"/>
    <xf numFmtId="0" fontId="5" fillId="4" borderId="33" xfId="1" applyFill="1" applyBorder="1"/>
    <xf numFmtId="0" fontId="5" fillId="4" borderId="30" xfId="1" applyFill="1" applyBorder="1"/>
    <xf numFmtId="10" fontId="0" fillId="4" borderId="25" xfId="0" applyNumberFormat="1" applyFill="1" applyBorder="1"/>
    <xf numFmtId="10" fontId="5" fillId="4" borderId="33" xfId="3" applyNumberFormat="1" applyFont="1" applyFill="1" applyBorder="1"/>
    <xf numFmtId="2" fontId="5" fillId="4" borderId="33" xfId="1" applyNumberFormat="1" applyFill="1" applyBorder="1"/>
    <xf numFmtId="10" fontId="0" fillId="4" borderId="15" xfId="3" applyNumberFormat="1" applyFont="1" applyFill="1" applyBorder="1"/>
    <xf numFmtId="166" fontId="0" fillId="4" borderId="20" xfId="0" applyNumberFormat="1" applyFill="1" applyBorder="1"/>
    <xf numFmtId="167" fontId="0" fillId="4" borderId="33" xfId="3" applyNumberFormat="1" applyFont="1" applyFill="1" applyBorder="1"/>
    <xf numFmtId="10" fontId="0" fillId="4" borderId="33" xfId="0" applyNumberFormat="1" applyFill="1" applyBorder="1"/>
    <xf numFmtId="10" fontId="0" fillId="4" borderId="0" xfId="0" applyNumberFormat="1" applyFill="1" applyBorder="1"/>
    <xf numFmtId="0" fontId="0" fillId="4" borderId="0" xfId="0" applyFill="1" applyBorder="1"/>
    <xf numFmtId="0" fontId="0" fillId="4" borderId="0" xfId="0" applyFill="1" applyBorder="1" applyAlignment="1">
      <alignment horizontal="left"/>
    </xf>
    <xf numFmtId="0" fontId="0" fillId="4" borderId="0" xfId="0" applyNumberFormat="1" applyFill="1" applyBorder="1" applyAlignment="1">
      <alignment horizontal="left"/>
    </xf>
    <xf numFmtId="0" fontId="0" fillId="4" borderId="10" xfId="0" applyFill="1" applyBorder="1"/>
    <xf numFmtId="0" fontId="0" fillId="4" borderId="0" xfId="0" applyFill="1"/>
    <xf numFmtId="10" fontId="0" fillId="9" borderId="0" xfId="0" applyNumberFormat="1" applyFill="1" applyBorder="1"/>
    <xf numFmtId="0" fontId="0" fillId="9" borderId="0" xfId="0" applyFill="1" applyBorder="1"/>
    <xf numFmtId="0" fontId="0" fillId="9" borderId="10" xfId="0" applyFill="1" applyBorder="1"/>
    <xf numFmtId="0" fontId="0" fillId="5" borderId="0" xfId="0" applyFill="1"/>
    <xf numFmtId="0" fontId="5" fillId="5" borderId="33" xfId="1" applyFill="1" applyBorder="1"/>
    <xf numFmtId="0" fontId="5" fillId="5" borderId="30" xfId="1" applyFill="1" applyBorder="1"/>
    <xf numFmtId="2" fontId="5" fillId="5" borderId="53" xfId="1" applyNumberFormat="1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5" borderId="10" xfId="0" applyFill="1" applyBorder="1"/>
    <xf numFmtId="10" fontId="0" fillId="9" borderId="0" xfId="0" applyNumberFormat="1" applyFont="1" applyFill="1"/>
    <xf numFmtId="10" fontId="0" fillId="13" borderId="0" xfId="0" applyNumberFormat="1" applyFill="1"/>
    <xf numFmtId="0" fontId="0" fillId="11" borderId="0" xfId="0" applyNumberFormat="1" applyFill="1" applyBorder="1" applyAlignment="1">
      <alignment horizontal="left"/>
    </xf>
    <xf numFmtId="0" fontId="0" fillId="11" borderId="0" xfId="0" applyFill="1" applyBorder="1" applyAlignment="1">
      <alignment horizontal="left"/>
    </xf>
    <xf numFmtId="0" fontId="0" fillId="14" borderId="15" xfId="0" applyFont="1" applyFill="1" applyBorder="1"/>
    <xf numFmtId="10" fontId="0" fillId="14" borderId="15" xfId="0" applyNumberFormat="1" applyFont="1" applyFill="1" applyBorder="1"/>
    <xf numFmtId="10" fontId="20" fillId="14" borderId="15" xfId="0" applyNumberFormat="1" applyFont="1" applyFill="1" applyBorder="1"/>
    <xf numFmtId="10" fontId="0" fillId="14" borderId="15" xfId="0" applyNumberFormat="1" applyFont="1" applyFill="1" applyBorder="1" applyAlignment="1">
      <alignment horizontal="right"/>
    </xf>
    <xf numFmtId="0" fontId="0" fillId="14" borderId="20" xfId="0" applyFont="1" applyFill="1" applyBorder="1" applyAlignment="1">
      <alignment horizontal="right"/>
    </xf>
    <xf numFmtId="10" fontId="0" fillId="14" borderId="0" xfId="0" applyNumberFormat="1" applyFont="1" applyFill="1" applyBorder="1"/>
    <xf numFmtId="0" fontId="0" fillId="14" borderId="9" xfId="0" applyFont="1" applyFill="1" applyBorder="1"/>
    <xf numFmtId="0" fontId="0" fillId="14" borderId="0" xfId="0" applyFont="1" applyFill="1"/>
    <xf numFmtId="10" fontId="0" fillId="14" borderId="0" xfId="0" applyNumberFormat="1" applyFont="1" applyFill="1"/>
    <xf numFmtId="0" fontId="0" fillId="14" borderId="0" xfId="0" applyNumberFormat="1" applyFont="1" applyFill="1"/>
    <xf numFmtId="166" fontId="0" fillId="14" borderId="0" xfId="0" applyNumberFormat="1" applyFont="1" applyFill="1" applyBorder="1"/>
    <xf numFmtId="0" fontId="0" fillId="15" borderId="19" xfId="0" applyFont="1" applyFill="1" applyBorder="1"/>
    <xf numFmtId="0" fontId="0" fillId="15" borderId="15" xfId="0" applyFont="1" applyFill="1" applyBorder="1"/>
    <xf numFmtId="0" fontId="0" fillId="15" borderId="0" xfId="0" applyFont="1" applyFill="1" applyBorder="1"/>
    <xf numFmtId="10" fontId="0" fillId="15" borderId="15" xfId="0" applyNumberFormat="1" applyFont="1" applyFill="1" applyBorder="1"/>
    <xf numFmtId="0" fontId="0" fillId="15" borderId="15" xfId="0" applyFont="1" applyFill="1" applyBorder="1" applyAlignment="1">
      <alignment horizontal="right"/>
    </xf>
    <xf numFmtId="0" fontId="0" fillId="15" borderId="20" xfId="0" applyFont="1" applyFill="1" applyBorder="1"/>
    <xf numFmtId="10" fontId="16" fillId="15" borderId="0" xfId="0" applyNumberFormat="1" applyFont="1" applyFill="1" applyBorder="1" applyAlignment="1">
      <alignment horizontal="center" wrapText="1"/>
    </xf>
    <xf numFmtId="0" fontId="0" fillId="15" borderId="8" xfId="0" applyFont="1" applyFill="1" applyBorder="1"/>
    <xf numFmtId="0" fontId="0" fillId="15" borderId="10" xfId="0" applyFont="1" applyFill="1" applyBorder="1"/>
    <xf numFmtId="10" fontId="0" fillId="15" borderId="0" xfId="0" applyNumberFormat="1" applyFont="1" applyFill="1" applyBorder="1"/>
    <xf numFmtId="0" fontId="0" fillId="15" borderId="0" xfId="0" applyFont="1" applyFill="1"/>
    <xf numFmtId="10" fontId="0" fillId="15" borderId="0" xfId="0" applyNumberFormat="1" applyFont="1" applyFill="1"/>
    <xf numFmtId="0" fontId="20" fillId="15" borderId="19" xfId="1" applyFont="1" applyFill="1" applyBorder="1"/>
    <xf numFmtId="0" fontId="20" fillId="15" borderId="15" xfId="1" applyFont="1" applyFill="1" applyBorder="1"/>
    <xf numFmtId="10" fontId="20" fillId="15" borderId="15" xfId="1" applyNumberFormat="1" applyFont="1" applyFill="1" applyBorder="1"/>
    <xf numFmtId="0" fontId="20" fillId="15" borderId="0" xfId="1" applyFont="1" applyFill="1" applyBorder="1" applyAlignment="1">
      <alignment horizontal="center" wrapText="1"/>
    </xf>
    <xf numFmtId="0" fontId="16" fillId="15" borderId="10" xfId="0" applyFont="1" applyFill="1" applyBorder="1"/>
    <xf numFmtId="10" fontId="20" fillId="15" borderId="15" xfId="0" applyNumberFormat="1" applyFont="1" applyFill="1" applyBorder="1"/>
    <xf numFmtId="0" fontId="20" fillId="15" borderId="0" xfId="0" applyFont="1" applyFill="1" applyBorder="1"/>
    <xf numFmtId="0" fontId="0" fillId="15" borderId="9" xfId="0" applyFont="1" applyFill="1" applyBorder="1"/>
    <xf numFmtId="0" fontId="0" fillId="15" borderId="0" xfId="0" applyNumberFormat="1" applyFont="1" applyFill="1"/>
    <xf numFmtId="10" fontId="24" fillId="9" borderId="0" xfId="0" applyNumberFormat="1" applyFont="1" applyFill="1"/>
    <xf numFmtId="0" fontId="24" fillId="9" borderId="0" xfId="0" quotePrefix="1" applyFont="1" applyFill="1"/>
    <xf numFmtId="10" fontId="0" fillId="11" borderId="0" xfId="0" applyNumberFormat="1" applyFill="1"/>
    <xf numFmtId="0" fontId="0" fillId="11" borderId="0" xfId="0" applyFill="1"/>
    <xf numFmtId="0" fontId="24" fillId="9" borderId="0" xfId="0" applyFont="1" applyFill="1"/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5" xfId="0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0" borderId="8" xfId="1" applyFont="1" applyFill="1" applyBorder="1" applyAlignment="1">
      <alignment horizontal="center" wrapText="1"/>
    </xf>
    <xf numFmtId="0" fontId="5" fillId="0" borderId="8" xfId="1" applyFill="1" applyBorder="1" applyAlignment="1">
      <alignment horizontal="center" wrapText="1"/>
    </xf>
    <xf numFmtId="10" fontId="0" fillId="0" borderId="0" xfId="0" applyNumberForma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0" fontId="16" fillId="0" borderId="8" xfId="0" applyNumberFormat="1" applyFont="1" applyBorder="1" applyAlignment="1">
      <alignment horizontal="center" wrapText="1"/>
    </xf>
    <xf numFmtId="10" fontId="17" fillId="0" borderId="8" xfId="0" applyNumberFormat="1" applyFont="1" applyBorder="1" applyAlignment="1">
      <alignment horizontal="center" wrapText="1"/>
    </xf>
    <xf numFmtId="0" fontId="4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3" fillId="7" borderId="22" xfId="0" applyFont="1" applyFill="1" applyBorder="1" applyAlignment="1">
      <alignment horizontal="center"/>
    </xf>
    <xf numFmtId="0" fontId="20" fillId="0" borderId="8" xfId="1" applyFont="1" applyFill="1" applyBorder="1" applyAlignment="1">
      <alignment horizont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10" fontId="0" fillId="8" borderId="0" xfId="0" applyNumberFormat="1" applyFill="1" applyBorder="1"/>
    <xf numFmtId="10" fontId="0" fillId="0" borderId="20" xfId="0" applyNumberFormat="1" applyFont="1" applyBorder="1"/>
  </cellXfs>
  <cellStyles count="4">
    <cellStyle name="Hyperlink 2" xfId="2"/>
    <cellStyle name="Normal 2" xfId="1"/>
    <cellStyle name="常规" xfId="0" builtinId="0"/>
    <cellStyle name="百分比" xfId="3" builtinId="5"/>
  </cellStyles>
  <dxfs count="4">
    <dxf>
      <font>
        <b/>
        <i val="0"/>
        <color rgb="FFC00000"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46240614876881"/>
          <c:y val="3.7476849735380006E-2"/>
          <c:w val="0.68352654311931338"/>
          <c:h val="0.925046300529240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test'!$O$21:$O$52</c:f>
              <c:numCache>
                <c:formatCode>0.00%</c:formatCode>
                <c:ptCount val="32"/>
                <c:pt idx="0">
                  <c:v>0</c:v>
                </c:pt>
                <c:pt idx="1">
                  <c:v>0.99389936754911323</c:v>
                </c:pt>
                <c:pt idx="2">
                  <c:v>0.98992556109027829</c:v>
                </c:pt>
                <c:pt idx="3">
                  <c:v>0.98634353836682176</c:v>
                </c:pt>
                <c:pt idx="4">
                  <c:v>0.98119438070185294</c:v>
                </c:pt>
                <c:pt idx="5">
                  <c:v>0.97638103766720785</c:v>
                </c:pt>
                <c:pt idx="6">
                  <c:v>0.97167963284267078</c:v>
                </c:pt>
                <c:pt idx="7">
                  <c:v>0.96725807354340398</c:v>
                </c:pt>
                <c:pt idx="8">
                  <c:v>0.96222085408854341</c:v>
                </c:pt>
                <c:pt idx="9">
                  <c:v>0.95796720210443842</c:v>
                </c:pt>
                <c:pt idx="10">
                  <c:v>0.95332176638495569</c:v>
                </c:pt>
                <c:pt idx="11">
                  <c:v>0.949459898136229</c:v>
                </c:pt>
                <c:pt idx="12">
                  <c:v>0.94604578272793438</c:v>
                </c:pt>
                <c:pt idx="13">
                  <c:v>0.94251972910953152</c:v>
                </c:pt>
                <c:pt idx="14">
                  <c:v>0.93563552918788839</c:v>
                </c:pt>
                <c:pt idx="15">
                  <c:v>0.93154978451894577</c:v>
                </c:pt>
                <c:pt idx="16">
                  <c:v>0.92684837969440892</c:v>
                </c:pt>
                <c:pt idx="17">
                  <c:v>0.92209100576481795</c:v>
                </c:pt>
                <c:pt idx="18">
                  <c:v>0.9178933228857673</c:v>
                </c:pt>
                <c:pt idx="19">
                  <c:v>0.91386354732187847</c:v>
                </c:pt>
                <c:pt idx="20">
                  <c:v>0.90893826607712536</c:v>
                </c:pt>
                <c:pt idx="21">
                  <c:v>0.90446073767280455</c:v>
                </c:pt>
                <c:pt idx="22">
                  <c:v>0.89942351821794397</c:v>
                </c:pt>
                <c:pt idx="23">
                  <c:v>0.89528180444394689</c:v>
                </c:pt>
                <c:pt idx="24">
                  <c:v>0.89058039961941005</c:v>
                </c:pt>
                <c:pt idx="25">
                  <c:v>0.88632674763530528</c:v>
                </c:pt>
                <c:pt idx="26">
                  <c:v>0.88162534281076865</c:v>
                </c:pt>
                <c:pt idx="27">
                  <c:v>0.87703587619633983</c:v>
                </c:pt>
                <c:pt idx="28">
                  <c:v>0.87227850226674886</c:v>
                </c:pt>
                <c:pt idx="29">
                  <c:v>0.86852857222812996</c:v>
                </c:pt>
                <c:pt idx="30">
                  <c:v>0.86393910561370113</c:v>
                </c:pt>
                <c:pt idx="31">
                  <c:v>0.85934963899927264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test'!$R$21:$R$52</c:f>
              <c:numCache>
                <c:formatCode>0.00%</c:formatCode>
                <c:ptCount val="32"/>
                <c:pt idx="0">
                  <c:v>0</c:v>
                </c:pt>
                <c:pt idx="1">
                  <c:v>0.99479137179414556</c:v>
                </c:pt>
                <c:pt idx="2">
                  <c:v>0.99139444035554514</c:v>
                </c:pt>
                <c:pt idx="3">
                  <c:v>0.98703504500934136</c:v>
                </c:pt>
                <c:pt idx="4">
                  <c:v>0.98244918756723065</c:v>
                </c:pt>
                <c:pt idx="5">
                  <c:v>0.97837286984091021</c:v>
                </c:pt>
                <c:pt idx="6">
                  <c:v>0.97095623619996607</c:v>
                </c:pt>
                <c:pt idx="7">
                  <c:v>0.9673328426654586</c:v>
                </c:pt>
                <c:pt idx="8">
                  <c:v>0.96314329389118458</c:v>
                </c:pt>
                <c:pt idx="9">
                  <c:v>0.95946328483270105</c:v>
                </c:pt>
                <c:pt idx="10">
                  <c:v>0.95521712053445063</c:v>
                </c:pt>
                <c:pt idx="11">
                  <c:v>0.9501783389005265</c:v>
                </c:pt>
                <c:pt idx="12">
                  <c:v>0.94559248145841601</c:v>
                </c:pt>
                <c:pt idx="13">
                  <c:v>0.94151616373209535</c:v>
                </c:pt>
                <c:pt idx="14">
                  <c:v>0.93670384419407793</c:v>
                </c:pt>
                <c:pt idx="15">
                  <c:v>0.93240106437185066</c:v>
                </c:pt>
                <c:pt idx="16">
                  <c:v>0.92883428636132048</c:v>
                </c:pt>
                <c:pt idx="17">
                  <c:v>0.92339919605955956</c:v>
                </c:pt>
                <c:pt idx="18">
                  <c:v>0.91898318518937894</c:v>
                </c:pt>
                <c:pt idx="19">
                  <c:v>0.91462378984317461</c:v>
                </c:pt>
                <c:pt idx="20">
                  <c:v>0.9113967049765046</c:v>
                </c:pt>
                <c:pt idx="21">
                  <c:v>0.90647115439053394</c:v>
                </c:pt>
                <c:pt idx="22">
                  <c:v>0.90182868142444639</c:v>
                </c:pt>
                <c:pt idx="23">
                  <c:v>0.89758251712619586</c:v>
                </c:pt>
                <c:pt idx="24">
                  <c:v>0.89305327520806166</c:v>
                </c:pt>
                <c:pt idx="25">
                  <c:v>0.88846741776595139</c:v>
                </c:pt>
                <c:pt idx="26">
                  <c:v>0.88359848270395747</c:v>
                </c:pt>
                <c:pt idx="27">
                  <c:v>0.87963539602559015</c:v>
                </c:pt>
                <c:pt idx="28">
                  <c:v>0.87340768838815563</c:v>
                </c:pt>
                <c:pt idx="29">
                  <c:v>0.86961444828171852</c:v>
                </c:pt>
                <c:pt idx="30">
                  <c:v>0.86497197531563175</c:v>
                </c:pt>
                <c:pt idx="31">
                  <c:v>0.86066919549340393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test'!$U$21:$U$52</c:f>
              <c:numCache>
                <c:formatCode>0.00%</c:formatCode>
                <c:ptCount val="32"/>
                <c:pt idx="0">
                  <c:v>0</c:v>
                </c:pt>
                <c:pt idx="1">
                  <c:v>0.99582180565750122</c:v>
                </c:pt>
                <c:pt idx="2">
                  <c:v>0.99209530800067769</c:v>
                </c:pt>
                <c:pt idx="3">
                  <c:v>0.98718310654395547</c:v>
                </c:pt>
                <c:pt idx="4">
                  <c:v>0.98306137428716633</c:v>
                </c:pt>
                <c:pt idx="5">
                  <c:v>0.97877025577324805</c:v>
                </c:pt>
                <c:pt idx="6">
                  <c:v>0.97385805431652672</c:v>
                </c:pt>
                <c:pt idx="7">
                  <c:v>0.96905877703122323</c:v>
                </c:pt>
                <c:pt idx="8">
                  <c:v>0.96403365140308261</c:v>
                </c:pt>
                <c:pt idx="9">
                  <c:v>0.95962960871774605</c:v>
                </c:pt>
                <c:pt idx="10">
                  <c:v>0.95494325560386195</c:v>
                </c:pt>
                <c:pt idx="11">
                  <c:v>0.95042628874710655</c:v>
                </c:pt>
                <c:pt idx="12">
                  <c:v>0.94658686691886385</c:v>
                </c:pt>
                <c:pt idx="13">
                  <c:v>0.94206990006210845</c:v>
                </c:pt>
                <c:pt idx="14">
                  <c:v>0.9374964711196434</c:v>
                </c:pt>
                <c:pt idx="15">
                  <c:v>0.93218903506295503</c:v>
                </c:pt>
                <c:pt idx="16">
                  <c:v>0.92823668906329404</c:v>
                </c:pt>
                <c:pt idx="17">
                  <c:v>0.92360679803511914</c:v>
                </c:pt>
                <c:pt idx="18">
                  <c:v>0.91903336909265421</c:v>
                </c:pt>
                <c:pt idx="19">
                  <c:v>0.91581503020721577</c:v>
                </c:pt>
                <c:pt idx="20">
                  <c:v>0.91056405623623748</c:v>
                </c:pt>
                <c:pt idx="21">
                  <c:v>0.90599062729377244</c:v>
                </c:pt>
                <c:pt idx="22">
                  <c:v>0.90164304669414463</c:v>
                </c:pt>
                <c:pt idx="23">
                  <c:v>0.89729546609451749</c:v>
                </c:pt>
                <c:pt idx="24">
                  <c:v>0.89243972672350536</c:v>
                </c:pt>
                <c:pt idx="25">
                  <c:v>0.88747106318107394</c:v>
                </c:pt>
                <c:pt idx="26">
                  <c:v>0.88255886172435205</c:v>
                </c:pt>
                <c:pt idx="27">
                  <c:v>0.87798543278188679</c:v>
                </c:pt>
                <c:pt idx="28">
                  <c:v>0.87459770763932032</c:v>
                </c:pt>
                <c:pt idx="29">
                  <c:v>0.86934673366834159</c:v>
                </c:pt>
                <c:pt idx="30">
                  <c:v>0.86449099429732923</c:v>
                </c:pt>
                <c:pt idx="31">
                  <c:v>0.86042572412624907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test'!$X$21:$X$52</c:f>
              <c:numCache>
                <c:formatCode>0.00%</c:formatCode>
                <c:ptCount val="32"/>
                <c:pt idx="0">
                  <c:v>0</c:v>
                </c:pt>
                <c:pt idx="1">
                  <c:v>0.99572284003421752</c:v>
                </c:pt>
                <c:pt idx="2">
                  <c:v>0.99133875106929004</c:v>
                </c:pt>
                <c:pt idx="3">
                  <c:v>0.98711505560307944</c:v>
                </c:pt>
                <c:pt idx="4">
                  <c:v>0.98321214713430305</c:v>
                </c:pt>
                <c:pt idx="5">
                  <c:v>0.97743798118049607</c:v>
                </c:pt>
                <c:pt idx="6">
                  <c:v>0.97305389221556893</c:v>
                </c:pt>
                <c:pt idx="7">
                  <c:v>0.96893712574850299</c:v>
                </c:pt>
                <c:pt idx="8">
                  <c:v>0.96369760479041922</c:v>
                </c:pt>
                <c:pt idx="9">
                  <c:v>0.95984816082121471</c:v>
                </c:pt>
                <c:pt idx="10">
                  <c:v>0.95466210436270316</c:v>
                </c:pt>
                <c:pt idx="11">
                  <c:v>0.94995722840034225</c:v>
                </c:pt>
                <c:pt idx="12">
                  <c:v>0.94632164242942707</c:v>
                </c:pt>
                <c:pt idx="13">
                  <c:v>0.94241873396065046</c:v>
                </c:pt>
                <c:pt idx="14">
                  <c:v>0.93787425149700598</c:v>
                </c:pt>
                <c:pt idx="15">
                  <c:v>0.93242087254063288</c:v>
                </c:pt>
                <c:pt idx="16">
                  <c:v>0.92873182207014537</c:v>
                </c:pt>
                <c:pt idx="17">
                  <c:v>0.92397348160821202</c:v>
                </c:pt>
                <c:pt idx="18">
                  <c:v>0.91958939264328465</c:v>
                </c:pt>
                <c:pt idx="19">
                  <c:v>0.91557955517536349</c:v>
                </c:pt>
                <c:pt idx="20">
                  <c:v>0.91066082121471337</c:v>
                </c:pt>
                <c:pt idx="21">
                  <c:v>0.90542130025662948</c:v>
                </c:pt>
                <c:pt idx="22">
                  <c:v>0.9013579982891361</c:v>
                </c:pt>
                <c:pt idx="23">
                  <c:v>0.89659965782720275</c:v>
                </c:pt>
                <c:pt idx="24">
                  <c:v>0.89152053036783574</c:v>
                </c:pt>
                <c:pt idx="25">
                  <c:v>0.88815226689478188</c:v>
                </c:pt>
                <c:pt idx="26">
                  <c:v>0.88334046193327653</c:v>
                </c:pt>
                <c:pt idx="27">
                  <c:v>0.87933062446535515</c:v>
                </c:pt>
                <c:pt idx="28">
                  <c:v>0.875</c:v>
                </c:pt>
                <c:pt idx="29">
                  <c:v>0.87104362703165072</c:v>
                </c:pt>
                <c:pt idx="30">
                  <c:v>0.86681993156544035</c:v>
                </c:pt>
                <c:pt idx="31">
                  <c:v>0.86264970059880219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test'!$AA$21:$AA$52</c:f>
              <c:numCache>
                <c:formatCode>0.00%</c:formatCode>
                <c:ptCount val="32"/>
                <c:pt idx="0">
                  <c:v>0</c:v>
                </c:pt>
                <c:pt idx="1">
                  <c:v>0.99595881310894607</c:v>
                </c:pt>
                <c:pt idx="2">
                  <c:v>0.99108724534986725</c:v>
                </c:pt>
                <c:pt idx="3">
                  <c:v>0.98638175376439308</c:v>
                </c:pt>
                <c:pt idx="4">
                  <c:v>0.98162090345438446</c:v>
                </c:pt>
                <c:pt idx="5">
                  <c:v>0.97719220549158547</c:v>
                </c:pt>
                <c:pt idx="6">
                  <c:v>0.97309565987599644</c:v>
                </c:pt>
                <c:pt idx="7">
                  <c:v>0.96883303808680254</c:v>
                </c:pt>
                <c:pt idx="8">
                  <c:v>0.96407218777679382</c:v>
                </c:pt>
                <c:pt idx="9">
                  <c:v>0.95969884853852949</c:v>
                </c:pt>
                <c:pt idx="10">
                  <c:v>0.95676483613817531</c:v>
                </c:pt>
                <c:pt idx="11">
                  <c:v>0.95117360496014169</c:v>
                </c:pt>
                <c:pt idx="12">
                  <c:v>0.94619131975199267</c:v>
                </c:pt>
                <c:pt idx="13">
                  <c:v>0.94231620903454383</c:v>
                </c:pt>
                <c:pt idx="14">
                  <c:v>0.93794286979627994</c:v>
                </c:pt>
                <c:pt idx="15">
                  <c:v>0.93406775907883055</c:v>
                </c:pt>
                <c:pt idx="16">
                  <c:v>0.92831045172719207</c:v>
                </c:pt>
                <c:pt idx="17">
                  <c:v>0.92548715677590776</c:v>
                </c:pt>
                <c:pt idx="18">
                  <c:v>0.91956377325066441</c:v>
                </c:pt>
                <c:pt idx="19">
                  <c:v>0.91546722763507515</c:v>
                </c:pt>
                <c:pt idx="20">
                  <c:v>0.90998671390611163</c:v>
                </c:pt>
                <c:pt idx="21">
                  <c:v>0.9058901682905226</c:v>
                </c:pt>
                <c:pt idx="22">
                  <c:v>0.90112931798051377</c:v>
                </c:pt>
                <c:pt idx="23">
                  <c:v>0.89664526129317978</c:v>
                </c:pt>
                <c:pt idx="24">
                  <c:v>0.89376660761736082</c:v>
                </c:pt>
                <c:pt idx="25">
                  <c:v>0.88834145261293196</c:v>
                </c:pt>
                <c:pt idx="26">
                  <c:v>0.88380203720106276</c:v>
                </c:pt>
                <c:pt idx="27">
                  <c:v>0.87948405668733376</c:v>
                </c:pt>
                <c:pt idx="28">
                  <c:v>0.87544286979627983</c:v>
                </c:pt>
                <c:pt idx="29">
                  <c:v>0.87046058458813136</c:v>
                </c:pt>
                <c:pt idx="30">
                  <c:v>0.86558901682905232</c:v>
                </c:pt>
                <c:pt idx="31">
                  <c:v>0.86149247121346328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test'!$AI$21:$AI$52</c:f>
              <c:numCache>
                <c:formatCode>0.00%</c:formatCode>
                <c:ptCount val="32"/>
                <c:pt idx="0" formatCode="General">
                  <c:v>0</c:v>
                </c:pt>
                <c:pt idx="1">
                  <c:v>-4.5200172191132591E-3</c:v>
                </c:pt>
                <c:pt idx="2">
                  <c:v>-9.0041612856938298E-3</c:v>
                </c:pt>
                <c:pt idx="3">
                  <c:v>-1.3488305352274401E-2</c:v>
                </c:pt>
                <c:pt idx="4">
                  <c:v>-1.7972449418854973E-2</c:v>
                </c:pt>
                <c:pt idx="5">
                  <c:v>-2.2456593485435671E-2</c:v>
                </c:pt>
                <c:pt idx="6">
                  <c:v>-2.6940737552016113E-2</c:v>
                </c:pt>
                <c:pt idx="7">
                  <c:v>-3.1424881618596683E-2</c:v>
                </c:pt>
                <c:pt idx="8">
                  <c:v>-3.5909025685177252E-2</c:v>
                </c:pt>
                <c:pt idx="9">
                  <c:v>-4.0393169751757829E-2</c:v>
                </c:pt>
                <c:pt idx="10">
                  <c:v>-4.4877313818338399E-2</c:v>
                </c:pt>
                <c:pt idx="11">
                  <c:v>-4.9361457884918969E-2</c:v>
                </c:pt>
                <c:pt idx="12">
                  <c:v>-5.3845601951499539E-2</c:v>
                </c:pt>
                <c:pt idx="13">
                  <c:v>-5.8329746018080109E-2</c:v>
                </c:pt>
                <c:pt idx="14">
                  <c:v>-6.2813890084660678E-2</c:v>
                </c:pt>
                <c:pt idx="15">
                  <c:v>-6.7298034151241248E-2</c:v>
                </c:pt>
                <c:pt idx="16">
                  <c:v>-7.1782178217821818E-2</c:v>
                </c:pt>
                <c:pt idx="17">
                  <c:v>-7.6266322284402388E-2</c:v>
                </c:pt>
                <c:pt idx="18">
                  <c:v>-8.0750466350982958E-2</c:v>
                </c:pt>
                <c:pt idx="19">
                  <c:v>-8.5234610417563542E-2</c:v>
                </c:pt>
                <c:pt idx="20">
                  <c:v>-8.9718754484144111E-2</c:v>
                </c:pt>
                <c:pt idx="21">
                  <c:v>-9.4202898550724681E-2</c:v>
                </c:pt>
                <c:pt idx="22">
                  <c:v>-9.8687042617305251E-2</c:v>
                </c:pt>
                <c:pt idx="23">
                  <c:v>-0.10317118668388582</c:v>
                </c:pt>
                <c:pt idx="24">
                  <c:v>-0.10765533075046639</c:v>
                </c:pt>
                <c:pt idx="25">
                  <c:v>-0.11213947481704696</c:v>
                </c:pt>
                <c:pt idx="26">
                  <c:v>-0.11662361888362753</c:v>
                </c:pt>
                <c:pt idx="27">
                  <c:v>-0.1211077629502081</c:v>
                </c:pt>
                <c:pt idx="28">
                  <c:v>-0.12559190701678868</c:v>
                </c:pt>
                <c:pt idx="29">
                  <c:v>-0.13007605108336925</c:v>
                </c:pt>
                <c:pt idx="30">
                  <c:v>-0.13456019514994982</c:v>
                </c:pt>
                <c:pt idx="31">
                  <c:v>-0.13904433921653039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583696"/>
        <c:axId val="361578096"/>
      </c:lineChart>
      <c:catAx>
        <c:axId val="361583696"/>
        <c:scaling>
          <c:orientation val="minMax"/>
        </c:scaling>
        <c:delete val="0"/>
        <c:axPos val="b"/>
        <c:majorTickMark val="out"/>
        <c:minorTickMark val="none"/>
        <c:tickLblPos val="nextTo"/>
        <c:crossAx val="361578096"/>
        <c:crosses val="autoZero"/>
        <c:auto val="1"/>
        <c:lblAlgn val="ctr"/>
        <c:lblOffset val="100"/>
        <c:noMultiLvlLbl val="0"/>
      </c:catAx>
      <c:valAx>
        <c:axId val="3615780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61583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test'!$N$55:$N$70</c:f>
              <c:numCache>
                <c:formatCode>0.00%</c:formatCode>
                <c:ptCount val="16"/>
                <c:pt idx="0">
                  <c:v>1</c:v>
                </c:pt>
                <c:pt idx="1">
                  <c:v>0.98983739837398377</c:v>
                </c:pt>
                <c:pt idx="2">
                  <c:v>0.97845528455284558</c:v>
                </c:pt>
                <c:pt idx="3">
                  <c:v>0.96780487804878046</c:v>
                </c:pt>
                <c:pt idx="4">
                  <c:v>0.95715447154471545</c:v>
                </c:pt>
                <c:pt idx="5">
                  <c:v>0.94658536585365849</c:v>
                </c:pt>
                <c:pt idx="6">
                  <c:v>0.93520325203252042</c:v>
                </c:pt>
                <c:pt idx="7">
                  <c:v>0.92439024390243907</c:v>
                </c:pt>
                <c:pt idx="8">
                  <c:v>1.0819512195121952</c:v>
                </c:pt>
                <c:pt idx="9">
                  <c:v>1.0718699186991871</c:v>
                </c:pt>
                <c:pt idx="10">
                  <c:v>1.0618699186991871</c:v>
                </c:pt>
                <c:pt idx="11">
                  <c:v>1.0517886178861788</c:v>
                </c:pt>
                <c:pt idx="12">
                  <c:v>1.0415853658536585</c:v>
                </c:pt>
                <c:pt idx="13">
                  <c:v>1.03130081300813</c:v>
                </c:pt>
                <c:pt idx="14">
                  <c:v>1.0208536585365853</c:v>
                </c:pt>
                <c:pt idx="15">
                  <c:v>1.0106504065040651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test'!$Q$55:$Q$70</c:f>
              <c:numCache>
                <c:formatCode>0.00%</c:formatCode>
                <c:ptCount val="16"/>
                <c:pt idx="0">
                  <c:v>1</c:v>
                </c:pt>
                <c:pt idx="1">
                  <c:v>0.98978859194256075</c:v>
                </c:pt>
                <c:pt idx="2">
                  <c:v>0.97953729557239733</c:v>
                </c:pt>
                <c:pt idx="3">
                  <c:v>0.96816912644595132</c:v>
                </c:pt>
                <c:pt idx="4">
                  <c:v>0.95731950538492216</c:v>
                </c:pt>
                <c:pt idx="5">
                  <c:v>0.94631033107299556</c:v>
                </c:pt>
                <c:pt idx="6">
                  <c:v>0.93546071001196651</c:v>
                </c:pt>
                <c:pt idx="7">
                  <c:v>0.9241324291982449</c:v>
                </c:pt>
                <c:pt idx="8">
                  <c:v>1.0829676904666932</c:v>
                </c:pt>
                <c:pt idx="9">
                  <c:v>1.0729956122856001</c:v>
                </c:pt>
                <c:pt idx="10">
                  <c:v>1.0631830873554049</c:v>
                </c:pt>
                <c:pt idx="11">
                  <c:v>1.0530514559234145</c:v>
                </c:pt>
                <c:pt idx="12">
                  <c:v>1.0426804946150776</c:v>
                </c:pt>
                <c:pt idx="13">
                  <c:v>1.0324690865576385</c:v>
                </c:pt>
                <c:pt idx="14">
                  <c:v>1.0221380135620264</c:v>
                </c:pt>
                <c:pt idx="15">
                  <c:v>1.0111687275628241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test'!$T$55:$T$70</c:f>
              <c:numCache>
                <c:formatCode>0.00%</c:formatCode>
                <c:ptCount val="16"/>
                <c:pt idx="0">
                  <c:v>1</c:v>
                </c:pt>
                <c:pt idx="1">
                  <c:v>0.98929208804283164</c:v>
                </c:pt>
                <c:pt idx="2">
                  <c:v>0.97866349395201258</c:v>
                </c:pt>
                <c:pt idx="3">
                  <c:v>0.96791592306166951</c:v>
                </c:pt>
                <c:pt idx="4">
                  <c:v>0.95681142177275424</c:v>
                </c:pt>
                <c:pt idx="5">
                  <c:v>0.94590521514971249</c:v>
                </c:pt>
                <c:pt idx="6">
                  <c:v>0.93499900852667062</c:v>
                </c:pt>
                <c:pt idx="7">
                  <c:v>0.92389450723775535</c:v>
                </c:pt>
                <c:pt idx="8">
                  <c:v>1.0830061471346419</c:v>
                </c:pt>
                <c:pt idx="9">
                  <c:v>1.0730120959746183</c:v>
                </c:pt>
                <c:pt idx="10">
                  <c:v>1.0627007733491969</c:v>
                </c:pt>
                <c:pt idx="11">
                  <c:v>1.0521514971247272</c:v>
                </c:pt>
                <c:pt idx="12">
                  <c:v>1.0418401744993058</c:v>
                </c:pt>
                <c:pt idx="13">
                  <c:v>1.0314098750743603</c:v>
                </c:pt>
                <c:pt idx="14">
                  <c:v>1.0212175292484633</c:v>
                </c:pt>
                <c:pt idx="15">
                  <c:v>1.0107475708903431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test'!$W$55:$W$70</c:f>
              <c:numCache>
                <c:formatCode>0.00%</c:formatCode>
                <c:ptCount val="16"/>
                <c:pt idx="0">
                  <c:v>1</c:v>
                </c:pt>
                <c:pt idx="1">
                  <c:v>0.98925742962440211</c:v>
                </c:pt>
                <c:pt idx="2">
                  <c:v>0.97839723986512961</c:v>
                </c:pt>
                <c:pt idx="3">
                  <c:v>0.96761546302830703</c:v>
                </c:pt>
                <c:pt idx="4">
                  <c:v>0.95679447973025944</c:v>
                </c:pt>
                <c:pt idx="5">
                  <c:v>0.94593428997098716</c:v>
                </c:pt>
                <c:pt idx="6">
                  <c:v>0.93476044852191631</c:v>
                </c:pt>
                <c:pt idx="7">
                  <c:v>0.92378263937896954</c:v>
                </c:pt>
                <c:pt idx="8">
                  <c:v>1.0823727750333254</c:v>
                </c:pt>
                <c:pt idx="9">
                  <c:v>1.072335920959774</c:v>
                </c:pt>
                <c:pt idx="10">
                  <c:v>1.0623382733474476</c:v>
                </c:pt>
                <c:pt idx="11">
                  <c:v>1.0520661805065472</c:v>
                </c:pt>
                <c:pt idx="12">
                  <c:v>1.0420293264329961</c:v>
                </c:pt>
                <c:pt idx="13">
                  <c:v>1.031718027130871</c:v>
                </c:pt>
                <c:pt idx="14">
                  <c:v>1.021014663216498</c:v>
                </c:pt>
                <c:pt idx="15">
                  <c:v>1.0105465380694738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test'!$Z$55:$Z$70</c:f>
              <c:numCache>
                <c:formatCode>0.00%</c:formatCode>
                <c:ptCount val="16"/>
                <c:pt idx="0">
                  <c:v>1</c:v>
                </c:pt>
                <c:pt idx="1">
                  <c:v>0.98874204601076843</c:v>
                </c:pt>
                <c:pt idx="2">
                  <c:v>0.97862620329580685</c:v>
                </c:pt>
                <c:pt idx="3">
                  <c:v>0.96749061837167571</c:v>
                </c:pt>
                <c:pt idx="4">
                  <c:v>0.95619187469407729</c:v>
                </c:pt>
                <c:pt idx="5">
                  <c:v>0.94550497634198072</c:v>
                </c:pt>
                <c:pt idx="6">
                  <c:v>0.93457333985968338</c:v>
                </c:pt>
                <c:pt idx="7">
                  <c:v>0.92315222711698475</c:v>
                </c:pt>
                <c:pt idx="8">
                  <c:v>1.0823951705008974</c:v>
                </c:pt>
                <c:pt idx="9">
                  <c:v>1.0723609071626692</c:v>
                </c:pt>
                <c:pt idx="10">
                  <c:v>1.0624898025779084</c:v>
                </c:pt>
                <c:pt idx="11">
                  <c:v>1.0520884320443791</c:v>
                </c:pt>
                <c:pt idx="12">
                  <c:v>1.0416054821341165</c:v>
                </c:pt>
                <c:pt idx="13">
                  <c:v>1.0312041116005872</c:v>
                </c:pt>
                <c:pt idx="14">
                  <c:v>1.0208027410670584</c:v>
                </c:pt>
                <c:pt idx="15">
                  <c:v>1.0101158427149617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test'!$AI$55:$AI$70</c:f>
              <c:numCache>
                <c:formatCode>0.00%</c:formatCode>
                <c:ptCount val="16"/>
                <c:pt idx="0" formatCode="General">
                  <c:v>0</c:v>
                </c:pt>
                <c:pt idx="1">
                  <c:v>-1.0524209683873544E-2</c:v>
                </c:pt>
                <c:pt idx="2">
                  <c:v>-2.1128451380552204E-2</c:v>
                </c:pt>
                <c:pt idx="3">
                  <c:v>-3.1772709083633506E-2</c:v>
                </c:pt>
                <c:pt idx="4">
                  <c:v>-4.2416966786714812E-2</c:v>
                </c:pt>
                <c:pt idx="5">
                  <c:v>-5.3021208483393471E-2</c:v>
                </c:pt>
                <c:pt idx="6">
                  <c:v>-6.3625450180072124E-2</c:v>
                </c:pt>
                <c:pt idx="7">
                  <c:v>-7.4029611844737914E-2</c:v>
                </c:pt>
                <c:pt idx="8">
                  <c:v>8.2032813125250126E-2</c:v>
                </c:pt>
                <c:pt idx="9">
                  <c:v>7.2428971588635468E-2</c:v>
                </c:pt>
                <c:pt idx="10">
                  <c:v>6.2264905962384848E-2</c:v>
                </c:pt>
                <c:pt idx="11">
                  <c:v>5.2020808323329289E-2</c:v>
                </c:pt>
                <c:pt idx="12">
                  <c:v>4.1816726690676195E-2</c:v>
                </c:pt>
                <c:pt idx="13">
                  <c:v>3.1452581032412878E-2</c:v>
                </c:pt>
                <c:pt idx="14">
                  <c:v>2.1048419367747088E-2</c:v>
                </c:pt>
                <c:pt idx="15">
                  <c:v>1.0564225690276013E-2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8309632"/>
        <c:axId val="203417872"/>
      </c:lineChart>
      <c:catAx>
        <c:axId val="278309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3417872"/>
        <c:crosses val="autoZero"/>
        <c:auto val="1"/>
        <c:lblAlgn val="ctr"/>
        <c:lblOffset val="100"/>
        <c:noMultiLvlLbl val="0"/>
      </c:catAx>
      <c:valAx>
        <c:axId val="20341787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78309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test'!$N$72:$N$87</c:f>
              <c:numCache>
                <c:formatCode>0.00%</c:formatCode>
                <c:ptCount val="16"/>
                <c:pt idx="0">
                  <c:v>1</c:v>
                </c:pt>
                <c:pt idx="1">
                  <c:v>0.99707317073170731</c:v>
                </c:pt>
                <c:pt idx="2">
                  <c:v>0.99439024390243913</c:v>
                </c:pt>
                <c:pt idx="3">
                  <c:v>0.99113821138211389</c:v>
                </c:pt>
                <c:pt idx="4">
                  <c:v>0.98861788617886182</c:v>
                </c:pt>
                <c:pt idx="5">
                  <c:v>0.98577235772357719</c:v>
                </c:pt>
                <c:pt idx="6">
                  <c:v>0.98292682926829278</c:v>
                </c:pt>
                <c:pt idx="7">
                  <c:v>0.98036585365853668</c:v>
                </c:pt>
                <c:pt idx="8">
                  <c:v>1.024390243902439</c:v>
                </c:pt>
                <c:pt idx="9">
                  <c:v>1.0210569105691056</c:v>
                </c:pt>
                <c:pt idx="10">
                  <c:v>1.018130081300813</c:v>
                </c:pt>
                <c:pt idx="11">
                  <c:v>1.0150813008130082</c:v>
                </c:pt>
                <c:pt idx="12">
                  <c:v>1.0122357723577236</c:v>
                </c:pt>
                <c:pt idx="13">
                  <c:v>1.0092276422764228</c:v>
                </c:pt>
                <c:pt idx="14">
                  <c:v>1.0062195121951218</c:v>
                </c:pt>
                <c:pt idx="15">
                  <c:v>1.0032520325203251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test'!$Q$72:$Q$87</c:f>
              <c:numCache>
                <c:formatCode>0.00%</c:formatCode>
                <c:ptCount val="16"/>
                <c:pt idx="0">
                  <c:v>1</c:v>
                </c:pt>
                <c:pt idx="1">
                  <c:v>0.99740932642487046</c:v>
                </c:pt>
                <c:pt idx="2">
                  <c:v>0.9944599442008768</c:v>
                </c:pt>
                <c:pt idx="3">
                  <c:v>0.99143084894380229</c:v>
                </c:pt>
                <c:pt idx="4">
                  <c:v>0.98820247110402559</c:v>
                </c:pt>
                <c:pt idx="5">
                  <c:v>0.98565165404543642</c:v>
                </c:pt>
                <c:pt idx="6">
                  <c:v>0.98294141092068565</c:v>
                </c:pt>
                <c:pt idx="7">
                  <c:v>0.97987245914707055</c:v>
                </c:pt>
                <c:pt idx="8">
                  <c:v>1.0237943403746514</c:v>
                </c:pt>
                <c:pt idx="9">
                  <c:v>1.0210043842168195</c:v>
                </c:pt>
                <c:pt idx="10">
                  <c:v>1.0179354324432044</c:v>
                </c:pt>
                <c:pt idx="11">
                  <c:v>1.0147469111199681</c:v>
                </c:pt>
                <c:pt idx="12">
                  <c:v>1.012196094061379</c:v>
                </c:pt>
                <c:pt idx="13">
                  <c:v>1.0088082901554405</c:v>
                </c:pt>
                <c:pt idx="14">
                  <c:v>1.0055799123156637</c:v>
                </c:pt>
                <c:pt idx="15">
                  <c:v>1.0031088082901554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test'!$T$72:$T$87</c:f>
              <c:numCache>
                <c:formatCode>0.00%</c:formatCode>
                <c:ptCount val="16"/>
                <c:pt idx="0">
                  <c:v>1</c:v>
                </c:pt>
                <c:pt idx="1">
                  <c:v>0.99722222222222212</c:v>
                </c:pt>
                <c:pt idx="2">
                  <c:v>0.99428571428571422</c:v>
                </c:pt>
                <c:pt idx="3">
                  <c:v>0.99190476190476196</c:v>
                </c:pt>
                <c:pt idx="4">
                  <c:v>0.9883333333333334</c:v>
                </c:pt>
                <c:pt idx="5">
                  <c:v>0.98571428571428565</c:v>
                </c:pt>
                <c:pt idx="6">
                  <c:v>0.98293650793650789</c:v>
                </c:pt>
                <c:pt idx="7">
                  <c:v>0.97996031746031742</c:v>
                </c:pt>
                <c:pt idx="8">
                  <c:v>1.0238095238095237</c:v>
                </c:pt>
                <c:pt idx="9">
                  <c:v>1.0215476190476191</c:v>
                </c:pt>
                <c:pt idx="10">
                  <c:v>1.0187698412698412</c:v>
                </c:pt>
                <c:pt idx="11">
                  <c:v>1.015079365079365</c:v>
                </c:pt>
                <c:pt idx="12">
                  <c:v>1.0120238095238094</c:v>
                </c:pt>
                <c:pt idx="13">
                  <c:v>1.0092063492063492</c:v>
                </c:pt>
                <c:pt idx="14">
                  <c:v>1.0065079365079366</c:v>
                </c:pt>
                <c:pt idx="15">
                  <c:v>1.0032142857142856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test'!$W$72:$W$87</c:f>
              <c:numCache>
                <c:formatCode>0.00%</c:formatCode>
                <c:ptCount val="16"/>
                <c:pt idx="0">
                  <c:v>1</c:v>
                </c:pt>
                <c:pt idx="1">
                  <c:v>0.99705974596205105</c:v>
                </c:pt>
                <c:pt idx="2">
                  <c:v>0.99423710208561999</c:v>
                </c:pt>
                <c:pt idx="3">
                  <c:v>0.99137525482201649</c:v>
                </c:pt>
                <c:pt idx="4">
                  <c:v>0.98855261094558555</c:v>
                </c:pt>
                <c:pt idx="5">
                  <c:v>0.98541633997177347</c:v>
                </c:pt>
                <c:pt idx="6">
                  <c:v>0.98255449270816986</c:v>
                </c:pt>
                <c:pt idx="7">
                  <c:v>0.97992786576760227</c:v>
                </c:pt>
                <c:pt idx="8">
                  <c:v>1.0236004390779363</c:v>
                </c:pt>
                <c:pt idx="9">
                  <c:v>1.0204641681041242</c:v>
                </c:pt>
                <c:pt idx="10">
                  <c:v>1.0172886937431393</c:v>
                </c:pt>
                <c:pt idx="11">
                  <c:v>1.0145052532538812</c:v>
                </c:pt>
                <c:pt idx="12">
                  <c:v>1.0116042026031049</c:v>
                </c:pt>
                <c:pt idx="13">
                  <c:v>1.0085071350164652</c:v>
                </c:pt>
                <c:pt idx="14">
                  <c:v>1.0056844911400344</c:v>
                </c:pt>
                <c:pt idx="15">
                  <c:v>1.0027834404892582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test'!$Z$72:$Z$87</c:f>
              <c:numCache>
                <c:formatCode>0.00%</c:formatCode>
                <c:ptCount val="16"/>
                <c:pt idx="0">
                  <c:v>1</c:v>
                </c:pt>
                <c:pt idx="1">
                  <c:v>0.99722426320515956</c:v>
                </c:pt>
                <c:pt idx="2">
                  <c:v>0.99436688709282384</c:v>
                </c:pt>
                <c:pt idx="3">
                  <c:v>0.99138705200424515</c:v>
                </c:pt>
                <c:pt idx="4">
                  <c:v>0.98873377418564778</c:v>
                </c:pt>
                <c:pt idx="5">
                  <c:v>0.98591721773205954</c:v>
                </c:pt>
                <c:pt idx="6">
                  <c:v>0.98293738264348096</c:v>
                </c:pt>
                <c:pt idx="7">
                  <c:v>0.98040656380112656</c:v>
                </c:pt>
                <c:pt idx="8">
                  <c:v>1.0240019593436198</c:v>
                </c:pt>
                <c:pt idx="9">
                  <c:v>1.0209813045962934</c:v>
                </c:pt>
                <c:pt idx="10">
                  <c:v>1.0178790105314719</c:v>
                </c:pt>
                <c:pt idx="11">
                  <c:v>1.0147767164666504</c:v>
                </c:pt>
                <c:pt idx="12">
                  <c:v>1.0117968813780716</c:v>
                </c:pt>
                <c:pt idx="13">
                  <c:v>1.0088986856069881</c:v>
                </c:pt>
                <c:pt idx="14">
                  <c:v>1.0060413094946525</c:v>
                </c:pt>
                <c:pt idx="15">
                  <c:v>1.0030206547473262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test'!$AI$72:$AI$87</c:f>
              <c:numCache>
                <c:formatCode>0.00%</c:formatCode>
                <c:ptCount val="16"/>
                <c:pt idx="0" formatCode="General">
                  <c:v>0</c:v>
                </c:pt>
                <c:pt idx="1">
                  <c:v>-2.8000000000000247E-3</c:v>
                </c:pt>
                <c:pt idx="2">
                  <c:v>-5.7000000000000384E-3</c:v>
                </c:pt>
                <c:pt idx="3">
                  <c:v>-8.600000000000052E-3</c:v>
                </c:pt>
                <c:pt idx="4">
                  <c:v>-1.1499999999999955E-2</c:v>
                </c:pt>
                <c:pt idx="5">
                  <c:v>-1.4399999999999968E-2</c:v>
                </c:pt>
                <c:pt idx="6">
                  <c:v>-1.7399999999999971E-2</c:v>
                </c:pt>
                <c:pt idx="7">
                  <c:v>-2.0199999999999996E-2</c:v>
                </c:pt>
                <c:pt idx="8">
                  <c:v>2.3300000000000098E-2</c:v>
                </c:pt>
                <c:pt idx="9">
                  <c:v>2.0399999999999974E-2</c:v>
                </c:pt>
                <c:pt idx="10">
                  <c:v>1.7500000000000071E-2</c:v>
                </c:pt>
                <c:pt idx="11">
                  <c:v>1.4599999999999946E-2</c:v>
                </c:pt>
                <c:pt idx="12">
                  <c:v>1.1700000000000044E-2</c:v>
                </c:pt>
                <c:pt idx="13">
                  <c:v>8.799999999999919E-3</c:v>
                </c:pt>
                <c:pt idx="14">
                  <c:v>5.9000000000000163E-3</c:v>
                </c:pt>
                <c:pt idx="15">
                  <c:v>2.9999999999998916E-3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175200"/>
        <c:axId val="271176320"/>
      </c:lineChart>
      <c:catAx>
        <c:axId val="271175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71176320"/>
        <c:crosses val="autoZero"/>
        <c:auto val="1"/>
        <c:lblAlgn val="ctr"/>
        <c:lblOffset val="100"/>
        <c:noMultiLvlLbl val="0"/>
      </c:catAx>
      <c:valAx>
        <c:axId val="27117632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71175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9072229723406814"/>
          <c:y val="9.7257903816013472E-2"/>
          <c:w val="0.68829297653582822"/>
          <c:h val="0.8458993953189484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test'!$O$4:$O$19</c:f>
              <c:numCache>
                <c:formatCode>0.00%</c:formatCode>
                <c:ptCount val="16"/>
                <c:pt idx="0">
                  <c:v>0.12797936178565428</c:v>
                </c:pt>
                <c:pt idx="1">
                  <c:v>0.14115865627278337</c:v>
                </c:pt>
                <c:pt idx="2">
                  <c:v>0.16263810218159386</c:v>
                </c:pt>
                <c:pt idx="3">
                  <c:v>0.18725814592563528</c:v>
                </c:pt>
                <c:pt idx="4">
                  <c:v>0.21485054119230565</c:v>
                </c:pt>
                <c:pt idx="5">
                  <c:v>0.2474903258370254</c:v>
                </c:pt>
                <c:pt idx="6">
                  <c:v>0.28428018619258588</c:v>
                </c:pt>
                <c:pt idx="7">
                  <c:v>0.32740732432280861</c:v>
                </c:pt>
                <c:pt idx="8">
                  <c:v>0.37642308339408881</c:v>
                </c:pt>
                <c:pt idx="9">
                  <c:v>0.43514104649206437</c:v>
                </c:pt>
                <c:pt idx="10">
                  <c:v>0.50036453367730349</c:v>
                </c:pt>
                <c:pt idx="11">
                  <c:v>0.57708485222365535</c:v>
                </c:pt>
                <c:pt idx="12">
                  <c:v>0.66322696427569949</c:v>
                </c:pt>
                <c:pt idx="13">
                  <c:v>0.75951993718804345</c:v>
                </c:pt>
                <c:pt idx="14">
                  <c:v>0.87510515394537625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test'!$R$4:$R$19</c:f>
              <c:numCache>
                <c:formatCode>0.00%</c:formatCode>
                <c:ptCount val="16"/>
                <c:pt idx="0">
                  <c:v>0.12250905797101455</c:v>
                </c:pt>
                <c:pt idx="1">
                  <c:v>0.14147418478260854</c:v>
                </c:pt>
                <c:pt idx="2">
                  <c:v>0.16276041666666669</c:v>
                </c:pt>
                <c:pt idx="3">
                  <c:v>0.18744338768115948</c:v>
                </c:pt>
                <c:pt idx="4">
                  <c:v>0.21552309782608692</c:v>
                </c:pt>
                <c:pt idx="5">
                  <c:v>0.24807518115942032</c:v>
                </c:pt>
                <c:pt idx="6">
                  <c:v>0.28470335144927522</c:v>
                </c:pt>
                <c:pt idx="7">
                  <c:v>0.32795516304347838</c:v>
                </c:pt>
                <c:pt idx="8">
                  <c:v>0.37839673913043476</c:v>
                </c:pt>
                <c:pt idx="9">
                  <c:v>0.43540534420289839</c:v>
                </c:pt>
                <c:pt idx="10">
                  <c:v>0.50016983695652173</c:v>
                </c:pt>
                <c:pt idx="11">
                  <c:v>0.57631340579710122</c:v>
                </c:pt>
                <c:pt idx="12">
                  <c:v>0.66372282608695643</c:v>
                </c:pt>
                <c:pt idx="13">
                  <c:v>0.76143568840579701</c:v>
                </c:pt>
                <c:pt idx="14">
                  <c:v>0.8768682065217388</c:v>
                </c:pt>
                <c:pt idx="15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test'!$U$4:$U$19</c:f>
              <c:numCache>
                <c:formatCode>0.00%</c:formatCode>
                <c:ptCount val="16"/>
                <c:pt idx="0">
                  <c:v>0.12281989050064909</c:v>
                </c:pt>
                <c:pt idx="1">
                  <c:v>0.14133318281876162</c:v>
                </c:pt>
                <c:pt idx="2">
                  <c:v>0.16261218039171418</c:v>
                </c:pt>
                <c:pt idx="3">
                  <c:v>0.18739064175650522</c:v>
                </c:pt>
                <c:pt idx="4">
                  <c:v>0.21516058023367399</c:v>
                </c:pt>
                <c:pt idx="5">
                  <c:v>0.24744595586160167</c:v>
                </c:pt>
                <c:pt idx="6">
                  <c:v>0.28413388271151979</c:v>
                </c:pt>
                <c:pt idx="7">
                  <c:v>0.32708697860811642</c:v>
                </c:pt>
                <c:pt idx="8">
                  <c:v>0.37794208951854147</c:v>
                </c:pt>
                <c:pt idx="9">
                  <c:v>0.43551391319072091</c:v>
                </c:pt>
                <c:pt idx="10">
                  <c:v>0.49997177851780783</c:v>
                </c:pt>
                <c:pt idx="11">
                  <c:v>0.57487159225602524</c:v>
                </c:pt>
                <c:pt idx="12">
                  <c:v>0.66077778404921828</c:v>
                </c:pt>
                <c:pt idx="13">
                  <c:v>0.76017384433030422</c:v>
                </c:pt>
                <c:pt idx="14">
                  <c:v>0.8751481627815092</c:v>
                </c:pt>
                <c:pt idx="15">
                  <c:v>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test'!$X$4:$X$19</c:f>
              <c:numCache>
                <c:formatCode>0.00%</c:formatCode>
                <c:ptCount val="16"/>
                <c:pt idx="0">
                  <c:v>0.122814521734481</c:v>
                </c:pt>
                <c:pt idx="1">
                  <c:v>0.14142116238036678</c:v>
                </c:pt>
                <c:pt idx="2">
                  <c:v>0.16248730150243282</c:v>
                </c:pt>
                <c:pt idx="3">
                  <c:v>0.18724268833876923</c:v>
                </c:pt>
                <c:pt idx="4">
                  <c:v>0.21541998609848678</c:v>
                </c:pt>
                <c:pt idx="5">
                  <c:v>0.24755386836336424</c:v>
                </c:pt>
                <c:pt idx="6">
                  <c:v>0.28444634550606857</c:v>
                </c:pt>
                <c:pt idx="7">
                  <c:v>0.32738063412286816</c:v>
                </c:pt>
                <c:pt idx="8">
                  <c:v>0.37801422231727549</c:v>
                </c:pt>
                <c:pt idx="9">
                  <c:v>0.43559856707480099</c:v>
                </c:pt>
                <c:pt idx="10">
                  <c:v>0.49986633160455535</c:v>
                </c:pt>
                <c:pt idx="11">
                  <c:v>0.57627118644067798</c:v>
                </c:pt>
                <c:pt idx="12">
                  <c:v>0.66213976367427685</c:v>
                </c:pt>
                <c:pt idx="13">
                  <c:v>0.76057317007966641</c:v>
                </c:pt>
                <c:pt idx="14">
                  <c:v>0.87542105544565041</c:v>
                </c:pt>
                <c:pt idx="15">
                  <c:v>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test'!$AA$4:$AA$19</c:f>
              <c:numCache>
                <c:formatCode>0.00%</c:formatCode>
                <c:ptCount val="16"/>
                <c:pt idx="0">
                  <c:v>0.12297394479172438</c:v>
                </c:pt>
                <c:pt idx="1">
                  <c:v>0.14150578082646445</c:v>
                </c:pt>
                <c:pt idx="2">
                  <c:v>0.16241633014327603</c:v>
                </c:pt>
                <c:pt idx="3">
                  <c:v>0.18753111688886429</c:v>
                </c:pt>
                <c:pt idx="4">
                  <c:v>0.21568844387896216</c:v>
                </c:pt>
                <c:pt idx="5">
                  <c:v>0.2471095867677158</c:v>
                </c:pt>
                <c:pt idx="6">
                  <c:v>0.29717320351828286</c:v>
                </c:pt>
                <c:pt idx="7">
                  <c:v>0.32781988161752501</c:v>
                </c:pt>
                <c:pt idx="8">
                  <c:v>0.37755158488687285</c:v>
                </c:pt>
                <c:pt idx="9">
                  <c:v>0.43441942800243422</c:v>
                </c:pt>
                <c:pt idx="10">
                  <c:v>0.49908723792664716</c:v>
                </c:pt>
                <c:pt idx="11">
                  <c:v>0.57498478729877744</c:v>
                </c:pt>
                <c:pt idx="12">
                  <c:v>0.66122697350224036</c:v>
                </c:pt>
                <c:pt idx="13">
                  <c:v>0.75919676937544933</c:v>
                </c:pt>
                <c:pt idx="14">
                  <c:v>0.87497925540742361</c:v>
                </c:pt>
                <c:pt idx="15">
                  <c:v>0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test'!$AI$4:$AI$19</c:f>
              <c:numCache>
                <c:formatCode>0.00%</c:formatCode>
                <c:ptCount val="16"/>
                <c:pt idx="0">
                  <c:v>-0.88207547169811318</c:v>
                </c:pt>
                <c:pt idx="1">
                  <c:v>-0.86438679245283012</c:v>
                </c:pt>
                <c:pt idx="2">
                  <c:v>-0.84433962264150941</c:v>
                </c:pt>
                <c:pt idx="3">
                  <c:v>-0.82075471698113212</c:v>
                </c:pt>
                <c:pt idx="4">
                  <c:v>-0.79363207547169812</c:v>
                </c:pt>
                <c:pt idx="5">
                  <c:v>-0.7617924528301887</c:v>
                </c:pt>
                <c:pt idx="6">
                  <c:v>-0.72641509433962259</c:v>
                </c:pt>
                <c:pt idx="7">
                  <c:v>-0.68549528301886797</c:v>
                </c:pt>
                <c:pt idx="8">
                  <c:v>-0.63844339622641511</c:v>
                </c:pt>
                <c:pt idx="9">
                  <c:v>-0.58372641509433976</c:v>
                </c:pt>
                <c:pt idx="10">
                  <c:v>-0.52122641509433965</c:v>
                </c:pt>
                <c:pt idx="11">
                  <c:v>-0.44811320754716988</c:v>
                </c:pt>
                <c:pt idx="12">
                  <c:v>-0.3632075471698113</c:v>
                </c:pt>
                <c:pt idx="13">
                  <c:v>-0.26297169811320759</c:v>
                </c:pt>
                <c:pt idx="14">
                  <c:v>-0.14268867924528311</c:v>
                </c:pt>
                <c:pt idx="15" formatCode="General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270272"/>
        <c:axId val="270273072"/>
      </c:lineChart>
      <c:catAx>
        <c:axId val="270270272"/>
        <c:scaling>
          <c:orientation val="minMax"/>
        </c:scaling>
        <c:delete val="0"/>
        <c:axPos val="b"/>
        <c:majorTickMark val="none"/>
        <c:minorTickMark val="none"/>
        <c:tickLblPos val="nextTo"/>
        <c:crossAx val="270273072"/>
        <c:crosses val="autoZero"/>
        <c:auto val="1"/>
        <c:lblAlgn val="ctr"/>
        <c:lblOffset val="100"/>
        <c:noMultiLvlLbl val="0"/>
      </c:catAx>
      <c:valAx>
        <c:axId val="27027307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0.00%" sourceLinked="1"/>
        <c:majorTickMark val="none"/>
        <c:minorTickMark val="none"/>
        <c:tickLblPos val="nextTo"/>
        <c:crossAx val="270270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Sheet4!$E$11:$E$12</c:f>
              <c:strCache>
                <c:ptCount val="2"/>
                <c:pt idx="0">
                  <c:v>0A</c:v>
                </c:pt>
                <c:pt idx="1">
                  <c:v>15A</c:v>
                </c:pt>
              </c:strCache>
            </c:strRef>
          </c:cat>
          <c:val>
            <c:numRef>
              <c:f>Sheet4!$F$11:$F$12</c:f>
              <c:numCache>
                <c:formatCode>General</c:formatCode>
                <c:ptCount val="2"/>
                <c:pt idx="0">
                  <c:v>2.4940000000000002</c:v>
                </c:pt>
                <c:pt idx="1">
                  <c:v>4.133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3300144"/>
        <c:axId val="373300704"/>
      </c:lineChart>
      <c:catAx>
        <c:axId val="37330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00704"/>
        <c:crosses val="autoZero"/>
        <c:auto val="1"/>
        <c:lblAlgn val="ctr"/>
        <c:lblOffset val="100"/>
        <c:noMultiLvlLbl val="0"/>
      </c:catAx>
      <c:valAx>
        <c:axId val="37330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0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21</xdr:row>
      <xdr:rowOff>190499</xdr:rowOff>
    </xdr:from>
    <xdr:to>
      <xdr:col>49</xdr:col>
      <xdr:colOff>361950</xdr:colOff>
      <xdr:row>40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19050</xdr:colOff>
      <xdr:row>55</xdr:row>
      <xdr:rowOff>38100</xdr:rowOff>
    </xdr:from>
    <xdr:to>
      <xdr:col>49</xdr:col>
      <xdr:colOff>323850</xdr:colOff>
      <xdr:row>68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142874</xdr:colOff>
      <xdr:row>71</xdr:row>
      <xdr:rowOff>114300</xdr:rowOff>
    </xdr:from>
    <xdr:to>
      <xdr:col>50</xdr:col>
      <xdr:colOff>209549</xdr:colOff>
      <xdr:row>87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504824</xdr:colOff>
      <xdr:row>0</xdr:row>
      <xdr:rowOff>142873</xdr:rowOff>
    </xdr:from>
    <xdr:to>
      <xdr:col>50</xdr:col>
      <xdr:colOff>19049</xdr:colOff>
      <xdr:row>19</xdr:row>
      <xdr:rowOff>342899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15</xdr:row>
      <xdr:rowOff>52387</xdr:rowOff>
    </xdr:from>
    <xdr:to>
      <xdr:col>18</xdr:col>
      <xdr:colOff>352425</xdr:colOff>
      <xdr:row>29</xdr:row>
      <xdr:rowOff>128587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opLeftCell="A67" zoomScale="80" zoomScaleNormal="80" workbookViewId="0">
      <selection activeCell="Q124" sqref="Q124"/>
    </sheetView>
  </sheetViews>
  <sheetFormatPr defaultRowHeight="15"/>
  <cols>
    <col min="1" max="1" width="7.7109375" customWidth="1"/>
    <col min="2" max="2" width="9" customWidth="1"/>
    <col min="3" max="3" width="10.5703125" customWidth="1"/>
    <col min="4" max="4" width="9.5703125" bestFit="1" customWidth="1"/>
    <col min="5" max="5" width="13.7109375" bestFit="1" customWidth="1"/>
    <col min="6" max="6" width="14.28515625" bestFit="1" customWidth="1"/>
    <col min="7" max="7" width="13.140625" customWidth="1"/>
    <col min="10" max="10" width="12.140625" customWidth="1"/>
    <col min="12" max="12" width="7.5703125" customWidth="1"/>
    <col min="13" max="13" width="10.5703125" customWidth="1"/>
    <col min="14" max="14" width="9.7109375" customWidth="1"/>
    <col min="25" max="25" width="14.140625" customWidth="1"/>
    <col min="29" max="29" width="9.42578125" bestFit="1" customWidth="1"/>
  </cols>
  <sheetData>
    <row r="1" spans="1:12" ht="48" customHeight="1" thickBot="1">
      <c r="A1" s="635" t="s">
        <v>200</v>
      </c>
      <c r="B1" s="636"/>
      <c r="C1" s="636"/>
      <c r="D1" s="636"/>
      <c r="E1" s="636"/>
      <c r="F1" s="636"/>
      <c r="G1" s="636"/>
      <c r="H1" s="636"/>
      <c r="I1" s="636"/>
      <c r="J1" s="636"/>
      <c r="K1" s="636"/>
      <c r="L1" s="637"/>
    </row>
    <row r="2" spans="1:12" ht="39" customHeight="1" thickBot="1">
      <c r="A2" s="649"/>
      <c r="B2" s="649"/>
      <c r="C2" s="649"/>
      <c r="D2" s="649"/>
      <c r="E2" s="649"/>
      <c r="F2" s="649"/>
      <c r="G2" s="649"/>
      <c r="H2" s="649"/>
      <c r="I2" s="649"/>
      <c r="J2" s="649"/>
      <c r="K2" s="649"/>
      <c r="L2" s="649"/>
    </row>
    <row r="3" spans="1:12" ht="27" customHeight="1" thickBot="1">
      <c r="A3" s="661" t="s">
        <v>162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3"/>
    </row>
    <row r="4" spans="1:12" ht="89.25" customHeight="1" thickBot="1">
      <c r="A4" s="151" t="s">
        <v>27</v>
      </c>
      <c r="B4" s="152" t="s">
        <v>28</v>
      </c>
      <c r="C4" s="153" t="s">
        <v>0</v>
      </c>
      <c r="D4" s="153" t="s">
        <v>1</v>
      </c>
      <c r="E4" s="153" t="s">
        <v>166</v>
      </c>
      <c r="F4" s="154" t="s">
        <v>29</v>
      </c>
      <c r="G4" s="638" t="s">
        <v>163</v>
      </c>
      <c r="H4" s="638"/>
      <c r="I4" s="638"/>
      <c r="J4" s="155" t="s">
        <v>164</v>
      </c>
      <c r="K4" s="15"/>
      <c r="L4" s="16"/>
    </row>
    <row r="5" spans="1:12" ht="12.75" customHeight="1" thickBot="1">
      <c r="A5" s="650"/>
      <c r="B5" s="651"/>
      <c r="C5" s="651"/>
      <c r="D5" s="651"/>
      <c r="E5" s="651"/>
      <c r="F5" s="651"/>
      <c r="G5" s="651"/>
      <c r="H5" s="651"/>
      <c r="I5" s="651"/>
      <c r="J5" s="651"/>
      <c r="K5" s="651"/>
      <c r="L5" s="652"/>
    </row>
    <row r="6" spans="1:12" ht="15.75">
      <c r="A6" s="639">
        <v>1</v>
      </c>
      <c r="B6" s="86" t="s">
        <v>30</v>
      </c>
      <c r="C6" s="87">
        <v>4.5</v>
      </c>
      <c r="D6" s="87">
        <v>4.75</v>
      </c>
      <c r="E6" s="87">
        <v>5</v>
      </c>
      <c r="F6" s="87">
        <v>5.25</v>
      </c>
      <c r="G6" s="88">
        <v>5.5</v>
      </c>
      <c r="H6" s="676" t="s">
        <v>165</v>
      </c>
      <c r="I6" s="90"/>
      <c r="J6" s="90"/>
      <c r="K6" s="90"/>
      <c r="L6" s="170"/>
    </row>
    <row r="7" spans="1:12" ht="15.75">
      <c r="A7" s="640"/>
      <c r="B7" s="91" t="s">
        <v>31</v>
      </c>
      <c r="C7" s="92"/>
      <c r="D7" s="93"/>
      <c r="E7" s="93"/>
      <c r="F7" s="94"/>
      <c r="G7" s="95"/>
      <c r="H7" s="676"/>
      <c r="I7" s="90"/>
      <c r="J7" s="90"/>
      <c r="K7" s="90"/>
      <c r="L7" s="170"/>
    </row>
    <row r="8" spans="1:12" ht="15.75">
      <c r="A8" s="640"/>
      <c r="B8" s="91" t="s">
        <v>32</v>
      </c>
      <c r="C8" s="92"/>
      <c r="D8" s="166"/>
      <c r="E8" s="166"/>
      <c r="F8" s="96"/>
      <c r="G8" s="97"/>
      <c r="H8" s="676"/>
      <c r="I8" s="98"/>
      <c r="J8" s="98"/>
      <c r="K8" s="98"/>
      <c r="L8" s="171"/>
    </row>
    <row r="9" spans="1:12" ht="16.5" thickBot="1">
      <c r="A9" s="641"/>
      <c r="B9" s="99" t="s">
        <v>33</v>
      </c>
      <c r="C9" s="100"/>
      <c r="D9" s="101"/>
      <c r="E9" s="101"/>
      <c r="F9" s="100"/>
      <c r="G9" s="102"/>
      <c r="H9" s="676"/>
      <c r="I9" s="89"/>
      <c r="J9" s="89"/>
      <c r="K9" s="89"/>
      <c r="L9" s="170"/>
    </row>
    <row r="10" spans="1:12" ht="16.5" thickBot="1">
      <c r="A10" s="653"/>
      <c r="B10" s="654"/>
      <c r="C10" s="654"/>
      <c r="D10" s="654"/>
      <c r="E10" s="654"/>
      <c r="F10" s="654"/>
      <c r="G10" s="654"/>
      <c r="H10" s="654"/>
      <c r="I10" s="655"/>
      <c r="J10" s="655"/>
      <c r="K10" s="655"/>
      <c r="L10" s="656"/>
    </row>
    <row r="11" spans="1:12" ht="72.75" customHeight="1">
      <c r="A11" s="646">
        <v>2</v>
      </c>
      <c r="B11" s="103" t="s">
        <v>194</v>
      </c>
      <c r="C11" s="104" t="s">
        <v>23</v>
      </c>
      <c r="D11" s="103" t="s">
        <v>193</v>
      </c>
      <c r="E11" s="103" t="s">
        <v>191</v>
      </c>
      <c r="F11" s="103" t="s">
        <v>97</v>
      </c>
      <c r="G11" s="103" t="s">
        <v>96</v>
      </c>
      <c r="H11" s="105"/>
      <c r="I11" s="676" t="s">
        <v>170</v>
      </c>
      <c r="J11" s="89"/>
      <c r="K11" s="89"/>
      <c r="L11" s="172"/>
    </row>
    <row r="12" spans="1:12" ht="15.75">
      <c r="A12" s="647"/>
      <c r="B12" s="659">
        <v>1</v>
      </c>
      <c r="C12" s="659">
        <v>1</v>
      </c>
      <c r="D12" s="106">
        <v>0</v>
      </c>
      <c r="E12" s="107">
        <v>0</v>
      </c>
      <c r="F12" s="93"/>
      <c r="G12" s="93"/>
      <c r="H12" s="108"/>
      <c r="I12" s="676"/>
      <c r="J12" s="109"/>
      <c r="K12" s="109"/>
      <c r="L12" s="173"/>
    </row>
    <row r="13" spans="1:12" ht="14.25" customHeight="1">
      <c r="A13" s="647"/>
      <c r="B13" s="659"/>
      <c r="C13" s="659"/>
      <c r="D13" s="106">
        <v>0</v>
      </c>
      <c r="E13" s="106">
        <v>1</v>
      </c>
      <c r="F13" s="94"/>
      <c r="G13" s="94"/>
      <c r="H13" s="95"/>
      <c r="I13" s="676"/>
      <c r="J13" s="90"/>
      <c r="K13" s="90"/>
      <c r="L13" s="170"/>
    </row>
    <row r="14" spans="1:12" ht="15.75">
      <c r="A14" s="647"/>
      <c r="B14" s="659"/>
      <c r="C14" s="659"/>
      <c r="D14" s="106">
        <v>1</v>
      </c>
      <c r="E14" s="106">
        <v>0</v>
      </c>
      <c r="F14" s="94"/>
      <c r="G14" s="94"/>
      <c r="H14" s="95"/>
      <c r="I14" s="676"/>
      <c r="J14" s="90"/>
      <c r="K14" s="90"/>
      <c r="L14" s="170"/>
    </row>
    <row r="15" spans="1:12" ht="16.5" thickBot="1">
      <c r="A15" s="648"/>
      <c r="B15" s="660"/>
      <c r="C15" s="660"/>
      <c r="D15" s="100">
        <v>1</v>
      </c>
      <c r="E15" s="110">
        <v>1</v>
      </c>
      <c r="F15" s="111"/>
      <c r="G15" s="111"/>
      <c r="H15" s="112"/>
      <c r="I15" s="676"/>
      <c r="J15" s="90"/>
      <c r="K15" s="90"/>
      <c r="L15" s="170"/>
    </row>
    <row r="16" spans="1:12" ht="16.5" thickBot="1">
      <c r="A16" s="647"/>
      <c r="B16" s="657"/>
      <c r="C16" s="657"/>
      <c r="D16" s="657"/>
      <c r="E16" s="657"/>
      <c r="F16" s="657"/>
      <c r="G16" s="657"/>
      <c r="H16" s="657"/>
      <c r="I16" s="657"/>
      <c r="J16" s="657"/>
      <c r="K16" s="657"/>
      <c r="L16" s="658"/>
    </row>
    <row r="17" spans="1:12" ht="15.75">
      <c r="A17" s="642">
        <v>3</v>
      </c>
      <c r="B17" s="103" t="s">
        <v>147</v>
      </c>
      <c r="C17" s="645" t="s">
        <v>148</v>
      </c>
      <c r="D17" s="645"/>
      <c r="E17" s="64" t="s">
        <v>34</v>
      </c>
      <c r="F17" s="64">
        <v>4.5</v>
      </c>
      <c r="G17" s="64">
        <v>4.75</v>
      </c>
      <c r="H17" s="64">
        <v>5</v>
      </c>
      <c r="I17" s="64">
        <v>5.25</v>
      </c>
      <c r="J17" s="64">
        <v>5.5</v>
      </c>
      <c r="K17" s="84"/>
      <c r="L17" s="677" t="s">
        <v>171</v>
      </c>
    </row>
    <row r="18" spans="1:12" ht="15.75">
      <c r="A18" s="643"/>
      <c r="B18" s="659">
        <v>0</v>
      </c>
      <c r="C18" s="659">
        <v>1</v>
      </c>
      <c r="D18" s="659"/>
      <c r="E18" s="59" t="s">
        <v>36</v>
      </c>
      <c r="F18" s="93"/>
      <c r="G18" s="93"/>
      <c r="H18" s="93"/>
      <c r="I18" s="93"/>
      <c r="J18" s="93"/>
      <c r="K18" s="108"/>
      <c r="L18" s="677"/>
    </row>
    <row r="19" spans="1:12" ht="15.75">
      <c r="A19" s="643"/>
      <c r="B19" s="659"/>
      <c r="C19" s="659"/>
      <c r="D19" s="659"/>
      <c r="E19" s="59" t="s">
        <v>37</v>
      </c>
      <c r="F19" s="93"/>
      <c r="G19" s="93"/>
      <c r="H19" s="93"/>
      <c r="I19" s="93"/>
      <c r="J19" s="93"/>
      <c r="K19" s="108"/>
      <c r="L19" s="677"/>
    </row>
    <row r="20" spans="1:12" ht="15.75">
      <c r="A20" s="643"/>
      <c r="B20" s="659"/>
      <c r="C20" s="659"/>
      <c r="D20" s="659"/>
      <c r="E20" s="59" t="s">
        <v>38</v>
      </c>
      <c r="F20" s="93"/>
      <c r="G20" s="93"/>
      <c r="H20" s="93"/>
      <c r="I20" s="93"/>
      <c r="J20" s="93"/>
      <c r="K20" s="108"/>
      <c r="L20" s="677"/>
    </row>
    <row r="21" spans="1:12" ht="16.5" thickBot="1">
      <c r="A21" s="644"/>
      <c r="B21" s="660"/>
      <c r="C21" s="660"/>
      <c r="D21" s="660"/>
      <c r="E21" s="85" t="s">
        <v>35</v>
      </c>
      <c r="F21" s="113">
        <f>((F20-F19)/5+(F20-F18)/10)/2</f>
        <v>0</v>
      </c>
      <c r="G21" s="113">
        <f>((G20-G19)/5+(G20-G18)/10)/2</f>
        <v>0</v>
      </c>
      <c r="H21" s="113">
        <f>((H20-H19)/5+(H20-H18)/10)/2</f>
        <v>0</v>
      </c>
      <c r="I21" s="113">
        <f>((I20-I19)/5+(I20-I18)/10)/2</f>
        <v>0</v>
      </c>
      <c r="J21" s="113">
        <f>((J20-J19)/5+(J20-J18)/10)/2</f>
        <v>0</v>
      </c>
      <c r="K21" s="114"/>
      <c r="L21" s="677"/>
    </row>
    <row r="22" spans="1:12" ht="14.25" customHeight="1" thickBot="1">
      <c r="A22" s="672"/>
      <c r="B22" s="673"/>
      <c r="C22" s="673"/>
      <c r="D22" s="673"/>
      <c r="E22" s="673"/>
      <c r="F22" s="673"/>
      <c r="G22" s="673"/>
      <c r="H22" s="673"/>
      <c r="I22" s="673"/>
      <c r="J22" s="673"/>
      <c r="K22" s="673"/>
      <c r="L22" s="674"/>
    </row>
    <row r="23" spans="1:12" ht="39.75" customHeight="1" thickBot="1">
      <c r="A23" s="665">
        <v>4</v>
      </c>
      <c r="B23" s="161" t="s">
        <v>146</v>
      </c>
      <c r="C23" s="103" t="s">
        <v>145</v>
      </c>
      <c r="D23" s="156" t="s">
        <v>169</v>
      </c>
      <c r="E23" s="132" t="s">
        <v>167</v>
      </c>
      <c r="F23" s="132" t="s">
        <v>37</v>
      </c>
      <c r="G23" s="132" t="s">
        <v>168</v>
      </c>
      <c r="H23" s="85" t="s">
        <v>35</v>
      </c>
      <c r="I23" s="149"/>
      <c r="J23" s="149"/>
      <c r="K23" s="149"/>
      <c r="L23" s="174"/>
    </row>
    <row r="24" spans="1:12" ht="22.5" customHeight="1">
      <c r="A24" s="666"/>
      <c r="B24" s="162">
        <v>0</v>
      </c>
      <c r="C24" s="107">
        <v>0</v>
      </c>
      <c r="D24" s="132"/>
      <c r="E24" s="93"/>
      <c r="F24" s="93"/>
      <c r="G24" s="93"/>
      <c r="H24" s="93">
        <f>((E24-F24)/5+(E24-G24)/10)/2</f>
        <v>0</v>
      </c>
      <c r="I24" s="93"/>
      <c r="J24" s="108"/>
      <c r="K24" s="678" t="s">
        <v>172</v>
      </c>
      <c r="L24" s="174"/>
    </row>
    <row r="25" spans="1:12" ht="18" customHeight="1">
      <c r="A25" s="666"/>
      <c r="B25" s="162">
        <v>0</v>
      </c>
      <c r="C25" s="106">
        <v>1</v>
      </c>
      <c r="D25" s="132"/>
      <c r="E25" s="93"/>
      <c r="F25" s="93"/>
      <c r="G25" s="93"/>
      <c r="H25" s="93">
        <f>((E25-F25)/5+(E25-G25)/10)/2</f>
        <v>0</v>
      </c>
      <c r="I25" s="93"/>
      <c r="J25" s="108"/>
      <c r="K25" s="678"/>
      <c r="L25" s="174"/>
    </row>
    <row r="26" spans="1:12" ht="15" customHeight="1">
      <c r="A26" s="666"/>
      <c r="B26" s="162">
        <v>1</v>
      </c>
      <c r="C26" s="106">
        <v>0</v>
      </c>
      <c r="D26" s="132"/>
      <c r="E26" s="93"/>
      <c r="F26" s="93"/>
      <c r="G26" s="93"/>
      <c r="H26" s="93">
        <f>((E26-F26)/5+(E26-G26)/10)/2</f>
        <v>0</v>
      </c>
      <c r="I26" s="93"/>
      <c r="J26" s="108"/>
      <c r="K26" s="678"/>
      <c r="L26" s="174"/>
    </row>
    <row r="27" spans="1:12" ht="18.75" customHeight="1" thickBot="1">
      <c r="A27" s="667"/>
      <c r="B27" s="163">
        <v>1</v>
      </c>
      <c r="C27" s="110">
        <v>1</v>
      </c>
      <c r="D27" s="85"/>
      <c r="E27" s="113"/>
      <c r="F27" s="113"/>
      <c r="G27" s="113"/>
      <c r="H27" s="93">
        <f>((E27-F27)/5+(E27-G27)/10)/2</f>
        <v>0</v>
      </c>
      <c r="I27" s="113"/>
      <c r="J27" s="114"/>
      <c r="K27" s="678"/>
      <c r="L27" s="175"/>
    </row>
    <row r="28" spans="1:12" ht="18.75" customHeight="1">
      <c r="A28" s="157"/>
      <c r="B28" s="89"/>
      <c r="C28" s="158"/>
      <c r="D28" s="159"/>
      <c r="E28" s="160"/>
      <c r="F28" s="160"/>
      <c r="G28" s="160"/>
      <c r="H28" s="109"/>
      <c r="I28" s="160"/>
      <c r="J28" s="160"/>
      <c r="K28" s="150"/>
      <c r="L28" s="175"/>
    </row>
    <row r="29" spans="1:12" ht="18.75" customHeight="1">
      <c r="A29" s="669">
        <v>5</v>
      </c>
      <c r="B29" s="106" t="s">
        <v>198</v>
      </c>
      <c r="C29" s="107" t="s">
        <v>197</v>
      </c>
      <c r="D29" s="164" t="s">
        <v>173</v>
      </c>
      <c r="E29" s="165" t="s">
        <v>174</v>
      </c>
      <c r="F29" s="160"/>
      <c r="G29" s="670" t="s">
        <v>175</v>
      </c>
      <c r="H29" s="109"/>
      <c r="I29" s="160"/>
      <c r="J29" s="160"/>
      <c r="K29" s="150"/>
      <c r="L29" s="175"/>
    </row>
    <row r="30" spans="1:12" ht="18.75" customHeight="1">
      <c r="A30" s="669"/>
      <c r="B30" s="668">
        <v>1</v>
      </c>
      <c r="C30" s="107">
        <v>0</v>
      </c>
      <c r="D30" s="164"/>
      <c r="E30" s="165"/>
      <c r="F30" s="160"/>
      <c r="G30" s="670"/>
      <c r="H30" s="109"/>
      <c r="I30" s="160"/>
      <c r="J30" s="160"/>
      <c r="K30" s="150"/>
      <c r="L30" s="175"/>
    </row>
    <row r="31" spans="1:12" ht="18.75" customHeight="1">
      <c r="A31" s="669"/>
      <c r="B31" s="668"/>
      <c r="C31" s="107">
        <v>1</v>
      </c>
      <c r="D31" s="164"/>
      <c r="E31" s="165"/>
      <c r="F31" s="160"/>
      <c r="G31" s="670"/>
      <c r="H31" s="109"/>
      <c r="I31" s="160"/>
      <c r="J31" s="160"/>
      <c r="K31" s="150"/>
      <c r="L31" s="175"/>
    </row>
    <row r="32" spans="1:12" ht="18.75" customHeight="1" thickBot="1">
      <c r="A32" s="680" t="s">
        <v>176</v>
      </c>
      <c r="B32" s="679"/>
      <c r="C32" s="679"/>
      <c r="D32" s="679"/>
      <c r="E32" s="679"/>
      <c r="F32" s="679"/>
      <c r="G32" s="679"/>
      <c r="H32" s="679"/>
      <c r="I32" s="679"/>
      <c r="J32" s="679"/>
      <c r="K32" s="679"/>
      <c r="L32" s="681"/>
    </row>
    <row r="33" spans="1:31" ht="48.75" customHeight="1" thickBot="1">
      <c r="A33" s="679"/>
      <c r="B33" s="679"/>
      <c r="C33" s="679"/>
      <c r="D33" s="679"/>
      <c r="E33" s="679"/>
      <c r="F33" s="679"/>
      <c r="G33" s="679"/>
      <c r="H33" s="679"/>
      <c r="I33" s="679"/>
      <c r="J33" s="679"/>
      <c r="K33" s="679"/>
      <c r="L33" s="679"/>
    </row>
    <row r="34" spans="1:31" ht="27" customHeight="1" thickBot="1">
      <c r="A34" s="682" t="s">
        <v>250</v>
      </c>
      <c r="B34" s="683"/>
      <c r="C34" s="683"/>
      <c r="D34" s="683"/>
      <c r="E34" s="683"/>
      <c r="F34" s="683"/>
      <c r="G34" s="683"/>
      <c r="H34" s="683"/>
      <c r="I34" s="683"/>
      <c r="J34" s="683"/>
      <c r="K34" s="683"/>
      <c r="L34" s="684"/>
    </row>
    <row r="35" spans="1:31" ht="16.5" thickBot="1">
      <c r="A35" s="115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</row>
    <row r="36" spans="1:31" ht="15.75">
      <c r="A36" s="116" t="s">
        <v>7</v>
      </c>
      <c r="B36" s="117" t="s">
        <v>8</v>
      </c>
      <c r="C36" s="117" t="s">
        <v>9</v>
      </c>
      <c r="D36" s="117" t="s">
        <v>10</v>
      </c>
      <c r="E36" s="118" t="s">
        <v>155</v>
      </c>
      <c r="F36" s="118"/>
      <c r="G36" s="118"/>
      <c r="H36" s="119" t="s">
        <v>21</v>
      </c>
      <c r="I36" s="120" t="s">
        <v>24</v>
      </c>
      <c r="J36" s="17"/>
      <c r="K36" s="671" t="s">
        <v>161</v>
      </c>
      <c r="L36" s="664"/>
      <c r="M36" s="664"/>
      <c r="N36" s="664"/>
      <c r="O36" s="664"/>
      <c r="P36" s="664"/>
      <c r="Q36" s="664"/>
      <c r="R36" s="664"/>
      <c r="S36" s="664"/>
      <c r="T36" s="664"/>
      <c r="U36" s="664"/>
      <c r="V36" s="9"/>
      <c r="W36" s="29"/>
      <c r="X36" s="9"/>
      <c r="Y36" s="9"/>
      <c r="Z36" s="30"/>
      <c r="AA36" s="30"/>
      <c r="AB36" s="30"/>
      <c r="AC36" s="30"/>
      <c r="AD36" s="31"/>
      <c r="AE36" s="31"/>
    </row>
    <row r="37" spans="1:31" ht="15.75">
      <c r="A37" s="21">
        <v>1</v>
      </c>
      <c r="B37" s="19">
        <v>1</v>
      </c>
      <c r="C37" s="19">
        <v>1</v>
      </c>
      <c r="D37" s="19">
        <v>1</v>
      </c>
      <c r="E37" s="2">
        <v>1</v>
      </c>
      <c r="F37" s="122">
        <v>-0.88207547169811318</v>
      </c>
      <c r="G37" s="19"/>
      <c r="H37" s="60" t="s">
        <v>39</v>
      </c>
      <c r="I37" s="81">
        <v>1</v>
      </c>
      <c r="J37" s="691" t="s">
        <v>156</v>
      </c>
      <c r="K37" s="671"/>
      <c r="N37" s="4"/>
      <c r="O37" s="6"/>
      <c r="R37" s="9"/>
      <c r="S37" s="9"/>
      <c r="T37" s="9"/>
      <c r="U37" s="9"/>
      <c r="V37" s="9"/>
      <c r="W37" s="9"/>
      <c r="X37" s="9"/>
      <c r="Y37" s="9"/>
      <c r="Z37" s="11"/>
      <c r="AA37" s="11"/>
      <c r="AB37" s="9"/>
      <c r="AC37" s="11"/>
      <c r="AE37" s="11"/>
    </row>
    <row r="38" spans="1:31" ht="15.75">
      <c r="A38" s="21">
        <v>1</v>
      </c>
      <c r="B38" s="19">
        <v>1</v>
      </c>
      <c r="C38" s="19">
        <v>1</v>
      </c>
      <c r="D38" s="19">
        <v>0</v>
      </c>
      <c r="E38" s="5">
        <v>1.1499999999999999</v>
      </c>
      <c r="F38" s="122">
        <v>-0.86438679245283012</v>
      </c>
      <c r="G38" s="19"/>
      <c r="H38" s="60" t="s">
        <v>39</v>
      </c>
      <c r="I38" s="81">
        <v>0</v>
      </c>
      <c r="J38" s="692"/>
      <c r="K38" s="671"/>
      <c r="N38" s="5"/>
      <c r="O38" s="6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E38" s="11"/>
    </row>
    <row r="39" spans="1:31" ht="15.75">
      <c r="A39" s="21">
        <v>1</v>
      </c>
      <c r="B39" s="19">
        <v>1</v>
      </c>
      <c r="C39" s="19">
        <v>0</v>
      </c>
      <c r="D39" s="19">
        <v>1</v>
      </c>
      <c r="E39" s="5">
        <v>1.32</v>
      </c>
      <c r="F39" s="122">
        <v>-0.84433962264150941</v>
      </c>
      <c r="G39" s="19"/>
      <c r="H39" s="60" t="s">
        <v>40</v>
      </c>
      <c r="I39" s="81">
        <v>1</v>
      </c>
      <c r="J39" s="692"/>
      <c r="K39" s="671"/>
      <c r="N39" s="5"/>
      <c r="O39" s="6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E39" s="11"/>
    </row>
    <row r="40" spans="1:31" ht="15.75">
      <c r="A40" s="21">
        <v>1</v>
      </c>
      <c r="B40" s="19">
        <v>1</v>
      </c>
      <c r="C40" s="19">
        <v>0</v>
      </c>
      <c r="D40" s="19">
        <v>0</v>
      </c>
      <c r="E40" s="5">
        <v>1.52</v>
      </c>
      <c r="F40" s="122">
        <v>-0.82075471698113212</v>
      </c>
      <c r="G40" s="19"/>
      <c r="H40" s="60" t="s">
        <v>40</v>
      </c>
      <c r="I40" s="81">
        <v>0</v>
      </c>
      <c r="J40" s="692"/>
      <c r="K40" s="671"/>
      <c r="N40" s="5"/>
      <c r="O40" s="6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E40" s="11"/>
    </row>
    <row r="41" spans="1:31" ht="15.75">
      <c r="A41" s="21">
        <v>1</v>
      </c>
      <c r="B41" s="19">
        <v>0</v>
      </c>
      <c r="C41" s="19">
        <v>1</v>
      </c>
      <c r="D41" s="19">
        <v>1</v>
      </c>
      <c r="E41" s="5">
        <v>1.75</v>
      </c>
      <c r="F41" s="122">
        <v>-0.79363207547169812</v>
      </c>
      <c r="G41" s="19"/>
      <c r="H41" s="60" t="s">
        <v>41</v>
      </c>
      <c r="I41" s="81">
        <v>1</v>
      </c>
      <c r="J41" s="692"/>
      <c r="K41" s="671"/>
      <c r="N41" s="5"/>
      <c r="O41" s="6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E41" s="11"/>
    </row>
    <row r="42" spans="1:31" ht="15.75">
      <c r="A42" s="21">
        <v>1</v>
      </c>
      <c r="B42" s="19">
        <v>0</v>
      </c>
      <c r="C42" s="19">
        <v>1</v>
      </c>
      <c r="D42" s="19">
        <v>0</v>
      </c>
      <c r="E42" s="5">
        <v>2.02</v>
      </c>
      <c r="F42" s="122">
        <v>-0.7617924528301887</v>
      </c>
      <c r="G42" s="19"/>
      <c r="H42" s="60" t="s">
        <v>41</v>
      </c>
      <c r="I42" s="81">
        <v>0</v>
      </c>
      <c r="J42" s="692"/>
      <c r="K42" s="671"/>
      <c r="N42" s="5"/>
      <c r="O42" s="6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E42" s="11"/>
    </row>
    <row r="43" spans="1:31" ht="15.75">
      <c r="A43" s="21">
        <v>1</v>
      </c>
      <c r="B43" s="19">
        <v>0</v>
      </c>
      <c r="C43" s="19">
        <v>0</v>
      </c>
      <c r="D43" s="19">
        <v>1</v>
      </c>
      <c r="E43" s="5">
        <v>2.3199999999999998</v>
      </c>
      <c r="F43" s="122">
        <v>-0.72641509433962259</v>
      </c>
      <c r="G43" s="19"/>
      <c r="H43" s="60" t="s">
        <v>42</v>
      </c>
      <c r="I43" s="81">
        <v>1</v>
      </c>
      <c r="J43" s="692"/>
      <c r="K43" s="671"/>
      <c r="N43" s="5"/>
      <c r="O43" s="6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E43" s="11"/>
    </row>
    <row r="44" spans="1:31" ht="15.75">
      <c r="A44" s="21">
        <v>1</v>
      </c>
      <c r="B44" s="19">
        <v>0</v>
      </c>
      <c r="C44" s="19">
        <v>0</v>
      </c>
      <c r="D44" s="19">
        <v>0</v>
      </c>
      <c r="E44" s="5">
        <v>2.6669999999999998</v>
      </c>
      <c r="F44" s="122">
        <v>-0.68549528301886797</v>
      </c>
      <c r="G44" s="19"/>
      <c r="H44" s="60" t="s">
        <v>42</v>
      </c>
      <c r="I44" s="81">
        <v>0</v>
      </c>
      <c r="J44" s="692"/>
      <c r="K44" s="671"/>
      <c r="N44" s="5"/>
      <c r="O44" s="6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E44" s="11"/>
    </row>
    <row r="45" spans="1:31" ht="15.75">
      <c r="A45" s="21">
        <v>0</v>
      </c>
      <c r="B45" s="19">
        <v>1</v>
      </c>
      <c r="C45" s="19">
        <v>1</v>
      </c>
      <c r="D45" s="19">
        <v>1</v>
      </c>
      <c r="E45" s="5">
        <v>3.0659999999999998</v>
      </c>
      <c r="F45" s="122">
        <v>-0.63844339622641511</v>
      </c>
      <c r="G45" s="121"/>
      <c r="H45" s="60" t="s">
        <v>43</v>
      </c>
      <c r="I45" s="81">
        <v>1</v>
      </c>
      <c r="J45" s="692"/>
      <c r="K45" s="671"/>
      <c r="N45" s="5"/>
      <c r="O45" s="6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E45" s="11"/>
    </row>
    <row r="46" spans="1:31" ht="15.75">
      <c r="A46" s="21">
        <v>0</v>
      </c>
      <c r="B46" s="19">
        <v>1</v>
      </c>
      <c r="C46" s="19">
        <v>1</v>
      </c>
      <c r="D46" s="19">
        <v>0</v>
      </c>
      <c r="E46" s="5">
        <v>3.53</v>
      </c>
      <c r="F46" s="122">
        <v>-0.58372641509433976</v>
      </c>
      <c r="G46" s="19"/>
      <c r="H46" s="60" t="s">
        <v>43</v>
      </c>
      <c r="I46" s="81">
        <v>0</v>
      </c>
      <c r="J46" s="692"/>
      <c r="K46" s="671"/>
      <c r="N46" s="5"/>
      <c r="O46" s="6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E46" s="11"/>
    </row>
    <row r="47" spans="1:31" ht="15.75">
      <c r="A47" s="21">
        <v>0</v>
      </c>
      <c r="B47" s="19">
        <v>1</v>
      </c>
      <c r="C47" s="19">
        <v>0</v>
      </c>
      <c r="D47" s="19">
        <v>1</v>
      </c>
      <c r="E47" s="5">
        <v>4.0599999999999996</v>
      </c>
      <c r="F47" s="122">
        <v>-0.52122641509433965</v>
      </c>
      <c r="G47" s="19"/>
      <c r="H47" s="60" t="s">
        <v>44</v>
      </c>
      <c r="I47" s="81">
        <v>1</v>
      </c>
      <c r="J47" s="692"/>
      <c r="K47" s="671"/>
      <c r="N47" s="5"/>
      <c r="O47" s="6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E47" s="11"/>
    </row>
    <row r="48" spans="1:31" ht="15.75">
      <c r="A48" s="21">
        <v>0</v>
      </c>
      <c r="B48" s="19">
        <v>1</v>
      </c>
      <c r="C48" s="19">
        <v>0</v>
      </c>
      <c r="D48" s="19">
        <v>0</v>
      </c>
      <c r="E48" s="5">
        <v>4.68</v>
      </c>
      <c r="F48" s="122">
        <v>-0.44811320754716988</v>
      </c>
      <c r="G48" s="19"/>
      <c r="H48" s="60" t="s">
        <v>44</v>
      </c>
      <c r="I48" s="81">
        <v>0</v>
      </c>
      <c r="J48" s="692"/>
      <c r="K48" s="671"/>
      <c r="N48" s="5"/>
      <c r="O48" s="6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E48" s="11"/>
    </row>
    <row r="49" spans="1:32" ht="15.75">
      <c r="A49" s="21">
        <v>0</v>
      </c>
      <c r="B49" s="19">
        <v>0</v>
      </c>
      <c r="C49" s="19">
        <v>1</v>
      </c>
      <c r="D49" s="19">
        <v>1</v>
      </c>
      <c r="E49" s="5">
        <v>5.4</v>
      </c>
      <c r="F49" s="122">
        <v>-0.3632075471698113</v>
      </c>
      <c r="G49" s="19"/>
      <c r="H49" s="60" t="s">
        <v>26</v>
      </c>
      <c r="I49" s="81">
        <v>1</v>
      </c>
      <c r="J49" s="692"/>
      <c r="K49" s="671"/>
      <c r="N49" s="5"/>
      <c r="O49" s="6"/>
      <c r="X49" s="9"/>
      <c r="AE49" s="11"/>
    </row>
    <row r="50" spans="1:32" ht="15.75">
      <c r="A50" s="21">
        <v>0</v>
      </c>
      <c r="B50" s="19">
        <v>0</v>
      </c>
      <c r="C50" s="19">
        <v>1</v>
      </c>
      <c r="D50" s="19">
        <v>0</v>
      </c>
      <c r="E50" s="5">
        <v>6.25</v>
      </c>
      <c r="F50" s="122">
        <v>-0.26297169811320759</v>
      </c>
      <c r="G50" s="19"/>
      <c r="H50" s="60" t="s">
        <v>26</v>
      </c>
      <c r="I50" s="81">
        <v>0</v>
      </c>
      <c r="J50" s="692"/>
      <c r="K50" s="671"/>
      <c r="N50" s="5"/>
      <c r="O50" s="6"/>
      <c r="X50" s="9"/>
      <c r="AE50" s="11"/>
    </row>
    <row r="51" spans="1:32" ht="15.75">
      <c r="A51" s="21">
        <v>0</v>
      </c>
      <c r="B51" s="19">
        <v>0</v>
      </c>
      <c r="C51" s="19">
        <v>0</v>
      </c>
      <c r="D51" s="19">
        <v>1</v>
      </c>
      <c r="E51" s="5">
        <v>7.27</v>
      </c>
      <c r="F51" s="122">
        <v>-0.14268867924528311</v>
      </c>
      <c r="G51" s="19"/>
      <c r="H51" s="60" t="s">
        <v>25</v>
      </c>
      <c r="I51" s="81">
        <v>1</v>
      </c>
      <c r="J51" s="692"/>
      <c r="K51" s="671"/>
      <c r="N51" s="5"/>
      <c r="O51" s="6"/>
      <c r="X51" s="9"/>
      <c r="AE51" s="11"/>
    </row>
    <row r="52" spans="1:32" ht="16.5" thickBot="1">
      <c r="A52" s="21">
        <v>0</v>
      </c>
      <c r="B52" s="19">
        <v>0</v>
      </c>
      <c r="C52" s="19">
        <v>0</v>
      </c>
      <c r="D52" s="19">
        <v>0</v>
      </c>
      <c r="E52" s="142">
        <v>8.48</v>
      </c>
      <c r="F52" s="123">
        <v>0</v>
      </c>
      <c r="G52" s="19"/>
      <c r="H52" s="60" t="s">
        <v>25</v>
      </c>
      <c r="I52" s="81">
        <v>0</v>
      </c>
      <c r="J52" s="692"/>
      <c r="K52" s="671"/>
      <c r="N52" s="3"/>
      <c r="O52" s="6"/>
    </row>
    <row r="53" spans="1:32" ht="30">
      <c r="A53" s="130" t="s">
        <v>13</v>
      </c>
      <c r="B53" s="131" t="s">
        <v>14</v>
      </c>
      <c r="C53" s="131" t="s">
        <v>15</v>
      </c>
      <c r="D53" s="131" t="s">
        <v>16</v>
      </c>
      <c r="E53" s="131" t="s">
        <v>12</v>
      </c>
      <c r="F53" s="127"/>
      <c r="G53" s="53"/>
      <c r="H53" s="53" t="s">
        <v>21</v>
      </c>
      <c r="I53" s="128"/>
      <c r="J53" s="686" t="s">
        <v>177</v>
      </c>
      <c r="K53" s="10"/>
      <c r="L53" s="8" t="s">
        <v>179</v>
      </c>
      <c r="M53" s="9" t="s">
        <v>180</v>
      </c>
      <c r="N53" s="14" t="s">
        <v>181</v>
      </c>
      <c r="O53" s="6" t="s">
        <v>182</v>
      </c>
      <c r="P53" t="s">
        <v>183</v>
      </c>
      <c r="Q53" t="s">
        <v>184</v>
      </c>
      <c r="R53" s="9" t="s">
        <v>185</v>
      </c>
      <c r="S53" s="9" t="s">
        <v>186</v>
      </c>
      <c r="T53" s="9" t="s">
        <v>187</v>
      </c>
      <c r="U53" s="9"/>
      <c r="V53" s="9"/>
      <c r="W53" s="9"/>
      <c r="X53" s="9"/>
      <c r="Y53" s="9"/>
      <c r="Z53" s="9"/>
      <c r="AA53" s="9"/>
      <c r="AB53" s="9"/>
    </row>
    <row r="54" spans="1:32" ht="15.75">
      <c r="A54" s="41">
        <v>0</v>
      </c>
      <c r="B54" s="33">
        <v>0</v>
      </c>
      <c r="C54" s="33">
        <v>0</v>
      </c>
      <c r="D54" s="33">
        <v>0</v>
      </c>
      <c r="E54" s="33">
        <v>0</v>
      </c>
      <c r="F54" s="124">
        <v>0</v>
      </c>
      <c r="G54" s="80"/>
      <c r="H54" s="60" t="s">
        <v>25</v>
      </c>
      <c r="I54" s="81"/>
      <c r="J54" s="687"/>
      <c r="K54" s="8"/>
      <c r="L54" s="8">
        <v>0.5</v>
      </c>
      <c r="M54" s="9">
        <v>0.1</v>
      </c>
      <c r="N54" s="168">
        <v>1</v>
      </c>
      <c r="O54" s="6">
        <v>1</v>
      </c>
      <c r="P54">
        <v>1</v>
      </c>
      <c r="Q54">
        <v>1</v>
      </c>
      <c r="R54" s="9">
        <v>1</v>
      </c>
      <c r="S54" s="9">
        <f t="shared" ref="S54:S85" si="0">1/(1/0.1+N54*1/1+O54*1/2+P54*1/4+Q54*1/8+R54*1/16)</f>
        <v>8.3769633507853408E-2</v>
      </c>
      <c r="T54" s="9">
        <f t="shared" ref="T54:T85" si="1">1+0.5/S54</f>
        <v>6.96875</v>
      </c>
      <c r="U54" s="29" t="s">
        <v>188</v>
      </c>
      <c r="V54" s="9"/>
      <c r="W54" s="9"/>
      <c r="X54" s="9"/>
      <c r="Y54" s="9"/>
      <c r="Z54" s="9"/>
      <c r="AA54" s="9"/>
      <c r="AB54" s="9"/>
    </row>
    <row r="55" spans="1:32" ht="15.75">
      <c r="A55" s="41">
        <v>0</v>
      </c>
      <c r="B55" s="33">
        <v>0</v>
      </c>
      <c r="C55" s="33">
        <v>0</v>
      </c>
      <c r="D55" s="33">
        <v>0</v>
      </c>
      <c r="E55" s="33">
        <v>1</v>
      </c>
      <c r="F55" s="125">
        <v>-4.5200172191132591E-3</v>
      </c>
      <c r="G55" s="78"/>
      <c r="H55" s="60" t="s">
        <v>45</v>
      </c>
      <c r="I55" s="81"/>
      <c r="J55" s="687"/>
      <c r="K55" s="10"/>
      <c r="L55" s="10"/>
      <c r="M55" s="9"/>
      <c r="N55" s="168">
        <v>1</v>
      </c>
      <c r="O55" s="6">
        <v>1</v>
      </c>
      <c r="P55">
        <v>1</v>
      </c>
      <c r="Q55">
        <v>1</v>
      </c>
      <c r="R55" s="9">
        <v>0</v>
      </c>
      <c r="S55" s="9">
        <f t="shared" si="0"/>
        <v>8.4210526315789472E-2</v>
      </c>
      <c r="T55" s="9">
        <f t="shared" si="1"/>
        <v>6.9375</v>
      </c>
      <c r="U55" s="9"/>
      <c r="V55" s="9"/>
      <c r="W55" s="9"/>
      <c r="X55" s="5"/>
      <c r="Y55" s="4"/>
      <c r="Z55" s="4"/>
      <c r="AA55" s="4"/>
      <c r="AB55" s="4"/>
      <c r="AC55" s="4"/>
      <c r="AD55" s="4"/>
      <c r="AE55" s="4"/>
      <c r="AF55" s="4"/>
    </row>
    <row r="56" spans="1:32" ht="15.75">
      <c r="A56" s="41">
        <v>0</v>
      </c>
      <c r="B56" s="79">
        <v>0</v>
      </c>
      <c r="C56" s="79">
        <v>0</v>
      </c>
      <c r="D56" s="79">
        <v>1</v>
      </c>
      <c r="E56" s="33">
        <v>0</v>
      </c>
      <c r="F56" s="125">
        <v>-9.0041612856938298E-3</v>
      </c>
      <c r="G56" s="78"/>
      <c r="H56" s="60" t="s">
        <v>46</v>
      </c>
      <c r="I56" s="81"/>
      <c r="J56" s="687"/>
      <c r="K56" s="9"/>
      <c r="L56" s="10"/>
      <c r="M56" s="9"/>
      <c r="N56" s="168">
        <v>1</v>
      </c>
      <c r="O56" s="6">
        <v>1</v>
      </c>
      <c r="P56">
        <v>1</v>
      </c>
      <c r="Q56">
        <v>0</v>
      </c>
      <c r="R56" s="9">
        <v>1</v>
      </c>
      <c r="S56" s="9">
        <f t="shared" si="0"/>
        <v>8.4656084656084651E-2</v>
      </c>
      <c r="T56" s="9">
        <f t="shared" si="1"/>
        <v>6.90625</v>
      </c>
      <c r="U56" s="9"/>
      <c r="V56" s="9"/>
      <c r="W56" s="9"/>
      <c r="X56" s="143"/>
      <c r="Y56" s="144"/>
      <c r="Z56" s="3"/>
      <c r="AA56" s="3"/>
      <c r="AB56" s="3"/>
      <c r="AC56" s="3"/>
      <c r="AD56" s="3"/>
      <c r="AF56" s="167"/>
    </row>
    <row r="57" spans="1:32" ht="15.75">
      <c r="A57" s="41">
        <v>0</v>
      </c>
      <c r="B57" s="79">
        <v>0</v>
      </c>
      <c r="C57" s="79">
        <v>0</v>
      </c>
      <c r="D57" s="79">
        <v>1</v>
      </c>
      <c r="E57" s="33">
        <v>1</v>
      </c>
      <c r="F57" s="125">
        <v>-1.3488305352274401E-2</v>
      </c>
      <c r="G57" s="33"/>
      <c r="H57" s="60" t="s">
        <v>47</v>
      </c>
      <c r="I57" s="81"/>
      <c r="J57" s="687"/>
      <c r="K57" s="10"/>
      <c r="L57" s="10"/>
      <c r="M57" s="9"/>
      <c r="N57" s="168">
        <v>1</v>
      </c>
      <c r="O57" s="6">
        <v>1</v>
      </c>
      <c r="P57">
        <v>1</v>
      </c>
      <c r="Q57">
        <v>0</v>
      </c>
      <c r="R57" s="9">
        <v>0</v>
      </c>
      <c r="S57" s="9">
        <f t="shared" si="0"/>
        <v>8.5106382978723402E-2</v>
      </c>
      <c r="T57" s="9">
        <f t="shared" si="1"/>
        <v>6.875</v>
      </c>
      <c r="U57" s="9"/>
      <c r="V57" s="9"/>
      <c r="W57" s="9"/>
      <c r="X57" s="5"/>
      <c r="Y57" s="5"/>
      <c r="Z57" s="5"/>
      <c r="AA57" s="4"/>
      <c r="AB57" s="4"/>
      <c r="AC57" s="4"/>
      <c r="AD57" s="5"/>
      <c r="AF57" s="167"/>
    </row>
    <row r="58" spans="1:32" ht="15.75">
      <c r="A58" s="41">
        <v>0</v>
      </c>
      <c r="B58" s="79">
        <v>0</v>
      </c>
      <c r="C58" s="79">
        <v>1</v>
      </c>
      <c r="D58" s="79">
        <v>0</v>
      </c>
      <c r="E58" s="33">
        <v>0</v>
      </c>
      <c r="F58" s="125">
        <v>-1.7972449418854973E-2</v>
      </c>
      <c r="G58" s="33"/>
      <c r="H58" s="60" t="s">
        <v>48</v>
      </c>
      <c r="I58" s="81"/>
      <c r="J58" s="687"/>
      <c r="K58" s="10"/>
      <c r="L58" s="9"/>
      <c r="M58" s="9"/>
      <c r="N58" s="168">
        <v>1</v>
      </c>
      <c r="O58" s="6">
        <v>1</v>
      </c>
      <c r="P58">
        <v>0</v>
      </c>
      <c r="Q58">
        <v>1</v>
      </c>
      <c r="R58" s="9">
        <v>1</v>
      </c>
      <c r="S58" s="9">
        <f t="shared" si="0"/>
        <v>8.5561497326203204E-2</v>
      </c>
      <c r="T58" s="9">
        <f t="shared" si="1"/>
        <v>6.84375</v>
      </c>
      <c r="U58" s="9"/>
      <c r="V58" s="9"/>
      <c r="W58" s="9"/>
      <c r="X58" s="5"/>
      <c r="Y58" s="5"/>
      <c r="Z58" s="5"/>
      <c r="AA58" s="5"/>
      <c r="AD58" s="5"/>
      <c r="AF58" s="167"/>
    </row>
    <row r="59" spans="1:32" ht="15.75">
      <c r="A59" s="41">
        <v>0</v>
      </c>
      <c r="B59" s="79">
        <v>0</v>
      </c>
      <c r="C59" s="79">
        <v>1</v>
      </c>
      <c r="D59" s="79">
        <v>0</v>
      </c>
      <c r="E59" s="33">
        <v>1</v>
      </c>
      <c r="F59" s="125">
        <v>-2.2456593485435671E-2</v>
      </c>
      <c r="G59" s="33"/>
      <c r="H59" s="60" t="s">
        <v>49</v>
      </c>
      <c r="I59" s="81"/>
      <c r="J59" s="687"/>
      <c r="K59" s="10"/>
      <c r="L59" s="9"/>
      <c r="M59" s="9"/>
      <c r="N59" s="168">
        <v>1</v>
      </c>
      <c r="O59" s="6">
        <v>1</v>
      </c>
      <c r="P59">
        <v>0</v>
      </c>
      <c r="Q59">
        <v>1</v>
      </c>
      <c r="R59" s="9">
        <v>0</v>
      </c>
      <c r="S59" s="9">
        <f t="shared" si="0"/>
        <v>8.6021505376344093E-2</v>
      </c>
      <c r="T59" s="9">
        <f t="shared" si="1"/>
        <v>6.8124999999999991</v>
      </c>
      <c r="U59" s="9"/>
      <c r="V59" s="9"/>
      <c r="W59" s="9"/>
      <c r="X59" s="143"/>
      <c r="Z59" s="5"/>
      <c r="AA59" s="5"/>
      <c r="AB59" s="4"/>
      <c r="AC59" s="4"/>
      <c r="AD59" s="5"/>
      <c r="AF59" s="167"/>
    </row>
    <row r="60" spans="1:32" ht="15.75">
      <c r="A60" s="41">
        <v>0</v>
      </c>
      <c r="B60" s="79">
        <v>0</v>
      </c>
      <c r="C60" s="79">
        <v>1</v>
      </c>
      <c r="D60" s="79">
        <v>1</v>
      </c>
      <c r="E60" s="33">
        <v>0</v>
      </c>
      <c r="F60" s="125">
        <v>-2.6940737552016113E-2</v>
      </c>
      <c r="G60" s="33"/>
      <c r="H60" s="60" t="s">
        <v>50</v>
      </c>
      <c r="I60" s="81"/>
      <c r="J60" s="687"/>
      <c r="K60" s="9"/>
      <c r="L60" s="9"/>
      <c r="M60" s="9"/>
      <c r="N60" s="168">
        <v>1</v>
      </c>
      <c r="O60" s="6">
        <v>1</v>
      </c>
      <c r="P60">
        <v>0</v>
      </c>
      <c r="Q60">
        <v>0</v>
      </c>
      <c r="R60" s="9">
        <v>1</v>
      </c>
      <c r="S60" s="9">
        <f t="shared" si="0"/>
        <v>8.6486486486486491E-2</v>
      </c>
      <c r="T60" s="9">
        <f t="shared" si="1"/>
        <v>6.78125</v>
      </c>
      <c r="U60" s="9"/>
      <c r="V60" s="9"/>
      <c r="W60" s="9"/>
      <c r="X60" s="5"/>
      <c r="Z60" s="4"/>
      <c r="AA60" s="4"/>
      <c r="AC60" s="4"/>
      <c r="AD60" s="4"/>
      <c r="AF60" s="167"/>
    </row>
    <row r="61" spans="1:32" ht="15.75">
      <c r="A61" s="41">
        <v>0</v>
      </c>
      <c r="B61" s="79">
        <v>0</v>
      </c>
      <c r="C61" s="79">
        <v>1</v>
      </c>
      <c r="D61" s="79">
        <v>1</v>
      </c>
      <c r="E61" s="33">
        <v>1</v>
      </c>
      <c r="F61" s="125">
        <v>-3.1424881618596683E-2</v>
      </c>
      <c r="G61" s="33"/>
      <c r="H61" s="60" t="s">
        <v>51</v>
      </c>
      <c r="I61" s="81"/>
      <c r="J61" s="687"/>
      <c r="K61" s="9"/>
      <c r="L61" s="9"/>
      <c r="M61" s="9"/>
      <c r="N61" s="168">
        <v>1</v>
      </c>
      <c r="O61" s="6">
        <v>1</v>
      </c>
      <c r="P61">
        <v>0</v>
      </c>
      <c r="Q61">
        <v>0</v>
      </c>
      <c r="R61" s="9">
        <v>0</v>
      </c>
      <c r="S61" s="9">
        <f t="shared" si="0"/>
        <v>8.6956521739130432E-2</v>
      </c>
      <c r="T61" s="9">
        <f t="shared" si="1"/>
        <v>6.75</v>
      </c>
      <c r="U61" s="9"/>
      <c r="V61" s="9"/>
      <c r="W61" s="9"/>
      <c r="X61" s="5"/>
      <c r="Z61" s="4"/>
      <c r="AA61" s="4"/>
      <c r="AC61" s="4"/>
      <c r="AD61" s="4"/>
      <c r="AF61" s="167"/>
    </row>
    <row r="62" spans="1:32" ht="15.75">
      <c r="A62" s="41">
        <v>0</v>
      </c>
      <c r="B62" s="79">
        <v>1</v>
      </c>
      <c r="C62" s="79">
        <v>0</v>
      </c>
      <c r="D62" s="79">
        <v>0</v>
      </c>
      <c r="E62" s="33">
        <v>0</v>
      </c>
      <c r="F62" s="125">
        <v>-3.5909025685177252E-2</v>
      </c>
      <c r="G62" s="33"/>
      <c r="H62" s="60" t="s">
        <v>52</v>
      </c>
      <c r="I62" s="81"/>
      <c r="J62" s="687"/>
      <c r="K62" s="9"/>
      <c r="L62" s="9"/>
      <c r="M62" s="9"/>
      <c r="N62" s="168">
        <v>1</v>
      </c>
      <c r="O62" s="6">
        <v>0</v>
      </c>
      <c r="P62">
        <v>1</v>
      </c>
      <c r="Q62">
        <v>1</v>
      </c>
      <c r="R62" s="9">
        <v>1</v>
      </c>
      <c r="S62" s="9">
        <f t="shared" si="0"/>
        <v>8.7431693989071038E-2</v>
      </c>
      <c r="T62" s="9">
        <f t="shared" si="1"/>
        <v>6.71875</v>
      </c>
      <c r="U62" s="9"/>
      <c r="V62" s="9"/>
      <c r="W62" s="9"/>
      <c r="X62" s="143"/>
      <c r="Z62" s="4"/>
      <c r="AA62" s="4"/>
      <c r="AD62" s="4"/>
      <c r="AF62" s="167"/>
    </row>
    <row r="63" spans="1:32" ht="15.75">
      <c r="A63" s="41">
        <v>0</v>
      </c>
      <c r="B63" s="79">
        <v>1</v>
      </c>
      <c r="C63" s="79">
        <v>0</v>
      </c>
      <c r="D63" s="79">
        <v>0</v>
      </c>
      <c r="E63" s="33">
        <v>1</v>
      </c>
      <c r="F63" s="125">
        <v>-4.0393169751757829E-2</v>
      </c>
      <c r="G63" s="33"/>
      <c r="H63" s="60" t="s">
        <v>53</v>
      </c>
      <c r="I63" s="81"/>
      <c r="J63" s="687"/>
      <c r="K63" s="10"/>
      <c r="L63" s="10"/>
      <c r="M63" s="9"/>
      <c r="N63" s="168">
        <v>1</v>
      </c>
      <c r="O63" s="6">
        <v>0</v>
      </c>
      <c r="P63">
        <v>1</v>
      </c>
      <c r="Q63">
        <v>1</v>
      </c>
      <c r="R63" s="9">
        <v>0</v>
      </c>
      <c r="S63" s="9">
        <f t="shared" si="0"/>
        <v>8.7912087912087919E-2</v>
      </c>
      <c r="T63" s="9">
        <f t="shared" si="1"/>
        <v>6.6875</v>
      </c>
      <c r="U63" s="9"/>
      <c r="V63" s="9"/>
      <c r="W63" s="9"/>
      <c r="X63" s="5"/>
      <c r="Z63" s="4"/>
      <c r="AA63" s="4"/>
      <c r="AF63" s="167"/>
    </row>
    <row r="64" spans="1:32" ht="15.75">
      <c r="A64" s="41">
        <v>0</v>
      </c>
      <c r="B64" s="79">
        <v>1</v>
      </c>
      <c r="C64" s="79">
        <v>0</v>
      </c>
      <c r="D64" s="79">
        <v>1</v>
      </c>
      <c r="E64" s="33">
        <v>0</v>
      </c>
      <c r="F64" s="125">
        <v>-4.4877313818338399E-2</v>
      </c>
      <c r="G64" s="33"/>
      <c r="H64" s="60" t="s">
        <v>54</v>
      </c>
      <c r="I64" s="81"/>
      <c r="J64" s="687"/>
      <c r="K64" s="9"/>
      <c r="L64" s="9"/>
      <c r="M64" s="9"/>
      <c r="N64" s="168">
        <v>1</v>
      </c>
      <c r="O64" s="6">
        <v>0</v>
      </c>
      <c r="P64">
        <v>1</v>
      </c>
      <c r="Q64">
        <v>0</v>
      </c>
      <c r="R64" s="9">
        <v>1</v>
      </c>
      <c r="S64" s="9">
        <f t="shared" si="0"/>
        <v>8.8397790055248615E-2</v>
      </c>
      <c r="T64" s="9">
        <f t="shared" si="1"/>
        <v>6.65625</v>
      </c>
      <c r="U64" s="9"/>
      <c r="V64" s="9"/>
      <c r="W64" s="9"/>
      <c r="X64" s="5"/>
      <c r="Z64" s="4"/>
      <c r="AA64" s="4"/>
      <c r="AB64" s="4"/>
      <c r="AF64" s="167"/>
    </row>
    <row r="65" spans="1:32" ht="15.75">
      <c r="A65" s="41">
        <v>0</v>
      </c>
      <c r="B65" s="79">
        <v>1</v>
      </c>
      <c r="C65" s="79">
        <v>0</v>
      </c>
      <c r="D65" s="79">
        <v>1</v>
      </c>
      <c r="E65" s="33">
        <v>1</v>
      </c>
      <c r="F65" s="125">
        <v>-4.9361457884918969E-2</v>
      </c>
      <c r="G65" s="33"/>
      <c r="H65" s="60" t="s">
        <v>55</v>
      </c>
      <c r="I65" s="81"/>
      <c r="J65" s="687"/>
      <c r="K65" s="9"/>
      <c r="L65" s="9"/>
      <c r="M65" s="9"/>
      <c r="N65" s="168">
        <v>1</v>
      </c>
      <c r="O65" s="6">
        <v>0</v>
      </c>
      <c r="P65">
        <v>1</v>
      </c>
      <c r="Q65">
        <v>0</v>
      </c>
      <c r="R65" s="9">
        <v>0</v>
      </c>
      <c r="S65" s="9">
        <f t="shared" si="0"/>
        <v>8.8888888888888892E-2</v>
      </c>
      <c r="T65" s="9">
        <f t="shared" si="1"/>
        <v>6.625</v>
      </c>
      <c r="U65" s="9"/>
      <c r="V65" s="9"/>
      <c r="W65" s="9"/>
      <c r="X65" s="143"/>
      <c r="Z65" s="4"/>
      <c r="AB65" s="4"/>
      <c r="AC65" s="4"/>
      <c r="AF65" s="167"/>
    </row>
    <row r="66" spans="1:32" ht="15.75">
      <c r="A66" s="41">
        <v>0</v>
      </c>
      <c r="B66" s="79">
        <v>1</v>
      </c>
      <c r="C66" s="79">
        <v>1</v>
      </c>
      <c r="D66" s="79">
        <v>0</v>
      </c>
      <c r="E66" s="33">
        <v>0</v>
      </c>
      <c r="F66" s="125">
        <v>-5.3845601951499539E-2</v>
      </c>
      <c r="G66" s="33"/>
      <c r="H66" s="60" t="s">
        <v>56</v>
      </c>
      <c r="I66" s="81"/>
      <c r="J66" s="687"/>
      <c r="K66" s="10"/>
      <c r="L66" s="9"/>
      <c r="M66" s="9"/>
      <c r="N66" s="168">
        <v>1</v>
      </c>
      <c r="O66" s="6">
        <v>0</v>
      </c>
      <c r="P66">
        <v>0</v>
      </c>
      <c r="Q66">
        <v>1</v>
      </c>
      <c r="R66" s="9">
        <v>1</v>
      </c>
      <c r="S66" s="9">
        <f t="shared" si="0"/>
        <v>8.9385474860335198E-2</v>
      </c>
      <c r="T66" s="9">
        <f t="shared" si="1"/>
        <v>6.59375</v>
      </c>
      <c r="U66" s="9"/>
      <c r="V66" s="9"/>
      <c r="W66" s="9"/>
      <c r="X66" s="5"/>
      <c r="Z66" s="4"/>
      <c r="AB66" s="4"/>
      <c r="AF66" s="167"/>
    </row>
    <row r="67" spans="1:32" ht="15.75">
      <c r="A67" s="41">
        <v>0</v>
      </c>
      <c r="B67" s="79">
        <v>1</v>
      </c>
      <c r="C67" s="79">
        <v>1</v>
      </c>
      <c r="D67" s="79">
        <v>0</v>
      </c>
      <c r="E67" s="33">
        <v>1</v>
      </c>
      <c r="F67" s="125">
        <v>-5.8329746018080109E-2</v>
      </c>
      <c r="G67" s="33"/>
      <c r="H67" s="60" t="s">
        <v>57</v>
      </c>
      <c r="I67" s="81"/>
      <c r="J67" s="687"/>
      <c r="K67" s="10"/>
      <c r="L67" s="8"/>
      <c r="M67" s="9"/>
      <c r="N67" s="168">
        <v>1</v>
      </c>
      <c r="O67" s="6">
        <v>0</v>
      </c>
      <c r="P67">
        <v>0</v>
      </c>
      <c r="Q67">
        <v>1</v>
      </c>
      <c r="R67" s="9">
        <v>0</v>
      </c>
      <c r="S67" s="9">
        <f t="shared" si="0"/>
        <v>8.98876404494382E-2</v>
      </c>
      <c r="T67" s="9">
        <f t="shared" si="1"/>
        <v>6.5625</v>
      </c>
      <c r="U67" s="9"/>
      <c r="V67" s="9"/>
      <c r="W67" s="9"/>
      <c r="X67" s="5"/>
      <c r="Z67" s="4"/>
      <c r="AB67" s="4"/>
      <c r="AF67" s="167"/>
    </row>
    <row r="68" spans="1:32" ht="15.75">
      <c r="A68" s="41">
        <v>0</v>
      </c>
      <c r="B68" s="79">
        <v>1</v>
      </c>
      <c r="C68" s="79">
        <v>1</v>
      </c>
      <c r="D68" s="79">
        <v>1</v>
      </c>
      <c r="E68" s="33">
        <v>0</v>
      </c>
      <c r="F68" s="125">
        <v>-6.2813890084660678E-2</v>
      </c>
      <c r="G68" s="33"/>
      <c r="H68" s="60" t="s">
        <v>58</v>
      </c>
      <c r="I68" s="81"/>
      <c r="J68" s="687"/>
      <c r="K68" s="9"/>
      <c r="L68" s="8"/>
      <c r="M68" s="9"/>
      <c r="N68" s="168">
        <v>1</v>
      </c>
      <c r="O68" s="6">
        <v>0</v>
      </c>
      <c r="P68">
        <v>0</v>
      </c>
      <c r="Q68">
        <v>0</v>
      </c>
      <c r="R68" s="9">
        <v>1</v>
      </c>
      <c r="S68" s="9">
        <f t="shared" si="0"/>
        <v>9.03954802259887E-2</v>
      </c>
      <c r="T68" s="9">
        <f t="shared" si="1"/>
        <v>6.53125</v>
      </c>
      <c r="U68" s="9"/>
      <c r="V68" s="9"/>
      <c r="W68" s="9"/>
      <c r="X68" s="143"/>
      <c r="Z68" s="4"/>
      <c r="AC68" s="4"/>
      <c r="AD68" s="4"/>
      <c r="AF68" s="167"/>
    </row>
    <row r="69" spans="1:32" ht="15.75">
      <c r="A69" s="41">
        <v>0</v>
      </c>
      <c r="B69" s="79">
        <v>1</v>
      </c>
      <c r="C69" s="79">
        <v>1</v>
      </c>
      <c r="D69" s="79">
        <v>1</v>
      </c>
      <c r="E69" s="33">
        <v>1</v>
      </c>
      <c r="F69" s="125">
        <v>-6.7298034151241248E-2</v>
      </c>
      <c r="G69" s="33"/>
      <c r="H69" s="60" t="s">
        <v>59</v>
      </c>
      <c r="I69" s="81"/>
      <c r="J69" s="687"/>
      <c r="K69" s="9"/>
      <c r="L69" s="8"/>
      <c r="M69" s="9"/>
      <c r="N69" s="168">
        <v>1</v>
      </c>
      <c r="O69" s="6">
        <v>0</v>
      </c>
      <c r="P69">
        <v>0</v>
      </c>
      <c r="Q69">
        <v>0</v>
      </c>
      <c r="R69" s="9">
        <v>0</v>
      </c>
      <c r="S69" s="9">
        <f t="shared" si="0"/>
        <v>9.0909090909090912E-2</v>
      </c>
      <c r="T69" s="9">
        <f t="shared" si="1"/>
        <v>6.5</v>
      </c>
      <c r="U69" s="9"/>
      <c r="V69" s="9"/>
      <c r="W69" s="9"/>
      <c r="X69" s="5"/>
      <c r="Z69" s="4"/>
      <c r="AC69" s="4"/>
      <c r="AF69" s="167"/>
    </row>
    <row r="70" spans="1:32" ht="15.75">
      <c r="A70" s="41">
        <v>1</v>
      </c>
      <c r="B70" s="33">
        <v>0</v>
      </c>
      <c r="C70" s="33">
        <v>0</v>
      </c>
      <c r="D70" s="33">
        <v>0</v>
      </c>
      <c r="E70" s="33">
        <v>0</v>
      </c>
      <c r="F70" s="125">
        <v>-7.1782178217821818E-2</v>
      </c>
      <c r="G70" s="33"/>
      <c r="H70" s="60" t="s">
        <v>60</v>
      </c>
      <c r="I70" s="81"/>
      <c r="J70" s="687"/>
      <c r="K70" s="8"/>
      <c r="L70" s="8"/>
      <c r="M70" s="9"/>
      <c r="N70" s="168">
        <v>0</v>
      </c>
      <c r="O70" s="6">
        <v>1</v>
      </c>
      <c r="P70">
        <v>1</v>
      </c>
      <c r="Q70">
        <v>1</v>
      </c>
      <c r="R70" s="9">
        <v>1</v>
      </c>
      <c r="S70" s="9">
        <f t="shared" si="0"/>
        <v>9.1428571428571428E-2</v>
      </c>
      <c r="T70" s="9">
        <f t="shared" si="1"/>
        <v>6.46875</v>
      </c>
      <c r="U70" s="9"/>
      <c r="V70" s="9"/>
      <c r="W70" s="9"/>
      <c r="X70" s="5"/>
      <c r="Z70" s="4"/>
      <c r="AF70" s="167"/>
    </row>
    <row r="71" spans="1:32" ht="15.75">
      <c r="A71" s="41">
        <v>1</v>
      </c>
      <c r="B71" s="33">
        <v>0</v>
      </c>
      <c r="C71" s="33">
        <v>0</v>
      </c>
      <c r="D71" s="33">
        <v>0</v>
      </c>
      <c r="E71" s="33">
        <v>1</v>
      </c>
      <c r="F71" s="125">
        <v>-7.6266322284402388E-2</v>
      </c>
      <c r="G71" s="33"/>
      <c r="H71" s="60" t="s">
        <v>61</v>
      </c>
      <c r="I71" s="81"/>
      <c r="J71" s="10"/>
      <c r="K71" s="10"/>
      <c r="L71" s="10"/>
      <c r="M71" s="9"/>
      <c r="N71" s="168">
        <v>0</v>
      </c>
      <c r="O71" s="6">
        <v>1</v>
      </c>
      <c r="P71">
        <v>1</v>
      </c>
      <c r="Q71">
        <v>1</v>
      </c>
      <c r="R71" s="9">
        <v>0</v>
      </c>
      <c r="S71" s="9">
        <f t="shared" si="0"/>
        <v>9.1954022988505746E-2</v>
      </c>
      <c r="T71" s="9">
        <f t="shared" si="1"/>
        <v>6.4375</v>
      </c>
      <c r="U71" s="9"/>
      <c r="V71" s="9"/>
      <c r="W71" s="9"/>
      <c r="Z71" s="4"/>
      <c r="AF71" s="167"/>
    </row>
    <row r="72" spans="1:32" ht="15.75">
      <c r="A72" s="41">
        <v>1</v>
      </c>
      <c r="B72" s="79">
        <v>0</v>
      </c>
      <c r="C72" s="79">
        <v>0</v>
      </c>
      <c r="D72" s="79">
        <v>1</v>
      </c>
      <c r="E72" s="33">
        <v>0</v>
      </c>
      <c r="F72" s="125">
        <v>-8.0750466350982958E-2</v>
      </c>
      <c r="G72" s="33"/>
      <c r="H72" s="60" t="s">
        <v>62</v>
      </c>
      <c r="I72" s="81"/>
      <c r="J72" s="7"/>
      <c r="K72" s="9"/>
      <c r="L72" s="10"/>
      <c r="M72" s="9"/>
      <c r="N72" s="168">
        <v>0</v>
      </c>
      <c r="O72" s="6">
        <v>1</v>
      </c>
      <c r="P72">
        <v>1</v>
      </c>
      <c r="Q72">
        <v>0</v>
      </c>
      <c r="R72" s="9">
        <v>1</v>
      </c>
      <c r="S72" s="9">
        <f t="shared" si="0"/>
        <v>9.2485549132947972E-2</v>
      </c>
      <c r="T72" s="9">
        <f t="shared" si="1"/>
        <v>6.40625</v>
      </c>
      <c r="U72" s="9"/>
      <c r="V72" s="9"/>
      <c r="W72" s="9"/>
      <c r="X72" s="145"/>
      <c r="Z72" s="4"/>
      <c r="AA72" s="3"/>
      <c r="AB72" s="3"/>
      <c r="AC72" s="3"/>
      <c r="AD72" s="3"/>
      <c r="AF72" s="167"/>
    </row>
    <row r="73" spans="1:32" ht="15.75">
      <c r="A73" s="41">
        <v>1</v>
      </c>
      <c r="B73" s="79">
        <v>0</v>
      </c>
      <c r="C73" s="79">
        <v>0</v>
      </c>
      <c r="D73" s="79">
        <v>1</v>
      </c>
      <c r="E73" s="33">
        <v>1</v>
      </c>
      <c r="F73" s="125">
        <v>-8.5234610417563542E-2</v>
      </c>
      <c r="G73" s="33"/>
      <c r="H73" s="60" t="s">
        <v>63</v>
      </c>
      <c r="I73" s="81"/>
      <c r="J73" s="10"/>
      <c r="K73" s="10"/>
      <c r="L73" s="10"/>
      <c r="M73" s="9"/>
      <c r="N73" s="168">
        <v>0</v>
      </c>
      <c r="O73" s="6">
        <v>1</v>
      </c>
      <c r="P73">
        <v>1</v>
      </c>
      <c r="Q73">
        <v>0</v>
      </c>
      <c r="R73" s="9">
        <v>0</v>
      </c>
      <c r="S73" s="9">
        <f t="shared" si="0"/>
        <v>9.3023255813953487E-2</v>
      </c>
      <c r="T73" s="9">
        <f t="shared" si="1"/>
        <v>6.375</v>
      </c>
      <c r="U73" s="9"/>
      <c r="V73" s="9"/>
      <c r="W73" s="9"/>
      <c r="Z73" s="4"/>
      <c r="AA73" s="4"/>
      <c r="AB73" s="4"/>
      <c r="AC73" s="4"/>
      <c r="AD73" s="5"/>
      <c r="AF73" s="167"/>
    </row>
    <row r="74" spans="1:32" ht="15.75">
      <c r="A74" s="41">
        <v>1</v>
      </c>
      <c r="B74" s="79">
        <v>0</v>
      </c>
      <c r="C74" s="79">
        <v>1</v>
      </c>
      <c r="D74" s="79">
        <v>0</v>
      </c>
      <c r="E74" s="33">
        <v>0</v>
      </c>
      <c r="F74" s="125">
        <v>-8.9718754484144111E-2</v>
      </c>
      <c r="G74" s="33"/>
      <c r="H74" s="60" t="s">
        <v>64</v>
      </c>
      <c r="I74" s="81"/>
      <c r="J74" s="7"/>
      <c r="K74" s="10"/>
      <c r="L74" s="9"/>
      <c r="M74" s="9"/>
      <c r="N74" s="168">
        <v>0</v>
      </c>
      <c r="O74" s="6">
        <v>1</v>
      </c>
      <c r="P74">
        <v>0</v>
      </c>
      <c r="Q74">
        <v>1</v>
      </c>
      <c r="R74" s="9">
        <v>1</v>
      </c>
      <c r="S74" s="9">
        <f t="shared" si="0"/>
        <v>9.3567251461988299E-2</v>
      </c>
      <c r="T74" s="9">
        <f t="shared" si="1"/>
        <v>6.34375</v>
      </c>
      <c r="U74" s="9"/>
      <c r="V74" s="9"/>
      <c r="W74" s="9"/>
      <c r="Z74" s="4"/>
      <c r="AA74" s="5"/>
      <c r="AD74" s="5"/>
      <c r="AF74" s="167"/>
    </row>
    <row r="75" spans="1:32" ht="15.75">
      <c r="A75" s="41">
        <v>1</v>
      </c>
      <c r="B75" s="79">
        <v>0</v>
      </c>
      <c r="C75" s="79">
        <v>1</v>
      </c>
      <c r="D75" s="79">
        <v>0</v>
      </c>
      <c r="E75" s="33">
        <v>1</v>
      </c>
      <c r="F75" s="125">
        <v>-9.4202898550724681E-2</v>
      </c>
      <c r="G75" s="33"/>
      <c r="H75" s="60" t="s">
        <v>65</v>
      </c>
      <c r="I75" s="81"/>
      <c r="J75" s="7"/>
      <c r="K75" s="10"/>
      <c r="L75" s="9"/>
      <c r="M75" s="9"/>
      <c r="N75" s="168">
        <v>0</v>
      </c>
      <c r="O75" s="6">
        <v>1</v>
      </c>
      <c r="P75">
        <v>0</v>
      </c>
      <c r="Q75">
        <v>1</v>
      </c>
      <c r="R75" s="9">
        <v>0</v>
      </c>
      <c r="S75" s="9">
        <f t="shared" si="0"/>
        <v>9.4117647058823528E-2</v>
      </c>
      <c r="T75" s="9">
        <f t="shared" si="1"/>
        <v>6.3125</v>
      </c>
      <c r="U75" s="9"/>
      <c r="V75" s="9"/>
      <c r="W75" s="9"/>
      <c r="Z75" s="4"/>
      <c r="AA75" s="5"/>
      <c r="AB75" s="4"/>
      <c r="AC75" s="4"/>
      <c r="AD75" s="5"/>
      <c r="AF75" s="167"/>
    </row>
    <row r="76" spans="1:32" ht="15.75">
      <c r="A76" s="41">
        <v>1</v>
      </c>
      <c r="B76" s="79">
        <v>0</v>
      </c>
      <c r="C76" s="79">
        <v>1</v>
      </c>
      <c r="D76" s="79">
        <v>1</v>
      </c>
      <c r="E76" s="33">
        <v>0</v>
      </c>
      <c r="F76" s="125">
        <v>-9.8687042617305251E-2</v>
      </c>
      <c r="G76" s="33"/>
      <c r="H76" s="60" t="s">
        <v>66</v>
      </c>
      <c r="I76" s="81"/>
      <c r="J76" s="7"/>
      <c r="K76" s="9"/>
      <c r="L76" s="9"/>
      <c r="M76" s="9"/>
      <c r="N76" s="168">
        <v>0</v>
      </c>
      <c r="O76" s="6">
        <v>1</v>
      </c>
      <c r="P76">
        <v>0</v>
      </c>
      <c r="Q76">
        <v>0</v>
      </c>
      <c r="R76" s="9">
        <v>1</v>
      </c>
      <c r="S76" s="9">
        <f t="shared" si="0"/>
        <v>9.4674556213017749E-2</v>
      </c>
      <c r="T76" s="9">
        <f t="shared" si="1"/>
        <v>6.28125</v>
      </c>
      <c r="U76" s="9"/>
      <c r="V76" s="9"/>
      <c r="W76" s="9"/>
      <c r="Z76" s="4"/>
      <c r="AA76" s="4"/>
      <c r="AC76" s="4"/>
      <c r="AD76" s="4"/>
      <c r="AF76" s="167"/>
    </row>
    <row r="77" spans="1:32" ht="15.75">
      <c r="A77" s="41">
        <v>1</v>
      </c>
      <c r="B77" s="79">
        <v>0</v>
      </c>
      <c r="C77" s="79">
        <v>1</v>
      </c>
      <c r="D77" s="79">
        <v>1</v>
      </c>
      <c r="E77" s="33">
        <v>1</v>
      </c>
      <c r="F77" s="125">
        <v>-0.10317118668388582</v>
      </c>
      <c r="G77" s="33"/>
      <c r="H77" s="60" t="s">
        <v>67</v>
      </c>
      <c r="I77" s="81"/>
      <c r="J77" s="7"/>
      <c r="K77" s="9"/>
      <c r="L77" s="9"/>
      <c r="M77" s="9"/>
      <c r="N77" s="168">
        <v>0</v>
      </c>
      <c r="O77" s="6">
        <v>1</v>
      </c>
      <c r="P77">
        <v>0</v>
      </c>
      <c r="Q77">
        <v>0</v>
      </c>
      <c r="R77" s="9">
        <v>0</v>
      </c>
      <c r="S77" s="9">
        <f t="shared" si="0"/>
        <v>9.5238095238095233E-2</v>
      </c>
      <c r="T77" s="9">
        <f t="shared" si="1"/>
        <v>6.25</v>
      </c>
      <c r="U77" s="9"/>
      <c r="V77" s="9"/>
      <c r="W77" s="9"/>
      <c r="Z77" s="4"/>
      <c r="AA77" s="4"/>
      <c r="AC77" s="4"/>
      <c r="AD77" s="4"/>
      <c r="AF77" s="167"/>
    </row>
    <row r="78" spans="1:32" ht="15.75">
      <c r="A78" s="41">
        <v>1</v>
      </c>
      <c r="B78" s="79">
        <v>1</v>
      </c>
      <c r="C78" s="79">
        <v>0</v>
      </c>
      <c r="D78" s="79">
        <v>0</v>
      </c>
      <c r="E78" s="33">
        <v>0</v>
      </c>
      <c r="F78" s="125">
        <v>-0.10765533075046639</v>
      </c>
      <c r="G78" s="33"/>
      <c r="H78" s="60" t="s">
        <v>68</v>
      </c>
      <c r="I78" s="81"/>
      <c r="J78" s="10"/>
      <c r="K78" s="9"/>
      <c r="L78" s="9"/>
      <c r="M78" s="9"/>
      <c r="N78" s="168">
        <v>0</v>
      </c>
      <c r="O78" s="6">
        <v>0</v>
      </c>
      <c r="P78">
        <v>1</v>
      </c>
      <c r="Q78">
        <v>1</v>
      </c>
      <c r="R78" s="9">
        <v>1</v>
      </c>
      <c r="S78" s="9">
        <f t="shared" si="0"/>
        <v>9.580838323353294E-2</v>
      </c>
      <c r="T78" s="9">
        <f t="shared" si="1"/>
        <v>6.21875</v>
      </c>
      <c r="U78" s="9"/>
      <c r="V78" s="9"/>
      <c r="W78" s="9"/>
      <c r="Z78" s="4"/>
      <c r="AA78" s="4"/>
      <c r="AD78" s="4"/>
      <c r="AF78" s="167"/>
    </row>
    <row r="79" spans="1:32" ht="15.75">
      <c r="A79" s="41">
        <v>1</v>
      </c>
      <c r="B79" s="79">
        <v>1</v>
      </c>
      <c r="C79" s="79">
        <v>0</v>
      </c>
      <c r="D79" s="79">
        <v>0</v>
      </c>
      <c r="E79" s="33">
        <v>1</v>
      </c>
      <c r="F79" s="125">
        <v>-0.11213947481704696</v>
      </c>
      <c r="G79" s="33"/>
      <c r="H79" s="60" t="s">
        <v>69</v>
      </c>
      <c r="I79" s="81"/>
      <c r="J79" s="10"/>
      <c r="K79" s="10"/>
      <c r="L79" s="10"/>
      <c r="M79" s="9"/>
      <c r="N79" s="168">
        <v>0</v>
      </c>
      <c r="O79" s="6">
        <v>0</v>
      </c>
      <c r="P79">
        <v>1</v>
      </c>
      <c r="Q79">
        <v>1</v>
      </c>
      <c r="R79" s="9">
        <v>0</v>
      </c>
      <c r="S79" s="9">
        <f t="shared" si="0"/>
        <v>9.6385542168674704E-2</v>
      </c>
      <c r="T79" s="9">
        <f t="shared" si="1"/>
        <v>6.1875</v>
      </c>
      <c r="U79" s="9"/>
      <c r="V79" s="9"/>
      <c r="W79" s="9"/>
      <c r="Z79" s="4"/>
      <c r="AA79" s="4"/>
      <c r="AF79" s="167"/>
    </row>
    <row r="80" spans="1:32" ht="15.75">
      <c r="A80" s="41">
        <v>1</v>
      </c>
      <c r="B80" s="79">
        <v>1</v>
      </c>
      <c r="C80" s="79">
        <v>0</v>
      </c>
      <c r="D80" s="79">
        <v>1</v>
      </c>
      <c r="E80" s="33">
        <v>0</v>
      </c>
      <c r="F80" s="125">
        <v>-0.11662361888362753</v>
      </c>
      <c r="G80" s="33"/>
      <c r="H80" s="60" t="s">
        <v>70</v>
      </c>
      <c r="I80" s="81"/>
      <c r="J80" s="10"/>
      <c r="K80" s="9"/>
      <c r="L80" s="9"/>
      <c r="M80" s="9"/>
      <c r="N80" s="168">
        <v>0</v>
      </c>
      <c r="O80" s="6">
        <v>0</v>
      </c>
      <c r="P80">
        <v>1</v>
      </c>
      <c r="Q80">
        <v>0</v>
      </c>
      <c r="R80" s="9">
        <v>1</v>
      </c>
      <c r="S80" s="9">
        <f t="shared" si="0"/>
        <v>9.696969696969697E-2</v>
      </c>
      <c r="T80" s="9">
        <f t="shared" si="1"/>
        <v>6.15625</v>
      </c>
      <c r="U80" s="9"/>
      <c r="V80" s="9"/>
      <c r="W80" s="9"/>
      <c r="Z80" s="4"/>
      <c r="AA80" s="4"/>
      <c r="AB80" s="4"/>
      <c r="AF80" s="167"/>
    </row>
    <row r="81" spans="1:32" ht="15.75">
      <c r="A81" s="41">
        <v>1</v>
      </c>
      <c r="B81" s="79">
        <v>1</v>
      </c>
      <c r="C81" s="79">
        <v>0</v>
      </c>
      <c r="D81" s="79">
        <v>1</v>
      </c>
      <c r="E81" s="33">
        <v>1</v>
      </c>
      <c r="F81" s="125">
        <v>-0.1211077629502081</v>
      </c>
      <c r="G81" s="33"/>
      <c r="H81" s="60" t="s">
        <v>71</v>
      </c>
      <c r="I81" s="81"/>
      <c r="J81" s="10"/>
      <c r="K81" s="9"/>
      <c r="L81" s="9"/>
      <c r="M81" s="9"/>
      <c r="N81" s="168">
        <v>0</v>
      </c>
      <c r="O81" s="6">
        <v>0</v>
      </c>
      <c r="P81">
        <v>1</v>
      </c>
      <c r="Q81">
        <v>0</v>
      </c>
      <c r="R81">
        <v>0</v>
      </c>
      <c r="S81">
        <f t="shared" si="0"/>
        <v>9.7560975609756101E-2</v>
      </c>
      <c r="T81">
        <f t="shared" si="1"/>
        <v>6.125</v>
      </c>
      <c r="U81" s="9"/>
      <c r="V81" s="9"/>
      <c r="W81" s="9"/>
      <c r="Z81" s="4"/>
      <c r="AB81" s="4"/>
      <c r="AC81" s="4"/>
      <c r="AF81" s="167"/>
    </row>
    <row r="82" spans="1:32" ht="15.75">
      <c r="A82" s="41">
        <v>1</v>
      </c>
      <c r="B82" s="79">
        <v>1</v>
      </c>
      <c r="C82" s="79">
        <v>1</v>
      </c>
      <c r="D82" s="79">
        <v>0</v>
      </c>
      <c r="E82" s="33">
        <v>0</v>
      </c>
      <c r="F82" s="125">
        <v>-0.12559190701678868</v>
      </c>
      <c r="G82" s="33"/>
      <c r="H82" s="60" t="s">
        <v>72</v>
      </c>
      <c r="I82" s="81"/>
      <c r="J82" s="7"/>
      <c r="K82" s="10"/>
      <c r="L82" s="9"/>
      <c r="M82" s="9"/>
      <c r="N82" s="168">
        <v>0</v>
      </c>
      <c r="O82" s="6">
        <v>0</v>
      </c>
      <c r="P82">
        <v>0</v>
      </c>
      <c r="Q82">
        <v>1</v>
      </c>
      <c r="R82">
        <v>1</v>
      </c>
      <c r="S82">
        <f t="shared" si="0"/>
        <v>9.815950920245399E-2</v>
      </c>
      <c r="T82">
        <f t="shared" si="1"/>
        <v>6.09375</v>
      </c>
      <c r="U82" s="9"/>
      <c r="V82" s="9"/>
      <c r="W82" s="9"/>
      <c r="Z82" s="4"/>
      <c r="AB82" s="4"/>
      <c r="AF82" s="167"/>
    </row>
    <row r="83" spans="1:32" ht="15.75">
      <c r="A83" s="41">
        <v>1</v>
      </c>
      <c r="B83" s="79">
        <v>1</v>
      </c>
      <c r="C83" s="79">
        <v>1</v>
      </c>
      <c r="D83" s="79">
        <v>0</v>
      </c>
      <c r="E83" s="33">
        <v>1</v>
      </c>
      <c r="F83" s="125">
        <v>-0.13007605108336925</v>
      </c>
      <c r="G83" s="33"/>
      <c r="H83" s="60" t="s">
        <v>73</v>
      </c>
      <c r="I83" s="81"/>
      <c r="J83" s="7"/>
      <c r="K83" s="10"/>
      <c r="N83" s="169">
        <v>0</v>
      </c>
      <c r="O83">
        <v>0</v>
      </c>
      <c r="P83">
        <v>0</v>
      </c>
      <c r="Q83">
        <v>1</v>
      </c>
      <c r="R83">
        <v>0</v>
      </c>
      <c r="S83">
        <f t="shared" si="0"/>
        <v>9.8765432098765427E-2</v>
      </c>
      <c r="T83">
        <f t="shared" si="1"/>
        <v>6.0625</v>
      </c>
      <c r="U83" s="9"/>
      <c r="V83" s="9"/>
      <c r="W83" s="9"/>
      <c r="Z83" s="4"/>
      <c r="AB83" s="4"/>
      <c r="AF83" s="167"/>
    </row>
    <row r="84" spans="1:32" ht="15.75">
      <c r="A84" s="41">
        <v>1</v>
      </c>
      <c r="B84" s="79">
        <v>1</v>
      </c>
      <c r="C84" s="79">
        <v>1</v>
      </c>
      <c r="D84" s="79">
        <v>1</v>
      </c>
      <c r="E84" s="33">
        <v>0</v>
      </c>
      <c r="F84" s="125">
        <v>-0.13456019514994982</v>
      </c>
      <c r="G84" s="33"/>
      <c r="H84" s="60" t="s">
        <v>74</v>
      </c>
      <c r="I84" s="81"/>
      <c r="J84" s="7"/>
      <c r="K84" s="9"/>
      <c r="L84" s="18"/>
      <c r="M84" s="25"/>
      <c r="N84" s="169">
        <v>0</v>
      </c>
      <c r="O84">
        <v>0</v>
      </c>
      <c r="P84">
        <v>0</v>
      </c>
      <c r="Q84">
        <v>0</v>
      </c>
      <c r="R84">
        <v>1</v>
      </c>
      <c r="S84">
        <f t="shared" si="0"/>
        <v>9.9378881987577633E-2</v>
      </c>
      <c r="T84">
        <f t="shared" si="1"/>
        <v>6.03125</v>
      </c>
      <c r="Z84" s="4"/>
      <c r="AC84" s="4"/>
      <c r="AD84" s="4"/>
      <c r="AF84" s="167"/>
    </row>
    <row r="85" spans="1:32" ht="16.5" thickBot="1">
      <c r="A85" s="82">
        <v>1</v>
      </c>
      <c r="B85" s="83">
        <v>1</v>
      </c>
      <c r="C85" s="83">
        <v>1</v>
      </c>
      <c r="D85" s="83">
        <v>1</v>
      </c>
      <c r="E85" s="46">
        <v>1</v>
      </c>
      <c r="F85" s="126">
        <v>-0.13904433921653039</v>
      </c>
      <c r="G85" s="46"/>
      <c r="H85" s="71" t="s">
        <v>75</v>
      </c>
      <c r="I85" s="23"/>
      <c r="J85" s="7"/>
      <c r="K85" s="9"/>
      <c r="L85" s="685"/>
      <c r="M85" s="685"/>
      <c r="N85" s="685">
        <v>0</v>
      </c>
      <c r="O85" s="685">
        <v>0</v>
      </c>
      <c r="P85" s="685">
        <v>0</v>
      </c>
      <c r="Q85" s="685">
        <v>0</v>
      </c>
      <c r="R85" s="685">
        <v>0</v>
      </c>
      <c r="S85" s="685">
        <f t="shared" si="0"/>
        <v>0.1</v>
      </c>
      <c r="T85">
        <f t="shared" si="1"/>
        <v>6</v>
      </c>
      <c r="Z85" s="4"/>
      <c r="AC85" s="4"/>
      <c r="AF85" s="167"/>
    </row>
    <row r="86" spans="1:32" ht="15.75" thickBot="1">
      <c r="Z86" s="4"/>
      <c r="AF86" s="167"/>
    </row>
    <row r="87" spans="1:32" ht="15.75">
      <c r="A87" s="689" t="s">
        <v>87</v>
      </c>
      <c r="B87" s="63" t="s">
        <v>2</v>
      </c>
      <c r="C87" s="63" t="s">
        <v>3</v>
      </c>
      <c r="D87" s="63" t="s">
        <v>4</v>
      </c>
      <c r="E87" s="64" t="s">
        <v>5</v>
      </c>
      <c r="F87" s="73"/>
      <c r="G87" s="24"/>
      <c r="H87" s="65" t="s">
        <v>24</v>
      </c>
      <c r="I87" s="66" t="s">
        <v>88</v>
      </c>
      <c r="J87" s="18" t="s">
        <v>160</v>
      </c>
      <c r="K87" s="18"/>
      <c r="X87" s="145"/>
      <c r="Z87" s="4"/>
      <c r="AF87" s="167"/>
    </row>
    <row r="88" spans="1:32" ht="14.25" customHeight="1">
      <c r="A88" s="669"/>
      <c r="B88" s="19">
        <v>0</v>
      </c>
      <c r="C88" s="19">
        <v>0</v>
      </c>
      <c r="D88" s="19">
        <v>0</v>
      </c>
      <c r="E88" s="19">
        <v>0</v>
      </c>
      <c r="F88" s="74">
        <v>0</v>
      </c>
      <c r="G88" s="19"/>
      <c r="H88" s="27" t="s">
        <v>25</v>
      </c>
      <c r="I88" s="67">
        <v>0</v>
      </c>
      <c r="J88" s="58"/>
      <c r="K88" s="688" t="s">
        <v>178</v>
      </c>
    </row>
    <row r="89" spans="1:32" ht="15.75" customHeight="1">
      <c r="A89" s="669"/>
      <c r="B89" s="19">
        <v>0</v>
      </c>
      <c r="C89" s="19">
        <v>0</v>
      </c>
      <c r="D89" s="19">
        <v>0</v>
      </c>
      <c r="E89" s="19">
        <v>1</v>
      </c>
      <c r="F89" s="75">
        <v>-1.0524209683873544E-2</v>
      </c>
      <c r="G89" s="28"/>
      <c r="H89" s="61" t="s">
        <v>25</v>
      </c>
      <c r="I89" s="67">
        <v>4</v>
      </c>
      <c r="J89" s="13"/>
      <c r="K89" s="688"/>
      <c r="L89" s="56"/>
      <c r="N89" s="11"/>
      <c r="O89" s="6"/>
      <c r="S89" s="32"/>
    </row>
    <row r="90" spans="1:32" ht="15.75">
      <c r="A90" s="669"/>
      <c r="B90" s="19">
        <v>0</v>
      </c>
      <c r="C90" s="19">
        <v>0</v>
      </c>
      <c r="D90" s="19">
        <v>1</v>
      </c>
      <c r="E90" s="19">
        <v>0</v>
      </c>
      <c r="F90" s="75">
        <v>-2.1128451380552204E-2</v>
      </c>
      <c r="G90" s="28"/>
      <c r="H90" s="61" t="s">
        <v>25</v>
      </c>
      <c r="I90" s="67">
        <v>2</v>
      </c>
      <c r="J90" s="13"/>
      <c r="K90" s="688"/>
      <c r="L90" s="56"/>
      <c r="N90" s="11"/>
      <c r="O90" s="6"/>
      <c r="S90" s="32"/>
    </row>
    <row r="91" spans="1:32" ht="15.75">
      <c r="A91" s="669"/>
      <c r="B91" s="19">
        <v>0</v>
      </c>
      <c r="C91" s="19">
        <v>0</v>
      </c>
      <c r="D91" s="19">
        <v>1</v>
      </c>
      <c r="E91" s="19">
        <v>1</v>
      </c>
      <c r="F91" s="75">
        <v>-3.1772709083633506E-2</v>
      </c>
      <c r="G91" s="28"/>
      <c r="H91" s="61" t="s">
        <v>25</v>
      </c>
      <c r="I91" s="67">
        <v>6</v>
      </c>
      <c r="J91" s="13"/>
      <c r="K91" s="688"/>
      <c r="L91" s="56"/>
      <c r="N91" s="11"/>
      <c r="O91" s="6"/>
      <c r="S91" s="32"/>
    </row>
    <row r="92" spans="1:32" ht="15.75">
      <c r="A92" s="669"/>
      <c r="B92" s="19">
        <v>0</v>
      </c>
      <c r="C92" s="19">
        <v>1</v>
      </c>
      <c r="D92" s="19">
        <v>0</v>
      </c>
      <c r="E92" s="19">
        <v>0</v>
      </c>
      <c r="F92" s="75">
        <v>-4.2416966786714812E-2</v>
      </c>
      <c r="G92" s="28"/>
      <c r="H92" s="61" t="s">
        <v>25</v>
      </c>
      <c r="I92" s="67">
        <v>1</v>
      </c>
      <c r="J92" s="13"/>
      <c r="K92" s="688"/>
      <c r="L92" s="56"/>
      <c r="N92" s="11"/>
      <c r="O92" s="6"/>
      <c r="S92" s="32"/>
    </row>
    <row r="93" spans="1:32" ht="15.75">
      <c r="A93" s="669"/>
      <c r="B93" s="19">
        <v>0</v>
      </c>
      <c r="C93" s="19">
        <v>1</v>
      </c>
      <c r="D93" s="19">
        <v>0</v>
      </c>
      <c r="E93" s="19">
        <v>1</v>
      </c>
      <c r="F93" s="75">
        <v>-5.3021208483393471E-2</v>
      </c>
      <c r="G93" s="28"/>
      <c r="H93" s="61" t="s">
        <v>25</v>
      </c>
      <c r="I93" s="67">
        <v>5</v>
      </c>
      <c r="J93" s="13"/>
      <c r="K93" s="688"/>
      <c r="L93" s="56"/>
      <c r="N93" s="11"/>
      <c r="O93" s="6"/>
      <c r="S93" s="32"/>
    </row>
    <row r="94" spans="1:32" ht="15.75">
      <c r="A94" s="669"/>
      <c r="B94" s="19">
        <v>0</v>
      </c>
      <c r="C94" s="19">
        <v>1</v>
      </c>
      <c r="D94" s="19">
        <v>1</v>
      </c>
      <c r="E94" s="19">
        <v>0</v>
      </c>
      <c r="F94" s="75">
        <v>-6.3625450180072124E-2</v>
      </c>
      <c r="G94" s="28"/>
      <c r="H94" s="61" t="s">
        <v>25</v>
      </c>
      <c r="I94" s="67">
        <v>3</v>
      </c>
      <c r="J94" s="13"/>
      <c r="K94" s="688"/>
      <c r="L94" s="56"/>
      <c r="N94" s="11"/>
      <c r="O94" s="6"/>
      <c r="S94" s="32"/>
    </row>
    <row r="95" spans="1:32" ht="14.25" customHeight="1">
      <c r="A95" s="669"/>
      <c r="B95" s="19">
        <v>0</v>
      </c>
      <c r="C95" s="19">
        <v>1</v>
      </c>
      <c r="D95" s="19">
        <v>1</v>
      </c>
      <c r="E95" s="19">
        <v>1</v>
      </c>
      <c r="F95" s="75">
        <v>-7.4029611844737914E-2</v>
      </c>
      <c r="G95" s="19"/>
      <c r="H95" s="61" t="s">
        <v>25</v>
      </c>
      <c r="I95" s="67">
        <v>7</v>
      </c>
      <c r="J95" s="13"/>
      <c r="K95" s="688"/>
      <c r="L95" s="56"/>
      <c r="N95" s="11"/>
      <c r="O95" s="6"/>
      <c r="S95" s="32"/>
    </row>
    <row r="96" spans="1:32" ht="15.75">
      <c r="A96" s="669"/>
      <c r="B96" s="19">
        <v>1</v>
      </c>
      <c r="C96" s="19">
        <v>0</v>
      </c>
      <c r="D96" s="19">
        <v>0</v>
      </c>
      <c r="E96" s="19">
        <v>0</v>
      </c>
      <c r="F96" s="75">
        <v>8.2032813125250126E-2</v>
      </c>
      <c r="G96" s="28"/>
      <c r="H96" s="61" t="s">
        <v>26</v>
      </c>
      <c r="I96" s="67">
        <v>0</v>
      </c>
      <c r="J96" s="148">
        <v>13.6</v>
      </c>
      <c r="K96" s="688"/>
      <c r="L96" s="56"/>
      <c r="N96" s="11"/>
      <c r="O96" s="6"/>
      <c r="S96" s="32"/>
    </row>
    <row r="97" spans="1:19" ht="15.75">
      <c r="A97" s="669"/>
      <c r="B97" s="19">
        <v>1</v>
      </c>
      <c r="C97" s="19">
        <v>0</v>
      </c>
      <c r="D97" s="19">
        <v>0</v>
      </c>
      <c r="E97" s="19">
        <v>1</v>
      </c>
      <c r="F97" s="75">
        <v>7.2428971588635468E-2</v>
      </c>
      <c r="G97" s="28"/>
      <c r="H97" s="61" t="s">
        <v>26</v>
      </c>
      <c r="I97" s="67">
        <v>4</v>
      </c>
      <c r="J97" s="13"/>
      <c r="K97" s="688"/>
      <c r="L97" s="56"/>
      <c r="N97" s="11"/>
      <c r="O97" s="6"/>
      <c r="S97" s="32"/>
    </row>
    <row r="98" spans="1:19" ht="15.75">
      <c r="A98" s="669"/>
      <c r="B98" s="19">
        <v>1</v>
      </c>
      <c r="C98" s="19">
        <v>0</v>
      </c>
      <c r="D98" s="19">
        <v>1</v>
      </c>
      <c r="E98" s="19">
        <v>0</v>
      </c>
      <c r="F98" s="75">
        <v>6.2264905962384848E-2</v>
      </c>
      <c r="G98" s="28"/>
      <c r="H98" s="61" t="s">
        <v>26</v>
      </c>
      <c r="I98" s="67">
        <v>2</v>
      </c>
      <c r="J98" s="13"/>
      <c r="K98" s="688"/>
      <c r="L98" s="56"/>
      <c r="N98" s="11"/>
      <c r="O98" s="6"/>
      <c r="S98" s="32"/>
    </row>
    <row r="99" spans="1:19" ht="15.75">
      <c r="A99" s="669"/>
      <c r="B99" s="19">
        <v>1</v>
      </c>
      <c r="C99" s="19">
        <v>0</v>
      </c>
      <c r="D99" s="19">
        <v>1</v>
      </c>
      <c r="E99" s="19">
        <v>1</v>
      </c>
      <c r="F99" s="75">
        <v>5.2020808323329289E-2</v>
      </c>
      <c r="G99" s="28"/>
      <c r="H99" s="61" t="s">
        <v>26</v>
      </c>
      <c r="I99" s="67">
        <v>6</v>
      </c>
      <c r="J99" s="13"/>
      <c r="K99" s="688"/>
      <c r="L99" s="56"/>
      <c r="N99" s="11"/>
      <c r="O99" s="6"/>
      <c r="S99" s="32"/>
    </row>
    <row r="100" spans="1:19" ht="15.75">
      <c r="A100" s="669"/>
      <c r="B100" s="19">
        <v>1</v>
      </c>
      <c r="C100" s="19">
        <v>1</v>
      </c>
      <c r="D100" s="19">
        <v>0</v>
      </c>
      <c r="E100" s="19">
        <v>0</v>
      </c>
      <c r="F100" s="75">
        <v>4.1816726690676195E-2</v>
      </c>
      <c r="G100" s="28"/>
      <c r="H100" s="61" t="s">
        <v>26</v>
      </c>
      <c r="I100" s="67">
        <v>1</v>
      </c>
      <c r="J100" s="13"/>
      <c r="K100" s="688"/>
      <c r="L100" s="56"/>
      <c r="N100" s="11"/>
      <c r="O100" s="6"/>
      <c r="S100" s="32"/>
    </row>
    <row r="101" spans="1:19" ht="15.75">
      <c r="A101" s="669"/>
      <c r="B101" s="19">
        <v>1</v>
      </c>
      <c r="C101" s="19">
        <v>1</v>
      </c>
      <c r="D101" s="19">
        <v>0</v>
      </c>
      <c r="E101" s="19">
        <v>1</v>
      </c>
      <c r="F101" s="75">
        <v>3.1452581032412878E-2</v>
      </c>
      <c r="G101" s="28"/>
      <c r="H101" s="61" t="s">
        <v>26</v>
      </c>
      <c r="I101" s="67">
        <v>5</v>
      </c>
      <c r="J101" s="13"/>
      <c r="K101" s="688"/>
      <c r="L101" s="56"/>
      <c r="N101" s="11"/>
      <c r="O101" s="6"/>
      <c r="S101" s="32"/>
    </row>
    <row r="102" spans="1:19" ht="15.75">
      <c r="A102" s="669"/>
      <c r="B102" s="19">
        <v>1</v>
      </c>
      <c r="C102" s="19">
        <v>1</v>
      </c>
      <c r="D102" s="19">
        <v>1</v>
      </c>
      <c r="E102" s="19">
        <v>0</v>
      </c>
      <c r="F102" s="75">
        <v>2.1048419367747088E-2</v>
      </c>
      <c r="G102" s="28"/>
      <c r="H102" s="61" t="s">
        <v>26</v>
      </c>
      <c r="I102" s="67">
        <v>3</v>
      </c>
      <c r="J102" s="13"/>
      <c r="K102" s="688"/>
      <c r="L102" s="56"/>
      <c r="N102" s="11"/>
      <c r="O102" s="6"/>
      <c r="S102" s="32"/>
    </row>
    <row r="103" spans="1:19" ht="14.25" customHeight="1">
      <c r="A103" s="669"/>
      <c r="B103" s="19">
        <v>1</v>
      </c>
      <c r="C103" s="19">
        <v>1</v>
      </c>
      <c r="D103" s="19">
        <v>1</v>
      </c>
      <c r="E103" s="19">
        <v>1</v>
      </c>
      <c r="F103" s="75">
        <v>1.0564225690276013E-2</v>
      </c>
      <c r="G103" s="19"/>
      <c r="H103" s="61" t="s">
        <v>26</v>
      </c>
      <c r="I103" s="67">
        <v>7</v>
      </c>
      <c r="J103" s="13"/>
      <c r="K103" s="688"/>
      <c r="L103" s="56"/>
      <c r="N103" s="11"/>
      <c r="O103" s="6"/>
      <c r="S103" s="32"/>
    </row>
    <row r="104" spans="1:19" ht="15.75">
      <c r="A104" s="669"/>
      <c r="B104" s="132" t="s">
        <v>149</v>
      </c>
      <c r="C104" s="132" t="s">
        <v>143</v>
      </c>
      <c r="D104" s="132" t="s">
        <v>150</v>
      </c>
      <c r="E104" s="132" t="s">
        <v>151</v>
      </c>
      <c r="F104" s="76"/>
      <c r="G104" s="20"/>
      <c r="H104" s="62" t="s">
        <v>11</v>
      </c>
      <c r="I104" s="68"/>
      <c r="J104" s="17"/>
      <c r="K104" s="17"/>
      <c r="L104" s="3"/>
      <c r="M104" s="3"/>
      <c r="O104" s="3"/>
      <c r="Q104" s="3"/>
      <c r="S104" s="32"/>
    </row>
    <row r="105" spans="1:19" ht="15.75">
      <c r="A105" s="669"/>
      <c r="B105" s="19">
        <v>0</v>
      </c>
      <c r="C105" s="19">
        <v>0</v>
      </c>
      <c r="D105" s="19">
        <v>0</v>
      </c>
      <c r="E105" s="19">
        <v>0</v>
      </c>
      <c r="F105" s="74">
        <v>0</v>
      </c>
      <c r="G105" s="28"/>
      <c r="H105" s="60" t="s">
        <v>25</v>
      </c>
      <c r="I105" s="69"/>
      <c r="J105" s="146">
        <v>1</v>
      </c>
      <c r="K105" s="675" t="s">
        <v>159</v>
      </c>
      <c r="L105" s="2" t="s">
        <v>158</v>
      </c>
      <c r="O105" s="6"/>
      <c r="S105" s="32"/>
    </row>
    <row r="106" spans="1:19" ht="15.75">
      <c r="A106" s="669"/>
      <c r="B106" s="19">
        <v>0</v>
      </c>
      <c r="C106" s="19">
        <v>0</v>
      </c>
      <c r="D106" s="19">
        <v>0</v>
      </c>
      <c r="E106" s="19">
        <v>1</v>
      </c>
      <c r="F106" s="75">
        <v>-2.8000000000000247E-3</v>
      </c>
      <c r="G106" s="28"/>
      <c r="H106" s="60" t="s">
        <v>42</v>
      </c>
      <c r="I106" s="69"/>
      <c r="J106" s="146">
        <v>0.99719999999999998</v>
      </c>
      <c r="K106" s="675"/>
      <c r="L106" t="s">
        <v>157</v>
      </c>
      <c r="O106" s="6"/>
      <c r="Q106" s="11"/>
      <c r="S106" s="32"/>
    </row>
    <row r="107" spans="1:19" ht="15.75">
      <c r="A107" s="669"/>
      <c r="B107" s="19">
        <v>0</v>
      </c>
      <c r="C107" s="19">
        <v>0</v>
      </c>
      <c r="D107" s="19">
        <v>1</v>
      </c>
      <c r="E107" s="19">
        <v>0</v>
      </c>
      <c r="F107" s="75">
        <v>-5.7000000000000384E-3</v>
      </c>
      <c r="G107" s="28"/>
      <c r="H107" s="60" t="s">
        <v>60</v>
      </c>
      <c r="I107" s="69"/>
      <c r="J107" s="146">
        <v>0.99429999999999996</v>
      </c>
      <c r="K107" s="675"/>
      <c r="L107" s="12"/>
      <c r="O107" s="6"/>
      <c r="Q107" s="11"/>
      <c r="S107" s="32"/>
    </row>
    <row r="108" spans="1:19" ht="15.75">
      <c r="A108" s="669"/>
      <c r="B108" s="19">
        <v>0</v>
      </c>
      <c r="C108" s="19">
        <v>0</v>
      </c>
      <c r="D108" s="19">
        <v>1</v>
      </c>
      <c r="E108" s="19">
        <v>1</v>
      </c>
      <c r="F108" s="75">
        <v>-8.600000000000052E-3</v>
      </c>
      <c r="G108" s="28"/>
      <c r="H108" s="60" t="s">
        <v>89</v>
      </c>
      <c r="I108" s="69"/>
      <c r="J108" s="3">
        <v>0.99139999999999995</v>
      </c>
      <c r="K108" s="675"/>
      <c r="L108" s="12"/>
      <c r="O108" s="6"/>
      <c r="Q108" s="11"/>
      <c r="S108" s="32"/>
    </row>
    <row r="109" spans="1:19" ht="15.75">
      <c r="A109" s="669"/>
      <c r="B109" s="19">
        <v>0</v>
      </c>
      <c r="C109" s="19">
        <v>1</v>
      </c>
      <c r="D109" s="19">
        <v>0</v>
      </c>
      <c r="E109" s="19">
        <v>0</v>
      </c>
      <c r="F109" s="75">
        <v>-1.1499999999999955E-2</v>
      </c>
      <c r="G109" s="28"/>
      <c r="H109" s="60" t="s">
        <v>45</v>
      </c>
      <c r="I109" s="69"/>
      <c r="J109" s="3">
        <v>0.98850000000000005</v>
      </c>
      <c r="K109" s="675"/>
      <c r="L109" s="12"/>
      <c r="O109" s="6"/>
      <c r="Q109" s="11"/>
      <c r="S109" s="32"/>
    </row>
    <row r="110" spans="1:19" ht="15.75">
      <c r="A110" s="669"/>
      <c r="B110" s="19">
        <v>0</v>
      </c>
      <c r="C110" s="19">
        <v>1</v>
      </c>
      <c r="D110" s="19">
        <v>0</v>
      </c>
      <c r="E110" s="19">
        <v>1</v>
      </c>
      <c r="F110" s="75">
        <v>-1.4399999999999968E-2</v>
      </c>
      <c r="G110" s="28"/>
      <c r="H110" s="60" t="s">
        <v>90</v>
      </c>
      <c r="I110" s="69"/>
      <c r="J110" s="3">
        <v>0.98560000000000003</v>
      </c>
      <c r="K110" s="675"/>
      <c r="L110" s="57"/>
      <c r="O110" s="6"/>
      <c r="Q110" s="11"/>
      <c r="S110" s="32"/>
    </row>
    <row r="111" spans="1:19" ht="15.75">
      <c r="A111" s="669"/>
      <c r="B111" s="19">
        <v>0</v>
      </c>
      <c r="C111" s="19">
        <v>1</v>
      </c>
      <c r="D111" s="19">
        <v>1</v>
      </c>
      <c r="E111" s="19">
        <v>0</v>
      </c>
      <c r="F111" s="75">
        <v>-1.7399999999999971E-2</v>
      </c>
      <c r="G111" s="28"/>
      <c r="H111" s="60" t="s">
        <v>61</v>
      </c>
      <c r="I111" s="69"/>
      <c r="J111" s="3">
        <v>0.98260000000000003</v>
      </c>
      <c r="K111" s="675"/>
      <c r="L111" s="12"/>
      <c r="O111" s="6"/>
      <c r="Q111" s="11"/>
      <c r="S111" s="32"/>
    </row>
    <row r="112" spans="1:19" ht="15.75">
      <c r="A112" s="669"/>
      <c r="B112" s="19">
        <v>0</v>
      </c>
      <c r="C112" s="19">
        <v>1</v>
      </c>
      <c r="D112" s="19">
        <v>1</v>
      </c>
      <c r="E112" s="19">
        <v>1</v>
      </c>
      <c r="F112" s="75">
        <v>-2.0199999999999996E-2</v>
      </c>
      <c r="G112" s="28"/>
      <c r="H112" s="60" t="s">
        <v>91</v>
      </c>
      <c r="I112" s="69"/>
      <c r="J112" s="147">
        <v>0.9798</v>
      </c>
      <c r="K112" s="675"/>
      <c r="L112" s="12"/>
      <c r="O112" s="6"/>
      <c r="Q112" s="11"/>
      <c r="S112" s="32"/>
    </row>
    <row r="113" spans="1:19" ht="15.75">
      <c r="A113" s="669"/>
      <c r="B113" s="19">
        <v>1</v>
      </c>
      <c r="C113" s="19">
        <v>0</v>
      </c>
      <c r="D113" s="19">
        <v>0</v>
      </c>
      <c r="E113" s="19">
        <v>0</v>
      </c>
      <c r="F113" s="75">
        <v>2.3300000000000098E-2</v>
      </c>
      <c r="G113" s="28"/>
      <c r="H113" s="60" t="s">
        <v>46</v>
      </c>
      <c r="I113" s="69"/>
      <c r="J113" s="147">
        <v>1.0233000000000001</v>
      </c>
      <c r="K113" s="675"/>
      <c r="L113" s="12"/>
      <c r="O113" s="6"/>
      <c r="Q113" s="11"/>
      <c r="S113" s="32"/>
    </row>
    <row r="114" spans="1:19" ht="15.75">
      <c r="A114" s="669"/>
      <c r="B114" s="19">
        <v>1</v>
      </c>
      <c r="C114" s="19">
        <v>0</v>
      </c>
      <c r="D114" s="19">
        <v>0</v>
      </c>
      <c r="E114" s="19">
        <v>1</v>
      </c>
      <c r="F114" s="75">
        <v>2.0399999999999974E-2</v>
      </c>
      <c r="G114" s="28"/>
      <c r="H114" s="60" t="s">
        <v>92</v>
      </c>
      <c r="I114" s="69"/>
      <c r="J114" s="3">
        <v>1.0204</v>
      </c>
      <c r="K114" s="675"/>
      <c r="L114" s="12"/>
      <c r="O114" s="6"/>
      <c r="Q114" s="11"/>
      <c r="S114" s="32"/>
    </row>
    <row r="115" spans="1:19" ht="15.75">
      <c r="A115" s="669"/>
      <c r="B115" s="19">
        <v>1</v>
      </c>
      <c r="C115" s="19">
        <v>0</v>
      </c>
      <c r="D115" s="19">
        <v>1</v>
      </c>
      <c r="E115" s="19">
        <v>0</v>
      </c>
      <c r="F115" s="75">
        <v>1.7500000000000071E-2</v>
      </c>
      <c r="G115" s="28"/>
      <c r="H115" s="60" t="s">
        <v>62</v>
      </c>
      <c r="I115" s="69"/>
      <c r="J115" s="3">
        <v>1.0175000000000001</v>
      </c>
      <c r="K115" s="675"/>
      <c r="L115" s="12"/>
      <c r="O115" s="6"/>
      <c r="Q115" s="11"/>
      <c r="S115" s="32"/>
    </row>
    <row r="116" spans="1:19" ht="15.75">
      <c r="A116" s="669"/>
      <c r="B116" s="19">
        <v>1</v>
      </c>
      <c r="C116" s="19">
        <v>0</v>
      </c>
      <c r="D116" s="19">
        <v>1</v>
      </c>
      <c r="E116" s="19">
        <v>1</v>
      </c>
      <c r="F116" s="75">
        <v>1.4599999999999946E-2</v>
      </c>
      <c r="G116" s="28"/>
      <c r="H116" s="60" t="s">
        <v>93</v>
      </c>
      <c r="I116" s="69"/>
      <c r="J116" s="3">
        <v>1.0145999999999999</v>
      </c>
      <c r="K116" s="675"/>
      <c r="L116" s="57"/>
      <c r="O116" s="6"/>
      <c r="Q116" s="11"/>
      <c r="S116" s="32"/>
    </row>
    <row r="117" spans="1:19" ht="15.75">
      <c r="A117" s="669"/>
      <c r="B117" s="19">
        <v>1</v>
      </c>
      <c r="C117" s="19">
        <v>1</v>
      </c>
      <c r="D117" s="19">
        <v>0</v>
      </c>
      <c r="E117" s="19">
        <v>0</v>
      </c>
      <c r="F117" s="75">
        <v>1.1700000000000044E-2</v>
      </c>
      <c r="G117" s="28"/>
      <c r="H117" s="60" t="s">
        <v>47</v>
      </c>
      <c r="I117" s="69"/>
      <c r="J117" s="3">
        <v>1.0117</v>
      </c>
      <c r="K117" s="675"/>
      <c r="L117" s="12"/>
      <c r="O117" s="6"/>
      <c r="Q117" s="11"/>
      <c r="S117" s="32"/>
    </row>
    <row r="118" spans="1:19" ht="15.75">
      <c r="A118" s="669"/>
      <c r="B118" s="19">
        <v>1</v>
      </c>
      <c r="C118" s="19">
        <v>1</v>
      </c>
      <c r="D118" s="19">
        <v>0</v>
      </c>
      <c r="E118" s="19">
        <v>1</v>
      </c>
      <c r="F118" s="75">
        <v>8.799999999999919E-3</v>
      </c>
      <c r="G118" s="28"/>
      <c r="H118" s="60" t="s">
        <v>94</v>
      </c>
      <c r="I118" s="69"/>
      <c r="J118" s="3">
        <v>1.0087999999999999</v>
      </c>
      <c r="K118" s="675"/>
      <c r="L118" s="12"/>
      <c r="O118" s="6"/>
      <c r="Q118" s="11"/>
      <c r="S118" s="32"/>
    </row>
    <row r="119" spans="1:19" ht="15.75">
      <c r="A119" s="669"/>
      <c r="B119" s="19">
        <v>1</v>
      </c>
      <c r="C119" s="19">
        <v>1</v>
      </c>
      <c r="D119" s="19">
        <v>1</v>
      </c>
      <c r="E119" s="19">
        <v>0</v>
      </c>
      <c r="F119" s="75">
        <v>5.9000000000000163E-3</v>
      </c>
      <c r="G119" s="28"/>
      <c r="H119" s="60" t="s">
        <v>63</v>
      </c>
      <c r="I119" s="69"/>
      <c r="J119" s="3">
        <v>1.0059</v>
      </c>
      <c r="K119" s="675"/>
      <c r="L119" s="12"/>
      <c r="O119" s="6"/>
      <c r="Q119" s="11"/>
      <c r="S119" s="32"/>
    </row>
    <row r="120" spans="1:19" ht="16.5" thickBot="1">
      <c r="A120" s="690"/>
      <c r="B120" s="22">
        <v>1</v>
      </c>
      <c r="C120" s="22">
        <v>1</v>
      </c>
      <c r="D120" s="22">
        <v>1</v>
      </c>
      <c r="E120" s="22">
        <v>1</v>
      </c>
      <c r="F120" s="77">
        <v>2.9999999999998916E-3</v>
      </c>
      <c r="G120" s="70"/>
      <c r="H120" s="71" t="s">
        <v>95</v>
      </c>
      <c r="I120" s="72"/>
      <c r="J120" s="142">
        <v>1.0029999999999999</v>
      </c>
      <c r="K120" s="675"/>
      <c r="L120" s="12"/>
      <c r="O120" s="6"/>
      <c r="Q120" s="11"/>
      <c r="S120" s="32"/>
    </row>
    <row r="122" spans="1:19" ht="15.75" thickBot="1"/>
    <row r="123" spans="1:19" ht="80.25" customHeight="1">
      <c r="A123" s="36" t="s">
        <v>85</v>
      </c>
      <c r="B123" s="38" t="s">
        <v>189</v>
      </c>
      <c r="C123" s="37" t="s">
        <v>22</v>
      </c>
      <c r="D123" s="38" t="s">
        <v>190</v>
      </c>
      <c r="E123" s="38" t="s">
        <v>17</v>
      </c>
      <c r="F123" s="37" t="s">
        <v>18</v>
      </c>
      <c r="G123" s="129" t="s">
        <v>19</v>
      </c>
      <c r="H123" s="39" t="s">
        <v>76</v>
      </c>
      <c r="I123" s="51" t="s">
        <v>80</v>
      </c>
      <c r="J123" s="39" t="s">
        <v>77</v>
      </c>
      <c r="K123" s="51" t="s">
        <v>86</v>
      </c>
      <c r="L123" s="39" t="s">
        <v>84</v>
      </c>
      <c r="M123" s="39" t="s">
        <v>78</v>
      </c>
      <c r="N123" s="51" t="s">
        <v>81</v>
      </c>
      <c r="O123" s="39" t="s">
        <v>79</v>
      </c>
      <c r="P123" s="51" t="s">
        <v>82</v>
      </c>
      <c r="Q123" s="40" t="s">
        <v>83</v>
      </c>
    </row>
    <row r="124" spans="1:19" ht="42.75" customHeight="1">
      <c r="A124" s="41" t="s">
        <v>20</v>
      </c>
      <c r="B124" s="33">
        <v>1.8772</v>
      </c>
      <c r="C124" s="33">
        <v>1.3033999999999999</v>
      </c>
      <c r="D124" s="33">
        <v>0.72860000000000003</v>
      </c>
      <c r="E124" s="33">
        <v>2.5430000000000001</v>
      </c>
      <c r="F124" s="33">
        <f>1000*((D124-C124)/5+(D124-B124)/10)/2</f>
        <v>-114.90999999999998</v>
      </c>
      <c r="G124" s="33">
        <v>-100</v>
      </c>
      <c r="H124" s="26">
        <f>(G124-F124)/F124</f>
        <v>-0.12975372030284557</v>
      </c>
      <c r="I124" s="52">
        <v>0</v>
      </c>
      <c r="J124" s="34">
        <f>(G124-(F124+F124*I124))/(F124+F124*I124)</f>
        <v>-0.12975372030284557</v>
      </c>
      <c r="K124" s="52">
        <v>-0.13009999999999999</v>
      </c>
      <c r="L124" s="35">
        <f>(F124+F124*I124)+(F124+F124*I124)*K124</f>
        <v>-99.960208999999992</v>
      </c>
      <c r="M124" s="26">
        <f>(2.5-E124)/E124</f>
        <v>-1.6909162406606427E-2</v>
      </c>
      <c r="N124" s="52">
        <v>-1.0500000000000001E-2</v>
      </c>
      <c r="O124" s="26">
        <f>(2.5-(E124+E124*N124))/(E124+E124*N124)</f>
        <v>-6.4771727201681333E-3</v>
      </c>
      <c r="P124" s="52">
        <v>-5.7000000000000002E-3</v>
      </c>
      <c r="Q124" s="42">
        <f>(E124+N124*E124)+(E124+N124*E124)*P124</f>
        <v>2.5019555985499999</v>
      </c>
    </row>
    <row r="125" spans="1:19" ht="42.75" customHeight="1">
      <c r="A125" s="43" t="s">
        <v>152</v>
      </c>
      <c r="B125" s="33">
        <v>1.8772</v>
      </c>
      <c r="C125" s="33">
        <v>1.3033999999999999</v>
      </c>
      <c r="D125" s="33">
        <v>0.72860000000000003</v>
      </c>
      <c r="E125" s="33">
        <v>2.5430000000000001</v>
      </c>
      <c r="F125" s="33">
        <f>1000*((D125-E125)/15)</f>
        <v>-120.96</v>
      </c>
      <c r="G125" s="33">
        <v>-100</v>
      </c>
      <c r="H125" s="26">
        <f>(G125-F125)/F125</f>
        <v>-0.17328042328042323</v>
      </c>
      <c r="I125" s="53"/>
      <c r="J125" s="34">
        <f>(G125-(F125+F125*I125))/(F125+F125*I125)</f>
        <v>-0.17328042328042323</v>
      </c>
      <c r="K125" s="54"/>
      <c r="L125" s="35">
        <f>(F125+F125*I125)+(F125+F125*I125)*K125</f>
        <v>-120.96</v>
      </c>
      <c r="M125" s="26">
        <f>(2.5-E125)/E125</f>
        <v>-1.6909162406606427E-2</v>
      </c>
      <c r="N125" s="54"/>
      <c r="O125" s="26">
        <f>(2.5-(E125+E125*N125))/(E125+E125*N125)</f>
        <v>-1.6909162406606427E-2</v>
      </c>
      <c r="P125" s="54"/>
      <c r="Q125" s="42">
        <f>(E125+N125*E125)+(E125+N125*E125)*P125</f>
        <v>2.5430000000000001</v>
      </c>
    </row>
    <row r="126" spans="1:19" ht="58.5">
      <c r="A126" s="43" t="s">
        <v>153</v>
      </c>
      <c r="B126" s="33"/>
      <c r="C126" s="33"/>
      <c r="D126" s="33"/>
      <c r="E126" s="33"/>
      <c r="F126" s="33">
        <f>1000*((D126-C126)/5+(D126-B126)/10)/2</f>
        <v>0</v>
      </c>
      <c r="G126" s="33">
        <v>-100</v>
      </c>
      <c r="H126" s="26" t="e">
        <f>(G126-F126)/F126</f>
        <v>#DIV/0!</v>
      </c>
      <c r="I126" s="53"/>
      <c r="J126" s="34" t="e">
        <f>(G126-(F126+F126*I126))/(F126+F126*I126)</f>
        <v>#DIV/0!</v>
      </c>
      <c r="K126" s="54"/>
      <c r="L126" s="35">
        <f>(F126+F126*I126)+(F126+F126*I126)*K126</f>
        <v>0</v>
      </c>
      <c r="M126" s="26" t="e">
        <f>(2.5-E126)/E126</f>
        <v>#DIV/0!</v>
      </c>
      <c r="N126" s="54"/>
      <c r="O126" s="26" t="e">
        <f>(2.5-(E126+E126*N126))/(E126+E126*N126)</f>
        <v>#DIV/0!</v>
      </c>
      <c r="P126" s="54"/>
      <c r="Q126" s="42">
        <f>(E126+N126*E126)+(E126+N126*E126)*P126</f>
        <v>0</v>
      </c>
    </row>
    <row r="127" spans="1:19" ht="58.5">
      <c r="A127" s="43" t="s">
        <v>154</v>
      </c>
      <c r="B127" s="33"/>
      <c r="C127" s="33"/>
      <c r="D127" s="33"/>
      <c r="E127" s="33"/>
      <c r="F127" s="33">
        <f>1000*((D127-C127)/5+(D127-B127)/10)/2</f>
        <v>0</v>
      </c>
      <c r="G127" s="33">
        <v>-100</v>
      </c>
      <c r="H127" s="26" t="e">
        <f>(G127-F127)/F127</f>
        <v>#DIV/0!</v>
      </c>
      <c r="I127" s="53"/>
      <c r="J127" s="34" t="e">
        <f>(G127-(F127+F127*I127))/(F127+F127*I127)</f>
        <v>#DIV/0!</v>
      </c>
      <c r="K127" s="54"/>
      <c r="L127" s="35">
        <f>(F127+F127*I127)+(F127+F127*I127)*K127</f>
        <v>0</v>
      </c>
      <c r="M127" s="26" t="e">
        <f>(2.5-E127)/E127</f>
        <v>#DIV/0!</v>
      </c>
      <c r="N127" s="54"/>
      <c r="O127" s="26" t="e">
        <f>(2.5-(E127+E127*N127))/(E127+E127*N127)</f>
        <v>#DIV/0!</v>
      </c>
      <c r="P127" s="54"/>
      <c r="Q127" s="42">
        <f>(E127+N127*E127)+(E127+N127*E127)*P127</f>
        <v>0</v>
      </c>
    </row>
    <row r="128" spans="1:19" ht="15.75">
      <c r="A128" s="44"/>
      <c r="B128" s="19"/>
      <c r="C128" s="19"/>
      <c r="D128" s="19"/>
      <c r="E128" s="19"/>
      <c r="F128" s="33"/>
      <c r="G128" s="33"/>
      <c r="H128" s="26"/>
      <c r="I128" s="54"/>
      <c r="J128" s="34"/>
      <c r="K128" s="54"/>
      <c r="L128" s="35"/>
      <c r="M128" s="26"/>
      <c r="N128" s="54"/>
      <c r="O128" s="26"/>
      <c r="P128" s="54"/>
      <c r="Q128" s="42"/>
    </row>
    <row r="129" spans="1:17" ht="15.75">
      <c r="A129" s="43"/>
      <c r="B129" s="19"/>
      <c r="C129" s="19"/>
      <c r="D129" s="19"/>
      <c r="E129" s="19"/>
      <c r="F129" s="33"/>
      <c r="G129" s="33"/>
      <c r="H129" s="26"/>
      <c r="I129" s="54"/>
      <c r="J129" s="34"/>
      <c r="K129" s="54"/>
      <c r="L129" s="35"/>
      <c r="M129" s="26"/>
      <c r="N129" s="54"/>
      <c r="O129" s="26"/>
      <c r="P129" s="54"/>
      <c r="Q129" s="42"/>
    </row>
    <row r="130" spans="1:17" ht="15.75">
      <c r="A130" s="44"/>
      <c r="B130" s="19"/>
      <c r="C130" s="19"/>
      <c r="D130" s="19"/>
      <c r="E130" s="19"/>
      <c r="F130" s="33"/>
      <c r="G130" s="33"/>
      <c r="H130" s="26"/>
      <c r="I130" s="54"/>
      <c r="J130" s="34"/>
      <c r="K130" s="54"/>
      <c r="L130" s="35"/>
      <c r="M130" s="26"/>
      <c r="N130" s="54"/>
      <c r="O130" s="26"/>
      <c r="P130" s="54"/>
      <c r="Q130" s="42"/>
    </row>
    <row r="131" spans="1:17" ht="15.75">
      <c r="A131" s="43"/>
      <c r="B131" s="19"/>
      <c r="C131" s="19"/>
      <c r="D131" s="19"/>
      <c r="E131" s="19"/>
      <c r="F131" s="33"/>
      <c r="G131" s="33"/>
      <c r="H131" s="26"/>
      <c r="I131" s="54"/>
      <c r="J131" s="34"/>
      <c r="K131" s="54"/>
      <c r="L131" s="35"/>
      <c r="M131" s="26"/>
      <c r="N131" s="54"/>
      <c r="O131" s="26"/>
      <c r="P131" s="54"/>
      <c r="Q131" s="42"/>
    </row>
    <row r="132" spans="1:17" ht="15.75">
      <c r="A132" s="44"/>
      <c r="B132" s="19"/>
      <c r="C132" s="19"/>
      <c r="D132" s="19"/>
      <c r="E132" s="19"/>
      <c r="F132" s="33"/>
      <c r="G132" s="33"/>
      <c r="H132" s="26"/>
      <c r="I132" s="54"/>
      <c r="J132" s="34"/>
      <c r="K132" s="54"/>
      <c r="L132" s="35"/>
      <c r="M132" s="26"/>
      <c r="N132" s="54"/>
      <c r="O132" s="26"/>
      <c r="P132" s="54"/>
      <c r="Q132" s="42"/>
    </row>
    <row r="133" spans="1:17" ht="15.75">
      <c r="A133" s="43"/>
      <c r="B133" s="19"/>
      <c r="C133" s="19"/>
      <c r="D133" s="19"/>
      <c r="E133" s="19"/>
      <c r="F133" s="33"/>
      <c r="G133" s="33"/>
      <c r="H133" s="26"/>
      <c r="I133" s="54"/>
      <c r="J133" s="34"/>
      <c r="K133" s="54"/>
      <c r="L133" s="35"/>
      <c r="M133" s="26"/>
      <c r="N133" s="54"/>
      <c r="O133" s="26"/>
      <c r="P133" s="54"/>
      <c r="Q133" s="42"/>
    </row>
    <row r="134" spans="1:17" ht="15.75">
      <c r="A134" s="44"/>
      <c r="B134" s="19"/>
      <c r="C134" s="19"/>
      <c r="D134" s="19"/>
      <c r="E134" s="19"/>
      <c r="F134" s="33"/>
      <c r="G134" s="33"/>
      <c r="H134" s="26"/>
      <c r="I134" s="54"/>
      <c r="J134" s="34"/>
      <c r="K134" s="54"/>
      <c r="L134" s="35"/>
      <c r="M134" s="26"/>
      <c r="N134" s="54"/>
      <c r="O134" s="26"/>
      <c r="P134" s="54"/>
      <c r="Q134" s="42"/>
    </row>
    <row r="135" spans="1:17" ht="15.75">
      <c r="A135" s="43"/>
      <c r="B135" s="19"/>
      <c r="C135" s="19"/>
      <c r="D135" s="19"/>
      <c r="E135" s="19"/>
      <c r="F135" s="33"/>
      <c r="G135" s="33"/>
      <c r="H135" s="26"/>
      <c r="I135" s="54"/>
      <c r="J135" s="34"/>
      <c r="K135" s="54"/>
      <c r="L135" s="35"/>
      <c r="M135" s="26"/>
      <c r="N135" s="54"/>
      <c r="O135" s="26"/>
      <c r="P135" s="54"/>
      <c r="Q135" s="42"/>
    </row>
    <row r="136" spans="1:17" ht="15.75">
      <c r="A136" s="44"/>
      <c r="B136" s="19"/>
      <c r="C136" s="19"/>
      <c r="D136" s="19"/>
      <c r="E136" s="19"/>
      <c r="F136" s="33"/>
      <c r="G136" s="33"/>
      <c r="H136" s="26"/>
      <c r="I136" s="54"/>
      <c r="J136" s="34"/>
      <c r="K136" s="54"/>
      <c r="L136" s="35"/>
      <c r="M136" s="26"/>
      <c r="N136" s="54"/>
      <c r="O136" s="26"/>
      <c r="P136" s="54"/>
      <c r="Q136" s="42"/>
    </row>
    <row r="137" spans="1:17" ht="15.75">
      <c r="A137" s="43"/>
      <c r="B137" s="19"/>
      <c r="C137" s="19"/>
      <c r="D137" s="19"/>
      <c r="E137" s="19"/>
      <c r="F137" s="33"/>
      <c r="G137" s="33"/>
      <c r="H137" s="26"/>
      <c r="I137" s="54"/>
      <c r="J137" s="34"/>
      <c r="K137" s="54"/>
      <c r="L137" s="35"/>
      <c r="M137" s="26"/>
      <c r="N137" s="54"/>
      <c r="O137" s="26"/>
      <c r="P137" s="54"/>
      <c r="Q137" s="42"/>
    </row>
    <row r="138" spans="1:17" ht="15.75">
      <c r="A138" s="44"/>
      <c r="B138" s="19"/>
      <c r="C138" s="19"/>
      <c r="D138" s="19"/>
      <c r="E138" s="19"/>
      <c r="F138" s="33"/>
      <c r="G138" s="33"/>
      <c r="H138" s="26"/>
      <c r="I138" s="54"/>
      <c r="J138" s="34"/>
      <c r="K138" s="54"/>
      <c r="L138" s="35"/>
      <c r="M138" s="26"/>
      <c r="N138" s="54"/>
      <c r="O138" s="26"/>
      <c r="P138" s="54"/>
      <c r="Q138" s="42"/>
    </row>
    <row r="139" spans="1:17" ht="15.75">
      <c r="A139" s="43"/>
      <c r="B139" s="19"/>
      <c r="C139" s="19"/>
      <c r="D139" s="19"/>
      <c r="E139" s="19"/>
      <c r="F139" s="33"/>
      <c r="G139" s="33"/>
      <c r="H139" s="26"/>
      <c r="I139" s="54"/>
      <c r="J139" s="34"/>
      <c r="K139" s="54"/>
      <c r="L139" s="35"/>
      <c r="M139" s="26"/>
      <c r="N139" s="54"/>
      <c r="O139" s="26"/>
      <c r="P139" s="54"/>
      <c r="Q139" s="42"/>
    </row>
    <row r="140" spans="1:17" ht="15.75">
      <c r="A140" s="44"/>
      <c r="B140" s="19"/>
      <c r="C140" s="19"/>
      <c r="D140" s="19"/>
      <c r="E140" s="19"/>
      <c r="F140" s="33"/>
      <c r="G140" s="33"/>
      <c r="H140" s="26"/>
      <c r="I140" s="54"/>
      <c r="J140" s="34"/>
      <c r="K140" s="54"/>
      <c r="L140" s="35"/>
      <c r="M140" s="26"/>
      <c r="N140" s="54"/>
      <c r="O140" s="26"/>
      <c r="P140" s="54"/>
      <c r="Q140" s="42"/>
    </row>
    <row r="141" spans="1:17" ht="15.75">
      <c r="A141" s="43"/>
      <c r="B141" s="19"/>
      <c r="C141" s="19"/>
      <c r="D141" s="19"/>
      <c r="E141" s="19"/>
      <c r="F141" s="33"/>
      <c r="G141" s="33"/>
      <c r="H141" s="26"/>
      <c r="I141" s="54"/>
      <c r="J141" s="34"/>
      <c r="K141" s="54"/>
      <c r="L141" s="35"/>
      <c r="M141" s="26"/>
      <c r="N141" s="54"/>
      <c r="O141" s="26"/>
      <c r="P141" s="54"/>
      <c r="Q141" s="42"/>
    </row>
    <row r="142" spans="1:17" ht="15.75">
      <c r="A142" s="44"/>
      <c r="B142" s="19"/>
      <c r="C142" s="19"/>
      <c r="D142" s="19"/>
      <c r="E142" s="19"/>
      <c r="F142" s="33"/>
      <c r="G142" s="33"/>
      <c r="H142" s="26"/>
      <c r="I142" s="54"/>
      <c r="J142" s="34"/>
      <c r="K142" s="54"/>
      <c r="L142" s="35"/>
      <c r="M142" s="26"/>
      <c r="N142" s="54"/>
      <c r="O142" s="26"/>
      <c r="P142" s="54"/>
      <c r="Q142" s="42"/>
    </row>
    <row r="143" spans="1:17" ht="15.75">
      <c r="A143" s="43"/>
      <c r="B143" s="19"/>
      <c r="C143" s="19"/>
      <c r="D143" s="19"/>
      <c r="E143" s="19"/>
      <c r="F143" s="33"/>
      <c r="G143" s="33"/>
      <c r="H143" s="26"/>
      <c r="I143" s="54"/>
      <c r="J143" s="34"/>
      <c r="K143" s="54"/>
      <c r="L143" s="35"/>
      <c r="M143" s="26"/>
      <c r="N143" s="54"/>
      <c r="O143" s="26"/>
      <c r="P143" s="54"/>
      <c r="Q143" s="42"/>
    </row>
    <row r="144" spans="1:17" ht="15.75">
      <c r="A144" s="44"/>
      <c r="B144" s="19"/>
      <c r="C144" s="19"/>
      <c r="D144" s="19"/>
      <c r="E144" s="19"/>
      <c r="F144" s="33"/>
      <c r="G144" s="33"/>
      <c r="H144" s="26"/>
      <c r="I144" s="54"/>
      <c r="J144" s="34"/>
      <c r="K144" s="54"/>
      <c r="L144" s="35"/>
      <c r="M144" s="26"/>
      <c r="N144" s="54"/>
      <c r="O144" s="26"/>
      <c r="P144" s="54"/>
      <c r="Q144" s="42"/>
    </row>
    <row r="145" spans="1:17" ht="16.5" thickBot="1">
      <c r="A145" s="45"/>
      <c r="B145" s="22"/>
      <c r="C145" s="22"/>
      <c r="D145" s="22"/>
      <c r="E145" s="22"/>
      <c r="F145" s="46"/>
      <c r="G145" s="46"/>
      <c r="H145" s="47"/>
      <c r="I145" s="55"/>
      <c r="J145" s="48"/>
      <c r="K145" s="55"/>
      <c r="L145" s="49"/>
      <c r="M145" s="47"/>
      <c r="N145" s="55"/>
      <c r="O145" s="47"/>
      <c r="P145" s="55"/>
      <c r="Q145" s="50"/>
    </row>
    <row r="146" spans="1:17" ht="15.75">
      <c r="G146" s="9"/>
    </row>
  </sheetData>
  <mergeCells count="35">
    <mergeCell ref="A22:L22"/>
    <mergeCell ref="K105:K120"/>
    <mergeCell ref="H6:H9"/>
    <mergeCell ref="I11:I15"/>
    <mergeCell ref="L17:L21"/>
    <mergeCell ref="K24:K27"/>
    <mergeCell ref="A33:L33"/>
    <mergeCell ref="A32:L32"/>
    <mergeCell ref="A34:L34"/>
    <mergeCell ref="B12:B15"/>
    <mergeCell ref="C18:D21"/>
    <mergeCell ref="L85:S85"/>
    <mergeCell ref="J53:J70"/>
    <mergeCell ref="K88:K103"/>
    <mergeCell ref="A87:A120"/>
    <mergeCell ref="J37:J52"/>
    <mergeCell ref="L36:U36"/>
    <mergeCell ref="A23:A27"/>
    <mergeCell ref="B30:B31"/>
    <mergeCell ref="A29:A31"/>
    <mergeCell ref="G29:G31"/>
    <mergeCell ref="K36:K52"/>
    <mergeCell ref="A1:L1"/>
    <mergeCell ref="G4:I4"/>
    <mergeCell ref="A6:A9"/>
    <mergeCell ref="A17:A21"/>
    <mergeCell ref="C17:D17"/>
    <mergeCell ref="A11:A15"/>
    <mergeCell ref="A2:L2"/>
    <mergeCell ref="A5:L5"/>
    <mergeCell ref="A10:L10"/>
    <mergeCell ref="A16:L16"/>
    <mergeCell ref="C12:C15"/>
    <mergeCell ref="B18:B21"/>
    <mergeCell ref="A3:L3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0"/>
  <sheetViews>
    <sheetView workbookViewId="0">
      <selection activeCell="D20" sqref="D20"/>
    </sheetView>
  </sheetViews>
  <sheetFormatPr defaultRowHeight="15"/>
  <cols>
    <col min="2" max="2" width="10.85546875" bestFit="1" customWidth="1"/>
  </cols>
  <sheetData>
    <row r="3" spans="2:12" ht="15.75" thickBot="1"/>
    <row r="4" spans="2:12" ht="16.5" thickBot="1">
      <c r="B4" s="693" t="s">
        <v>98</v>
      </c>
      <c r="C4" s="694"/>
      <c r="D4" s="694"/>
      <c r="E4" s="694"/>
      <c r="F4" s="694"/>
      <c r="G4" s="694"/>
      <c r="H4" s="694"/>
      <c r="I4" s="694"/>
      <c r="J4" s="694"/>
      <c r="K4" s="694"/>
      <c r="L4" s="695"/>
    </row>
    <row r="5" spans="2:12" ht="15.75">
      <c r="B5" s="696" t="s">
        <v>99</v>
      </c>
      <c r="C5" s="133" t="s">
        <v>100</v>
      </c>
      <c r="D5" s="133" t="s">
        <v>101</v>
      </c>
      <c r="E5" s="133" t="s">
        <v>102</v>
      </c>
      <c r="F5" s="133" t="s">
        <v>103</v>
      </c>
      <c r="G5" s="133" t="s">
        <v>104</v>
      </c>
      <c r="H5" s="133" t="s">
        <v>105</v>
      </c>
      <c r="I5" s="133" t="s">
        <v>106</v>
      </c>
      <c r="J5" s="133" t="s">
        <v>107</v>
      </c>
      <c r="K5" s="133" t="s">
        <v>108</v>
      </c>
      <c r="L5" s="1"/>
    </row>
    <row r="6" spans="2:12" ht="15.75">
      <c r="B6" s="697"/>
      <c r="C6" s="134" t="s">
        <v>109</v>
      </c>
      <c r="D6" s="135" t="s">
        <v>110</v>
      </c>
      <c r="E6" s="135" t="s">
        <v>111</v>
      </c>
      <c r="F6" s="135" t="s">
        <v>7</v>
      </c>
      <c r="G6" s="135" t="s">
        <v>112</v>
      </c>
      <c r="H6" s="135" t="s">
        <v>113</v>
      </c>
      <c r="I6" s="135" t="s">
        <v>114</v>
      </c>
      <c r="J6" s="135" t="s">
        <v>115</v>
      </c>
      <c r="K6" s="135" t="s">
        <v>116</v>
      </c>
      <c r="L6" s="136" t="s">
        <v>117</v>
      </c>
    </row>
    <row r="7" spans="2:12" ht="15.75">
      <c r="B7" s="697"/>
      <c r="C7" s="134" t="s">
        <v>118</v>
      </c>
      <c r="D7" s="135" t="s">
        <v>119</v>
      </c>
      <c r="E7" s="135" t="s">
        <v>133</v>
      </c>
      <c r="F7" s="135" t="s">
        <v>134</v>
      </c>
      <c r="G7" s="135" t="s">
        <v>135</v>
      </c>
      <c r="H7" s="135" t="s">
        <v>136</v>
      </c>
      <c r="I7" s="135" t="s">
        <v>199</v>
      </c>
      <c r="J7" s="135" t="s">
        <v>196</v>
      </c>
      <c r="K7" s="135" t="s">
        <v>120</v>
      </c>
      <c r="L7" s="136" t="s">
        <v>121</v>
      </c>
    </row>
    <row r="8" spans="2:12" ht="15.75">
      <c r="B8" s="697"/>
      <c r="C8" s="134" t="s">
        <v>122</v>
      </c>
      <c r="D8" s="135" t="s">
        <v>195</v>
      </c>
      <c r="E8" s="135" t="s">
        <v>137</v>
      </c>
      <c r="F8" s="135" t="s">
        <v>138</v>
      </c>
      <c r="G8" s="135" t="s">
        <v>139</v>
      </c>
      <c r="H8" s="135" t="s">
        <v>140</v>
      </c>
      <c r="I8" s="135" t="s">
        <v>123</v>
      </c>
      <c r="J8" s="135" t="s">
        <v>4</v>
      </c>
      <c r="K8" s="135" t="s">
        <v>3</v>
      </c>
      <c r="L8" s="136" t="s">
        <v>124</v>
      </c>
    </row>
    <row r="9" spans="2:12" ht="15.75">
      <c r="B9" s="697"/>
      <c r="C9" s="134" t="s">
        <v>125</v>
      </c>
      <c r="D9" s="135" t="s">
        <v>194</v>
      </c>
      <c r="E9" s="135" t="s">
        <v>6</v>
      </c>
      <c r="F9" s="135" t="s">
        <v>141</v>
      </c>
      <c r="G9" s="135" t="s">
        <v>142</v>
      </c>
      <c r="H9" s="135" t="s">
        <v>143</v>
      </c>
      <c r="I9" s="135" t="s">
        <v>144</v>
      </c>
      <c r="J9" s="135" t="s">
        <v>191</v>
      </c>
      <c r="K9" s="135" t="s">
        <v>192</v>
      </c>
      <c r="L9" s="136" t="s">
        <v>126</v>
      </c>
    </row>
    <row r="10" spans="2:12" ht="16.5" thickBot="1">
      <c r="B10" s="698"/>
      <c r="C10" s="137" t="s">
        <v>127</v>
      </c>
      <c r="D10" s="699" t="s">
        <v>128</v>
      </c>
      <c r="E10" s="699"/>
      <c r="F10" s="699"/>
      <c r="G10" s="699"/>
      <c r="H10" s="699"/>
      <c r="I10" s="138" t="s">
        <v>129</v>
      </c>
      <c r="J10" s="139" t="s">
        <v>130</v>
      </c>
      <c r="K10" s="140" t="s">
        <v>131</v>
      </c>
      <c r="L10" s="141" t="s">
        <v>132</v>
      </c>
    </row>
  </sheetData>
  <mergeCells count="3">
    <mergeCell ref="B4:L4"/>
    <mergeCell ref="B5:B10"/>
    <mergeCell ref="D10:H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8"/>
  <sheetViews>
    <sheetView topLeftCell="A14" zoomScale="80" zoomScaleNormal="80" workbookViewId="0">
      <pane xSplit="1" ySplit="13" topLeftCell="B94" activePane="bottomRight" state="frozen"/>
      <selection activeCell="A14" sqref="A14"/>
      <selection pane="topRight" activeCell="B14" sqref="B14"/>
      <selection pane="bottomLeft" activeCell="A27" sqref="A27"/>
      <selection pane="bottomRight" activeCell="W122" sqref="W122"/>
    </sheetView>
  </sheetViews>
  <sheetFormatPr defaultRowHeight="15"/>
  <cols>
    <col min="1" max="1" width="9.5703125" bestFit="1" customWidth="1"/>
    <col min="2" max="2" width="8.7109375" customWidth="1"/>
    <col min="3" max="4" width="7" bestFit="1" customWidth="1"/>
    <col min="5" max="5" width="8" bestFit="1" customWidth="1"/>
    <col min="6" max="6" width="8.28515625" customWidth="1"/>
    <col min="7" max="7" width="7.28515625" customWidth="1"/>
    <col min="8" max="9" width="12.28515625" bestFit="1" customWidth="1"/>
    <col min="10" max="10" width="5.42578125" customWidth="1"/>
    <col min="11" max="11" width="4.42578125" customWidth="1"/>
    <col min="12" max="12" width="3.42578125" customWidth="1"/>
    <col min="13" max="13" width="8.7109375" bestFit="1" customWidth="1"/>
    <col min="14" max="14" width="9" bestFit="1" customWidth="1"/>
    <col min="15" max="15" width="11.28515625" style="549" customWidth="1"/>
    <col min="16" max="16" width="10.7109375" bestFit="1" customWidth="1"/>
    <col min="17" max="17" width="10.28515625" bestFit="1" customWidth="1"/>
    <col min="18" max="21" width="12" bestFit="1" customWidth="1"/>
    <col min="22" max="22" width="10.7109375" customWidth="1"/>
    <col min="23" max="23" width="7.7109375" bestFit="1" customWidth="1"/>
    <col min="24" max="24" width="7" customWidth="1"/>
    <col min="25" max="25" width="7.28515625" customWidth="1"/>
    <col min="26" max="26" width="6.5703125" customWidth="1"/>
    <col min="27" max="30" width="7.28515625" bestFit="1" customWidth="1"/>
    <col min="31" max="31" width="9" bestFit="1" customWidth="1"/>
    <col min="32" max="32" width="7.7109375" bestFit="1" customWidth="1"/>
    <col min="33" max="33" width="6.42578125" customWidth="1"/>
    <col min="37" max="37" width="9.140625" bestFit="1" customWidth="1"/>
  </cols>
  <sheetData>
    <row r="1" spans="1:31" ht="30">
      <c r="A1" s="19" t="s">
        <v>201</v>
      </c>
      <c r="B1" s="176" t="s">
        <v>202</v>
      </c>
      <c r="C1" s="132" t="s">
        <v>167</v>
      </c>
      <c r="D1" s="132" t="s">
        <v>37</v>
      </c>
      <c r="E1" s="132" t="s">
        <v>168</v>
      </c>
      <c r="F1" s="164" t="s">
        <v>35</v>
      </c>
    </row>
    <row r="2" spans="1:31" ht="15.75">
      <c r="A2" s="19">
        <v>1</v>
      </c>
      <c r="B2" s="19">
        <v>2.4660000000000002</v>
      </c>
      <c r="C2" s="19">
        <v>3.9049999999999998</v>
      </c>
      <c r="D2" s="19">
        <v>3.423</v>
      </c>
      <c r="E2" s="19">
        <v>2.9430000000000001</v>
      </c>
      <c r="F2" s="93">
        <f>((C2-D2)/5+(C2-E2)/10)/2*1000</f>
        <v>96.299999999999969</v>
      </c>
    </row>
    <row r="3" spans="1:31" ht="15.75">
      <c r="A3" s="19">
        <v>2</v>
      </c>
      <c r="B3" s="19">
        <v>2.5659999999999998</v>
      </c>
      <c r="C3" s="19">
        <v>4.13</v>
      </c>
      <c r="D3" s="19">
        <v>3.6059999999999999</v>
      </c>
      <c r="E3" s="19">
        <v>3.0870000000000002</v>
      </c>
      <c r="F3" s="93">
        <f>((C3-D3)/5+(C3-E3)/10)/2*1000</f>
        <v>104.55</v>
      </c>
    </row>
    <row r="4" spans="1:31" ht="15.75">
      <c r="A4" s="19">
        <v>3</v>
      </c>
      <c r="B4" s="19">
        <v>2.536</v>
      </c>
      <c r="C4" s="19">
        <v>3.7770000000000001</v>
      </c>
      <c r="D4" s="19">
        <v>3.3660000000000001</v>
      </c>
      <c r="E4" s="19">
        <v>2.9510000000000001</v>
      </c>
      <c r="F4" s="93">
        <f>((C4-D4)/5+(C4-E4)/10)/2*1000</f>
        <v>82.4</v>
      </c>
    </row>
    <row r="5" spans="1:31" ht="15.75">
      <c r="A5" s="19">
        <v>4</v>
      </c>
      <c r="B5" s="19">
        <v>2.5150000000000001</v>
      </c>
      <c r="C5" s="19">
        <v>4.0250000000000004</v>
      </c>
      <c r="D5" s="19">
        <v>3.5249999999999999</v>
      </c>
      <c r="E5" s="19">
        <v>3.02</v>
      </c>
      <c r="F5" s="93">
        <f>((C5-D5)/5+(C5-E5)/10)/2*1000</f>
        <v>100.25000000000006</v>
      </c>
    </row>
    <row r="6" spans="1:31" ht="15.75">
      <c r="A6" s="19">
        <v>5</v>
      </c>
      <c r="B6" s="19">
        <v>2.5840000000000001</v>
      </c>
      <c r="C6" s="19">
        <v>4.1470000000000002</v>
      </c>
      <c r="D6" s="19">
        <v>3.6280000000000001</v>
      </c>
      <c r="E6" s="19">
        <v>3.1080000000000001</v>
      </c>
      <c r="F6" s="93">
        <f>((C6-D6)/5+(C6-E6)/10)/2*1000</f>
        <v>103.85000000000002</v>
      </c>
    </row>
    <row r="7" spans="1:31" ht="15.75" thickBot="1">
      <c r="W7" t="s">
        <v>207</v>
      </c>
      <c r="X7" t="s">
        <v>207</v>
      </c>
      <c r="Y7" t="s">
        <v>209</v>
      </c>
      <c r="Z7" t="s">
        <v>208</v>
      </c>
    </row>
    <row r="8" spans="1:31" ht="44.25">
      <c r="A8" s="36" t="s">
        <v>85</v>
      </c>
      <c r="B8" s="38" t="s">
        <v>189</v>
      </c>
      <c r="C8" s="37" t="s">
        <v>22</v>
      </c>
      <c r="D8" s="38" t="s">
        <v>190</v>
      </c>
      <c r="E8" s="38" t="s">
        <v>17</v>
      </c>
      <c r="F8" s="37" t="s">
        <v>18</v>
      </c>
      <c r="G8" s="194" t="s">
        <v>19</v>
      </c>
      <c r="H8" s="189" t="s">
        <v>76</v>
      </c>
      <c r="I8" s="51" t="s">
        <v>80</v>
      </c>
      <c r="J8" s="51"/>
      <c r="K8" s="51"/>
      <c r="L8" s="51"/>
      <c r="M8" s="51"/>
      <c r="N8" s="51"/>
      <c r="O8" s="550" t="s">
        <v>77</v>
      </c>
      <c r="P8" s="51" t="s">
        <v>86</v>
      </c>
      <c r="Q8" s="196" t="s">
        <v>84</v>
      </c>
      <c r="R8" s="189" t="s">
        <v>78</v>
      </c>
      <c r="S8" s="51" t="s">
        <v>81</v>
      </c>
      <c r="T8" s="39" t="s">
        <v>79</v>
      </c>
      <c r="U8" s="51" t="s">
        <v>82</v>
      </c>
      <c r="V8" s="40" t="s">
        <v>83</v>
      </c>
      <c r="W8" s="178" t="s">
        <v>203</v>
      </c>
      <c r="X8" s="179" t="s">
        <v>204</v>
      </c>
      <c r="Y8" s="180" t="s">
        <v>203</v>
      </c>
      <c r="Z8" s="181" t="s">
        <v>204</v>
      </c>
      <c r="AA8" s="182" t="s">
        <v>203</v>
      </c>
      <c r="AB8" s="182" t="s">
        <v>204</v>
      </c>
      <c r="AC8" s="182" t="s">
        <v>205</v>
      </c>
      <c r="AD8" s="182" t="s">
        <v>206</v>
      </c>
      <c r="AE8" s="182"/>
    </row>
    <row r="9" spans="1:31" ht="15.75">
      <c r="A9" s="41">
        <v>1</v>
      </c>
      <c r="B9" s="19">
        <v>3.9049999999999998</v>
      </c>
      <c r="C9" s="19">
        <v>3.423</v>
      </c>
      <c r="D9" s="19">
        <v>2.9430000000000001</v>
      </c>
      <c r="E9" s="19">
        <v>2.4660000000000002</v>
      </c>
      <c r="F9" s="33">
        <f>1000*((B9-D9)/10+(B9-C9)/5)/2</f>
        <v>96.299999999999969</v>
      </c>
      <c r="G9" s="195">
        <v>80</v>
      </c>
      <c r="H9" s="190">
        <f>(G9-F9)/F9</f>
        <v>-0.16926272066458956</v>
      </c>
      <c r="I9" s="52">
        <v>-0.14699999999999999</v>
      </c>
      <c r="J9" s="52"/>
      <c r="K9" s="52"/>
      <c r="L9" s="52"/>
      <c r="M9" s="52"/>
      <c r="N9" s="52"/>
      <c r="O9" s="551">
        <f>(G9-(F9+F9*I9))/(F9+F9*I9)</f>
        <v>-2.6099320826013548E-2</v>
      </c>
      <c r="P9" s="186">
        <v>-5.3800000000000001E-2</v>
      </c>
      <c r="Q9" s="197">
        <f>(F9+F9*I9)+(F9+F9*I9)*P9</f>
        <v>77.724558179999974</v>
      </c>
      <c r="R9" s="190">
        <f>(2.5-E9)/E9</f>
        <v>1.3787510137875023E-2</v>
      </c>
      <c r="S9" s="52">
        <v>1.06E-2</v>
      </c>
      <c r="T9" s="26">
        <f>(2.5-(E9+E9*S9))/(E9+E9*S9)</f>
        <v>3.1540769224965436E-3</v>
      </c>
      <c r="U9" s="52">
        <v>3.0000000000000001E-3</v>
      </c>
      <c r="V9" s="42">
        <f t="shared" ref="V9:V18" si="0">(E9+S9*E9)+(E9+S9*E9)*U9</f>
        <v>2.4996160188000003</v>
      </c>
      <c r="W9" s="183">
        <v>0</v>
      </c>
      <c r="X9" s="183">
        <v>1</v>
      </c>
      <c r="Y9" s="183">
        <v>3</v>
      </c>
      <c r="Z9" s="183">
        <v>80</v>
      </c>
      <c r="AA9" s="183" t="str">
        <f>DEC2HEX(HEX2DEC(W9)+HEX2DEC(Y9))</f>
        <v>3</v>
      </c>
      <c r="AB9" s="183" t="str">
        <f>DEC2HEX(HEX2DEC(X9)+HEX2DEC(Z9))</f>
        <v>81</v>
      </c>
      <c r="AC9" s="183">
        <v>7</v>
      </c>
      <c r="AD9" s="183" t="s">
        <v>95</v>
      </c>
      <c r="AE9" s="183"/>
    </row>
    <row r="10" spans="1:31" ht="15.75">
      <c r="A10" s="43">
        <v>2</v>
      </c>
      <c r="B10" s="19">
        <v>4.13</v>
      </c>
      <c r="C10" s="19">
        <v>3.6059999999999999</v>
      </c>
      <c r="D10" s="19">
        <v>3.0870000000000002</v>
      </c>
      <c r="E10" s="19">
        <v>2.5659999999999998</v>
      </c>
      <c r="F10" s="33">
        <f>1000*((B10-D10)/10+(B10-C10)/5)/2</f>
        <v>104.55</v>
      </c>
      <c r="G10" s="195">
        <v>80</v>
      </c>
      <c r="H10" s="190">
        <f>(G10-F10)/F10</f>
        <v>-0.2348158775705404</v>
      </c>
      <c r="I10" s="185">
        <v>-0.14699999999999999</v>
      </c>
      <c r="J10" s="185"/>
      <c r="K10" s="185"/>
      <c r="L10" s="185"/>
      <c r="M10" s="185"/>
      <c r="N10" s="185"/>
      <c r="O10" s="551">
        <f>(G10-(F10+F10*I10))/(F10+F10*I10)</f>
        <v>-0.10294944615538151</v>
      </c>
      <c r="P10" s="186">
        <v>-0.1032</v>
      </c>
      <c r="Q10" s="197">
        <f>(F10+F10*I10)+(F10+F10*I10)*P10</f>
        <v>79.977655319999997</v>
      </c>
      <c r="R10" s="190">
        <f>(2.5-E10)/E10</f>
        <v>-2.5720966484801187E-2</v>
      </c>
      <c r="S10" s="187">
        <v>-2.1100000000000001E-2</v>
      </c>
      <c r="T10" s="26">
        <f>(2.5-(E10+E10*S10))/(E10+E10*S10)</f>
        <v>-4.7205705228329431E-3</v>
      </c>
      <c r="U10" s="186">
        <v>-5.7000000000000002E-3</v>
      </c>
      <c r="V10" s="42">
        <f t="shared" si="0"/>
        <v>2.4975398128199999</v>
      </c>
      <c r="W10" s="184">
        <v>0</v>
      </c>
      <c r="X10" s="184">
        <v>1</v>
      </c>
      <c r="Y10" s="184">
        <v>13</v>
      </c>
      <c r="Z10" s="184">
        <v>0</v>
      </c>
      <c r="AA10" s="183" t="str">
        <f t="shared" ref="AA10:AA19" si="1">DEC2HEX(HEX2DEC(W10)+HEX2DEC(Y10))</f>
        <v>13</v>
      </c>
      <c r="AB10" s="183" t="str">
        <f t="shared" ref="AB10:AB16" si="2">DEC2HEX(HEX2DEC(X10)+HEX2DEC(Z10))</f>
        <v>1</v>
      </c>
      <c r="AC10" s="184">
        <v>2</v>
      </c>
      <c r="AD10" s="184">
        <v>10</v>
      </c>
      <c r="AE10" s="184"/>
    </row>
    <row r="11" spans="1:31" ht="15.75">
      <c r="A11" s="43">
        <v>3</v>
      </c>
      <c r="B11" s="19">
        <v>3.7770000000000001</v>
      </c>
      <c r="C11" s="19">
        <v>3.3660000000000001</v>
      </c>
      <c r="D11" s="19">
        <v>2.9510000000000001</v>
      </c>
      <c r="E11" s="19">
        <v>2.536</v>
      </c>
      <c r="F11" s="33">
        <f>1000*((B11-D11)/10+(B11-C11)/5)/2</f>
        <v>82.4</v>
      </c>
      <c r="G11" s="195">
        <v>80</v>
      </c>
      <c r="H11" s="190">
        <f>(G11-F11)/F11</f>
        <v>-2.9126213592233077E-2</v>
      </c>
      <c r="I11" s="188">
        <v>0</v>
      </c>
      <c r="J11" s="188"/>
      <c r="K11" s="188"/>
      <c r="L11" s="188"/>
      <c r="M11" s="188"/>
      <c r="N11" s="188"/>
      <c r="O11" s="551">
        <f>(G11-(F11+F11*I11))/(F11+F11*I11)</f>
        <v>-2.9126213592233077E-2</v>
      </c>
      <c r="P11" s="186">
        <v>-2.69E-2</v>
      </c>
      <c r="Q11" s="197">
        <f>(F11+F11*I11)+(F11+F11*I11)*P11</f>
        <v>80.183440000000004</v>
      </c>
      <c r="R11" s="190">
        <f>(2.5-E11)/E11</f>
        <v>-1.4195583596214523E-2</v>
      </c>
      <c r="S11" s="187">
        <v>-1.0500000000000001E-2</v>
      </c>
      <c r="T11" s="26">
        <f>(2.5-(E11+E11*S11))/(E11+E11*S11)</f>
        <v>-3.7347989855628962E-3</v>
      </c>
      <c r="U11" s="186">
        <v>-2.8E-3</v>
      </c>
      <c r="V11" s="42">
        <f t="shared" si="0"/>
        <v>2.5023457583999997</v>
      </c>
      <c r="W11" s="184">
        <v>0</v>
      </c>
      <c r="X11" s="184">
        <v>1</v>
      </c>
      <c r="Y11" s="184">
        <v>18</v>
      </c>
      <c r="Z11" s="184">
        <v>0</v>
      </c>
      <c r="AA11" s="183" t="str">
        <f t="shared" si="1"/>
        <v>18</v>
      </c>
      <c r="AB11" s="183" t="str">
        <f t="shared" si="2"/>
        <v>1</v>
      </c>
      <c r="AC11" s="184">
        <v>0</v>
      </c>
      <c r="AD11" s="184" t="s">
        <v>63</v>
      </c>
      <c r="AE11" s="184"/>
    </row>
    <row r="12" spans="1:31" ht="15.75">
      <c r="A12" s="43">
        <v>4</v>
      </c>
      <c r="B12" s="19">
        <v>4.0250000000000004</v>
      </c>
      <c r="C12" s="19">
        <v>3.5249999999999999</v>
      </c>
      <c r="D12" s="19">
        <v>3.02</v>
      </c>
      <c r="E12" s="19">
        <v>2.5150000000000001</v>
      </c>
      <c r="F12" s="33">
        <f>1000*((B12-D12)/10+(B12-C12)/5)/2</f>
        <v>100.25000000000006</v>
      </c>
      <c r="G12" s="195">
        <v>80</v>
      </c>
      <c r="H12" s="190">
        <f>(G12-F12)/F12</f>
        <v>-0.20199501246882839</v>
      </c>
      <c r="I12" s="188">
        <v>-0.14699999999999999</v>
      </c>
      <c r="J12" s="188"/>
      <c r="K12" s="188"/>
      <c r="L12" s="188"/>
      <c r="M12" s="188"/>
      <c r="N12" s="188"/>
      <c r="O12" s="551">
        <f>(G12-(F12+F12*I12))/(F12+F12*I12)</f>
        <v>-6.4472464793468298E-2</v>
      </c>
      <c r="P12" s="186">
        <v>-6.2799999999999995E-2</v>
      </c>
      <c r="Q12" s="197">
        <f>(F12+F12*I12)+(F12+F12*I12)*P12</f>
        <v>80.143017900000046</v>
      </c>
      <c r="R12" s="190">
        <f>(2.5-E12)/E12</f>
        <v>-5.9642147117296715E-3</v>
      </c>
      <c r="S12" s="187">
        <v>0</v>
      </c>
      <c r="T12" s="26">
        <f>(2.5-(E12+E12*S12))/(E12+E12*S12)</f>
        <v>-5.9642147117296715E-3</v>
      </c>
      <c r="U12" s="186">
        <v>-5.7000000000000002E-3</v>
      </c>
      <c r="V12" s="42">
        <f t="shared" si="0"/>
        <v>2.5006645000000001</v>
      </c>
      <c r="W12" s="184">
        <v>0</v>
      </c>
      <c r="X12" s="184">
        <v>1</v>
      </c>
      <c r="Y12" s="184" t="s">
        <v>65</v>
      </c>
      <c r="Z12" s="184">
        <v>0</v>
      </c>
      <c r="AA12" s="183" t="str">
        <f t="shared" si="1"/>
        <v>1A</v>
      </c>
      <c r="AB12" s="183" t="str">
        <f t="shared" si="2"/>
        <v>1</v>
      </c>
      <c r="AC12" s="184">
        <v>0</v>
      </c>
      <c r="AD12" s="184">
        <v>10</v>
      </c>
      <c r="AE12" s="184"/>
    </row>
    <row r="13" spans="1:31" ht="16.5" thickBot="1">
      <c r="A13" s="177">
        <v>5</v>
      </c>
      <c r="B13" s="19">
        <v>4.1470000000000002</v>
      </c>
      <c r="C13" s="19">
        <v>3.6280000000000001</v>
      </c>
      <c r="D13" s="19">
        <v>3.1080000000000001</v>
      </c>
      <c r="E13" s="19">
        <v>2.5840000000000001</v>
      </c>
      <c r="F13" s="33">
        <f t="shared" ref="F13:F19" si="3">1000*((B13-D13)/10+(B13-C13)/5)/2</f>
        <v>103.85000000000002</v>
      </c>
      <c r="G13" s="195">
        <v>80</v>
      </c>
      <c r="H13" s="191">
        <f t="shared" ref="H13:H19" si="4">(G13-F13)/F13</f>
        <v>-0.22965816080885909</v>
      </c>
      <c r="I13" s="198">
        <v>-0.14699999999999999</v>
      </c>
      <c r="J13" s="198"/>
      <c r="K13" s="198"/>
      <c r="L13" s="198"/>
      <c r="M13" s="198"/>
      <c r="N13" s="198"/>
      <c r="O13" s="552">
        <f t="shared" ref="O13:O19" si="5">(G13-(F13+F13*I13))/(F13+F13*I13)</f>
        <v>-9.6902884887290847E-2</v>
      </c>
      <c r="P13" s="193">
        <v>-9.8699999999999996E-2</v>
      </c>
      <c r="Q13" s="199">
        <f>(F13+F13*I13)+(F13+F13*I13)*P13</f>
        <v>79.840804265000017</v>
      </c>
      <c r="R13" s="191">
        <f t="shared" ref="R13:R19" si="6">(2.5-E13)/E13</f>
        <v>-3.2507739938080524E-2</v>
      </c>
      <c r="S13" s="192">
        <v>-2.1100000000000001E-2</v>
      </c>
      <c r="T13" s="47">
        <f>(2.5-(E13+E13*S13))/(E13+E13*S13)</f>
        <v>-1.1653631564082593E-2</v>
      </c>
      <c r="U13" s="193">
        <v>-1.15E-2</v>
      </c>
      <c r="V13" s="50">
        <f t="shared" si="0"/>
        <v>2.5003886075999997</v>
      </c>
      <c r="W13" s="184">
        <v>0</v>
      </c>
      <c r="X13" s="184">
        <v>1</v>
      </c>
      <c r="Y13" s="184" t="s">
        <v>73</v>
      </c>
      <c r="Z13" s="184">
        <v>0</v>
      </c>
      <c r="AA13" s="183" t="str">
        <f t="shared" si="1"/>
        <v>1B</v>
      </c>
      <c r="AB13" s="183" t="str">
        <f t="shared" si="2"/>
        <v>1</v>
      </c>
      <c r="AC13" s="184">
        <v>2</v>
      </c>
      <c r="AD13" s="184">
        <v>30</v>
      </c>
      <c r="AE13" s="184"/>
    </row>
    <row r="14" spans="1:31" ht="16.5" thickBot="1">
      <c r="B14" s="200">
        <v>3.9664999999999999</v>
      </c>
      <c r="C14" s="200">
        <v>3.4983</v>
      </c>
      <c r="D14" s="200">
        <v>3.0295000000000001</v>
      </c>
      <c r="E14" s="200">
        <v>2.5556000000000001</v>
      </c>
      <c r="F14" s="202">
        <f t="shared" si="3"/>
        <v>93.669999999999973</v>
      </c>
      <c r="G14" s="203">
        <v>60</v>
      </c>
      <c r="H14" s="201">
        <f t="shared" si="4"/>
        <v>-0.35945340023486688</v>
      </c>
      <c r="I14" s="122">
        <v>-0.3632075471698113</v>
      </c>
      <c r="J14" s="407"/>
      <c r="K14" s="407"/>
      <c r="L14" s="407"/>
      <c r="M14" s="407"/>
      <c r="N14" s="407"/>
      <c r="O14" s="552">
        <f t="shared" si="5"/>
        <v>5.8954011126534644E-3</v>
      </c>
      <c r="P14" s="193"/>
      <c r="R14" s="201">
        <f t="shared" si="6"/>
        <v>-2.1756143371419664E-2</v>
      </c>
      <c r="S14" s="192">
        <v>0.97889999999999999</v>
      </c>
      <c r="T14" s="47">
        <f t="shared" ref="T14:T19" si="7">(2.5-(E14+E14*S14))/(E14+E14*S14)</f>
        <v>-0.50566281437739136</v>
      </c>
      <c r="U14" s="193">
        <v>0.98850000000000005</v>
      </c>
      <c r="V14" s="50">
        <f t="shared" si="0"/>
        <v>10.05639499634</v>
      </c>
      <c r="W14" s="184">
        <v>80</v>
      </c>
      <c r="X14" s="184">
        <v>1</v>
      </c>
      <c r="Y14" s="184">
        <v>1</v>
      </c>
      <c r="Z14" s="184">
        <v>0</v>
      </c>
      <c r="AA14" s="183" t="str">
        <f t="shared" si="1"/>
        <v>81</v>
      </c>
      <c r="AB14" s="183" t="str">
        <f t="shared" si="2"/>
        <v>1</v>
      </c>
      <c r="AC14" s="184">
        <v>2</v>
      </c>
      <c r="AD14" s="184">
        <v>0</v>
      </c>
      <c r="AE14" s="184"/>
    </row>
    <row r="15" spans="1:31" ht="16.5" thickBot="1">
      <c r="B15" s="200">
        <v>3.9279999999999999</v>
      </c>
      <c r="C15" s="200">
        <v>3.47</v>
      </c>
      <c r="D15" s="200">
        <v>3.0110000000000001</v>
      </c>
      <c r="E15" s="200">
        <v>2.548</v>
      </c>
      <c r="F15" s="202">
        <f t="shared" si="3"/>
        <v>91.649999999999949</v>
      </c>
      <c r="G15" s="203">
        <v>60</v>
      </c>
      <c r="H15" s="201">
        <f t="shared" si="4"/>
        <v>-0.34533551554828112</v>
      </c>
      <c r="I15" s="122">
        <v>-0.3632075471698113</v>
      </c>
      <c r="J15" s="407"/>
      <c r="K15" s="407"/>
      <c r="L15" s="407"/>
      <c r="M15" s="407"/>
      <c r="N15" s="407"/>
      <c r="O15" s="552">
        <f t="shared" si="5"/>
        <v>2.8065708916773326E-2</v>
      </c>
      <c r="P15" s="193"/>
      <c r="R15" s="201">
        <f t="shared" si="6"/>
        <v>-1.8838304552590283E-2</v>
      </c>
      <c r="S15" s="192">
        <v>1.9789000000000001</v>
      </c>
      <c r="T15" s="47">
        <f t="shared" si="7"/>
        <v>-0.67062952920628094</v>
      </c>
      <c r="U15" s="193">
        <v>1.9884999999999999</v>
      </c>
      <c r="V15" s="50">
        <f t="shared" si="0"/>
        <v>22.683423872200002</v>
      </c>
      <c r="W15" s="204">
        <v>80</v>
      </c>
      <c r="X15" s="184">
        <v>1</v>
      </c>
      <c r="Y15" s="184" t="s">
        <v>47</v>
      </c>
      <c r="Z15" s="184">
        <v>0</v>
      </c>
      <c r="AA15" s="183" t="str">
        <f t="shared" si="1"/>
        <v>8C</v>
      </c>
      <c r="AB15" s="183" t="str">
        <f t="shared" si="2"/>
        <v>1</v>
      </c>
      <c r="AC15" s="184">
        <v>4</v>
      </c>
      <c r="AD15" s="184">
        <v>30</v>
      </c>
      <c r="AE15" s="184"/>
    </row>
    <row r="16" spans="1:31" ht="16.5" thickBot="1">
      <c r="B16" s="200">
        <v>3.9380000000000002</v>
      </c>
      <c r="C16" s="200">
        <v>3.4660000000000002</v>
      </c>
      <c r="D16" s="200">
        <v>2.9929999999999999</v>
      </c>
      <c r="E16" s="200">
        <v>2.516</v>
      </c>
      <c r="F16" s="202">
        <f t="shared" si="3"/>
        <v>94.45</v>
      </c>
      <c r="G16" s="205">
        <v>25</v>
      </c>
      <c r="H16" s="201">
        <f t="shared" si="4"/>
        <v>-0.73530968766543148</v>
      </c>
      <c r="I16" s="206">
        <v>-0.72640000000000005</v>
      </c>
      <c r="J16" s="206"/>
      <c r="K16" s="206"/>
      <c r="L16" s="206"/>
      <c r="M16" s="206"/>
      <c r="N16" s="206"/>
      <c r="O16" s="552">
        <f t="shared" si="5"/>
        <v>-3.2564647899968831E-2</v>
      </c>
      <c r="P16" s="193">
        <v>-5.3800000000000001E-2</v>
      </c>
      <c r="R16" s="201">
        <f t="shared" si="6"/>
        <v>-6.3593004769475414E-3</v>
      </c>
      <c r="S16" s="192">
        <v>2.9788999999999999</v>
      </c>
      <c r="T16" s="47">
        <f t="shared" si="7"/>
        <v>-0.75027251262332484</v>
      </c>
      <c r="U16" s="193">
        <v>2.9885000000000002</v>
      </c>
      <c r="V16" s="50">
        <f t="shared" si="0"/>
        <v>39.928524107399994</v>
      </c>
      <c r="W16" s="204">
        <v>20</v>
      </c>
      <c r="X16" s="184">
        <v>1</v>
      </c>
      <c r="Y16" s="184">
        <v>3</v>
      </c>
      <c r="Z16" s="184">
        <v>0</v>
      </c>
      <c r="AA16" s="183" t="str">
        <f t="shared" si="1"/>
        <v>23</v>
      </c>
      <c r="AB16" s="183" t="str">
        <f t="shared" si="2"/>
        <v>1</v>
      </c>
      <c r="AC16" s="184">
        <v>0</v>
      </c>
      <c r="AD16" s="184">
        <v>10</v>
      </c>
      <c r="AE16" s="184"/>
    </row>
    <row r="17" spans="1:35" ht="16.5" thickBot="1">
      <c r="B17" s="200">
        <v>3.9449999999999998</v>
      </c>
      <c r="C17" s="200">
        <v>3.4660000000000002</v>
      </c>
      <c r="D17" s="200">
        <v>2.9849999999999999</v>
      </c>
      <c r="E17" s="200">
        <v>2.516</v>
      </c>
      <c r="F17" s="202">
        <f t="shared" si="3"/>
        <v>95.899999999999963</v>
      </c>
      <c r="G17" s="203">
        <v>25</v>
      </c>
      <c r="H17" s="201">
        <f t="shared" si="4"/>
        <v>-0.73931178310740342</v>
      </c>
      <c r="I17" s="206">
        <v>-0.72640000000000005</v>
      </c>
      <c r="J17" s="206"/>
      <c r="K17" s="206"/>
      <c r="L17" s="206"/>
      <c r="M17" s="206"/>
      <c r="N17" s="206"/>
      <c r="O17" s="552">
        <f t="shared" si="5"/>
        <v>-4.7192189720041848E-2</v>
      </c>
      <c r="R17" s="201">
        <f t="shared" si="6"/>
        <v>-6.3593004769475414E-3</v>
      </c>
      <c r="S17" s="192">
        <v>3.9788999999999999</v>
      </c>
      <c r="T17" s="47">
        <f t="shared" si="7"/>
        <v>-0.80042967331678638</v>
      </c>
      <c r="U17" s="193">
        <v>3.9885000000000002</v>
      </c>
      <c r="V17" s="50">
        <f t="shared" si="0"/>
        <v>62.490502507400002</v>
      </c>
      <c r="W17" s="204">
        <v>20</v>
      </c>
      <c r="X17" s="184">
        <v>1</v>
      </c>
      <c r="Y17" s="184">
        <v>12</v>
      </c>
      <c r="Z17" s="184">
        <v>0</v>
      </c>
      <c r="AA17" s="183" t="str">
        <f t="shared" si="1"/>
        <v>32</v>
      </c>
      <c r="AB17" s="183" t="str">
        <f>DEC2HEX(HEX2DEC(X17)+HEX2DEC(Z17))</f>
        <v>1</v>
      </c>
      <c r="AC17" s="184">
        <v>0</v>
      </c>
      <c r="AD17" s="184">
        <v>10</v>
      </c>
      <c r="AE17" s="184"/>
    </row>
    <row r="18" spans="1:35" ht="16.5" thickBot="1">
      <c r="B18" s="200">
        <v>3.9329999999999998</v>
      </c>
      <c r="C18" s="200">
        <v>3.4849999999999999</v>
      </c>
      <c r="D18" s="200">
        <v>3.036</v>
      </c>
      <c r="E18" s="200">
        <v>2.4860000000000002</v>
      </c>
      <c r="F18" s="202">
        <f t="shared" si="3"/>
        <v>89.649999999999977</v>
      </c>
      <c r="G18" s="203">
        <v>12</v>
      </c>
      <c r="H18" s="201">
        <f t="shared" si="4"/>
        <v>-0.86614612381483547</v>
      </c>
      <c r="I18" s="206">
        <v>-0.86439999999999995</v>
      </c>
      <c r="J18" s="206"/>
      <c r="K18" s="206"/>
      <c r="L18" s="206"/>
      <c r="M18" s="206"/>
      <c r="N18" s="206"/>
      <c r="O18" s="553">
        <f t="shared" si="5"/>
        <v>-1.2877019283447979E-2</v>
      </c>
      <c r="R18" s="201">
        <f t="shared" si="6"/>
        <v>5.6315366049878475E-3</v>
      </c>
      <c r="S18" s="192">
        <v>-3.1800000000000002E-2</v>
      </c>
      <c r="T18" s="47">
        <f t="shared" si="7"/>
        <v>3.8660954973133578E-2</v>
      </c>
      <c r="U18" s="193">
        <v>0</v>
      </c>
      <c r="V18" s="50">
        <f t="shared" si="0"/>
        <v>2.4069452</v>
      </c>
      <c r="W18" t="s">
        <v>39</v>
      </c>
      <c r="X18" s="184">
        <v>0</v>
      </c>
      <c r="Y18" s="184">
        <v>7</v>
      </c>
      <c r="AA18" s="183" t="str">
        <f t="shared" si="1"/>
        <v>E7</v>
      </c>
      <c r="AB18" s="183" t="str">
        <f>DEC2HEX(HEX2DEC(X18)+HEX2DEC(Z18))</f>
        <v>0</v>
      </c>
      <c r="AC18" s="184">
        <v>6</v>
      </c>
      <c r="AD18" s="184" t="s">
        <v>63</v>
      </c>
      <c r="AE18" s="184"/>
    </row>
    <row r="19" spans="1:35" ht="15.75">
      <c r="B19" s="200">
        <v>3.762</v>
      </c>
      <c r="C19" s="200">
        <v>3.327</v>
      </c>
      <c r="D19" s="200">
        <v>2.8919999999999999</v>
      </c>
      <c r="E19" s="200">
        <v>2.4529999999999998</v>
      </c>
      <c r="F19" s="202">
        <f t="shared" si="3"/>
        <v>87.000000000000014</v>
      </c>
      <c r="G19" s="203">
        <v>60</v>
      </c>
      <c r="H19" s="201">
        <f t="shared" si="4"/>
        <v>-0.31034482758620702</v>
      </c>
      <c r="I19" s="206">
        <v>-0.26300000000000001</v>
      </c>
      <c r="J19" s="206"/>
      <c r="K19" s="206"/>
      <c r="L19" s="206"/>
      <c r="M19" s="206"/>
      <c r="N19" s="206"/>
      <c r="O19" s="553">
        <f t="shared" si="5"/>
        <v>-6.4239928882234801E-2</v>
      </c>
      <c r="R19" s="201">
        <f t="shared" si="6"/>
        <v>1.9160211985324156E-2</v>
      </c>
      <c r="S19" s="207">
        <v>2.1000000000000001E-2</v>
      </c>
      <c r="T19" s="208">
        <f t="shared" si="7"/>
        <v>-1.8019471250497671E-3</v>
      </c>
      <c r="W19" s="204">
        <v>80</v>
      </c>
      <c r="X19" s="184">
        <v>80</v>
      </c>
      <c r="Y19" s="184">
        <v>12</v>
      </c>
      <c r="Z19" s="184">
        <v>0</v>
      </c>
      <c r="AA19" s="183" t="str">
        <f t="shared" si="1"/>
        <v>92</v>
      </c>
      <c r="AB19" s="183" t="str">
        <f>DEC2HEX(HEX2DEC(X19)+HEX2DEC(Z19))</f>
        <v>80</v>
      </c>
      <c r="AC19" s="184">
        <v>7</v>
      </c>
      <c r="AD19" s="184" t="s">
        <v>94</v>
      </c>
      <c r="AE19" s="184"/>
    </row>
    <row r="20" spans="1:35" s="2" customFormat="1" ht="15.75">
      <c r="B20" s="200"/>
      <c r="C20" s="200"/>
      <c r="D20" s="200"/>
      <c r="E20" s="200"/>
      <c r="F20" s="202"/>
      <c r="G20" s="203"/>
      <c r="H20" s="201"/>
      <c r="I20" s="206"/>
      <c r="J20" s="206"/>
      <c r="K20" s="206"/>
      <c r="L20" s="206"/>
      <c r="M20" s="206"/>
      <c r="N20" s="206"/>
      <c r="O20" s="553"/>
      <c r="R20" s="201"/>
      <c r="S20" s="207"/>
      <c r="T20" s="208"/>
      <c r="W20" s="204"/>
      <c r="X20" s="390"/>
      <c r="Y20" s="390"/>
      <c r="Z20" s="390"/>
      <c r="AA20" s="391"/>
      <c r="AB20" s="391"/>
      <c r="AC20" s="390"/>
      <c r="AD20" s="390"/>
      <c r="AE20" s="390"/>
    </row>
    <row r="21" spans="1:35" s="2" customFormat="1" ht="15.75">
      <c r="B21" s="200"/>
      <c r="C21" s="200"/>
      <c r="D21" s="200"/>
      <c r="E21" s="200"/>
      <c r="F21" s="202"/>
      <c r="G21" s="203"/>
      <c r="H21" s="201"/>
      <c r="I21" s="206"/>
      <c r="J21" s="206"/>
      <c r="K21" s="206"/>
      <c r="L21" s="206"/>
      <c r="M21" s="206"/>
      <c r="N21" s="206"/>
      <c r="O21" s="553"/>
      <c r="R21" s="201"/>
      <c r="S21" s="207"/>
      <c r="T21" s="208"/>
      <c r="W21" s="204"/>
      <c r="X21" s="390"/>
      <c r="Y21" s="390"/>
      <c r="Z21" s="390"/>
      <c r="AA21" s="391"/>
      <c r="AB21" s="391"/>
      <c r="AC21" s="390"/>
      <c r="AD21" s="390"/>
      <c r="AE21" s="390"/>
    </row>
    <row r="22" spans="1:35" s="392" customFormat="1" ht="15.75">
      <c r="A22" s="403">
        <v>41800</v>
      </c>
      <c r="B22" s="393"/>
      <c r="C22" s="393"/>
      <c r="D22" s="393"/>
      <c r="E22" s="393"/>
      <c r="F22" s="394"/>
      <c r="G22" s="395"/>
      <c r="H22" s="396"/>
      <c r="I22" s="397"/>
      <c r="J22" s="397"/>
      <c r="K22" s="397"/>
      <c r="L22" s="397"/>
      <c r="M22" s="397"/>
      <c r="N22" s="397"/>
      <c r="O22" s="554"/>
      <c r="R22" s="396"/>
      <c r="S22" s="398"/>
      <c r="T22" s="399"/>
      <c r="W22" s="400"/>
      <c r="X22" s="401"/>
      <c r="Y22" s="401"/>
      <c r="Z22" s="401"/>
      <c r="AA22" s="402"/>
      <c r="AB22" s="402"/>
      <c r="AC22" s="401"/>
      <c r="AD22" s="401"/>
      <c r="AE22" s="401"/>
    </row>
    <row r="23" spans="1:35" ht="44.25">
      <c r="A23" s="381" t="s">
        <v>85</v>
      </c>
      <c r="B23" s="382" t="s">
        <v>189</v>
      </c>
      <c r="C23" s="383" t="s">
        <v>22</v>
      </c>
      <c r="D23" s="382" t="s">
        <v>190</v>
      </c>
      <c r="E23" s="382" t="s">
        <v>17</v>
      </c>
      <c r="F23" s="383" t="s">
        <v>18</v>
      </c>
      <c r="G23" s="384" t="s">
        <v>19</v>
      </c>
      <c r="H23" s="385" t="s">
        <v>76</v>
      </c>
      <c r="I23" s="386" t="s">
        <v>80</v>
      </c>
      <c r="J23" s="382" t="s">
        <v>189</v>
      </c>
      <c r="K23" s="383" t="s">
        <v>22</v>
      </c>
      <c r="L23" s="382" t="s">
        <v>190</v>
      </c>
      <c r="M23" s="382" t="s">
        <v>17</v>
      </c>
      <c r="N23" s="383" t="s">
        <v>18</v>
      </c>
      <c r="O23" s="555" t="s">
        <v>77</v>
      </c>
      <c r="P23" s="386" t="s">
        <v>86</v>
      </c>
      <c r="Q23" s="388" t="s">
        <v>84</v>
      </c>
      <c r="R23" s="385" t="s">
        <v>78</v>
      </c>
      <c r="S23" s="386" t="s">
        <v>81</v>
      </c>
      <c r="T23" s="387" t="s">
        <v>79</v>
      </c>
      <c r="U23" s="386" t="s">
        <v>82</v>
      </c>
      <c r="V23" s="389" t="s">
        <v>83</v>
      </c>
      <c r="W23" s="178" t="s">
        <v>203</v>
      </c>
      <c r="X23" s="179" t="s">
        <v>204</v>
      </c>
      <c r="Y23" s="180" t="s">
        <v>203</v>
      </c>
      <c r="Z23" s="181" t="s">
        <v>204</v>
      </c>
      <c r="AA23" s="182" t="s">
        <v>203</v>
      </c>
      <c r="AB23" s="182" t="s">
        <v>204</v>
      </c>
      <c r="AC23" s="182" t="s">
        <v>205</v>
      </c>
      <c r="AD23" s="182" t="s">
        <v>206</v>
      </c>
      <c r="AE23" s="182" t="s">
        <v>285</v>
      </c>
      <c r="AF23" s="182" t="s">
        <v>283</v>
      </c>
      <c r="AG23" s="182" t="s">
        <v>17</v>
      </c>
      <c r="AH23" s="182" t="s">
        <v>297</v>
      </c>
      <c r="AI23" s="182" t="s">
        <v>298</v>
      </c>
    </row>
    <row r="24" spans="1:35" ht="15.75">
      <c r="B24" s="200">
        <v>3.93</v>
      </c>
      <c r="C24" s="200">
        <v>3.4763000000000002</v>
      </c>
      <c r="D24" s="200">
        <v>3.02</v>
      </c>
      <c r="E24" s="200">
        <v>2.5598999999999998</v>
      </c>
      <c r="F24" s="202">
        <f t="shared" ref="F24:F38" si="8">1000*((B24-D24)/10+(B24-C24)/5)/2</f>
        <v>90.87</v>
      </c>
      <c r="G24" s="203">
        <v>60</v>
      </c>
      <c r="H24" s="201">
        <f>(G24-F24)/F24</f>
        <v>-0.33971607791350283</v>
      </c>
      <c r="I24" s="206">
        <v>-0.26300000000000001</v>
      </c>
      <c r="J24" s="200">
        <v>3.93</v>
      </c>
      <c r="K24" s="200">
        <v>3.4763000000000002</v>
      </c>
      <c r="L24" s="200">
        <v>3.02</v>
      </c>
      <c r="M24" s="200">
        <v>2.5598999999999998</v>
      </c>
      <c r="N24" s="202">
        <f t="shared" ref="N24:N31" si="9">1000*((J24-L24)/10+(J24-K24)/5)/2</f>
        <v>90.87</v>
      </c>
      <c r="O24" s="553">
        <f t="shared" ref="O24:O31" si="10">((1+H24)/(1+I24))-1</f>
        <v>-0.10409237166011243</v>
      </c>
      <c r="P24" s="186">
        <v>-0.1032</v>
      </c>
      <c r="Q24" s="197">
        <f>(F24+F24*I24)+(F24+F24*I24)*P24</f>
        <v>60.059763192000005</v>
      </c>
      <c r="R24" s="201">
        <f>(2.5-E24)/E24</f>
        <v>-2.339935153716936E-2</v>
      </c>
      <c r="S24" s="207">
        <v>2.1000000000000001E-2</v>
      </c>
      <c r="T24" s="208">
        <f>(2.5-(E24+E24*S24))/(E24+E24*S24)</f>
        <v>-4.3486142543750571E-2</v>
      </c>
      <c r="W24" s="204">
        <v>80</v>
      </c>
      <c r="X24" s="184">
        <v>0</v>
      </c>
      <c r="Y24" s="184">
        <v>17</v>
      </c>
      <c r="Z24" s="184">
        <v>0</v>
      </c>
      <c r="AA24" s="183" t="str">
        <f>DEC2HEX(HEX2DEC(W24)+HEX2DEC(Y24))</f>
        <v>97</v>
      </c>
      <c r="AB24" s="183" t="str">
        <f>DEC2HEX(HEX2DEC(X24)+HEX2DEC(Z24))</f>
        <v>0</v>
      </c>
      <c r="AC24" s="184">
        <v>4</v>
      </c>
      <c r="AD24" s="184">
        <v>8</v>
      </c>
      <c r="AE24" s="184"/>
      <c r="AF24">
        <f t="shared" ref="AF24:AF38" si="11">2.5+G24*15/1000</f>
        <v>3.4</v>
      </c>
      <c r="AG24">
        <f t="shared" ref="AG24:AG38" si="12">2.5+G24*10/1000</f>
        <v>3.1</v>
      </c>
    </row>
    <row r="25" spans="1:35" ht="15.75">
      <c r="B25" s="200">
        <v>3.8774000000000002</v>
      </c>
      <c r="C25" s="200">
        <v>3.4148000000000001</v>
      </c>
      <c r="D25" s="200">
        <v>2.9516</v>
      </c>
      <c r="E25" s="200">
        <v>2.4868000000000001</v>
      </c>
      <c r="F25" s="202">
        <f t="shared" si="8"/>
        <v>92.550000000000026</v>
      </c>
      <c r="G25" s="203">
        <v>25</v>
      </c>
      <c r="H25" s="201">
        <f>(G25-F25)/F25</f>
        <v>-0.72987574284170731</v>
      </c>
      <c r="I25" s="206">
        <v>-0.72640000000000005</v>
      </c>
      <c r="J25" s="200">
        <v>3.8774000000000002</v>
      </c>
      <c r="K25" s="200">
        <v>3.4148000000000001</v>
      </c>
      <c r="L25" s="200">
        <v>2.9516</v>
      </c>
      <c r="M25" s="200">
        <v>2.4868000000000001</v>
      </c>
      <c r="N25" s="202">
        <f t="shared" si="9"/>
        <v>92.550000000000026</v>
      </c>
      <c r="O25" s="553">
        <f t="shared" si="10"/>
        <v>-1.2703738456532387E-2</v>
      </c>
      <c r="P25" s="186"/>
      <c r="Q25" s="197">
        <f>(F25+F25*I25)+(F25+F25*I25)*P25</f>
        <v>25.321680000000001</v>
      </c>
      <c r="R25" s="201">
        <f>(2.5-E25)/E25</f>
        <v>5.3080263792825632E-3</v>
      </c>
      <c r="S25" s="207">
        <v>2.1000000000000001E-2</v>
      </c>
      <c r="T25" s="208">
        <f>(2.5-(E25+E25*S25))/(E25+E25*S25)</f>
        <v>-1.5369220000702686E-2</v>
      </c>
      <c r="W25" s="204">
        <v>20</v>
      </c>
      <c r="X25" s="184">
        <v>1</v>
      </c>
      <c r="Y25" s="184" t="s">
        <v>57</v>
      </c>
      <c r="Z25" s="184">
        <v>0</v>
      </c>
      <c r="AA25" s="183" t="str">
        <f>DEC2HEX(HEX2DEC(W25)+HEX2DEC(Y25))</f>
        <v>2B</v>
      </c>
      <c r="AB25" s="183" t="str">
        <f>DEC2HEX(HEX2DEC(X25)+HEX2DEC(Z25))</f>
        <v>1</v>
      </c>
      <c r="AC25" s="184">
        <v>4</v>
      </c>
      <c r="AD25" s="184">
        <v>34</v>
      </c>
      <c r="AE25" s="184"/>
      <c r="AF25">
        <f t="shared" si="11"/>
        <v>2.875</v>
      </c>
      <c r="AG25">
        <f t="shared" si="12"/>
        <v>2.75</v>
      </c>
    </row>
    <row r="26" spans="1:35" ht="15.75">
      <c r="B26" s="200">
        <v>3.8260000000000001</v>
      </c>
      <c r="C26" s="200">
        <v>3.403</v>
      </c>
      <c r="D26" s="200">
        <v>2.9740000000000002</v>
      </c>
      <c r="E26" s="200">
        <v>2.5478000000000001</v>
      </c>
      <c r="F26" s="202">
        <f t="shared" si="8"/>
        <v>84.9</v>
      </c>
      <c r="G26" s="203">
        <v>15</v>
      </c>
      <c r="H26" s="201">
        <f t="shared" ref="H26:H31" si="13">(G26-F26)/F26</f>
        <v>-0.82332155477031799</v>
      </c>
      <c r="I26" s="206">
        <v>-0.81259999999999999</v>
      </c>
      <c r="J26" s="200">
        <v>3.8260000000000001</v>
      </c>
      <c r="K26" s="200">
        <v>3.403</v>
      </c>
      <c r="L26" s="200">
        <v>2.9740000000000002</v>
      </c>
      <c r="M26" s="200">
        <v>2.5478000000000001</v>
      </c>
      <c r="N26" s="202">
        <f t="shared" si="9"/>
        <v>84.9</v>
      </c>
      <c r="O26" s="553">
        <f t="shared" si="10"/>
        <v>-5.7212138582273253E-2</v>
      </c>
      <c r="P26" s="186">
        <v>-5.8299999999999998E-2</v>
      </c>
      <c r="Q26" s="197">
        <f t="shared" ref="Q26:Q31" si="14">(F26+F26*I26)+(F26+F26*I26)*P26</f>
        <v>14.982691842000008</v>
      </c>
      <c r="R26" s="201">
        <f t="shared" ref="R26:R31" si="15">(2.5-E26)/E26</f>
        <v>-1.8761284245231206E-2</v>
      </c>
      <c r="S26" s="207">
        <v>-1.0500000000000001E-2</v>
      </c>
      <c r="T26" s="208">
        <f>(2.5-(E26+E26*S26))/(E26+E26*S26)</f>
        <v>-8.3489482013453988E-3</v>
      </c>
      <c r="W26" s="204">
        <v>60</v>
      </c>
      <c r="X26" s="184">
        <v>0</v>
      </c>
      <c r="Y26" s="184" t="s">
        <v>57</v>
      </c>
      <c r="Z26" s="184"/>
      <c r="AA26" s="183" t="str">
        <f t="shared" ref="AA26:AA31" si="16">DEC2HEX(HEX2DEC(W26)+HEX2DEC(Y26))</f>
        <v>6B</v>
      </c>
      <c r="AB26" s="183" t="str">
        <f t="shared" ref="AB26:AB31" si="17">DEC2HEX(HEX2DEC(X26)+HEX2DEC(Z26))</f>
        <v>0</v>
      </c>
      <c r="AC26" s="184">
        <v>8</v>
      </c>
      <c r="AD26" s="184">
        <v>0</v>
      </c>
      <c r="AE26" s="184"/>
      <c r="AF26">
        <f t="shared" si="11"/>
        <v>2.7250000000000001</v>
      </c>
      <c r="AG26">
        <f t="shared" si="12"/>
        <v>2.65</v>
      </c>
    </row>
    <row r="27" spans="1:35" ht="15.75">
      <c r="B27" s="200">
        <v>3.93</v>
      </c>
      <c r="C27" s="200">
        <v>3.4763000000000002</v>
      </c>
      <c r="D27" s="200">
        <v>3.02</v>
      </c>
      <c r="E27" s="200">
        <v>2.5598999999999998</v>
      </c>
      <c r="F27" s="202">
        <f t="shared" si="8"/>
        <v>90.87</v>
      </c>
      <c r="G27" s="203">
        <v>60</v>
      </c>
      <c r="H27" s="201">
        <f t="shared" si="13"/>
        <v>-0.33971607791350283</v>
      </c>
      <c r="I27" s="206">
        <v>-0.24099999999999999</v>
      </c>
      <c r="J27" s="200">
        <v>3.93</v>
      </c>
      <c r="K27" s="200">
        <v>3.4763000000000002</v>
      </c>
      <c r="L27" s="200">
        <v>3.02</v>
      </c>
      <c r="M27" s="200">
        <v>2.5598999999999998</v>
      </c>
      <c r="N27" s="202">
        <f t="shared" si="9"/>
        <v>90.87</v>
      </c>
      <c r="O27" s="553">
        <f t="shared" si="10"/>
        <v>-0.13006070871344255</v>
      </c>
      <c r="P27" s="186">
        <v>-0.1032</v>
      </c>
      <c r="Q27" s="197">
        <f t="shared" si="14"/>
        <v>61.852591944000004</v>
      </c>
      <c r="R27" s="201">
        <f t="shared" si="15"/>
        <v>-2.339935153716936E-2</v>
      </c>
      <c r="S27" s="207">
        <v>2.1000000000000001E-2</v>
      </c>
      <c r="T27" s="208">
        <f t="shared" ref="T27:T38" si="18">((1+R27)/(1+S27))-1</f>
        <v>-4.3486142543750494E-2</v>
      </c>
      <c r="W27" s="204">
        <v>80</v>
      </c>
      <c r="X27" s="184">
        <v>0</v>
      </c>
      <c r="Y27" s="184">
        <v>17</v>
      </c>
      <c r="Z27" s="184">
        <v>0</v>
      </c>
      <c r="AA27" s="183" t="str">
        <f t="shared" si="16"/>
        <v>97</v>
      </c>
      <c r="AB27" s="183" t="str">
        <f t="shared" si="17"/>
        <v>0</v>
      </c>
      <c r="AC27" s="184">
        <v>4</v>
      </c>
      <c r="AD27" s="184">
        <v>8</v>
      </c>
      <c r="AE27" s="184"/>
      <c r="AF27">
        <f t="shared" si="11"/>
        <v>3.4</v>
      </c>
      <c r="AG27">
        <f t="shared" si="12"/>
        <v>3.1</v>
      </c>
    </row>
    <row r="28" spans="1:35" ht="15.75">
      <c r="A28" s="406" t="s">
        <v>284</v>
      </c>
      <c r="B28" s="200">
        <v>3.5</v>
      </c>
      <c r="C28" s="200">
        <v>3.4148000000000001</v>
      </c>
      <c r="D28" s="200">
        <v>2.9516</v>
      </c>
      <c r="E28" s="200">
        <v>2.4868000000000001</v>
      </c>
      <c r="F28" s="202">
        <f t="shared" si="8"/>
        <v>35.939999999999991</v>
      </c>
      <c r="G28" s="203">
        <v>25</v>
      </c>
      <c r="H28" s="201">
        <f t="shared" si="13"/>
        <v>-0.30439621591541438</v>
      </c>
      <c r="I28" s="206">
        <f t="array" ref="I28">INDEX('Gain_offset step test'!$AG$4:$AG$19,MATCH(MIN(IF('Gain_offset step test'!$AG$4:$AG$19&gt;H28,'Gain_offset step test'!$AG$4:$AG$19)),IF('Gain_offset step test'!$AG$4:$AG$19&gt;H28,'Gain_offset step test'!$AG$4:$AG$19),0))</f>
        <v>0.12356481985392632</v>
      </c>
      <c r="J28" s="200">
        <v>3.5</v>
      </c>
      <c r="K28" s="200">
        <v>3.4148000000000001</v>
      </c>
      <c r="L28" s="200">
        <v>2.9516</v>
      </c>
      <c r="M28" s="200">
        <v>2.4868000000000001</v>
      </c>
      <c r="N28" s="202">
        <f t="shared" si="9"/>
        <v>35.939999999999991</v>
      </c>
      <c r="O28" s="553">
        <f t="shared" si="10"/>
        <v>-0.3808957242226394</v>
      </c>
      <c r="P28" s="186">
        <f t="array" ref="P28">INDEX('Gain_offset step test'!$F$21:$F$52,MATCH(MIN(ABS('Gain_offset step test'!$F$21:$F$52-O28)),ABS('Gain_offset step test'!$F$21:$F$52-O28),0))</f>
        <v>0.86066911118590772</v>
      </c>
      <c r="Q28" s="197">
        <f t="shared" si="14"/>
        <v>75.135529828541877</v>
      </c>
      <c r="R28" s="201">
        <f t="shared" si="15"/>
        <v>5.3080263792825632E-3</v>
      </c>
      <c r="S28" s="207">
        <f t="array" ref="S28">INDEX('Gain_offset step test'!$AL$55:$AL$70,MATCH(MIN(ABS('Gain_offset step test'!$AL$55:$AL$70-R28)),ABS('Gain_offset step test'!$AL$55:$AL$70-R28),0))</f>
        <v>0.92385130661693504</v>
      </c>
      <c r="T28" s="208">
        <f t="shared" si="18"/>
        <v>-0.47745024632537614</v>
      </c>
      <c r="U28" s="11">
        <f t="array" ref="U28">INDEX('Gain_offset step test'!$AL$72:$AL$87,MATCH(MIN(ABS('Gain_offset step test'!$AL$72:$AL$87-T28)),ABS('Gain_offset step test'!$AL$72:$AL$87-T28),0))</f>
        <v>0.98003123080023602</v>
      </c>
      <c r="W28" s="204" t="str">
        <f t="array" ref="W28">INDEX('Gain_offset step test'!$H$4:$AG$19,MATCH(MIN(IF('Gain_offset step test'!$AG$4:$AG$19&gt;H28,'Gain_offset step test'!$AG$4:$AG$19)),IF('Gain_offset step test'!$AG$4:$AG$19&gt;H28,'Gain_offset step test'!$AG$4:$AG$19),0),1)</f>
        <v>E0</v>
      </c>
      <c r="X28" s="184">
        <f t="array" ref="X28">INDEX('Gain_offset step test'!$H$4:$AG$19,MATCH(MIN(ABS('Gain_offset step test'!$AG$4:$AG$19-H28)),ABS('Gain_offset step test'!$AG$4:$AG$19-H28),0),2)</f>
        <v>1</v>
      </c>
      <c r="Y28" s="184">
        <f t="array" ref="Y28">INDEX('Gain_offset step test'!$F$21:$H$52,MATCH(MIN(ABS('Gain_offset step test'!$F$21:$F$52-O28)),ABS('Gain_offset step test'!$F$21:$F$52-O28),0),2)</f>
        <v>0</v>
      </c>
      <c r="Z28" s="184" t="str">
        <f t="array" ref="Z28">INDEX('Gain_offset step test'!$H$55:$AL$70,MATCH(MIN(ABS('Gain_offset step test'!$AL$55:$AL$70-R28)),ABS('Gain_offset step test'!$AL$55:$AL$70-R28),0),1)</f>
        <v>0</v>
      </c>
      <c r="AA28" s="183" t="str">
        <f t="shared" si="16"/>
        <v>E0</v>
      </c>
      <c r="AB28" s="183" t="str">
        <f t="shared" si="17"/>
        <v>1</v>
      </c>
      <c r="AC28" s="184">
        <f t="array" ref="AC28">INDEX('Gain_offset step test'!$H$55:$AL$70,MATCH(MIN(ABS('Gain_offset step test'!$AL$55:$AL$70-R28)),ABS('Gain_offset step test'!$AL$55:$AL$70-R28),0),2)</f>
        <v>7</v>
      </c>
      <c r="AD28" s="184" t="str">
        <f t="array" ref="AD28">INDEX('Gain_offset step test'!$H$72:$AL$87,MATCH(MIN(ABS('Gain_offset step test'!$AL$72:$AL$87-T28)),ABS('Gain_offset step test'!$AL$72:$AL$87-T28),0),1)</f>
        <v>38</v>
      </c>
      <c r="AE28" s="184"/>
      <c r="AF28">
        <f t="shared" si="11"/>
        <v>2.875</v>
      </c>
      <c r="AG28">
        <f t="shared" si="12"/>
        <v>2.75</v>
      </c>
    </row>
    <row r="29" spans="1:35" ht="15.75">
      <c r="B29" s="200">
        <v>3.5</v>
      </c>
      <c r="C29" s="200">
        <v>3.4148000000000001</v>
      </c>
      <c r="D29" s="200">
        <v>2.9516</v>
      </c>
      <c r="E29" s="200">
        <v>2.4868000000000001</v>
      </c>
      <c r="F29" s="202">
        <f t="shared" si="8"/>
        <v>35.939999999999991</v>
      </c>
      <c r="G29" s="203">
        <v>25</v>
      </c>
      <c r="H29" s="201">
        <f t="shared" si="13"/>
        <v>-0.30439621591541438</v>
      </c>
      <c r="I29" s="206">
        <f t="array" ref="I29">INDEX('Gain_offset step test'!$AG$4:$AG$19,MATCH(MIN(IF('Gain_offset step test'!$AG$4:$AG$19&gt;H29,'Gain_offset step test'!$AG$4:$AG$19)),IF('Gain_offset step test'!$AG$4:$AG$19&gt;H29,'Gain_offset step test'!$AG$4:$AG$19),0))</f>
        <v>0.12356481985392632</v>
      </c>
      <c r="J29" s="200">
        <v>3.5</v>
      </c>
      <c r="K29" s="200">
        <v>3.4148000000000001</v>
      </c>
      <c r="L29" s="200">
        <v>2.9516</v>
      </c>
      <c r="M29" s="200">
        <v>2.4868000000000001</v>
      </c>
      <c r="N29" s="202">
        <f t="shared" si="9"/>
        <v>35.939999999999991</v>
      </c>
      <c r="O29" s="553">
        <f t="shared" si="10"/>
        <v>-0.3808957242226394</v>
      </c>
      <c r="P29" s="186">
        <f t="array" ref="P29">INDEX('Gain_offset step test'!$F$21:$F$52,MATCH(MIN(ABS('Gain_offset step test'!$F$21:$F$52-O29)),ABS('Gain_offset step test'!$F$21:$F$52-O29),0))</f>
        <v>0.86066911118590772</v>
      </c>
      <c r="Q29" s="197">
        <f t="shared" si="14"/>
        <v>75.135529828541877</v>
      </c>
      <c r="R29" s="201">
        <f t="shared" si="15"/>
        <v>5.3080263792825632E-3</v>
      </c>
      <c r="S29" s="207">
        <f t="array" ref="S29">INDEX('Gain_offset step test'!$AL$55:$AL$70,MATCH(MIN(ABS('Gain_offset step test'!$AL$55:$AL$70-R29)),ABS('Gain_offset step test'!$AL$55:$AL$70-R29),0))</f>
        <v>0.92385130661693504</v>
      </c>
      <c r="T29" s="208">
        <f t="shared" si="18"/>
        <v>-0.47745024632537614</v>
      </c>
      <c r="U29" s="11">
        <f t="array" ref="U29">INDEX('Gain_offset step test'!$AL$72:$AL$87,MATCH(MIN(ABS('Gain_offset step test'!$AL$72:$AL$87-T29)),ABS('Gain_offset step test'!$AL$72:$AL$87-T29),0))</f>
        <v>0.98003123080023602</v>
      </c>
      <c r="W29" s="204" t="str">
        <f t="array" ref="W29">INDEX('Gain_offset step test'!$H$4:$AG$19,MATCH(MIN(IF('Gain_offset step test'!$AG$4:$AG$19&gt;H29,'Gain_offset step test'!$AG$4:$AG$19)),IF('Gain_offset step test'!$AG$4:$AG$19&gt;H29,'Gain_offset step test'!$AG$4:$AG$19),0),1)</f>
        <v>E0</v>
      </c>
      <c r="X29" s="184">
        <f t="array" ref="X29">INDEX('Gain_offset step test'!$H$4:$AG$19,MATCH(MIN(ABS('Gain_offset step test'!$AG$4:$AG$19-H29)),ABS('Gain_offset step test'!$AG$4:$AG$19-H29),0),2)</f>
        <v>1</v>
      </c>
      <c r="Y29" s="184">
        <f t="array" ref="Y29">INDEX('Gain_offset step test'!$F$21:$H$52,MATCH(MIN(ABS('Gain_offset step test'!$F$21:$F$52-O29)),ABS('Gain_offset step test'!$F$21:$F$52-O29),0),2)</f>
        <v>0</v>
      </c>
      <c r="Z29" s="184" t="str">
        <f t="array" ref="Z29">INDEX('Gain_offset step test'!$H$55:$AL$70,MATCH(MIN(ABS('Gain_offset step test'!$AL$55:$AL$70-R29)),ABS('Gain_offset step test'!$AL$55:$AL$70-R29),0),1)</f>
        <v>0</v>
      </c>
      <c r="AA29" s="183" t="str">
        <f t="shared" si="16"/>
        <v>E0</v>
      </c>
      <c r="AB29" s="183" t="str">
        <f t="shared" si="17"/>
        <v>1</v>
      </c>
      <c r="AC29" s="184">
        <f t="array" ref="AC29">INDEX('Gain_offset step test'!$H$55:$AL$70,MATCH(MIN(ABS('Gain_offset step test'!$AL$55:$AL$70-R29)),ABS('Gain_offset step test'!$AL$55:$AL$70-R29),0),2)</f>
        <v>7</v>
      </c>
      <c r="AD29" s="184" t="str">
        <f t="array" ref="AD29">INDEX('Gain_offset step test'!$H$72:$AL$87,MATCH(MIN(ABS('Gain_offset step test'!$AL$72:$AL$87-T29)),ABS('Gain_offset step test'!$AL$72:$AL$87-T29),0),1)</f>
        <v>38</v>
      </c>
      <c r="AE29" s="184"/>
      <c r="AF29">
        <f t="shared" si="11"/>
        <v>2.875</v>
      </c>
      <c r="AG29">
        <f t="shared" si="12"/>
        <v>2.75</v>
      </c>
    </row>
    <row r="30" spans="1:35" ht="15.75">
      <c r="B30" s="200">
        <v>3.8260000000000001</v>
      </c>
      <c r="C30" s="200">
        <v>3.403</v>
      </c>
      <c r="D30" s="200">
        <v>2.9740000000000002</v>
      </c>
      <c r="E30" s="200">
        <v>2.5478000000000001</v>
      </c>
      <c r="F30" s="202">
        <f t="shared" si="8"/>
        <v>84.9</v>
      </c>
      <c r="G30" s="203">
        <v>15</v>
      </c>
      <c r="H30" s="201">
        <f t="shared" si="13"/>
        <v>-0.82332155477031799</v>
      </c>
      <c r="I30" s="206">
        <f t="array" ref="I30">INDEX('Gain_offset step test'!$AG$4:$AG$19,MATCH(MIN(IF('Gain_offset step test'!$AG$4:$AG$19&gt;H30,'Gain_offset step test'!$AG$4:$AG$19)),IF('Gain_offset step test'!$AG$4:$AG$19&gt;H30,'Gain_offset step test'!$AG$4:$AG$19),0))</f>
        <v>0.12356481985392632</v>
      </c>
      <c r="J30" s="200">
        <v>3.8260000000000001</v>
      </c>
      <c r="K30" s="200">
        <v>3.403</v>
      </c>
      <c r="L30" s="200">
        <v>2.9740000000000002</v>
      </c>
      <c r="M30" s="200">
        <v>2.5478000000000001</v>
      </c>
      <c r="N30" s="202">
        <f t="shared" si="9"/>
        <v>84.9</v>
      </c>
      <c r="O30" s="553">
        <f t="shared" si="10"/>
        <v>-0.84275188924778566</v>
      </c>
      <c r="P30" s="186">
        <f t="array" ref="P30">INDEX('Gain_offset step test'!$F$21:$F$52,MATCH(MIN(ABS('Gain_offset step test'!$F$21:$F$52-O30)),ABS('Gain_offset step test'!$F$21:$F$52-O30),0))</f>
        <v>0.86066911118590772</v>
      </c>
      <c r="Q30" s="197">
        <f t="shared" si="14"/>
        <v>177.49044191550385</v>
      </c>
      <c r="R30" s="201">
        <f t="shared" si="15"/>
        <v>-1.8761284245231206E-2</v>
      </c>
      <c r="S30" s="207">
        <f t="array" ref="S30">INDEX('Gain_offset step test'!$AL$55:$AL$70,MATCH(MIN(ABS('Gain_offset step test'!$AL$55:$AL$70-R30)),ABS('Gain_offset step test'!$AL$55:$AL$70-R30),0))</f>
        <v>0.92385130661693504</v>
      </c>
      <c r="T30" s="208">
        <f t="shared" si="18"/>
        <v>-0.48996124992618939</v>
      </c>
      <c r="U30" s="11">
        <f t="array" ref="U30">INDEX('Gain_offset step test'!$AL$72:$AL$87,MATCH(MIN(ABS('Gain_offset step test'!$AL$72:$AL$87-T30)),ABS('Gain_offset step test'!$AL$72:$AL$87-T30),0))</f>
        <v>0.98003123080023602</v>
      </c>
      <c r="W30" s="204" t="str">
        <f t="array" ref="W30">INDEX('Gain_offset step test'!$H$4:$AG$19,MATCH(MIN(IF('Gain_offset step test'!$AG$4:$AG$19&gt;H30,'Gain_offset step test'!$AG$4:$AG$19)),IF('Gain_offset step test'!$AG$4:$AG$19&gt;H30,'Gain_offset step test'!$AG$4:$AG$19),0),1)</f>
        <v>E0</v>
      </c>
      <c r="X30" s="184">
        <f t="array" ref="X30">INDEX('Gain_offset step test'!$H$4:$AG$19,MATCH(MIN(ABS('Gain_offset step test'!$AG$4:$AG$19-H30)),ABS('Gain_offset step test'!$AG$4:$AG$19-H30),0),2)</f>
        <v>1</v>
      </c>
      <c r="Y30" s="184">
        <f t="array" ref="Y30">INDEX('Gain_offset step test'!$F$21:$H$52,MATCH(MIN(ABS('Gain_offset step test'!$F$21:$F$52-O30)),ABS('Gain_offset step test'!$F$21:$F$52-O30),0),2)</f>
        <v>0</v>
      </c>
      <c r="Z30" s="184" t="str">
        <f t="array" ref="Z30">INDEX('Gain_offset step test'!$H$55:$AL$70,MATCH(MIN(ABS('Gain_offset step test'!$AL$55:$AL$70-R30)),ABS('Gain_offset step test'!$AL$55:$AL$70-R30),0),1)</f>
        <v>0</v>
      </c>
      <c r="AA30" s="183" t="str">
        <f t="shared" si="16"/>
        <v>E0</v>
      </c>
      <c r="AB30" s="183" t="str">
        <f t="shared" si="17"/>
        <v>1</v>
      </c>
      <c r="AC30" s="184">
        <f t="array" ref="AC30">INDEX('Gain_offset step test'!$H$55:$AL$70,MATCH(MIN(ABS('Gain_offset step test'!$AL$55:$AL$70-R30)),ABS('Gain_offset step test'!$AL$55:$AL$70-R30),0),2)</f>
        <v>7</v>
      </c>
      <c r="AD30" s="184" t="str">
        <f t="array" ref="AD30">INDEX('Gain_offset step test'!$H$72:$AL$87,MATCH(MIN(ABS('Gain_offset step test'!$AL$72:$AL$87-T30)),ABS('Gain_offset step test'!$AL$72:$AL$87-T30),0),1)</f>
        <v>38</v>
      </c>
      <c r="AE30" s="184"/>
      <c r="AF30">
        <f t="shared" si="11"/>
        <v>2.7250000000000001</v>
      </c>
      <c r="AG30">
        <f t="shared" si="12"/>
        <v>2.65</v>
      </c>
    </row>
    <row r="31" spans="1:35" ht="15.75">
      <c r="B31" s="200">
        <v>3.8774000000000002</v>
      </c>
      <c r="C31" s="200">
        <v>3.4148000000000001</v>
      </c>
      <c r="D31" s="200">
        <v>2.9516</v>
      </c>
      <c r="E31" s="200">
        <v>2.4868000000000001</v>
      </c>
      <c r="F31" s="202">
        <f t="shared" si="8"/>
        <v>92.550000000000026</v>
      </c>
      <c r="G31" s="203">
        <v>25</v>
      </c>
      <c r="H31" s="201">
        <f t="shared" si="13"/>
        <v>-0.72987574284170731</v>
      </c>
      <c r="I31" s="206">
        <f t="array" ref="I31">INDEX('Gain_offset step test'!$AG$4:$AG$19,MATCH(MIN(IF('Gain_offset step test'!$AG$4:$AG$19&gt;H31,'Gain_offset step test'!$AG$4:$AG$19)),IF('Gain_offset step test'!$AG$4:$AG$19&gt;H31,'Gain_offset step test'!$AG$4:$AG$19),0))</f>
        <v>0.12356481985392632</v>
      </c>
      <c r="J31" s="200">
        <v>3.8774000000000002</v>
      </c>
      <c r="K31" s="200">
        <v>3.4148000000000001</v>
      </c>
      <c r="L31" s="200">
        <v>2.9516</v>
      </c>
      <c r="M31" s="200">
        <v>2.4868000000000001</v>
      </c>
      <c r="N31" s="202">
        <f t="shared" si="9"/>
        <v>92.550000000000026</v>
      </c>
      <c r="O31" s="553">
        <f t="shared" si="10"/>
        <v>-0.75958284525728448</v>
      </c>
      <c r="P31" s="186">
        <f t="array" ref="P31">INDEX('Gain_offset step test'!$F$21:$F$52,MATCH(MIN(ABS('Gain_offset step test'!$F$21:$F$52-O31)),ABS('Gain_offset step test'!$F$21:$F$52-O31),0))</f>
        <v>0.86066911118590772</v>
      </c>
      <c r="Q31" s="197">
        <f t="shared" si="14"/>
        <v>193.4833969290917</v>
      </c>
      <c r="R31" s="201">
        <f t="shared" si="15"/>
        <v>5.3080263792825632E-3</v>
      </c>
      <c r="S31" s="207">
        <f t="array" ref="S31">INDEX('Gain_offset step test'!$AL$55:$AL$70,MATCH(MIN(ABS('Gain_offset step test'!$AL$55:$AL$70-R31)),ABS('Gain_offset step test'!$AL$55:$AL$70-R31),0))</f>
        <v>0.92385130661693504</v>
      </c>
      <c r="T31" s="208">
        <f t="shared" si="18"/>
        <v>-0.47745024632537614</v>
      </c>
      <c r="U31" s="11">
        <f t="array" ref="U31">INDEX('Gain_offset step test'!$AL$72:$AL$87,MATCH(MIN(ABS('Gain_offset step test'!$AL$72:$AL$87-T31)),ABS('Gain_offset step test'!$AL$72:$AL$87-T31),0))</f>
        <v>0.98003123080023602</v>
      </c>
      <c r="W31" s="204" t="str">
        <f t="array" ref="W31">INDEX('Gain_offset step test'!$H$4:$AG$19,MATCH(MIN(IF('Gain_offset step test'!$AG$4:$AG$19&gt;H31,'Gain_offset step test'!$AG$4:$AG$19)),IF('Gain_offset step test'!$AG$4:$AG$19&gt;H31,'Gain_offset step test'!$AG$4:$AG$19),0),1)</f>
        <v>E0</v>
      </c>
      <c r="X31" s="184">
        <f t="array" ref="X31">INDEX('Gain_offset step test'!$H$4:$AG$19,MATCH(MIN(ABS('Gain_offset step test'!$AG$4:$AG$19-H31)),ABS('Gain_offset step test'!$AG$4:$AG$19-H31),0),2)</f>
        <v>1</v>
      </c>
      <c r="Y31" s="184">
        <f t="array" ref="Y31">INDEX('Gain_offset step test'!$F$21:$H$52,MATCH(MIN(ABS('Gain_offset step test'!$F$21:$F$52-O31)),ABS('Gain_offset step test'!$F$21:$F$52-O31),0),2)</f>
        <v>0</v>
      </c>
      <c r="Z31" s="184" t="str">
        <f t="array" ref="Z31">INDEX('Gain_offset step test'!$H$55:$AL$70,MATCH(MIN(ABS('Gain_offset step test'!$AL$55:$AL$70-R31)),ABS('Gain_offset step test'!$AL$55:$AL$70-R31),0),1)</f>
        <v>0</v>
      </c>
      <c r="AA31" s="183" t="str">
        <f t="shared" si="16"/>
        <v>E0</v>
      </c>
      <c r="AB31" s="183" t="str">
        <f t="shared" si="17"/>
        <v>1</v>
      </c>
      <c r="AC31" s="184">
        <f t="array" ref="AC31">INDEX('Gain_offset step test'!$H$55:$AL$70,MATCH(MIN(ABS('Gain_offset step test'!$AL$55:$AL$70-R31)),ABS('Gain_offset step test'!$AL$55:$AL$70-R31),0),2)</f>
        <v>7</v>
      </c>
      <c r="AD31" s="184" t="str">
        <f t="array" ref="AD31">INDEX('Gain_offset step test'!$H$72:$AL$87,MATCH(MIN(ABS('Gain_offset step test'!$AL$72:$AL$87-T31)),ABS('Gain_offset step test'!$AL$72:$AL$87-T31),0),1)</f>
        <v>38</v>
      </c>
      <c r="AE31" s="184"/>
      <c r="AF31">
        <f t="shared" si="11"/>
        <v>2.875</v>
      </c>
      <c r="AG31">
        <f t="shared" si="12"/>
        <v>2.75</v>
      </c>
    </row>
    <row r="32" spans="1:35" s="406" customFormat="1" ht="15.75">
      <c r="A32" s="406">
        <v>4</v>
      </c>
      <c r="B32" s="408">
        <v>4.423</v>
      </c>
      <c r="C32" s="408">
        <v>3.798</v>
      </c>
      <c r="D32" s="408">
        <v>3.1760000000000002</v>
      </c>
      <c r="E32" s="408">
        <v>2.5518000000000001</v>
      </c>
      <c r="F32" s="409">
        <f t="shared" si="8"/>
        <v>124.85</v>
      </c>
      <c r="G32" s="410">
        <v>25</v>
      </c>
      <c r="H32" s="411">
        <f t="shared" ref="H32:H38" si="19">(G32-F32)/F32</f>
        <v>-0.79975971165398474</v>
      </c>
      <c r="I32" s="412">
        <f t="array" ref="I32">INDEX('Gain_offset step test'!$AG$4:$AG$19,MATCH(MIN(IF('Gain_offset step test'!$AG$4:$AG$19&gt;H32,'Gain_offset step test'!$AG$4:$AG$19)),IF('Gain_offset step test'!$AG$4:$AG$19&gt;H32,'Gain_offset step test'!$AG$4:$AG$19),0))</f>
        <v>0.12356481985392632</v>
      </c>
      <c r="J32" s="408">
        <v>2.952</v>
      </c>
      <c r="K32" s="408">
        <v>2.8182999999999998</v>
      </c>
      <c r="L32" s="408">
        <v>2.6844999999999999</v>
      </c>
      <c r="M32" s="408">
        <v>2.5501999999999998</v>
      </c>
      <c r="N32" s="202">
        <f t="shared" ref="N32:N39" si="20">1000*((J32-L32)/10+(J32-K32)/5)/2</f>
        <v>26.745000000000019</v>
      </c>
      <c r="O32" s="556">
        <f t="shared" ref="O32:O38" si="21">(G32-N32)/N32</f>
        <v>-6.5245840343990183E-2</v>
      </c>
      <c r="P32" s="413">
        <f t="array" ref="P32">INDEX('Gain_offset step test'!$F$21:$F$52,MATCH(MIN(ABS('Gain_offset step test'!$F$21:$F$52-O32)),ABS('Gain_offset step test'!$F$21:$F$52-O32),0))</f>
        <v>0.86066911118590772</v>
      </c>
      <c r="Q32" s="414">
        <f t="shared" ref="Q32:Q38" si="22">(F32+F32*I32)+(F32+F32*I32)*P32</f>
        <v>261.00920698646235</v>
      </c>
      <c r="R32" s="411">
        <f t="shared" ref="R32:R41" si="23">(2.5-E32)/E32</f>
        <v>-2.0299396504428274E-2</v>
      </c>
      <c r="S32" s="415">
        <f t="array" ref="S32">INDEX('Gain_offset step test'!$AL$55:$AL$70,MATCH(MIN(ABS('Gain_offset step test'!$AL$55:$AL$70-R32)),ABS('Gain_offset step test'!$AL$55:$AL$70-R32),0))</f>
        <v>0.92385130661693504</v>
      </c>
      <c r="T32" s="416">
        <f t="shared" si="18"/>
        <v>-0.49076074636019495</v>
      </c>
      <c r="U32" s="417">
        <f t="array" ref="U32">INDEX('Gain_offset step test'!$AL$72:$AL$87,MATCH(MIN(ABS('Gain_offset step test'!$AL$72:$AL$87-T32)),ABS('Gain_offset step test'!$AL$72:$AL$87-T32),0))</f>
        <v>0.98003123080023602</v>
      </c>
      <c r="W32" s="418" t="str">
        <f t="array" ref="W32">INDEX('Gain_offset step test'!$H$4:$AG$19,MATCH(MIN(IF('Gain_offset step test'!$AG$4:$AG$19&gt;H32,'Gain_offset step test'!$AG$4:$AG$19)),IF('Gain_offset step test'!$AG$4:$AG$19&gt;H32,'Gain_offset step test'!$AG$4:$AG$19),0),1)</f>
        <v>E0</v>
      </c>
      <c r="X32" s="419">
        <f t="array" ref="X32">INDEX('Gain_offset step test'!$H$4:$AG$19,MATCH(MIN(IF('Gain_offset step test'!$AG$4:$AG$19&gt;H32,'Gain_offset step test'!$AG$4:$AG$19)),IF('Gain_offset step test'!$AG$4:$AG$19&gt;H32,'Gain_offset step test'!$AG$4:$AG$19),0),2)</f>
        <v>1</v>
      </c>
      <c r="Y32" s="419" t="str">
        <f t="array" ref="Y32">INDEX('Gain_offset step test'!$F$21:$H$52,MATCH(MIN(ABS('Gain_offset step test'!$F$21:$F$52-O32)),ABS('Gain_offset step test'!$F$21:$F$52-O32),0),3)</f>
        <v>1F</v>
      </c>
      <c r="Z32" s="419" t="str">
        <f t="array" ref="Z32">INDEX('Gain_offset step test'!$H$55:$AL$70,MATCH(MIN(ABS('Gain_offset step test'!$AL$55:$AL$70-R32)),ABS('Gain_offset step test'!$AL$55:$AL$70-R32),0),1)</f>
        <v>0</v>
      </c>
      <c r="AA32" s="420" t="str">
        <f t="shared" ref="AA32:AB38" si="24">DEC2HEX(HEX2DEC(W32)+HEX2DEC(Y32))</f>
        <v>FF</v>
      </c>
      <c r="AB32" s="420" t="str">
        <f t="shared" si="24"/>
        <v>1</v>
      </c>
      <c r="AC32" s="419">
        <f t="array" ref="AC32">INDEX('Gain_offset step test'!$H$55:$AL$70,MATCH(MIN(ABS('Gain_offset step test'!$AL$55:$AL$70-R32)),ABS('Gain_offset step test'!$AL$55:$AL$70-R32),0),2)</f>
        <v>7</v>
      </c>
      <c r="AD32" s="184" t="str">
        <f t="array" ref="AD32">INDEX('Gain_offset step test'!$H$72:$AL$87,MATCH(MIN(ABS('Gain_offset step test'!$AL$72:$AL$87-T32)),ABS('Gain_offset step test'!$AL$72:$AL$87-T32),0),1)</f>
        <v>38</v>
      </c>
      <c r="AE32" s="419" t="s">
        <v>95</v>
      </c>
      <c r="AF32" s="406">
        <f t="shared" si="11"/>
        <v>2.875</v>
      </c>
      <c r="AG32" s="406">
        <f t="shared" si="12"/>
        <v>2.75</v>
      </c>
    </row>
    <row r="33" spans="1:33" ht="15.75">
      <c r="A33">
        <v>5</v>
      </c>
      <c r="B33" s="200">
        <v>4.2641999999999998</v>
      </c>
      <c r="C33" s="200">
        <v>3.6610999999999998</v>
      </c>
      <c r="D33" s="200">
        <v>3.0577999999999999</v>
      </c>
      <c r="E33" s="200">
        <v>2.4523000000000001</v>
      </c>
      <c r="F33" s="202">
        <f t="shared" si="8"/>
        <v>120.62999999999998</v>
      </c>
      <c r="G33" s="203">
        <v>25</v>
      </c>
      <c r="H33" s="201">
        <f t="shared" si="19"/>
        <v>-0.7927547044682085</v>
      </c>
      <c r="I33" s="206">
        <f t="array" ref="I33">INDEX('Gain_offset step test'!$AG$4:$AG$19,MATCH(MIN(IF('Gain_offset step test'!$AG$4:$AG$19&gt;H33,'Gain_offset step test'!$AG$4:$AG$19)),IF('Gain_offset step test'!$AG$4:$AG$19&gt;H33,'Gain_offset step test'!$AG$4:$AG$19),0))</f>
        <v>0.12356481985392632</v>
      </c>
      <c r="J33" s="200">
        <v>2.8414000000000001</v>
      </c>
      <c r="K33" s="200">
        <v>2.7122000000000002</v>
      </c>
      <c r="L33" s="200">
        <v>2.5828000000000002</v>
      </c>
      <c r="M33" s="200">
        <v>2.4525999999999999</v>
      </c>
      <c r="N33" s="202">
        <f t="shared" si="20"/>
        <v>25.849999999999994</v>
      </c>
      <c r="O33" s="557">
        <f t="shared" si="21"/>
        <v>-3.2882011605415651E-2</v>
      </c>
      <c r="P33" s="186">
        <f t="array" ref="P33">INDEX('Gain_offset step test'!$F$21:$F$52,MATCH(MIN(ABS('Gain_offset step test'!$F$21:$F$52-O33)),ABS('Gain_offset step test'!$F$21:$F$52-O33),0))</f>
        <v>0.86066911118590772</v>
      </c>
      <c r="Q33" s="421">
        <f t="shared" si="22"/>
        <v>252.18694944955504</v>
      </c>
      <c r="R33" s="422">
        <f t="shared" si="23"/>
        <v>1.9451127512946968E-2</v>
      </c>
      <c r="S33" s="207">
        <f t="array" ref="S33">INDEX('Gain_offset step test'!$AL$55:$AL$70,MATCH(MIN(ABS('Gain_offset step test'!$AL$55:$AL$70-R33)),ABS('Gain_offset step test'!$AL$55:$AL$70-R33),0))</f>
        <v>0.92385130661693504</v>
      </c>
      <c r="T33" s="423">
        <f t="shared" si="18"/>
        <v>-0.47009879401457633</v>
      </c>
      <c r="U33" s="424">
        <f t="array" ref="U33">INDEX('Gain_offset step test'!$AL$72:$AL$87,MATCH(MIN(ABS('Gain_offset step test'!$AL$72:$AL$87-T33)),ABS('Gain_offset step test'!$AL$72:$AL$87-T33),0))</f>
        <v>0.98003123080023602</v>
      </c>
      <c r="W33" s="418" t="str">
        <f t="array" ref="W33">INDEX('Gain_offset step test'!$H$4:$AG$19,MATCH(MIN(IF('Gain_offset step test'!$AG$4:$AG$19&gt;H33,'Gain_offset step test'!$AG$4:$AG$19)),IF('Gain_offset step test'!$AG$4:$AG$19&gt;H33,'Gain_offset step test'!$AG$4:$AG$19),0),1)</f>
        <v>E0</v>
      </c>
      <c r="X33" s="419">
        <f t="array" ref="X33">INDEX('Gain_offset step test'!$H$4:$AG$19,MATCH(MIN(IF('Gain_offset step test'!$AG$4:$AG$19&gt;H33,'Gain_offset step test'!$AG$4:$AG$19)),IF('Gain_offset step test'!$AG$4:$AG$19&gt;H33,'Gain_offset step test'!$AG$4:$AG$19),0),2)</f>
        <v>1</v>
      </c>
      <c r="Y33" s="184" t="str">
        <f t="array" ref="Y33">INDEX('Gain_offset step test'!$F$21:$H$52,MATCH(MIN(ABS('Gain_offset step test'!$F$21:$F$52-O33)),ABS('Gain_offset step test'!$F$21:$F$52-O33),0),3)</f>
        <v>1F</v>
      </c>
      <c r="Z33" s="184" t="str">
        <f t="array" ref="Z33">INDEX('Gain_offset step test'!$H$55:$AL$70,MATCH(MIN(ABS('Gain_offset step test'!$AL$55:$AL$70-R33)),ABS('Gain_offset step test'!$AL$55:$AL$70-R33),0),1)</f>
        <v>0</v>
      </c>
      <c r="AA33" s="183" t="str">
        <f t="shared" si="24"/>
        <v>FF</v>
      </c>
      <c r="AB33" s="183" t="str">
        <f t="shared" si="24"/>
        <v>1</v>
      </c>
      <c r="AC33" s="184">
        <f t="array" ref="AC33">INDEX('Gain_offset step test'!$H$55:$AL$70,MATCH(MIN(ABS('Gain_offset step test'!$AL$55:$AL$70-R33)),ABS('Gain_offset step test'!$AL$55:$AL$70-R33),0),2)</f>
        <v>7</v>
      </c>
      <c r="AD33" s="184" t="str">
        <f t="array" ref="AD33">INDEX('Gain_offset step test'!$H$72:$AL$87,MATCH(MIN(ABS('Gain_offset step test'!$AL$72:$AL$87-T33)),ABS('Gain_offset step test'!$AL$72:$AL$87-T33),0),1)</f>
        <v>38</v>
      </c>
      <c r="AE33" s="184">
        <v>20</v>
      </c>
      <c r="AF33">
        <f t="shared" si="11"/>
        <v>2.875</v>
      </c>
      <c r="AG33">
        <f t="shared" si="12"/>
        <v>2.75</v>
      </c>
    </row>
    <row r="34" spans="1:33" ht="15.75">
      <c r="A34">
        <v>6</v>
      </c>
      <c r="B34" s="200">
        <v>4.2816999999999998</v>
      </c>
      <c r="C34" s="200">
        <v>3.6829999999999998</v>
      </c>
      <c r="D34" s="200">
        <v>3.0840999999999998</v>
      </c>
      <c r="E34" s="200">
        <v>2.4813999999999998</v>
      </c>
      <c r="F34" s="202">
        <f t="shared" si="8"/>
        <v>119.75</v>
      </c>
      <c r="G34" s="203">
        <v>25</v>
      </c>
      <c r="H34" s="201">
        <f t="shared" si="19"/>
        <v>-0.79123173277661796</v>
      </c>
      <c r="I34" s="206">
        <f t="array" ref="I34">INDEX('Gain_offset step test'!$AG$4:$AG$19,MATCH(MIN(IF('Gain_offset step test'!$AG$4:$AG$19&gt;H34,'Gain_offset step test'!$AG$4:$AG$19)),IF('Gain_offset step test'!$AG$4:$AG$19&gt;H34,'Gain_offset step test'!$AG$4:$AG$19),0))</f>
        <v>0.12356481985392632</v>
      </c>
      <c r="J34" s="200">
        <v>2.8704000000000001</v>
      </c>
      <c r="K34" s="200">
        <v>2.742</v>
      </c>
      <c r="L34" s="200">
        <v>2.6133999999999999</v>
      </c>
      <c r="M34" s="200">
        <v>2.4849000000000001</v>
      </c>
      <c r="N34" s="202">
        <f t="shared" si="20"/>
        <v>25.690000000000012</v>
      </c>
      <c r="O34" s="557">
        <f t="shared" si="21"/>
        <v>-2.6858699883223498E-2</v>
      </c>
      <c r="P34" s="186">
        <f t="array" ref="P34">INDEX('Gain_offset step test'!$F$21:$F$52,MATCH(MIN(ABS('Gain_offset step test'!$F$21:$F$52-O34)),ABS('Gain_offset step test'!$F$21:$F$52-O34),0))</f>
        <v>0.86066911118590772</v>
      </c>
      <c r="Q34" s="421">
        <f t="shared" si="22"/>
        <v>250.34723697740378</v>
      </c>
      <c r="R34" s="422">
        <f t="shared" si="23"/>
        <v>7.4957685177722954E-3</v>
      </c>
      <c r="S34" s="207">
        <f t="array" ref="S34">INDEX('Gain_offset step test'!$AL$55:$AL$70,MATCH(MIN(ABS('Gain_offset step test'!$AL$55:$AL$70-R34)),ABS('Gain_offset step test'!$AL$55:$AL$70-R34),0))</f>
        <v>0.92385130661693504</v>
      </c>
      <c r="T34" s="423">
        <f t="shared" si="18"/>
        <v>-0.476313078327535</v>
      </c>
      <c r="U34" s="424">
        <f t="array" ref="U34">INDEX('Gain_offset step test'!$AL$72:$AL$87,MATCH(MIN(ABS('Gain_offset step test'!$AL$72:$AL$87-T34)),ABS('Gain_offset step test'!$AL$72:$AL$87-T34),0))</f>
        <v>0.98003123080023602</v>
      </c>
      <c r="W34" s="418" t="str">
        <f t="array" ref="W34">INDEX('Gain_offset step test'!$H$4:$AG$19,MATCH(MIN(IF('Gain_offset step test'!$AG$4:$AG$19&gt;H34,'Gain_offset step test'!$AG$4:$AG$19)),IF('Gain_offset step test'!$AG$4:$AG$19&gt;H34,'Gain_offset step test'!$AG$4:$AG$19),0),1)</f>
        <v>E0</v>
      </c>
      <c r="X34" s="419">
        <f t="array" ref="X34">INDEX('Gain_offset step test'!$H$4:$AG$19,MATCH(MIN(IF('Gain_offset step test'!$AG$4:$AG$19&gt;H34,'Gain_offset step test'!$AG$4:$AG$19)),IF('Gain_offset step test'!$AG$4:$AG$19&gt;H34,'Gain_offset step test'!$AG$4:$AG$19),0),2)</f>
        <v>1</v>
      </c>
      <c r="Y34" s="184" t="str">
        <f t="array" ref="Y34">INDEX('Gain_offset step test'!$F$21:$H$52,MATCH(MIN(ABS('Gain_offset step test'!$F$21:$F$52-O34)),ABS('Gain_offset step test'!$F$21:$F$52-O34),0),3)</f>
        <v>1F</v>
      </c>
      <c r="Z34" s="184" t="str">
        <f t="array" ref="Z34">INDEX('Gain_offset step test'!$H$55:$AL$70,MATCH(MIN(ABS('Gain_offset step test'!$AL$55:$AL$70-R34)),ABS('Gain_offset step test'!$AL$55:$AL$70-R34),0),1)</f>
        <v>0</v>
      </c>
      <c r="AA34" s="183" t="str">
        <f t="shared" si="24"/>
        <v>FF</v>
      </c>
      <c r="AB34" s="183" t="str">
        <f t="shared" si="24"/>
        <v>1</v>
      </c>
      <c r="AC34" s="184">
        <f t="array" ref="AC34">INDEX('Gain_offset step test'!$H$55:$AL$70,MATCH(MIN(ABS('Gain_offset step test'!$AL$55:$AL$70-R34)),ABS('Gain_offset step test'!$AL$55:$AL$70-R34),0),2)</f>
        <v>7</v>
      </c>
      <c r="AD34" s="184" t="str">
        <f t="array" ref="AD34">INDEX('Gain_offset step test'!$H$72:$AL$87,MATCH(MIN(ABS('Gain_offset step test'!$AL$72:$AL$87-T34)),ABS('Gain_offset step test'!$AL$72:$AL$87-T34),0),1)</f>
        <v>38</v>
      </c>
      <c r="AE34" s="184">
        <v>20</v>
      </c>
      <c r="AF34">
        <f t="shared" si="11"/>
        <v>2.875</v>
      </c>
      <c r="AG34">
        <f t="shared" si="12"/>
        <v>2.75</v>
      </c>
    </row>
    <row r="35" spans="1:33" ht="16.5" thickBot="1">
      <c r="A35">
        <v>7</v>
      </c>
      <c r="B35" s="200">
        <v>4.1820000000000004</v>
      </c>
      <c r="C35" s="200">
        <v>3.6131000000000002</v>
      </c>
      <c r="D35" s="200">
        <v>3.0472000000000001</v>
      </c>
      <c r="E35" s="200">
        <v>2.4773999999999998</v>
      </c>
      <c r="F35" s="202">
        <f t="shared" si="8"/>
        <v>113.63000000000004</v>
      </c>
      <c r="G35" s="203">
        <v>25</v>
      </c>
      <c r="H35" s="201">
        <f t="shared" si="19"/>
        <v>-0.77998767931004143</v>
      </c>
      <c r="I35" s="206">
        <f t="array" ref="I35">INDEX('Gain_offset step test'!$AG$4:$AG$19,MATCH(MIN(IF('Gain_offset step test'!$AG$4:$AG$19&gt;H35,'Gain_offset step test'!$AG$4:$AG$19)),IF('Gain_offset step test'!$AG$4:$AG$19&gt;H35,'Gain_offset step test'!$AG$4:$AG$19),0))</f>
        <v>0.12356481985392632</v>
      </c>
      <c r="J35" s="200">
        <v>2.9055</v>
      </c>
      <c r="K35" s="200">
        <v>2.7654000000000001</v>
      </c>
      <c r="L35" s="200">
        <v>2.6253000000000002</v>
      </c>
      <c r="M35" s="200">
        <v>2.4851000000000001</v>
      </c>
      <c r="N35" s="202">
        <f t="shared" si="20"/>
        <v>28.019999999999978</v>
      </c>
      <c r="O35" s="557">
        <f t="shared" si="21"/>
        <v>-0.10778015703069167</v>
      </c>
      <c r="P35" s="425">
        <f t="array" ref="P35">INDEX('Gain_offset step test'!$F$21:$F$52,MATCH(MIN(ABS('Gain_offset step test'!$F$21:$F$52-O35)),ABS('Gain_offset step test'!$F$21:$F$52-O35),0))</f>
        <v>0.86066911118590772</v>
      </c>
      <c r="Q35" s="426">
        <f t="shared" si="22"/>
        <v>237.55287296653364</v>
      </c>
      <c r="R35" s="422">
        <f t="shared" si="23"/>
        <v>9.1224671026076433E-3</v>
      </c>
      <c r="S35" s="207">
        <f t="array" ref="S35">INDEX('Gain_offset step test'!$AL$55:$AL$70,MATCH(MIN(ABS('Gain_offset step test'!$AL$55:$AL$70-R35)),ABS('Gain_offset step test'!$AL$55:$AL$70-R35),0))</f>
        <v>0.92385130661693504</v>
      </c>
      <c r="T35" s="423">
        <f t="shared" si="18"/>
        <v>-0.47546753554611509</v>
      </c>
      <c r="U35" s="424">
        <f t="array" ref="U35">INDEX('Gain_offset step test'!$AL$72:$AL$87,MATCH(MIN(ABS('Gain_offset step test'!$AL$72:$AL$87-T35)),ABS('Gain_offset step test'!$AL$72:$AL$87-T35),0))</f>
        <v>0.98003123080023602</v>
      </c>
      <c r="W35" s="418" t="str">
        <f t="array" ref="W35">INDEX('Gain_offset step test'!$H$4:$AG$19,MATCH(MIN(IF('Gain_offset step test'!$AG$4:$AG$19&gt;H35,'Gain_offset step test'!$AG$4:$AG$19)),IF('Gain_offset step test'!$AG$4:$AG$19&gt;H35,'Gain_offset step test'!$AG$4:$AG$19),0),1)</f>
        <v>E0</v>
      </c>
      <c r="X35" s="419">
        <f t="array" ref="X35">INDEX('Gain_offset step test'!$H$4:$AG$19,MATCH(MIN(IF('Gain_offset step test'!$AG$4:$AG$19&gt;H35,'Gain_offset step test'!$AG$4:$AG$19)),IF('Gain_offset step test'!$AG$4:$AG$19&gt;H35,'Gain_offset step test'!$AG$4:$AG$19),0),2)</f>
        <v>1</v>
      </c>
      <c r="Y35" s="184" t="str">
        <f t="array" ref="Y35">INDEX('Gain_offset step test'!$F$21:$H$52,MATCH(MIN(ABS('Gain_offset step test'!$F$21:$F$52-O35)),ABS('Gain_offset step test'!$F$21:$F$52-O35),0),3)</f>
        <v>1F</v>
      </c>
      <c r="Z35" s="184" t="str">
        <f t="array" ref="Z35">INDEX('Gain_offset step test'!$H$55:$AL$70,MATCH(MIN(ABS('Gain_offset step test'!$AL$55:$AL$70-R35)),ABS('Gain_offset step test'!$AL$55:$AL$70-R35),0),1)</f>
        <v>0</v>
      </c>
      <c r="AA35" s="183" t="str">
        <f t="shared" si="24"/>
        <v>FF</v>
      </c>
      <c r="AB35" s="183" t="str">
        <f t="shared" si="24"/>
        <v>1</v>
      </c>
      <c r="AC35" s="184">
        <f t="array" ref="AC35">INDEX('Gain_offset step test'!$H$55:$AL$70,MATCH(MIN(ABS('Gain_offset step test'!$AL$55:$AL$70-R35)),ABS('Gain_offset step test'!$AL$55:$AL$70-R35),0),2)</f>
        <v>7</v>
      </c>
      <c r="AD35" s="184" t="str">
        <f t="array" ref="AD35">INDEX('Gain_offset step test'!$H$72:$AL$87,MATCH(MIN(ABS('Gain_offset step test'!$AL$72:$AL$87-T35)),ABS('Gain_offset step test'!$AL$72:$AL$87-T35),0),1)</f>
        <v>38</v>
      </c>
      <c r="AE35" s="184">
        <v>10</v>
      </c>
      <c r="AF35">
        <f t="shared" si="11"/>
        <v>2.875</v>
      </c>
      <c r="AG35">
        <f t="shared" si="12"/>
        <v>2.75</v>
      </c>
    </row>
    <row r="36" spans="1:33" s="448" customFormat="1" ht="15.75">
      <c r="A36" s="433">
        <v>6</v>
      </c>
      <c r="B36" s="434">
        <v>4.2619999999999996</v>
      </c>
      <c r="C36" s="434">
        <v>3.6644999999999999</v>
      </c>
      <c r="D36" s="434">
        <v>3.0672000000000001</v>
      </c>
      <c r="E36" s="434">
        <v>2.4697</v>
      </c>
      <c r="F36" s="435">
        <f t="shared" si="8"/>
        <v>119.48999999999994</v>
      </c>
      <c r="G36" s="435">
        <v>100</v>
      </c>
      <c r="H36" s="436">
        <f t="shared" si="19"/>
        <v>-0.16310988367227339</v>
      </c>
      <c r="I36" s="437">
        <f t="array" ref="I36">INDEX('Gain_offset step test'!$AG$4:$AG$19,MATCH(MIN(IF('Gain_offset step test'!$AG$4:$AG$19&gt;H36,'Gain_offset step test'!$AG$4:$AG$19)),IF('Gain_offset step test'!$AG$4:$AG$19&gt;H36,'Gain_offset step test'!$AG$4:$AG$19),0))</f>
        <v>0.12356481985392632</v>
      </c>
      <c r="J36" s="434">
        <v>4.0576999999999996</v>
      </c>
      <c r="K36" s="434">
        <v>3.5335000000000001</v>
      </c>
      <c r="L36" s="434">
        <v>3.0053999999999998</v>
      </c>
      <c r="M36" s="434">
        <v>2.4826999999999999</v>
      </c>
      <c r="N36" s="435">
        <f t="shared" si="20"/>
        <v>105.03499999999994</v>
      </c>
      <c r="O36" s="558">
        <f t="shared" si="21"/>
        <v>-4.7936402151663185E-2</v>
      </c>
      <c r="P36" s="438">
        <f t="array" ref="P36">INDEX('Gain_offset step test'!$F$21:$F$52,MATCH(MIN(ABS('Gain_offset step test'!$F$21:$F$52-O36)),ABS('Gain_offset step test'!$F$21:$F$52-O36),0))</f>
        <v>0.86066911118590772</v>
      </c>
      <c r="Q36" s="439">
        <f t="shared" si="22"/>
        <v>249.8036855651772</v>
      </c>
      <c r="R36" s="436">
        <f t="shared" si="23"/>
        <v>1.2268696602826252E-2</v>
      </c>
      <c r="S36" s="440">
        <f t="array" ref="S36">INDEX('Gain_offset step test'!$AL$55:$AL$70,MATCH(MIN(ABS('Gain_offset step test'!$AL$55:$AL$70-R36)),ABS('Gain_offset step test'!$AL$55:$AL$70-R36),0))</f>
        <v>0.92385130661693504</v>
      </c>
      <c r="T36" s="441">
        <f t="shared" si="18"/>
        <v>-0.47383215474022977</v>
      </c>
      <c r="U36" s="442">
        <f t="array" ref="U36">INDEX('Gain_offset step test'!$AL$72:$AL$87,MATCH(MIN(ABS('Gain_offset step test'!$AL$72:$AL$87-T36)),ABS('Gain_offset step test'!$AL$72:$AL$87-T36),0))</f>
        <v>0.98003123080023602</v>
      </c>
      <c r="V36" s="443"/>
      <c r="W36" s="444" t="str">
        <f t="array" ref="W36">INDEX('Gain_offset step test'!$H$4:$AG$19,MATCH(MIN(IF('Gain_offset step test'!$AG$4:$AG$19&gt;H36,'Gain_offset step test'!$AG$4:$AG$19)),IF('Gain_offset step test'!$AG$4:$AG$19&gt;H36,'Gain_offset step test'!$AG$4:$AG$19),0),1)</f>
        <v>E0</v>
      </c>
      <c r="X36" s="444">
        <f t="array" ref="X36">INDEX('Gain_offset step test'!$H$4:$AG$19,MATCH(MIN(IF('Gain_offset step test'!$AG$4:$AG$19&gt;H36,'Gain_offset step test'!$AG$4:$AG$19)),IF('Gain_offset step test'!$AG$4:$AG$19&gt;H36,'Gain_offset step test'!$AG$4:$AG$19),0),2)</f>
        <v>1</v>
      </c>
      <c r="Y36" s="444" t="str">
        <f t="array" ref="Y36">INDEX('Gain_offset step test'!$F$21:$H$52,MATCH(MIN(ABS('Gain_offset step test'!$F$21:$F$52-O36)),ABS('Gain_offset step test'!$F$21:$F$52-O36),0),3)</f>
        <v>1F</v>
      </c>
      <c r="Z36" s="444" t="str">
        <f t="array" ref="Z36">INDEX('Gain_offset step test'!$H$55:$AL$70,MATCH(MIN(ABS('Gain_offset step test'!$AL$55:$AL$70-R36)),ABS('Gain_offset step test'!$AL$55:$AL$70-R36),0),1)</f>
        <v>0</v>
      </c>
      <c r="AA36" s="445" t="str">
        <f t="shared" si="24"/>
        <v>FF</v>
      </c>
      <c r="AB36" s="445" t="str">
        <f t="shared" si="24"/>
        <v>1</v>
      </c>
      <c r="AC36" s="444">
        <f t="array" ref="AC36">INDEX('Gain_offset step test'!$H$55:$AL$70,MATCH(MIN(ABS('Gain_offset step test'!$AL$55:$AL$70-R36)),ABS('Gain_offset step test'!$AL$55:$AL$70-R36),0),2)</f>
        <v>7</v>
      </c>
      <c r="AD36" s="444" t="str">
        <f t="array" ref="AD36">INDEX('Gain_offset step test'!$H$72:$AL$87,MATCH(MIN(ABS('Gain_offset step test'!$AL$72:$AL$87-T36)),ABS('Gain_offset step test'!$AL$72:$AL$87-T36),0),1)</f>
        <v>38</v>
      </c>
      <c r="AE36" s="444">
        <v>20</v>
      </c>
      <c r="AF36" s="446">
        <f t="shared" si="11"/>
        <v>4</v>
      </c>
      <c r="AG36" s="447">
        <f t="shared" si="12"/>
        <v>3.5</v>
      </c>
    </row>
    <row r="37" spans="1:33" ht="15.75">
      <c r="A37" s="363">
        <v>7</v>
      </c>
      <c r="B37" s="200">
        <v>4.1802000000000001</v>
      </c>
      <c r="C37" s="200">
        <v>3.6132</v>
      </c>
      <c r="D37" s="200">
        <v>3.0466000000000002</v>
      </c>
      <c r="E37" s="200">
        <v>2.4765000000000001</v>
      </c>
      <c r="F37" s="202">
        <f t="shared" si="8"/>
        <v>113.38000000000001</v>
      </c>
      <c r="G37" s="203">
        <v>100</v>
      </c>
      <c r="H37" s="201">
        <f t="shared" si="19"/>
        <v>-0.11801023108131953</v>
      </c>
      <c r="I37" s="206">
        <f t="array" ref="I37">INDEX('Gain_offset step test'!$AG$4:$AG$19,MATCH(MIN(IF('Gain_offset step test'!$AG$4:$AG$19&gt;H37,'Gain_offset step test'!$AG$4:$AG$19)),IF('Gain_offset step test'!$AG$4:$AG$19&gt;H37,'Gain_offset step test'!$AG$4:$AG$19),0))</f>
        <v>0.12356481985392632</v>
      </c>
      <c r="J37" s="200">
        <v>4.1802000000000001</v>
      </c>
      <c r="K37" s="200">
        <v>3.6132</v>
      </c>
      <c r="L37" s="200">
        <v>3.0466000000000002</v>
      </c>
      <c r="M37" s="200">
        <v>2.4765000000000001</v>
      </c>
      <c r="N37" s="202">
        <f t="shared" si="20"/>
        <v>113.38000000000001</v>
      </c>
      <c r="O37" s="557">
        <f t="shared" si="21"/>
        <v>-0.11801023108131953</v>
      </c>
      <c r="P37" s="427">
        <f t="array" ref="P37">INDEX('Gain_offset step test'!$F$21:$F$52,MATCH(MIN(ABS('Gain_offset step test'!$F$21:$F$52-O37)),ABS('Gain_offset step test'!$F$21:$F$52-O37),0))</f>
        <v>0.86066911118590772</v>
      </c>
      <c r="Q37" s="428">
        <f t="shared" si="22"/>
        <v>237.03022737785426</v>
      </c>
      <c r="R37" s="422">
        <f t="shared" si="23"/>
        <v>9.4891984655763595E-3</v>
      </c>
      <c r="S37" s="207">
        <f t="array" ref="S37">INDEX('Gain_offset step test'!$AL$55:$AL$70,MATCH(MIN(ABS('Gain_offset step test'!$AL$55:$AL$70-R37)),ABS('Gain_offset step test'!$AL$55:$AL$70-R37),0))</f>
        <v>0.92385130661693504</v>
      </c>
      <c r="T37" s="423">
        <f t="shared" si="18"/>
        <v>-0.47527691199755528</v>
      </c>
      <c r="U37" s="429">
        <f t="array" ref="U37">INDEX('Gain_offset step test'!$AL$72:$AL$87,MATCH(MIN(ABS('Gain_offset step test'!$AL$72:$AL$87-T37)),ABS('Gain_offset step test'!$AL$72:$AL$87-T37),0))</f>
        <v>0.98003123080023602</v>
      </c>
      <c r="V37" s="2"/>
      <c r="W37" s="418" t="str">
        <f t="array" ref="W37">INDEX('Gain_offset step test'!$H$4:$AG$19,MATCH(MIN(IF('Gain_offset step test'!$AG$4:$AG$19&gt;H37,'Gain_offset step test'!$AG$4:$AG$19)),IF('Gain_offset step test'!$AG$4:$AG$19&gt;H37,'Gain_offset step test'!$AG$4:$AG$19),0),1)</f>
        <v>E0</v>
      </c>
      <c r="X37" s="418">
        <f t="array" ref="X37">INDEX('Gain_offset step test'!$H$4:$AG$19,MATCH(MIN(IF('Gain_offset step test'!$AG$4:$AG$19&gt;H37,'Gain_offset step test'!$AG$4:$AG$19)),IF('Gain_offset step test'!$AG$4:$AG$19&gt;H37,'Gain_offset step test'!$AG$4:$AG$19),0),2)</f>
        <v>1</v>
      </c>
      <c r="Y37" s="390" t="str">
        <f t="array" ref="Y37">INDEX('Gain_offset step test'!$F$21:$H$52,MATCH(MIN(ABS('Gain_offset step test'!$F$21:$F$52-O37)),ABS('Gain_offset step test'!$F$21:$F$52-O37),0),3)</f>
        <v>1F</v>
      </c>
      <c r="Z37" s="390" t="str">
        <f t="array" ref="Z37">INDEX('Gain_offset step test'!$H$55:$AL$70,MATCH(MIN(ABS('Gain_offset step test'!$AL$55:$AL$70-R37)),ABS('Gain_offset step test'!$AL$55:$AL$70-R37),0),1)</f>
        <v>0</v>
      </c>
      <c r="AA37" s="432" t="str">
        <f t="shared" si="24"/>
        <v>FF</v>
      </c>
      <c r="AB37" s="432" t="str">
        <f t="shared" si="24"/>
        <v>1</v>
      </c>
      <c r="AC37" s="418">
        <f t="array" ref="AC37">INDEX('Gain_offset step test'!$H$55:$AL$70,MATCH(MIN(ABS('Gain_offset step test'!$AL$55:$AL$70-R37)),ABS('Gain_offset step test'!$AL$55:$AL$70-R37),0),2)</f>
        <v>7</v>
      </c>
      <c r="AD37" s="390" t="str">
        <f t="array" ref="AD37">INDEX('Gain_offset step test'!$H$72:$AL$87,MATCH(MIN(ABS('Gain_offset step test'!$AL$72:$AL$87-T37)),ABS('Gain_offset step test'!$AL$72:$AL$87-T37),0),1)</f>
        <v>38</v>
      </c>
      <c r="AE37" s="418">
        <v>20</v>
      </c>
      <c r="AF37" s="2">
        <f t="shared" si="11"/>
        <v>4</v>
      </c>
      <c r="AG37" s="430">
        <f t="shared" si="12"/>
        <v>3.5</v>
      </c>
    </row>
    <row r="38" spans="1:33" ht="15.75">
      <c r="A38" s="363">
        <v>8</v>
      </c>
      <c r="B38" s="200">
        <v>4.3742999999999999</v>
      </c>
      <c r="C38" s="200">
        <v>3.7587000000000002</v>
      </c>
      <c r="D38" s="200">
        <v>3.1444000000000001</v>
      </c>
      <c r="E38" s="200">
        <v>2.5276000000000001</v>
      </c>
      <c r="F38" s="202">
        <f t="shared" si="8"/>
        <v>123.05499999999995</v>
      </c>
      <c r="G38" s="203">
        <v>100</v>
      </c>
      <c r="H38" s="201">
        <f t="shared" si="19"/>
        <v>-0.18735524765348796</v>
      </c>
      <c r="I38" s="206">
        <f t="array" ref="I38">INDEX('Gain_offset step test'!$AG$4:$AG$19,MATCH(MIN(IF('Gain_offset step test'!$AG$4:$AG$19&gt;H38,'Gain_offset step test'!$AG$4:$AG$19)),IF('Gain_offset step test'!$AG$4:$AG$19&gt;H38,'Gain_offset step test'!$AG$4:$AG$19),0))</f>
        <v>0.12356481985392632</v>
      </c>
      <c r="J38" s="200">
        <v>4.1413000000000002</v>
      </c>
      <c r="K38" s="200">
        <v>3.6032999999999999</v>
      </c>
      <c r="L38" s="200">
        <v>3.0653999999999999</v>
      </c>
      <c r="M38" s="200">
        <v>2.5270000000000001</v>
      </c>
      <c r="N38" s="202">
        <f t="shared" si="20"/>
        <v>107.59500000000006</v>
      </c>
      <c r="O38" s="557">
        <f t="shared" si="21"/>
        <v>-7.0588782006599307E-2</v>
      </c>
      <c r="P38" s="186">
        <f t="array" ref="P38">INDEX('Gain_offset step test'!$F$21:$F$52,MATCH(MIN(ABS('Gain_offset step test'!$F$21:$F$52-O38)),ABS('Gain_offset step test'!$F$21:$F$52-O38),0))</f>
        <v>0.86066911118590772</v>
      </c>
      <c r="Q38" s="421">
        <f t="shared" si="22"/>
        <v>257.25661165974458</v>
      </c>
      <c r="R38" s="422">
        <f t="shared" si="23"/>
        <v>-1.0919449279949386E-2</v>
      </c>
      <c r="S38" s="207">
        <f t="array" ref="S38">INDEX('Gain_offset step test'!$AL$55:$AL$70,MATCH(MIN(ABS('Gain_offset step test'!$AL$55:$AL$70-R38)),ABS('Gain_offset step test'!$AL$55:$AL$70-R38),0))</f>
        <v>0.92385130661693504</v>
      </c>
      <c r="T38" s="423">
        <f t="shared" si="18"/>
        <v>-0.48588513711107195</v>
      </c>
      <c r="U38" s="429">
        <f t="array" ref="U38">INDEX('Gain_offset step test'!$AL$72:$AL$87,MATCH(MIN(ABS('Gain_offset step test'!$AL$72:$AL$87-T38)),ABS('Gain_offset step test'!$AL$72:$AL$87-T38),0))</f>
        <v>0.98003123080023602</v>
      </c>
      <c r="V38" s="2"/>
      <c r="W38" s="418" t="str">
        <f t="array" ref="W38">INDEX('Gain_offset step test'!$H$4:$AG$19,MATCH(MIN(IF('Gain_offset step test'!$AG$4:$AG$19&gt;H38,'Gain_offset step test'!$AG$4:$AG$19)),IF('Gain_offset step test'!$AG$4:$AG$19&gt;H38,'Gain_offset step test'!$AG$4:$AG$19),0),1)</f>
        <v>E0</v>
      </c>
      <c r="X38" s="418">
        <f t="array" ref="X38">INDEX('Gain_offset step test'!$H$4:$AG$19,MATCH(MIN(IF('Gain_offset step test'!$AG$4:$AG$19&gt;H38,'Gain_offset step test'!$AG$4:$AG$19)),IF('Gain_offset step test'!$AG$4:$AG$19&gt;H38,'Gain_offset step test'!$AG$4:$AG$19),0),2)</f>
        <v>1</v>
      </c>
      <c r="Y38" s="390" t="str">
        <f t="array" ref="Y38">INDEX('Gain_offset step test'!$F$21:$H$52,MATCH(MIN(ABS('Gain_offset step test'!$F$21:$F$52-O38)),ABS('Gain_offset step test'!$F$21:$F$52-O38),0),3)</f>
        <v>1F</v>
      </c>
      <c r="Z38" s="390" t="str">
        <f t="array" ref="Z38">INDEX('Gain_offset step test'!$H$55:$AL$70,MATCH(MIN(ABS('Gain_offset step test'!$AL$55:$AL$70-R38)),ABS('Gain_offset step test'!$AL$55:$AL$70-R38),0),1)</f>
        <v>0</v>
      </c>
      <c r="AA38" s="432" t="str">
        <f t="shared" si="24"/>
        <v>FF</v>
      </c>
      <c r="AB38" s="432" t="str">
        <f t="shared" si="24"/>
        <v>1</v>
      </c>
      <c r="AC38" s="418">
        <f t="array" ref="AC38">INDEX('Gain_offset step test'!$H$55:$AL$70,MATCH(MIN(ABS('Gain_offset step test'!$AL$55:$AL$70-R38)),ABS('Gain_offset step test'!$AL$55:$AL$70-R38),0),2)</f>
        <v>7</v>
      </c>
      <c r="AD38" s="390" t="str">
        <f t="array" ref="AD38">INDEX('Gain_offset step test'!$H$72:$AL$87,MATCH(MIN(ABS('Gain_offset step test'!$AL$72:$AL$87-T38)),ABS('Gain_offset step test'!$AL$72:$AL$87-T38),0),1)</f>
        <v>38</v>
      </c>
      <c r="AE38" s="418">
        <v>0</v>
      </c>
      <c r="AF38" s="2">
        <f t="shared" si="11"/>
        <v>4</v>
      </c>
      <c r="AG38" s="430">
        <f t="shared" si="12"/>
        <v>3.5</v>
      </c>
    </row>
    <row r="39" spans="1:33" s="377" customFormat="1" ht="15.75">
      <c r="A39" s="449">
        <v>9</v>
      </c>
      <c r="B39" s="450">
        <v>4.3464999999999998</v>
      </c>
      <c r="C39" s="450">
        <v>3.7507999999999999</v>
      </c>
      <c r="D39" s="450">
        <v>3.1545000000000001</v>
      </c>
      <c r="E39" s="450">
        <v>2.5552999999999999</v>
      </c>
      <c r="F39" s="451">
        <f t="shared" ref="F39:F46" si="25">1000*((B39-D39)/10+(B39-C39)/5)/2</f>
        <v>119.16999999999997</v>
      </c>
      <c r="G39" s="452">
        <v>100</v>
      </c>
      <c r="H39" s="453">
        <f t="shared" ref="H39:H46" si="26">(G39-F39)/F39</f>
        <v>-0.1608626332130568</v>
      </c>
      <c r="I39" s="454">
        <f t="array" ref="I39">INDEX('Gain_offset step test'!$AG$4:$AG$19,MATCH(MIN(IF('Gain_offset step test'!$AG$4:$AG$19&gt;H39,'Gain_offset step test'!$AG$4:$AG$19)),IF('Gain_offset step test'!$AG$4:$AG$19&gt;H39,'Gain_offset step test'!$AG$4:$AG$19),0))</f>
        <v>0.12356481985392632</v>
      </c>
      <c r="J39" s="450">
        <v>4.1238000000000001</v>
      </c>
      <c r="K39" s="450">
        <v>3.5996000000000001</v>
      </c>
      <c r="L39" s="450">
        <v>3.0769000000000002</v>
      </c>
      <c r="M39" s="450">
        <v>2.5518999999999998</v>
      </c>
      <c r="N39" s="451">
        <f t="shared" si="20"/>
        <v>104.765</v>
      </c>
      <c r="O39" s="559">
        <f t="shared" ref="O39:O46" si="27">(G39-N39)/N39</f>
        <v>-4.548274710065385E-2</v>
      </c>
      <c r="P39" s="455">
        <f t="array" ref="P39">INDEX('Gain_offset step test'!$F$21:$F$52,MATCH(MIN(ABS('Gain_offset step test'!$F$21:$F$52-O39)),ABS('Gain_offset step test'!$F$21:$F$52-O39),0))</f>
        <v>0.86066911118590772</v>
      </c>
      <c r="Q39" s="456">
        <f t="shared" ref="Q39:Q46" si="28">(F39+F39*I39)+(F39+F39*I39)*P39</f>
        <v>249.13469921166768</v>
      </c>
      <c r="R39" s="457">
        <f t="shared" si="23"/>
        <v>-2.1641294564238998E-2</v>
      </c>
      <c r="S39" s="458">
        <f t="array" ref="S39">INDEX('Gain_offset step test'!$AL$55:$AL$70,MATCH(MIN(ABS('Gain_offset step test'!$AL$55:$AL$70-R39)),ABS('Gain_offset step test'!$AL$55:$AL$70-R39),0))</f>
        <v>0.92385130661693504</v>
      </c>
      <c r="T39" s="459">
        <f t="shared" ref="T39:T46" si="29">((1+R39)/(1+S39))-1</f>
        <v>-0.49145825247992225</v>
      </c>
      <c r="U39" s="460">
        <f t="array" ref="U39">INDEX('Gain_offset step test'!$AL$72:$AL$87,MATCH(MIN(ABS('Gain_offset step test'!$AL$72:$AL$87-T39)),ABS('Gain_offset step test'!$AL$72:$AL$87-T39),0))</f>
        <v>0.98003123080023602</v>
      </c>
      <c r="V39" s="461"/>
      <c r="W39" s="462" t="str">
        <f t="array" ref="W39">INDEX('Gain_offset step test'!$H$4:$AG$19,MATCH(MIN(IF('Gain_offset step test'!$AG$4:$AG$19&gt;H39,'Gain_offset step test'!$AG$4:$AG$19)),IF('Gain_offset step test'!$AG$4:$AG$19&gt;H39,'Gain_offset step test'!$AG$4:$AG$19),0),1)</f>
        <v>E0</v>
      </c>
      <c r="X39" s="462">
        <f t="array" ref="X39">INDEX('Gain_offset step test'!$H$4:$AG$19,MATCH(MIN(IF('Gain_offset step test'!$AG$4:$AG$19&gt;H39,'Gain_offset step test'!$AG$4:$AG$19)),IF('Gain_offset step test'!$AG$4:$AG$19&gt;H39,'Gain_offset step test'!$AG$4:$AG$19),0),2)</f>
        <v>1</v>
      </c>
      <c r="Y39" s="463" t="str">
        <f t="array" ref="Y39">INDEX('Gain_offset step test'!$F$21:$H$52,MATCH(MIN(ABS('Gain_offset step test'!$F$21:$F$52-O39)),ABS('Gain_offset step test'!$F$21:$F$52-O39),0),3)</f>
        <v>1F</v>
      </c>
      <c r="Z39" s="463" t="str">
        <f t="array" ref="Z39">INDEX('Gain_offset step test'!$H$55:$AL$70,MATCH(MIN(ABS('Gain_offset step test'!$AL$55:$AL$70-R39)),ABS('Gain_offset step test'!$AL$55:$AL$70-R39),0),1)</f>
        <v>0</v>
      </c>
      <c r="AA39" s="464" t="str">
        <f t="shared" ref="AA39:AA46" si="30">DEC2HEX(HEX2DEC(W39)+HEX2DEC(Y39))</f>
        <v>FF</v>
      </c>
      <c r="AB39" s="464" t="str">
        <f t="shared" ref="AB39:AB46" si="31">DEC2HEX(HEX2DEC(X39)+HEX2DEC(Z39))</f>
        <v>1</v>
      </c>
      <c r="AC39" s="462">
        <f t="array" ref="AC39">INDEX('Gain_offset step test'!$H$55:$AL$70,MATCH(MIN(ABS('Gain_offset step test'!$AL$55:$AL$70-R39)),ABS('Gain_offset step test'!$AL$55:$AL$70-R39),0),2)</f>
        <v>7</v>
      </c>
      <c r="AD39" s="463" t="str">
        <f t="array" ref="AD39">INDEX('Gain_offset step test'!$H$72:$AL$87,MATCH(MIN(ABS('Gain_offset step test'!$AL$72:$AL$87-T39)),ABS('Gain_offset step test'!$AL$72:$AL$87-T39),0),1)</f>
        <v>38</v>
      </c>
      <c r="AE39" s="462" t="s">
        <v>95</v>
      </c>
      <c r="AF39" s="461">
        <f t="shared" ref="AF39:AF46" si="32">2.5+G39*15/1000</f>
        <v>4</v>
      </c>
      <c r="AG39" s="374">
        <f t="shared" ref="AG39:AG46" si="33">2.5+G39*10/1000</f>
        <v>3.5</v>
      </c>
    </row>
    <row r="40" spans="1:33" s="377" customFormat="1" ht="15.75">
      <c r="A40" s="449">
        <v>10</v>
      </c>
      <c r="B40" s="450">
        <v>4.2541000000000002</v>
      </c>
      <c r="C40" s="450">
        <v>3.6549999999999998</v>
      </c>
      <c r="D40" s="450">
        <v>3.0543999999999998</v>
      </c>
      <c r="E40" s="450">
        <v>2.4510000000000001</v>
      </c>
      <c r="F40" s="451">
        <f t="shared" si="25"/>
        <v>119.89500000000005</v>
      </c>
      <c r="G40" s="452">
        <v>100</v>
      </c>
      <c r="H40" s="453">
        <f t="shared" si="26"/>
        <v>-0.16593686142040989</v>
      </c>
      <c r="I40" s="454">
        <f t="array" ref="I40">INDEX('Gain_offset step test'!$AG$4:$AG$19,MATCH(MIN(IF('Gain_offset step test'!$AG$4:$AG$19&gt;H40,'Gain_offset step test'!$AG$4:$AG$19)),IF('Gain_offset step test'!$AG$4:$AG$19&gt;H40,'Gain_offset step test'!$AG$4:$AG$19),0))</f>
        <v>0.12356481985392632</v>
      </c>
      <c r="J40" s="450">
        <v>4.0282</v>
      </c>
      <c r="K40" s="450">
        <v>3.5028000000000001</v>
      </c>
      <c r="L40" s="450">
        <v>2.9784999999999999</v>
      </c>
      <c r="M40" s="450">
        <v>2.4504000000000001</v>
      </c>
      <c r="N40" s="451">
        <f t="shared" ref="N40:N46" si="34">1000*((J40-L40)/10+(J40-K40)/5)/2</f>
        <v>105.02499999999999</v>
      </c>
      <c r="O40" s="559">
        <f t="shared" si="27"/>
        <v>-4.7845751011663815E-2</v>
      </c>
      <c r="P40" s="455">
        <f t="array" ref="P40">INDEX('Gain_offset step test'!$F$21:$F$52,MATCH(MIN(ABS('Gain_offset step test'!$F$21:$F$52-O40)),ABS('Gain_offset step test'!$F$21:$F$52-O40),0))</f>
        <v>0.86066911118590772</v>
      </c>
      <c r="Q40" s="456">
        <f t="shared" si="28"/>
        <v>250.65037141883792</v>
      </c>
      <c r="R40" s="457">
        <f t="shared" si="23"/>
        <v>1.9991840065279449E-2</v>
      </c>
      <c r="S40" s="458">
        <f t="array" ref="S40">INDEX('Gain_offset step test'!$AL$55:$AL$70,MATCH(MIN(ABS('Gain_offset step test'!$AL$55:$AL$70-R40)),ABS('Gain_offset step test'!$AL$55:$AL$70-R40),0))</f>
        <v>0.92385130661693504</v>
      </c>
      <c r="T40" s="459">
        <f t="shared" si="29"/>
        <v>-0.46981773666338045</v>
      </c>
      <c r="U40" s="460">
        <f t="array" ref="U40">INDEX('Gain_offset step test'!$AL$72:$AL$87,MATCH(MIN(ABS('Gain_offset step test'!$AL$72:$AL$87-T40)),ABS('Gain_offset step test'!$AL$72:$AL$87-T40),0))</f>
        <v>0.98003123080023602</v>
      </c>
      <c r="V40" s="461"/>
      <c r="W40" s="462" t="str">
        <f t="array" ref="W40">INDEX('Gain_offset step test'!$H$4:$AG$19,MATCH(MIN(IF('Gain_offset step test'!$AG$4:$AG$19&gt;H40,'Gain_offset step test'!$AG$4:$AG$19)),IF('Gain_offset step test'!$AG$4:$AG$19&gt;H40,'Gain_offset step test'!$AG$4:$AG$19),0),1)</f>
        <v>E0</v>
      </c>
      <c r="X40" s="462">
        <f t="array" ref="X40">INDEX('Gain_offset step test'!$H$4:$AG$19,MATCH(MIN(IF('Gain_offset step test'!$AG$4:$AG$19&gt;H40,'Gain_offset step test'!$AG$4:$AG$19)),IF('Gain_offset step test'!$AG$4:$AG$19&gt;H40,'Gain_offset step test'!$AG$4:$AG$19),0),2)</f>
        <v>1</v>
      </c>
      <c r="Y40" s="463" t="str">
        <f t="array" ref="Y40">INDEX('Gain_offset step test'!$F$21:$H$52,MATCH(MIN(ABS('Gain_offset step test'!$F$21:$F$52-O40)),ABS('Gain_offset step test'!$F$21:$F$52-O40),0),3)</f>
        <v>1F</v>
      </c>
      <c r="Z40" s="463" t="str">
        <f t="array" ref="Z40">INDEX('Gain_offset step test'!$H$55:$AL$70,MATCH(MIN(ABS('Gain_offset step test'!$AL$55:$AL$70-R40)),ABS('Gain_offset step test'!$AL$55:$AL$70-R40),0),1)</f>
        <v>0</v>
      </c>
      <c r="AA40" s="464" t="str">
        <f t="shared" si="30"/>
        <v>FF</v>
      </c>
      <c r="AB40" s="464" t="str">
        <f t="shared" si="31"/>
        <v>1</v>
      </c>
      <c r="AC40" s="462">
        <f t="array" ref="AC40">INDEX('Gain_offset step test'!$H$55:$AL$70,MATCH(MIN(ABS('Gain_offset step test'!$AL$55:$AL$70-R40)),ABS('Gain_offset step test'!$AL$55:$AL$70-R40),0),2)</f>
        <v>7</v>
      </c>
      <c r="AD40" s="463" t="str">
        <f t="array" ref="AD40">INDEX('Gain_offset step test'!$H$72:$AL$87,MATCH(MIN(ABS('Gain_offset step test'!$AL$72:$AL$87-T40)),ABS('Gain_offset step test'!$AL$72:$AL$87-T40),0),1)</f>
        <v>38</v>
      </c>
      <c r="AE40" s="462" t="str">
        <f>AD40</f>
        <v>38</v>
      </c>
      <c r="AF40" s="461">
        <f t="shared" si="32"/>
        <v>4</v>
      </c>
      <c r="AG40" s="374">
        <f t="shared" si="33"/>
        <v>3.5</v>
      </c>
    </row>
    <row r="41" spans="1:33" s="377" customFormat="1" ht="15.75">
      <c r="A41" s="449">
        <v>11</v>
      </c>
      <c r="B41" s="450">
        <v>4.4050000000000002</v>
      </c>
      <c r="C41" s="450">
        <v>3.7844000000000002</v>
      </c>
      <c r="D41" s="450">
        <v>3.1634000000000002</v>
      </c>
      <c r="E41" s="450">
        <v>2.5392000000000001</v>
      </c>
      <c r="F41" s="451">
        <f t="shared" si="25"/>
        <v>124.14</v>
      </c>
      <c r="G41" s="452">
        <v>100</v>
      </c>
      <c r="H41" s="453">
        <f t="shared" si="26"/>
        <v>-0.19445787014660867</v>
      </c>
      <c r="I41" s="454">
        <f t="array" ref="I41">INDEX('Gain_offset step test'!$AG$4:$AG$19,MATCH(MIN(IF('Gain_offset step test'!$AG$4:$AG$19&gt;H41,'Gain_offset step test'!$AG$4:$AG$19)),IF('Gain_offset step test'!$AG$4:$AG$19&gt;H41,'Gain_offset step test'!$AG$4:$AG$19),0))</f>
        <v>0.12356481985392632</v>
      </c>
      <c r="J41" s="450">
        <v>4.1692</v>
      </c>
      <c r="K41" s="450">
        <v>3.6269</v>
      </c>
      <c r="L41" s="450">
        <v>3.0844</v>
      </c>
      <c r="M41" s="450">
        <v>2.5413000000000001</v>
      </c>
      <c r="N41" s="451">
        <f t="shared" si="34"/>
        <v>108.47</v>
      </c>
      <c r="O41" s="559">
        <f t="shared" si="27"/>
        <v>-7.8086106757628823E-2</v>
      </c>
      <c r="P41" s="455">
        <f t="array" ref="P41">INDEX('Gain_offset step test'!$F$21:$F$52,MATCH(MIN(ABS('Gain_offset step test'!$F$21:$F$52-O41)),ABS('Gain_offset step test'!$F$21:$F$52-O41),0))</f>
        <v>0.86066911118590772</v>
      </c>
      <c r="Q41" s="456">
        <f t="shared" si="28"/>
        <v>259.52489351461304</v>
      </c>
      <c r="R41" s="457">
        <f t="shared" si="23"/>
        <v>-1.5437933207309436E-2</v>
      </c>
      <c r="S41" s="458">
        <f t="array" ref="S41">INDEX('Gain_offset step test'!$AL$55:$AL$70,MATCH(MIN(ABS('Gain_offset step test'!$AL$55:$AL$70-R41)),ABS('Gain_offset step test'!$AL$55:$AL$70-R41),0))</f>
        <v>0.92385130661693504</v>
      </c>
      <c r="T41" s="459">
        <f t="shared" si="29"/>
        <v>-0.4882338029938349</v>
      </c>
      <c r="U41" s="460">
        <f t="array" ref="U41">INDEX('Gain_offset step test'!$AL$72:$AL$87,MATCH(MIN(ABS('Gain_offset step test'!$AL$72:$AL$87-T41)),ABS('Gain_offset step test'!$AL$72:$AL$87-T41),0))</f>
        <v>0.98003123080023602</v>
      </c>
      <c r="V41" s="461"/>
      <c r="W41" s="462" t="str">
        <f t="array" ref="W41">INDEX('Gain_offset step test'!$H$4:$AG$19,MATCH(MIN(IF('Gain_offset step test'!$AG$4:$AG$19&gt;H41,'Gain_offset step test'!$AG$4:$AG$19)),IF('Gain_offset step test'!$AG$4:$AG$19&gt;H41,'Gain_offset step test'!$AG$4:$AG$19),0),1)</f>
        <v>E0</v>
      </c>
      <c r="X41" s="462">
        <f t="array" ref="X41">INDEX('Gain_offset step test'!$H$4:$AG$19,MATCH(MIN(IF('Gain_offset step test'!$AG$4:$AG$19&gt;H41,'Gain_offset step test'!$AG$4:$AG$19)),IF('Gain_offset step test'!$AG$4:$AG$19&gt;H41,'Gain_offset step test'!$AG$4:$AG$19),0),2)</f>
        <v>1</v>
      </c>
      <c r="Y41" s="463" t="str">
        <f t="array" ref="Y41">INDEX('Gain_offset step test'!$F$21:$H$52,MATCH(MIN(ABS('Gain_offset step test'!$F$21:$F$52-O41)),ABS('Gain_offset step test'!$F$21:$F$52-O41),0),3)</f>
        <v>1F</v>
      </c>
      <c r="Z41" s="463" t="str">
        <f t="array" ref="Z41">INDEX('Gain_offset step test'!$H$55:$AL$70,MATCH(MIN(ABS('Gain_offset step test'!$AL$55:$AL$70-R41)),ABS('Gain_offset step test'!$AL$55:$AL$70-R41),0),1)</f>
        <v>0</v>
      </c>
      <c r="AA41" s="464" t="str">
        <f t="shared" si="30"/>
        <v>FF</v>
      </c>
      <c r="AB41" s="464" t="str">
        <f t="shared" si="31"/>
        <v>1</v>
      </c>
      <c r="AC41" s="462">
        <f t="array" ref="AC41">INDEX('Gain_offset step test'!$H$55:$AL$70,MATCH(MIN(ABS('Gain_offset step test'!$AL$55:$AL$70-R41)),ABS('Gain_offset step test'!$AL$55:$AL$70-R41),0),2)</f>
        <v>7</v>
      </c>
      <c r="AD41" s="463" t="str">
        <f t="array" ref="AD41">INDEX('Gain_offset step test'!$H$72:$AL$87,MATCH(MIN(ABS('Gain_offset step test'!$AL$72:$AL$87-T41)),ABS('Gain_offset step test'!$AL$72:$AL$87-T41),0),1)</f>
        <v>38</v>
      </c>
      <c r="AE41" s="462" t="str">
        <f>AD41</f>
        <v>38</v>
      </c>
      <c r="AF41" s="461">
        <f t="shared" si="32"/>
        <v>4</v>
      </c>
      <c r="AG41" s="374">
        <f t="shared" si="33"/>
        <v>3.5</v>
      </c>
    </row>
    <row r="42" spans="1:33" s="377" customFormat="1" ht="15.75">
      <c r="A42" s="470">
        <v>41804</v>
      </c>
      <c r="B42" s="450"/>
      <c r="C42" s="450"/>
      <c r="D42" s="450"/>
      <c r="E42" s="450"/>
      <c r="F42" s="451"/>
      <c r="G42" s="452"/>
      <c r="H42" s="453"/>
      <c r="I42" s="454"/>
      <c r="J42" s="450"/>
      <c r="K42" s="450"/>
      <c r="L42" s="450"/>
      <c r="M42" s="450"/>
      <c r="N42" s="451"/>
      <c r="O42" s="559"/>
      <c r="P42" s="455"/>
      <c r="Q42" s="456"/>
      <c r="R42" s="457"/>
      <c r="S42" s="458"/>
      <c r="T42" s="459"/>
      <c r="U42" s="460"/>
      <c r="V42" s="461"/>
      <c r="W42" s="462"/>
      <c r="X42" s="462"/>
      <c r="Y42" s="463"/>
      <c r="Z42" s="463"/>
      <c r="AA42" s="464"/>
      <c r="AB42" s="464"/>
      <c r="AC42" s="462"/>
      <c r="AD42" s="463"/>
      <c r="AE42" s="462"/>
      <c r="AF42" s="461"/>
      <c r="AG42" s="374"/>
    </row>
    <row r="43" spans="1:33" ht="15.75">
      <c r="A43" s="363">
        <v>1</v>
      </c>
      <c r="B43" s="200">
        <v>4.3273000000000001</v>
      </c>
      <c r="C43" s="200">
        <v>3.7082999999999999</v>
      </c>
      <c r="D43" s="200">
        <v>3.09</v>
      </c>
      <c r="E43" s="200">
        <v>23.468699999999998</v>
      </c>
      <c r="F43" s="202">
        <f t="shared" si="25"/>
        <v>123.76500000000004</v>
      </c>
      <c r="G43" s="203">
        <v>100</v>
      </c>
      <c r="H43" s="201">
        <f t="shared" si="26"/>
        <v>-0.19201712923686046</v>
      </c>
      <c r="I43" s="206">
        <f t="array" ref="I43">INDEX('Gain_offset step test'!$AG$4:$AG$19,MATCH(MIN(IF('Gain_offset step test'!$AG$4:$AG$19&gt;H43,'Gain_offset step test'!$AG$4:$AG$19)),IF('Gain_offset step test'!$AG$4:$AG$19&gt;H43,'Gain_offset step test'!$AG$4:$AG$19),0))</f>
        <v>0.12356481985392632</v>
      </c>
      <c r="J43" s="200">
        <v>4.0978300000000001</v>
      </c>
      <c r="K43" s="200">
        <v>3.5577000000000001</v>
      </c>
      <c r="L43" s="200">
        <v>3.0173000000000001</v>
      </c>
      <c r="M43" s="200">
        <v>2.4740000000000002</v>
      </c>
      <c r="N43" s="202">
        <f t="shared" si="34"/>
        <v>108.03949999999999</v>
      </c>
      <c r="O43" s="557">
        <f t="shared" si="27"/>
        <v>-7.4412599095701026E-2</v>
      </c>
      <c r="P43" s="186">
        <f t="array" ref="P43">INDEX('Gain_offset step test'!$F$21:$F$52,MATCH(MIN(ABS('Gain_offset step test'!$F$21:$F$52-O43)),ABS('Gain_offset step test'!$F$21:$F$52-O43),0))</f>
        <v>0.86066911118590772</v>
      </c>
      <c r="Q43" s="421">
        <f t="shared" si="28"/>
        <v>258.74092513159411</v>
      </c>
      <c r="R43" s="422">
        <f>(2.5-M43)/M43</f>
        <v>1.0509296685529426E-2</v>
      </c>
      <c r="S43" s="207">
        <f t="array" ref="S43">INDEX('Gain_offset step test'!$AL$55:$AL$70,MATCH(MIN(ABS('Gain_offset step test'!$AL$55:$AL$70-R43)),ABS('Gain_offset step test'!$AL$55:$AL$70-R43),0))</f>
        <v>0.92385130661693504</v>
      </c>
      <c r="T43" s="423">
        <f t="shared" si="29"/>
        <v>-0.47474667443894325</v>
      </c>
      <c r="U43" s="429">
        <f t="array" ref="U43">INDEX('Gain_offset step test'!$AL$72:$AL$87,MATCH(MIN(ABS('Gain_offset step test'!$AL$72:$AL$87-T43)),ABS('Gain_offset step test'!$AL$72:$AL$87-T43),0))</f>
        <v>0.98003123080023602</v>
      </c>
      <c r="V43" s="2"/>
      <c r="W43" s="418" t="str">
        <f t="array" ref="W43">INDEX('Gain_offset step test'!$H$4:$AG$19,MATCH(MIN(IF('Gain_offset step test'!$AG$4:$AG$19&gt;H43,'Gain_offset step test'!$AG$4:$AG$19)),IF('Gain_offset step test'!$AG$4:$AG$19&gt;H43,'Gain_offset step test'!$AG$4:$AG$19),0),1)</f>
        <v>E0</v>
      </c>
      <c r="X43" s="418">
        <f t="array" ref="X43">INDEX('Gain_offset step test'!$H$4:$AG$19,MATCH(MIN(IF('Gain_offset step test'!$AG$4:$AG$19&gt;H43,'Gain_offset step test'!$AG$4:$AG$19)),IF('Gain_offset step test'!$AG$4:$AG$19&gt;H43,'Gain_offset step test'!$AG$4:$AG$19),0),2)</f>
        <v>1</v>
      </c>
      <c r="Y43" s="390" t="str">
        <f t="array" ref="Y43">INDEX('Gain_offset step test'!$F$21:$H$52,MATCH(MIN(ABS('Gain_offset step test'!$F$21:$F$52-O43)),ABS('Gain_offset step test'!$F$21:$F$52-O43),0),3)</f>
        <v>1F</v>
      </c>
      <c r="Z43" s="390" t="str">
        <f t="array" ref="Z43">INDEX('Gain_offset step test'!$H$55:$AL$70,MATCH(MIN(ABS('Gain_offset step test'!$AL$55:$AL$70-R43)),ABS('Gain_offset step test'!$AL$55:$AL$70-R43),0),1)</f>
        <v>0</v>
      </c>
      <c r="AA43" s="432" t="str">
        <f t="shared" si="30"/>
        <v>FF</v>
      </c>
      <c r="AB43" s="432" t="str">
        <f t="shared" si="31"/>
        <v>1</v>
      </c>
      <c r="AC43" s="418">
        <f t="array" ref="AC43">INDEX('Gain_offset step test'!$H$55:$AL$70,MATCH(MIN(ABS('Gain_offset step test'!$AL$55:$AL$70-R43)),ABS('Gain_offset step test'!$AL$55:$AL$70-R43),0),2)</f>
        <v>7</v>
      </c>
      <c r="AD43" s="390" t="str">
        <f t="array" ref="AD43">INDEX('Gain_offset step test'!$H$72:$AL$87,MATCH(MIN(ABS('Gain_offset step test'!$AL$72:$AL$87-T43)),ABS('Gain_offset step test'!$AL$72:$AL$87-T43),0),1)</f>
        <v>38</v>
      </c>
      <c r="AE43" s="418" t="str">
        <f>AD43</f>
        <v>38</v>
      </c>
      <c r="AF43" s="2">
        <f t="shared" si="32"/>
        <v>4</v>
      </c>
      <c r="AG43" s="430">
        <f t="shared" si="33"/>
        <v>3.5</v>
      </c>
    </row>
    <row r="44" spans="1:33" ht="15.75">
      <c r="A44" s="363">
        <f>A43+1</f>
        <v>2</v>
      </c>
      <c r="B44" s="200">
        <v>4.4278000000000004</v>
      </c>
      <c r="C44" s="200">
        <v>3.7833000000000001</v>
      </c>
      <c r="D44" s="200">
        <v>3.145</v>
      </c>
      <c r="E44" s="200">
        <v>2.5036999999999998</v>
      </c>
      <c r="F44" s="202">
        <f t="shared" si="25"/>
        <v>128.59000000000003</v>
      </c>
      <c r="G44" s="203">
        <v>100</v>
      </c>
      <c r="H44" s="201">
        <f t="shared" si="26"/>
        <v>-0.22233455167586924</v>
      </c>
      <c r="I44" s="206">
        <f t="array" ref="I44">INDEX('Gain_offset step test'!$AG$4:$AG$19,MATCH(MIN(IF('Gain_offset step test'!$AG$4:$AG$19&gt;H44,'Gain_offset step test'!$AG$4:$AG$19)),IF('Gain_offset step test'!$AG$4:$AG$19&gt;H44,'Gain_offset step test'!$AG$4:$AG$19),0))</f>
        <v>0.12356481985392632</v>
      </c>
      <c r="J44" s="200">
        <v>4.1836000000000002</v>
      </c>
      <c r="K44" s="200">
        <v>3.6244999999999998</v>
      </c>
      <c r="L44" s="200">
        <v>3.0621999999999998</v>
      </c>
      <c r="M44" s="200">
        <v>2.5045999999999999</v>
      </c>
      <c r="N44" s="202">
        <f>1000*((J44-L44)/10+(J44-K44)/5)/2</f>
        <v>111.98000000000005</v>
      </c>
      <c r="O44" s="557">
        <f t="shared" si="27"/>
        <v>-0.10698338989105234</v>
      </c>
      <c r="P44" s="186">
        <f t="array" ref="P44">INDEX('Gain_offset step test'!$F$21:$F$52,MATCH(MIN(ABS('Gain_offset step test'!$F$21:$F$52-O44)),ABS('Gain_offset step test'!$F$21:$F$52-O44),0))</f>
        <v>0.86066911118590772</v>
      </c>
      <c r="Q44" s="421">
        <f t="shared" si="28"/>
        <v>268.82798499310536</v>
      </c>
      <c r="R44" s="422">
        <f>(2.5-M44)/M44</f>
        <v>-1.8366206180627396E-3</v>
      </c>
      <c r="S44" s="207">
        <f t="array" ref="S44">INDEX('Gain_offset step test'!$AL$55:$AL$70,MATCH(MIN(ABS('Gain_offset step test'!$AL$55:$AL$70-R44)),ABS('Gain_offset step test'!$AL$55:$AL$70-R44),0))</f>
        <v>0.92385130661693504</v>
      </c>
      <c r="T44" s="423">
        <f t="shared" si="29"/>
        <v>-0.4811639673249003</v>
      </c>
      <c r="U44" s="429">
        <f t="array" ref="U44">INDEX('Gain_offset step test'!$AL$72:$AL$87,MATCH(MIN(ABS('Gain_offset step test'!$AL$72:$AL$87-T44)),ABS('Gain_offset step test'!$AL$72:$AL$87-T44),0))</f>
        <v>0.98003123080023602</v>
      </c>
      <c r="V44" s="2"/>
      <c r="W44" s="418" t="str">
        <f t="array" ref="W44">INDEX('Gain_offset step test'!$H$4:$AG$19,MATCH(MIN(IF('Gain_offset step test'!$AG$4:$AG$19&gt;H44,'Gain_offset step test'!$AG$4:$AG$19)),IF('Gain_offset step test'!$AG$4:$AG$19&gt;H44,'Gain_offset step test'!$AG$4:$AG$19),0),1)</f>
        <v>E0</v>
      </c>
      <c r="X44" s="418">
        <f t="array" ref="X44">INDEX('Gain_offset step test'!$H$4:$AG$19,MATCH(MIN(IF('Gain_offset step test'!$AG$4:$AG$19&gt;H44,'Gain_offset step test'!$AG$4:$AG$19)),IF('Gain_offset step test'!$AG$4:$AG$19&gt;H44,'Gain_offset step test'!$AG$4:$AG$19),0),2)</f>
        <v>1</v>
      </c>
      <c r="Y44" s="390" t="str">
        <f t="array" ref="Y44">INDEX('Gain_offset step test'!$F$21:$H$52,MATCH(MIN(ABS('Gain_offset step test'!$F$21:$F$52-O44)),ABS('Gain_offset step test'!$F$21:$F$52-O44),0),3)</f>
        <v>1F</v>
      </c>
      <c r="Z44" s="390" t="str">
        <f t="array" ref="Z44">INDEX('Gain_offset step test'!$H$55:$AL$70,MATCH(MIN(ABS('Gain_offset step test'!$AL$55:$AL$70-R44)),ABS('Gain_offset step test'!$AL$55:$AL$70-R44),0),1)</f>
        <v>0</v>
      </c>
      <c r="AA44" s="432" t="str">
        <f t="shared" si="30"/>
        <v>FF</v>
      </c>
      <c r="AB44" s="432" t="str">
        <f t="shared" si="31"/>
        <v>1</v>
      </c>
      <c r="AC44" s="418">
        <f t="array" ref="AC44">INDEX('Gain_offset step test'!$H$55:$AL$70,MATCH(MIN(ABS('Gain_offset step test'!$AL$55:$AL$70-R44)),ABS('Gain_offset step test'!$AL$55:$AL$70-R44),0),2)</f>
        <v>7</v>
      </c>
      <c r="AD44" s="390" t="str">
        <f t="array" ref="AD44">INDEX('Gain_offset step test'!$H$72:$AL$87,MATCH(MIN(ABS('Gain_offset step test'!$AL$72:$AL$87-T44)),ABS('Gain_offset step test'!$AL$72:$AL$87-T44),0),1)</f>
        <v>38</v>
      </c>
      <c r="AE44" s="418" t="str">
        <f>AD44</f>
        <v>38</v>
      </c>
      <c r="AF44" s="2">
        <f t="shared" si="32"/>
        <v>4</v>
      </c>
      <c r="AG44" s="430">
        <f t="shared" si="33"/>
        <v>3.5</v>
      </c>
    </row>
    <row r="45" spans="1:33" ht="15.75">
      <c r="A45" s="363">
        <f>A44+1</f>
        <v>3</v>
      </c>
      <c r="B45" s="200">
        <v>4.2812999999999999</v>
      </c>
      <c r="C45" s="200">
        <v>3.6903000000000001</v>
      </c>
      <c r="D45" s="200">
        <v>3.0990000000000002</v>
      </c>
      <c r="E45" s="200">
        <v>2.5043000000000002</v>
      </c>
      <c r="F45" s="202">
        <f t="shared" si="25"/>
        <v>118.21499999999996</v>
      </c>
      <c r="G45" s="203">
        <v>100</v>
      </c>
      <c r="H45" s="201">
        <f t="shared" si="26"/>
        <v>-0.15408366112591437</v>
      </c>
      <c r="I45" s="206">
        <f t="array" ref="I45">INDEX('Gain_offset step test'!$AG$4:$AG$19,MATCH(MIN(IF('Gain_offset step test'!$AG$4:$AG$19&gt;H45,'Gain_offset step test'!$AG$4:$AG$19)),IF('Gain_offset step test'!$AG$4:$AG$19&gt;H45,'Gain_offset step test'!$AG$4:$AG$19),0))</f>
        <v>0.12356481985392632</v>
      </c>
      <c r="J45" s="200">
        <v>4.0622999999999996</v>
      </c>
      <c r="K45" s="200">
        <v>3.544</v>
      </c>
      <c r="L45" s="200">
        <v>3.0266000000000002</v>
      </c>
      <c r="M45" s="200">
        <v>2.5057999999999998</v>
      </c>
      <c r="N45" s="202">
        <f t="shared" si="34"/>
        <v>103.61499999999992</v>
      </c>
      <c r="O45" s="557">
        <f t="shared" si="27"/>
        <v>-3.4888770930849071E-2</v>
      </c>
      <c r="P45" s="186">
        <f t="array" ref="P45">INDEX('Gain_offset step test'!$F$21:$F$52,MATCH(MIN(ABS('Gain_offset step test'!$F$21:$F$52-O45)),ABS('Gain_offset step test'!$F$21:$F$52-O45),0))</f>
        <v>0.86066911118590772</v>
      </c>
      <c r="Q45" s="421">
        <f t="shared" si="28"/>
        <v>247.13819306291256</v>
      </c>
      <c r="R45" s="422">
        <f>(2.5-M45)/M45</f>
        <v>-2.3146300582647479E-3</v>
      </c>
      <c r="S45" s="207">
        <f t="array" ref="S45">INDEX('Gain_offset step test'!$AL$55:$AL$70,MATCH(MIN(ABS('Gain_offset step test'!$AL$55:$AL$70-R45)),ABS('Gain_offset step test'!$AL$55:$AL$70-R45),0))</f>
        <v>0.92385130661693504</v>
      </c>
      <c r="T45" s="423">
        <f t="shared" si="29"/>
        <v>-0.4814124321821156</v>
      </c>
      <c r="U45" s="429">
        <f t="array" ref="U45">INDEX('Gain_offset step test'!$AL$72:$AL$87,MATCH(MIN(ABS('Gain_offset step test'!$AL$72:$AL$87-T45)),ABS('Gain_offset step test'!$AL$72:$AL$87-T45),0))</f>
        <v>0.98003123080023602</v>
      </c>
      <c r="V45" s="2"/>
      <c r="W45" s="418" t="str">
        <f t="array" ref="W45">INDEX('Gain_offset step test'!$H$4:$AG$19,MATCH(MIN(IF('Gain_offset step test'!$AG$4:$AG$19&gt;H45,'Gain_offset step test'!$AG$4:$AG$19)),IF('Gain_offset step test'!$AG$4:$AG$19&gt;H45,'Gain_offset step test'!$AG$4:$AG$19),0),1)</f>
        <v>E0</v>
      </c>
      <c r="X45" s="418">
        <f t="array" ref="X45">INDEX('Gain_offset step test'!$H$4:$AG$19,MATCH(MIN(IF('Gain_offset step test'!$AG$4:$AG$19&gt;H45,'Gain_offset step test'!$AG$4:$AG$19)),IF('Gain_offset step test'!$AG$4:$AG$19&gt;H45,'Gain_offset step test'!$AG$4:$AG$19),0),2)</f>
        <v>1</v>
      </c>
      <c r="Y45" s="390" t="str">
        <f t="array" ref="Y45">INDEX('Gain_offset step test'!$F$21:$H$52,MATCH(MIN(ABS('Gain_offset step test'!$F$21:$F$52-O45)),ABS('Gain_offset step test'!$F$21:$F$52-O45),0),3)</f>
        <v>1F</v>
      </c>
      <c r="Z45" s="390" t="str">
        <f t="array" ref="Z45">INDEX('Gain_offset step test'!$H$55:$AL$70,MATCH(MIN(ABS('Gain_offset step test'!$AL$55:$AL$70-R45)),ABS('Gain_offset step test'!$AL$55:$AL$70-R45),0),1)</f>
        <v>0</v>
      </c>
      <c r="AA45" s="432" t="str">
        <f t="shared" si="30"/>
        <v>FF</v>
      </c>
      <c r="AB45" s="432" t="str">
        <f t="shared" si="31"/>
        <v>1</v>
      </c>
      <c r="AC45" s="418">
        <f t="array" ref="AC45">INDEX('Gain_offset step test'!$H$55:$AL$70,MATCH(MIN(ABS('Gain_offset step test'!$AL$55:$AL$70-R45)),ABS('Gain_offset step test'!$AL$55:$AL$70-R45),0),2)</f>
        <v>7</v>
      </c>
      <c r="AD45" s="390" t="str">
        <f t="array" ref="AD45">INDEX('Gain_offset step test'!$H$72:$AL$87,MATCH(MIN(ABS('Gain_offset step test'!$AL$72:$AL$87-T45)),ABS('Gain_offset step test'!$AL$72:$AL$87-T45),0),1)</f>
        <v>38</v>
      </c>
      <c r="AE45" s="418" t="str">
        <f>AD45</f>
        <v>38</v>
      </c>
      <c r="AF45" s="2">
        <f t="shared" si="32"/>
        <v>4</v>
      </c>
      <c r="AG45" s="430">
        <f t="shared" si="33"/>
        <v>3.5</v>
      </c>
    </row>
    <row r="46" spans="1:33" ht="15.75">
      <c r="A46" s="363">
        <f>A45+1</f>
        <v>4</v>
      </c>
      <c r="B46" s="200">
        <v>4.2619999999999996</v>
      </c>
      <c r="C46" s="200">
        <v>3.6743999999999999</v>
      </c>
      <c r="D46" s="200">
        <v>3.0865999999999998</v>
      </c>
      <c r="E46" s="200">
        <v>2.4925000000000002</v>
      </c>
      <c r="F46" s="202">
        <f t="shared" si="25"/>
        <v>117.52999999999996</v>
      </c>
      <c r="G46" s="203">
        <v>100</v>
      </c>
      <c r="H46" s="201">
        <f t="shared" si="26"/>
        <v>-0.14915340764060209</v>
      </c>
      <c r="I46" s="206">
        <f t="array" ref="I46">INDEX('Gain_offset step test'!$AG$4:$AG$19,MATCH(MIN(IF('Gain_offset step test'!$AG$4:$AG$19&gt;H46,'Gain_offset step test'!$AG$4:$AG$19)),IF('Gain_offset step test'!$AG$4:$AG$19&gt;H46,'Gain_offset step test'!$AG$4:$AG$19),0))</f>
        <v>0.12356481985392632</v>
      </c>
      <c r="J46" s="200">
        <v>4.0388000000000002</v>
      </c>
      <c r="K46" s="200">
        <v>3.5247999999999999</v>
      </c>
      <c r="L46" s="200">
        <v>3.0105</v>
      </c>
      <c r="M46" s="200">
        <v>2.4904000000000002</v>
      </c>
      <c r="N46" s="202">
        <f t="shared" si="34"/>
        <v>102.81500000000003</v>
      </c>
      <c r="O46" s="557">
        <f t="shared" si="27"/>
        <v>-2.7379273452317516E-2</v>
      </c>
      <c r="P46" s="425">
        <f t="array" ref="P46">INDEX('Gain_offset step test'!$F$21:$F$52,MATCH(MIN(ABS('Gain_offset step test'!$F$21:$F$52-O46)),ABS('Gain_offset step test'!$F$21:$F$52-O46),0))</f>
        <v>0.86066911118590772</v>
      </c>
      <c r="Q46" s="426">
        <f t="shared" si="28"/>
        <v>245.70614414993119</v>
      </c>
      <c r="R46" s="422">
        <f>(2.5-M46)/M46</f>
        <v>3.8548024413748113E-3</v>
      </c>
      <c r="S46" s="207">
        <f t="array" ref="S46">INDEX('Gain_offset step test'!$AL$55:$AL$70,MATCH(MIN(ABS('Gain_offset step test'!$AL$55:$AL$70-R46)),ABS('Gain_offset step test'!$AL$55:$AL$70-R46),0))</f>
        <v>0.92385130661693504</v>
      </c>
      <c r="T46" s="423">
        <f t="shared" si="29"/>
        <v>-0.47820561860020305</v>
      </c>
      <c r="U46" s="429">
        <f t="array" ref="U46">INDEX('Gain_offset step test'!$AL$72:$AL$87,MATCH(MIN(ABS('Gain_offset step test'!$AL$72:$AL$87-T46)),ABS('Gain_offset step test'!$AL$72:$AL$87-T46),0))</f>
        <v>0.98003123080023602</v>
      </c>
      <c r="V46" s="2"/>
      <c r="W46" s="418" t="str">
        <f t="array" ref="W46">INDEX('Gain_offset step test'!$H$4:$AG$19,MATCH(MIN(IF('Gain_offset step test'!$AG$4:$AG$19&gt;H46,'Gain_offset step test'!$AG$4:$AG$19)),IF('Gain_offset step test'!$AG$4:$AG$19&gt;H46,'Gain_offset step test'!$AG$4:$AG$19),0),1)</f>
        <v>E0</v>
      </c>
      <c r="X46" s="418">
        <f t="array" ref="X46">INDEX('Gain_offset step test'!$H$4:$AG$19,MATCH(MIN(IF('Gain_offset step test'!$AG$4:$AG$19&gt;H46,'Gain_offset step test'!$AG$4:$AG$19)),IF('Gain_offset step test'!$AG$4:$AG$19&gt;H46,'Gain_offset step test'!$AG$4:$AG$19),0),2)</f>
        <v>1</v>
      </c>
      <c r="Y46" s="390" t="str">
        <f t="array" ref="Y46">INDEX('Gain_offset step test'!$F$21:$H$52,MATCH(MIN(ABS('Gain_offset step test'!$F$21:$F$52-O46)),ABS('Gain_offset step test'!$F$21:$F$52-O46),0),3)</f>
        <v>1F</v>
      </c>
      <c r="Z46" s="390" t="str">
        <f t="array" ref="Z46">INDEX('Gain_offset step test'!$H$55:$AL$70,MATCH(MIN(ABS('Gain_offset step test'!$AL$55:$AL$70-R46)),ABS('Gain_offset step test'!$AL$55:$AL$70-R46),0),1)</f>
        <v>0</v>
      </c>
      <c r="AA46" s="432" t="str">
        <f t="shared" si="30"/>
        <v>FF</v>
      </c>
      <c r="AB46" s="432" t="str">
        <f t="shared" si="31"/>
        <v>1</v>
      </c>
      <c r="AC46" s="418">
        <f t="array" ref="AC46">INDEX('Gain_offset step test'!$H$55:$AL$70,MATCH(MIN(ABS('Gain_offset step test'!$AL$55:$AL$70-R46)),ABS('Gain_offset step test'!$AL$55:$AL$70-R46),0),2)</f>
        <v>7</v>
      </c>
      <c r="AD46" s="390" t="str">
        <f t="array" ref="AD46">INDEX('Gain_offset step test'!$H$72:$AL$87,MATCH(MIN(ABS('Gain_offset step test'!$AL$72:$AL$87-T46)),ABS('Gain_offset step test'!$AL$72:$AL$87-T46),0),1)</f>
        <v>38</v>
      </c>
      <c r="AE46" s="418" t="str">
        <f>AD46</f>
        <v>38</v>
      </c>
      <c r="AF46" s="2">
        <f t="shared" si="32"/>
        <v>4</v>
      </c>
      <c r="AG46" s="430">
        <f t="shared" si="33"/>
        <v>3.5</v>
      </c>
    </row>
    <row r="47" spans="1:33" ht="15.75">
      <c r="A47" s="363">
        <f>A46+1</f>
        <v>5</v>
      </c>
      <c r="B47" s="200">
        <v>4.2755999999999998</v>
      </c>
      <c r="C47" s="200">
        <v>3.694</v>
      </c>
      <c r="D47" s="200">
        <v>3.1122999999999998</v>
      </c>
      <c r="E47" s="200">
        <v>2.5272000000000001</v>
      </c>
      <c r="F47" s="202">
        <f>1000*((B47-D47)/10+(B47-C47)/5)/2</f>
        <v>116.32499999999999</v>
      </c>
      <c r="G47" s="203">
        <v>100</v>
      </c>
      <c r="H47" s="201">
        <f>(G47-F47)/F47</f>
        <v>-0.14033956587148069</v>
      </c>
      <c r="I47" s="206">
        <f t="array" ref="I47">INDEX('Gain_offset step test'!$AG$4:$AG$19,MATCH(MIN(IF('Gain_offset step test'!$AG$4:$AG$19&gt;H47,'Gain_offset step test'!$AG$4:$AG$19)),IF('Gain_offset step test'!$AG$4:$AG$19&gt;H47,'Gain_offset step test'!$AG$4:$AG$19),0))</f>
        <v>0.12356481985392632</v>
      </c>
      <c r="J47" s="200">
        <v>4.0529999999999999</v>
      </c>
      <c r="K47" s="200">
        <v>3.5449000000000002</v>
      </c>
      <c r="L47" s="200">
        <v>3.0367000000000002</v>
      </c>
      <c r="M47" s="200">
        <v>2.5253000000000001</v>
      </c>
      <c r="N47" s="202">
        <f>1000*((J47-L47)/10+(J47-K47)/5)/2</f>
        <v>101.62499999999997</v>
      </c>
      <c r="O47" s="557">
        <f>(G47-N47)/N47</f>
        <v>-1.599015990159874E-2</v>
      </c>
      <c r="P47" s="425">
        <f t="array" ref="P47">INDEX('Gain_offset step test'!$F$21:$F$52,MATCH(MIN(ABS('Gain_offset step test'!$F$21:$F$52-O47)),ABS('Gain_offset step test'!$F$21:$F$52-O47),0))</f>
        <v>0.86066911118590772</v>
      </c>
      <c r="Q47" s="426">
        <f>(F47+F47*I47)+(F47+F47*I47)*P47</f>
        <v>243.18699241249681</v>
      </c>
      <c r="R47" s="422">
        <f>(2.5-M47)/M47</f>
        <v>-1.0018611650101017E-2</v>
      </c>
      <c r="S47" s="207">
        <f t="array" ref="S47">INDEX('Gain_offset step test'!$AL$55:$AL$70,MATCH(MIN(ABS('Gain_offset step test'!$AL$55:$AL$70-R47)),ABS('Gain_offset step test'!$AL$55:$AL$70-R47),0))</f>
        <v>0.92385130661693504</v>
      </c>
      <c r="T47" s="423">
        <f>((1+R47)/(1+S47))-1</f>
        <v>-0.48541689009699651</v>
      </c>
      <c r="U47" s="429">
        <f t="array" ref="U47">INDEX('Gain_offset step test'!$AL$72:$AL$87,MATCH(MIN(ABS('Gain_offset step test'!$AL$72:$AL$87-T47)),ABS('Gain_offset step test'!$AL$72:$AL$87-T47),0))</f>
        <v>0.98003123080023602</v>
      </c>
      <c r="V47" s="2"/>
      <c r="W47" s="418" t="str">
        <f t="array" ref="W47">INDEX('Gain_offset step test'!$H$4:$AG$19,MATCH(MIN(IF('Gain_offset step test'!$AG$4:$AG$19&gt;H47,'Gain_offset step test'!$AG$4:$AG$19)),IF('Gain_offset step test'!$AG$4:$AG$19&gt;H47,'Gain_offset step test'!$AG$4:$AG$19),0),1)</f>
        <v>E0</v>
      </c>
      <c r="X47" s="418">
        <f t="array" ref="X47">INDEX('Gain_offset step test'!$H$4:$AG$19,MATCH(MIN(IF('Gain_offset step test'!$AG$4:$AG$19&gt;H47,'Gain_offset step test'!$AG$4:$AG$19)),IF('Gain_offset step test'!$AG$4:$AG$19&gt;H47,'Gain_offset step test'!$AG$4:$AG$19),0),2)</f>
        <v>1</v>
      </c>
      <c r="Y47" s="390" t="str">
        <f t="array" ref="Y47">INDEX('Gain_offset step test'!$F$21:$H$52,MATCH(MIN(ABS('Gain_offset step test'!$F$21:$F$52-O47)),ABS('Gain_offset step test'!$F$21:$F$52-O47),0),3)</f>
        <v>1F</v>
      </c>
      <c r="Z47" s="390" t="str">
        <f t="array" ref="Z47">INDEX('Gain_offset step test'!$H$55:$AL$70,MATCH(MIN(ABS('Gain_offset step test'!$AL$55:$AL$70-R47)),ABS('Gain_offset step test'!$AL$55:$AL$70-R47),0),1)</f>
        <v>0</v>
      </c>
      <c r="AA47" s="432" t="str">
        <f>DEC2HEX(HEX2DEC(W47)+HEX2DEC(Y47))</f>
        <v>FF</v>
      </c>
      <c r="AB47" s="432" t="str">
        <f>DEC2HEX(HEX2DEC(X47)+HEX2DEC(Z47))</f>
        <v>1</v>
      </c>
      <c r="AC47" s="418">
        <f t="array" ref="AC47">INDEX('Gain_offset step test'!$H$55:$AL$70,MATCH(MIN(ABS('Gain_offset step test'!$AL$55:$AL$70-R47)),ABS('Gain_offset step test'!$AL$55:$AL$70-R47),0),2)</f>
        <v>7</v>
      </c>
      <c r="AD47" s="390" t="str">
        <f t="array" ref="AD47">INDEX('Gain_offset step test'!$H$72:$AL$87,MATCH(MIN(ABS('Gain_offset step test'!$AL$72:$AL$87-T47)),ABS('Gain_offset step test'!$AL$72:$AL$87-T47),0),1)</f>
        <v>38</v>
      </c>
      <c r="AE47" s="418" t="str">
        <f>AD47</f>
        <v>38</v>
      </c>
      <c r="AF47" s="2">
        <f>2.5+G47*15/1000</f>
        <v>4</v>
      </c>
      <c r="AG47" s="430">
        <f>2.5+G47*10/1000</f>
        <v>3.5</v>
      </c>
    </row>
    <row r="48" spans="1:33" s="471" customFormat="1" ht="16.5" thickBot="1">
      <c r="B48" s="472"/>
      <c r="C48" s="472"/>
      <c r="D48" s="472"/>
      <c r="E48" s="472"/>
      <c r="F48" s="83"/>
      <c r="G48" s="473"/>
      <c r="H48" s="474"/>
      <c r="I48" s="198"/>
      <c r="J48" s="472"/>
      <c r="K48" s="472"/>
      <c r="L48" s="472"/>
      <c r="M48" s="472"/>
      <c r="N48" s="83"/>
      <c r="O48" s="560"/>
      <c r="P48" s="193"/>
      <c r="Q48" s="431"/>
      <c r="R48" s="475"/>
      <c r="S48" s="192"/>
      <c r="T48" s="476"/>
      <c r="U48" s="477"/>
      <c r="W48" s="478"/>
      <c r="X48" s="478"/>
      <c r="Y48" s="479"/>
      <c r="Z48" s="479"/>
      <c r="AA48" s="480"/>
      <c r="AB48" s="480"/>
      <c r="AC48" s="478"/>
      <c r="AD48" s="479"/>
      <c r="AE48" s="478"/>
    </row>
    <row r="49" spans="1:33" ht="15.75">
      <c r="A49">
        <v>1</v>
      </c>
      <c r="B49" s="200">
        <v>4.2435</v>
      </c>
      <c r="C49" s="200">
        <v>3.6507000000000001</v>
      </c>
      <c r="D49" s="200">
        <v>3.0577000000000001</v>
      </c>
      <c r="E49" s="200">
        <v>2.4611999999999998</v>
      </c>
      <c r="F49" s="202">
        <f t="shared" ref="F49:F57" si="35">1000*((B49-D49)/10+(B49-C49)/5)/2</f>
        <v>118.57</v>
      </c>
      <c r="G49" s="203">
        <v>20</v>
      </c>
      <c r="H49" s="201">
        <f t="shared" ref="H49:H57" si="36">(G49-F49)/F49</f>
        <v>-0.8313232689550476</v>
      </c>
      <c r="I49" s="206">
        <f t="array" ref="I49">INDEX('Gain_offset step test'!$AG$4:$AG$19,MATCH(MIN(IF('Gain_offset step test'!$AG$4:$AG$19&gt;H49,'Gain_offset step test'!$AG$4:$AG$19)),IF('Gain_offset step test'!$AG$4:$AG$19&gt;H49,'Gain_offset step test'!$AG$4:$AG$19),0))</f>
        <v>0.12356481985392632</v>
      </c>
      <c r="J49" s="200">
        <v>2.7955000000000001</v>
      </c>
      <c r="K49" s="200">
        <v>2.6846000000000001</v>
      </c>
      <c r="L49" s="200">
        <v>2.5735000000000001</v>
      </c>
      <c r="M49" s="200">
        <v>2.4615</v>
      </c>
      <c r="N49" s="202">
        <f t="shared" ref="N49:N57" si="37">1000*((J49-L49)/10+(J49-K49)/5)/2</f>
        <v>22.189999999999998</v>
      </c>
      <c r="O49" s="557">
        <f t="shared" ref="O49:O57" si="38">(G49-N49)/N49</f>
        <v>-9.8693105002253173E-2</v>
      </c>
      <c r="P49" s="427">
        <f t="array" ref="P49">INDEX('Gain_offset step test'!$F$21:$F$52,MATCH(MIN(ABS('Gain_offset step test'!$F$21:$F$52-O49)),ABS('Gain_offset step test'!$F$21:$F$52-O49),0))</f>
        <v>0.86066911118590772</v>
      </c>
      <c r="Q49" s="428">
        <f t="shared" ref="Q49:Q57" si="39">(F49+F49*I49)+(F49+F49*I49)*P49</f>
        <v>247.88034979883733</v>
      </c>
      <c r="R49" s="422">
        <f t="shared" ref="R49:R57" si="40">(2.5-E49)/E49</f>
        <v>1.5764667641800817E-2</v>
      </c>
      <c r="S49" s="207">
        <f t="array" ref="S49">INDEX('Gain_offset step test'!$AL$55:$AL$70,MATCH(MIN(ABS('Gain_offset step test'!$AL$55:$AL$70-R49)),ABS('Gain_offset step test'!$AL$55:$AL$70-R49),0))</f>
        <v>0.92385130661693504</v>
      </c>
      <c r="T49" s="423">
        <f t="shared" ref="T49:T57" si="41">((1+R49)/(1+S49))-1</f>
        <v>-0.47201498153825172</v>
      </c>
      <c r="U49" s="424">
        <f t="array" ref="U49">INDEX('Gain_offset step test'!$AL$72:$AL$87,MATCH(MIN(ABS('Gain_offset step test'!$AL$72:$AL$87-T49)),ABS('Gain_offset step test'!$AL$72:$AL$87-T49),0))</f>
        <v>0.98003123080023602</v>
      </c>
      <c r="W49" s="418" t="str">
        <f t="array" ref="W49">INDEX('Gain_offset step test'!$H$4:$AG$19,MATCH(MIN(IF('Gain_offset step test'!$AG$4:$AG$19&gt;H49,'Gain_offset step test'!$AG$4:$AG$19)),IF('Gain_offset step test'!$AG$4:$AG$19&gt;H49,'Gain_offset step test'!$AG$4:$AG$19),0),1)</f>
        <v>E0</v>
      </c>
      <c r="X49" s="419">
        <f t="array" ref="X49">INDEX('Gain_offset step test'!$H$4:$AG$19,MATCH(MIN(IF('Gain_offset step test'!$AG$4:$AG$19&gt;H49,'Gain_offset step test'!$AG$4:$AG$19)),IF('Gain_offset step test'!$AG$4:$AG$19&gt;H49,'Gain_offset step test'!$AG$4:$AG$19),0),2)</f>
        <v>1</v>
      </c>
      <c r="Y49" s="184" t="str">
        <f t="array" ref="Y49">INDEX('Gain_offset step test'!$F$21:$H$52,MATCH(MIN(ABS('Gain_offset step test'!$F$21:$F$52-O49)),ABS('Gain_offset step test'!$F$21:$F$52-O49),0),3)</f>
        <v>1F</v>
      </c>
      <c r="Z49" s="184" t="str">
        <f t="array" ref="Z49">INDEX('Gain_offset step test'!$H$55:$AL$70,MATCH(MIN(ABS('Gain_offset step test'!$AL$55:$AL$70-R49)),ABS('Gain_offset step test'!$AL$55:$AL$70-R49),0),1)</f>
        <v>0</v>
      </c>
      <c r="AA49" s="420" t="str">
        <f t="shared" ref="AA49:AA57" si="42">DEC2HEX(HEX2DEC(W49)+HEX2DEC(Y49))</f>
        <v>FF</v>
      </c>
      <c r="AB49" s="420" t="str">
        <f t="shared" ref="AB49:AB57" si="43">DEC2HEX(HEX2DEC(X49)+HEX2DEC(Z49))</f>
        <v>1</v>
      </c>
      <c r="AC49" s="419">
        <f t="array" ref="AC49">INDEX('Gain_offset step test'!$H$55:$AL$70,MATCH(MIN(ABS('Gain_offset step test'!$AL$55:$AL$70-R49)),ABS('Gain_offset step test'!$AL$55:$AL$70-R49),0),2)</f>
        <v>7</v>
      </c>
      <c r="AD49" s="184" t="str">
        <f t="array" ref="AD49">INDEX('Gain_offset step test'!$H$72:$AL$87,MATCH(MIN(ABS('Gain_offset step test'!$AL$72:$AL$87-T49)),ABS('Gain_offset step test'!$AL$72:$AL$87-T49),0),1)</f>
        <v>38</v>
      </c>
      <c r="AE49" s="419" t="str">
        <f>AD49</f>
        <v>38</v>
      </c>
      <c r="AF49">
        <f t="shared" ref="AF49:AF57" si="44">2.5+G49*15/1000</f>
        <v>2.8</v>
      </c>
      <c r="AG49">
        <f t="shared" ref="AG49:AG57" si="45">2.5+G49*10/1000</f>
        <v>2.7</v>
      </c>
    </row>
    <row r="50" spans="1:33" ht="15.75">
      <c r="A50">
        <v>2</v>
      </c>
      <c r="B50" s="200">
        <v>4.2728000000000002</v>
      </c>
      <c r="C50" s="200">
        <v>3.6859999999999999</v>
      </c>
      <c r="D50" s="200">
        <v>3.0990000000000002</v>
      </c>
      <c r="E50" s="200">
        <v>2.5089000000000001</v>
      </c>
      <c r="F50" s="202">
        <f t="shared" si="35"/>
        <v>117.37000000000003</v>
      </c>
      <c r="G50" s="203">
        <v>20</v>
      </c>
      <c r="H50" s="201">
        <f t="shared" si="36"/>
        <v>-0.82959870495015764</v>
      </c>
      <c r="I50" s="206">
        <f t="array" ref="I50">INDEX('Gain_offset step test'!$AG$4:$AG$19,MATCH(MIN(IF('Gain_offset step test'!$AG$4:$AG$19&gt;H50,'Gain_offset step test'!$AG$4:$AG$19)),IF('Gain_offset step test'!$AG$4:$AG$19&gt;H50,'Gain_offset step test'!$AG$4:$AG$19),0))</f>
        <v>0.12356481985392632</v>
      </c>
      <c r="J50" s="200">
        <v>2.8321999999999998</v>
      </c>
      <c r="K50" s="200">
        <v>2.7225999999999999</v>
      </c>
      <c r="L50" s="200">
        <v>2.613</v>
      </c>
      <c r="M50" s="200">
        <v>2.5063</v>
      </c>
      <c r="N50" s="202">
        <f t="shared" si="37"/>
        <v>21.919999999999984</v>
      </c>
      <c r="O50" s="557">
        <f t="shared" si="38"/>
        <v>-8.7591240875911747E-2</v>
      </c>
      <c r="P50" s="186">
        <f t="array" ref="P50">INDEX('Gain_offset step test'!$F$21:$F$52,MATCH(MIN(ABS('Gain_offset step test'!$F$21:$F$52-O50)),ABS('Gain_offset step test'!$F$21:$F$52-O50),0))</f>
        <v>0.86066911118590772</v>
      </c>
      <c r="Q50" s="421">
        <f t="shared" si="39"/>
        <v>245.37165097317657</v>
      </c>
      <c r="R50" s="422">
        <f t="shared" si="40"/>
        <v>-3.5473713579656941E-3</v>
      </c>
      <c r="S50" s="207">
        <f t="array" ref="S50">INDEX('Gain_offset step test'!$AL$55:$AL$70,MATCH(MIN(ABS('Gain_offset step test'!$AL$55:$AL$70-R50)),ABS('Gain_offset step test'!$AL$55:$AL$70-R50),0))</f>
        <v>0.92385130661693504</v>
      </c>
      <c r="T50" s="423">
        <f t="shared" si="41"/>
        <v>-0.48205319963408089</v>
      </c>
      <c r="U50" s="424">
        <f t="array" ref="U50">INDEX('Gain_offset step test'!$AL$72:$AL$87,MATCH(MIN(ABS('Gain_offset step test'!$AL$72:$AL$87-T50)),ABS('Gain_offset step test'!$AL$72:$AL$87-T50),0))</f>
        <v>0.98003123080023602</v>
      </c>
      <c r="W50" s="418" t="str">
        <f t="array" ref="W50">INDEX('Gain_offset step test'!$H$4:$AG$19,MATCH(MIN(IF('Gain_offset step test'!$AG$4:$AG$19&gt;H50,'Gain_offset step test'!$AG$4:$AG$19)),IF('Gain_offset step test'!$AG$4:$AG$19&gt;H50,'Gain_offset step test'!$AG$4:$AG$19),0),1)</f>
        <v>E0</v>
      </c>
      <c r="X50" s="419">
        <f t="array" ref="X50">INDEX('Gain_offset step test'!$H$4:$AG$19,MATCH(MIN(IF('Gain_offset step test'!$AG$4:$AG$19&gt;H50,'Gain_offset step test'!$AG$4:$AG$19)),IF('Gain_offset step test'!$AG$4:$AG$19&gt;H50,'Gain_offset step test'!$AG$4:$AG$19),0),2)</f>
        <v>1</v>
      </c>
      <c r="Y50" s="184" t="str">
        <f t="array" ref="Y50">INDEX('Gain_offset step test'!$F$21:$H$52,MATCH(MIN(ABS('Gain_offset step test'!$F$21:$F$52-O50)),ABS('Gain_offset step test'!$F$21:$F$52-O50),0),3)</f>
        <v>1F</v>
      </c>
      <c r="Z50" s="184" t="str">
        <f t="array" ref="Z50">INDEX('Gain_offset step test'!$H$55:$AL$70,MATCH(MIN(ABS('Gain_offset step test'!$AL$55:$AL$70-R50)),ABS('Gain_offset step test'!$AL$55:$AL$70-R50),0),1)</f>
        <v>0</v>
      </c>
      <c r="AA50" s="420" t="str">
        <f t="shared" si="42"/>
        <v>FF</v>
      </c>
      <c r="AB50" s="420" t="str">
        <f t="shared" si="43"/>
        <v>1</v>
      </c>
      <c r="AC50" s="419">
        <f t="array" ref="AC50">INDEX('Gain_offset step test'!$H$55:$AL$70,MATCH(MIN(ABS('Gain_offset step test'!$AL$55:$AL$70-R50)),ABS('Gain_offset step test'!$AL$55:$AL$70-R50),0),2)</f>
        <v>7</v>
      </c>
      <c r="AD50" s="184" t="str">
        <f t="array" ref="AD50">INDEX('Gain_offset step test'!$H$72:$AL$87,MATCH(MIN(ABS('Gain_offset step test'!$AL$72:$AL$87-T50)),ABS('Gain_offset step test'!$AL$72:$AL$87-T50),0),1)</f>
        <v>38</v>
      </c>
      <c r="AE50" s="419">
        <v>0</v>
      </c>
      <c r="AF50">
        <f t="shared" si="44"/>
        <v>2.8</v>
      </c>
      <c r="AG50">
        <f t="shared" si="45"/>
        <v>2.7</v>
      </c>
    </row>
    <row r="51" spans="1:33" ht="15.75">
      <c r="A51">
        <v>3</v>
      </c>
      <c r="B51" s="200">
        <v>4.2884000000000002</v>
      </c>
      <c r="C51" s="200">
        <v>3.7004000000000001</v>
      </c>
      <c r="D51" s="200">
        <v>3.1122000000000001</v>
      </c>
      <c r="E51" s="200">
        <v>2.5219999999999998</v>
      </c>
      <c r="F51" s="202">
        <f t="shared" si="35"/>
        <v>117.61000000000001</v>
      </c>
      <c r="G51" s="203">
        <v>20</v>
      </c>
      <c r="H51" s="201">
        <f t="shared" si="36"/>
        <v>-0.8299464331264349</v>
      </c>
      <c r="I51" s="206">
        <f t="array" ref="I51">INDEX('Gain_offset step test'!$AG$4:$AG$19,MATCH(MIN(IF('Gain_offset step test'!$AG$4:$AG$19&gt;H51,'Gain_offset step test'!$AG$4:$AG$19)),IF('Gain_offset step test'!$AG$4:$AG$19&gt;H51,'Gain_offset step test'!$AG$4:$AG$19),0))</f>
        <v>0.12356481985392632</v>
      </c>
      <c r="J51" s="200">
        <v>2.8508</v>
      </c>
      <c r="K51" s="200">
        <v>2.7414000000000001</v>
      </c>
      <c r="L51" s="200">
        <v>2.6313</v>
      </c>
      <c r="M51" s="200">
        <v>2.5203000000000002</v>
      </c>
      <c r="N51" s="202">
        <f t="shared" si="37"/>
        <v>21.914999999999996</v>
      </c>
      <c r="O51" s="557">
        <f t="shared" si="38"/>
        <v>-8.738307095596605E-2</v>
      </c>
      <c r="P51" s="186">
        <f t="array" ref="P51">INDEX('Gain_offset step test'!$F$21:$F$52,MATCH(MIN(ABS('Gain_offset step test'!$F$21:$F$52-O51)),ABS('Gain_offset step test'!$F$21:$F$52-O51),0))</f>
        <v>0.86066911118590772</v>
      </c>
      <c r="Q51" s="421">
        <f t="shared" si="39"/>
        <v>245.87339073830867</v>
      </c>
      <c r="R51" s="422">
        <f t="shared" si="40"/>
        <v>-8.7232355273591591E-3</v>
      </c>
      <c r="S51" s="207">
        <f t="array" ref="S51">INDEX('Gain_offset step test'!$AL$55:$AL$70,MATCH(MIN(ABS('Gain_offset step test'!$AL$55:$AL$70-R51)),ABS('Gain_offset step test'!$AL$55:$AL$70-R51),0))</f>
        <v>0.92385130661693504</v>
      </c>
      <c r="T51" s="423">
        <f t="shared" si="41"/>
        <v>-0.48474356564708376</v>
      </c>
      <c r="U51" s="424">
        <f t="array" ref="U51">INDEX('Gain_offset step test'!$AL$72:$AL$87,MATCH(MIN(ABS('Gain_offset step test'!$AL$72:$AL$87-T51)),ABS('Gain_offset step test'!$AL$72:$AL$87-T51),0))</f>
        <v>0.98003123080023602</v>
      </c>
      <c r="W51" s="418" t="str">
        <f t="array" ref="W51">INDEX('Gain_offset step test'!$H$4:$AG$19,MATCH(MIN(IF('Gain_offset step test'!$AG$4:$AG$19&gt;H51,'Gain_offset step test'!$AG$4:$AG$19)),IF('Gain_offset step test'!$AG$4:$AG$19&gt;H51,'Gain_offset step test'!$AG$4:$AG$19),0),1)</f>
        <v>E0</v>
      </c>
      <c r="X51" s="419">
        <f t="array" ref="X51">INDEX('Gain_offset step test'!$H$4:$AG$19,MATCH(MIN(IF('Gain_offset step test'!$AG$4:$AG$19&gt;H51,'Gain_offset step test'!$AG$4:$AG$19)),IF('Gain_offset step test'!$AG$4:$AG$19&gt;H51,'Gain_offset step test'!$AG$4:$AG$19),0),2)</f>
        <v>1</v>
      </c>
      <c r="Y51" s="184" t="str">
        <f t="array" ref="Y51">INDEX('Gain_offset step test'!$F$21:$H$52,MATCH(MIN(ABS('Gain_offset step test'!$F$21:$F$52-O51)),ABS('Gain_offset step test'!$F$21:$F$52-O51),0),3)</f>
        <v>1F</v>
      </c>
      <c r="Z51" s="184" t="str">
        <f t="array" ref="Z51">INDEX('Gain_offset step test'!$H$55:$AL$70,MATCH(MIN(ABS('Gain_offset step test'!$AL$55:$AL$70-R51)),ABS('Gain_offset step test'!$AL$55:$AL$70-R51),0),1)</f>
        <v>0</v>
      </c>
      <c r="AA51" s="420" t="str">
        <f t="shared" si="42"/>
        <v>FF</v>
      </c>
      <c r="AB51" s="420" t="str">
        <f t="shared" si="43"/>
        <v>1</v>
      </c>
      <c r="AC51" s="419">
        <f t="array" ref="AC51">INDEX('Gain_offset step test'!$H$55:$AL$70,MATCH(MIN(ABS('Gain_offset step test'!$AL$55:$AL$70-R51)),ABS('Gain_offset step test'!$AL$55:$AL$70-R51),0),2)</f>
        <v>7</v>
      </c>
      <c r="AD51" s="184" t="str">
        <f t="array" ref="AD51">INDEX('Gain_offset step test'!$H$72:$AL$87,MATCH(MIN(ABS('Gain_offset step test'!$AL$72:$AL$87-T51)),ABS('Gain_offset step test'!$AL$72:$AL$87-T51),0),1)</f>
        <v>38</v>
      </c>
      <c r="AE51" s="419" t="str">
        <f>AD51</f>
        <v>38</v>
      </c>
      <c r="AF51">
        <f t="shared" si="44"/>
        <v>2.8</v>
      </c>
      <c r="AG51">
        <f t="shared" si="45"/>
        <v>2.7</v>
      </c>
    </row>
    <row r="52" spans="1:33" ht="15.75">
      <c r="A52">
        <v>4</v>
      </c>
      <c r="B52" s="200">
        <v>4.4194000000000004</v>
      </c>
      <c r="C52" s="200">
        <v>3.7978999999999998</v>
      </c>
      <c r="D52" s="200">
        <v>3.1764000000000001</v>
      </c>
      <c r="E52" s="200">
        <v>2.5508999999999999</v>
      </c>
      <c r="F52" s="202">
        <f t="shared" si="35"/>
        <v>124.30000000000008</v>
      </c>
      <c r="G52" s="203">
        <v>20</v>
      </c>
      <c r="H52" s="201">
        <f t="shared" si="36"/>
        <v>-0.83909895414320201</v>
      </c>
      <c r="I52" s="206">
        <f t="array" ref="I52">INDEX('Gain_offset step test'!$AG$4:$AG$19,MATCH(MIN(IF('Gain_offset step test'!$AG$4:$AG$19&gt;H52,'Gain_offset step test'!$AG$4:$AG$19)),IF('Gain_offset step test'!$AG$4:$AG$19&gt;H52,'Gain_offset step test'!$AG$4:$AG$19),0))</f>
        <v>0.12356481985392632</v>
      </c>
      <c r="J52" s="200">
        <v>2.8515999999999999</v>
      </c>
      <c r="K52" s="200">
        <v>2.7507999999999999</v>
      </c>
      <c r="L52" s="200">
        <v>2.6497999999999999</v>
      </c>
      <c r="M52" s="200">
        <v>2.5480999999999998</v>
      </c>
      <c r="N52" s="202">
        <f t="shared" si="37"/>
        <v>20.170000000000002</v>
      </c>
      <c r="O52" s="557">
        <f t="shared" si="38"/>
        <v>-8.4283589489341452E-3</v>
      </c>
      <c r="P52" s="186">
        <f t="array" ref="P52">INDEX('Gain_offset step test'!$F$21:$F$52,MATCH(MIN(ABS('Gain_offset step test'!$F$21:$F$52-O52)),ABS('Gain_offset step test'!$F$21:$F$52-O52),0))</f>
        <v>0.86066911118590772</v>
      </c>
      <c r="Q52" s="421">
        <f t="shared" si="39"/>
        <v>259.859386691368</v>
      </c>
      <c r="R52" s="422">
        <f t="shared" si="40"/>
        <v>-1.9953741816613722E-2</v>
      </c>
      <c r="S52" s="207">
        <f t="array" ref="S52">INDEX('Gain_offset step test'!$AL$55:$AL$70,MATCH(MIN(ABS('Gain_offset step test'!$AL$55:$AL$70-R52)),ABS('Gain_offset step test'!$AL$55:$AL$70-R52),0))</f>
        <v>0.92385130661693504</v>
      </c>
      <c r="T52" s="423">
        <f t="shared" si="41"/>
        <v>-0.49058107827117692</v>
      </c>
      <c r="U52" s="424">
        <f t="array" ref="U52">INDEX('Gain_offset step test'!$AL$72:$AL$87,MATCH(MIN(ABS('Gain_offset step test'!$AL$72:$AL$87-T52)),ABS('Gain_offset step test'!$AL$72:$AL$87-T52),0))</f>
        <v>0.98003123080023602</v>
      </c>
      <c r="W52" s="418" t="str">
        <f t="array" ref="W52">INDEX('Gain_offset step test'!$H$4:$AG$19,MATCH(MIN(IF('Gain_offset step test'!$AG$4:$AG$19&gt;H52,'Gain_offset step test'!$AG$4:$AG$19)),IF('Gain_offset step test'!$AG$4:$AG$19&gt;H52,'Gain_offset step test'!$AG$4:$AG$19),0),1)</f>
        <v>E0</v>
      </c>
      <c r="X52" s="419">
        <f t="array" ref="X52">INDEX('Gain_offset step test'!$H$4:$AG$19,MATCH(MIN(IF('Gain_offset step test'!$AG$4:$AG$19&gt;H52,'Gain_offset step test'!$AG$4:$AG$19)),IF('Gain_offset step test'!$AG$4:$AG$19&gt;H52,'Gain_offset step test'!$AG$4:$AG$19),0),2)</f>
        <v>1</v>
      </c>
      <c r="Y52" s="184" t="str">
        <f t="array" ref="Y52">INDEX('Gain_offset step test'!$F$21:$H$52,MATCH(MIN(ABS('Gain_offset step test'!$F$21:$F$52-O52)),ABS('Gain_offset step test'!$F$21:$F$52-O52),0),3)</f>
        <v>1F</v>
      </c>
      <c r="Z52" s="184" t="str">
        <f t="array" ref="Z52">INDEX('Gain_offset step test'!$H$55:$AL$70,MATCH(MIN(ABS('Gain_offset step test'!$AL$55:$AL$70-R52)),ABS('Gain_offset step test'!$AL$55:$AL$70-R52),0),1)</f>
        <v>0</v>
      </c>
      <c r="AA52" s="420" t="str">
        <f t="shared" si="42"/>
        <v>FF</v>
      </c>
      <c r="AB52" s="420" t="str">
        <f t="shared" si="43"/>
        <v>1</v>
      </c>
      <c r="AC52" s="419">
        <f t="array" ref="AC52">INDEX('Gain_offset step test'!$H$55:$AL$70,MATCH(MIN(ABS('Gain_offset step test'!$AL$55:$AL$70-R52)),ABS('Gain_offset step test'!$AL$55:$AL$70-R52),0),2)</f>
        <v>7</v>
      </c>
      <c r="AD52" s="184" t="str">
        <f t="array" ref="AD52">INDEX('Gain_offset step test'!$H$72:$AL$87,MATCH(MIN(ABS('Gain_offset step test'!$AL$72:$AL$87-T52)),ABS('Gain_offset step test'!$AL$72:$AL$87-T52),0),1)</f>
        <v>38</v>
      </c>
      <c r="AE52" s="419" t="str">
        <f>AD52</f>
        <v>38</v>
      </c>
      <c r="AF52">
        <f t="shared" si="44"/>
        <v>2.8</v>
      </c>
      <c r="AG52">
        <f t="shared" si="45"/>
        <v>2.7</v>
      </c>
    </row>
    <row r="53" spans="1:33" ht="15.75">
      <c r="A53">
        <v>5</v>
      </c>
      <c r="B53" s="200">
        <v>4.2594000000000003</v>
      </c>
      <c r="C53" s="200">
        <v>3.6583999999999999</v>
      </c>
      <c r="D53" s="200">
        <v>3.0564</v>
      </c>
      <c r="E53" s="200">
        <v>2.4516</v>
      </c>
      <c r="F53" s="202">
        <f t="shared" si="35"/>
        <v>120.25000000000006</v>
      </c>
      <c r="G53" s="203">
        <v>20</v>
      </c>
      <c r="H53" s="201">
        <f t="shared" si="36"/>
        <v>-0.83367983367983378</v>
      </c>
      <c r="I53" s="206">
        <f t="array" ref="I53">INDEX('Gain_offset step test'!$AG$4:$AG$19,MATCH(MIN(IF('Gain_offset step test'!$AG$4:$AG$19&gt;H53,'Gain_offset step test'!$AG$4:$AG$19)),IF('Gain_offset step test'!$AG$4:$AG$19&gt;H53,'Gain_offset step test'!$AG$4:$AG$19),0))</f>
        <v>0.12356481985392632</v>
      </c>
      <c r="J53" s="200">
        <v>2.7890000000000001</v>
      </c>
      <c r="K53" s="200">
        <v>2.6768000000000001</v>
      </c>
      <c r="L53" s="200">
        <v>2.5644</v>
      </c>
      <c r="M53" s="200">
        <v>2.4514999999999998</v>
      </c>
      <c r="N53" s="202">
        <f t="shared" si="37"/>
        <v>22.450000000000014</v>
      </c>
      <c r="O53" s="557">
        <f t="shared" si="38"/>
        <v>-0.10913140311804062</v>
      </c>
      <c r="P53" s="186">
        <f t="array" ref="P53">INDEX('Gain_offset step test'!$F$21:$F$52,MATCH(MIN(ABS('Gain_offset step test'!$F$21:$F$52-O53)),ABS('Gain_offset step test'!$F$21:$F$52-O53),0))</f>
        <v>0.86066911118590772</v>
      </c>
      <c r="Q53" s="421">
        <f t="shared" si="39"/>
        <v>251.3925281547626</v>
      </c>
      <c r="R53" s="422">
        <f t="shared" si="40"/>
        <v>1.9742209169521945E-2</v>
      </c>
      <c r="S53" s="207">
        <f t="array" ref="S53">INDEX('Gain_offset step test'!$AL$55:$AL$70,MATCH(MIN(ABS('Gain_offset step test'!$AL$55:$AL$70-R53)),ABS('Gain_offset step test'!$AL$55:$AL$70-R53),0))</f>
        <v>0.92385130661693504</v>
      </c>
      <c r="T53" s="423">
        <f t="shared" si="41"/>
        <v>-0.469947492479175</v>
      </c>
      <c r="U53" s="424">
        <f t="array" ref="U53">INDEX('Gain_offset step test'!$AL$72:$AL$87,MATCH(MIN(ABS('Gain_offset step test'!$AL$72:$AL$87-T53)),ABS('Gain_offset step test'!$AL$72:$AL$87-T53),0))</f>
        <v>0.98003123080023602</v>
      </c>
      <c r="W53" s="418" t="str">
        <f t="array" ref="W53">INDEX('Gain_offset step test'!$H$4:$AG$19,MATCH(MIN(IF('Gain_offset step test'!$AG$4:$AG$19&gt;H53,'Gain_offset step test'!$AG$4:$AG$19)),IF('Gain_offset step test'!$AG$4:$AG$19&gt;H53,'Gain_offset step test'!$AG$4:$AG$19),0),1)</f>
        <v>E0</v>
      </c>
      <c r="X53" s="419">
        <f t="array" ref="X53">INDEX('Gain_offset step test'!$H$4:$AG$19,MATCH(MIN(IF('Gain_offset step test'!$AG$4:$AG$19&gt;H53,'Gain_offset step test'!$AG$4:$AG$19)),IF('Gain_offset step test'!$AG$4:$AG$19&gt;H53,'Gain_offset step test'!$AG$4:$AG$19),0),2)</f>
        <v>1</v>
      </c>
      <c r="Y53" s="184" t="str">
        <f t="array" ref="Y53">INDEX('Gain_offset step test'!$F$21:$H$52,MATCH(MIN(ABS('Gain_offset step test'!$F$21:$F$52-O53)),ABS('Gain_offset step test'!$F$21:$F$52-O53),0),3)</f>
        <v>1F</v>
      </c>
      <c r="Z53" s="184" t="str">
        <f t="array" ref="Z53">INDEX('Gain_offset step test'!$H$55:$AL$70,MATCH(MIN(ABS('Gain_offset step test'!$AL$55:$AL$70-R53)),ABS('Gain_offset step test'!$AL$55:$AL$70-R53),0),1)</f>
        <v>0</v>
      </c>
      <c r="AA53" s="183" t="str">
        <f t="shared" si="42"/>
        <v>FF</v>
      </c>
      <c r="AB53" s="183" t="str">
        <f t="shared" si="43"/>
        <v>1</v>
      </c>
      <c r="AC53" s="184">
        <f t="array" ref="AC53">INDEX('Gain_offset step test'!$H$55:$AL$70,MATCH(MIN(ABS('Gain_offset step test'!$AL$55:$AL$70-R53)),ABS('Gain_offset step test'!$AL$55:$AL$70-R53),0),2)</f>
        <v>7</v>
      </c>
      <c r="AD53" s="184" t="str">
        <f t="array" ref="AD53">INDEX('Gain_offset step test'!$H$72:$AL$87,MATCH(MIN(ABS('Gain_offset step test'!$AL$72:$AL$87-T53)),ABS('Gain_offset step test'!$AL$72:$AL$87-T53),0),1)</f>
        <v>38</v>
      </c>
      <c r="AE53" s="184">
        <v>0</v>
      </c>
      <c r="AF53">
        <f t="shared" si="44"/>
        <v>2.8</v>
      </c>
      <c r="AG53">
        <f t="shared" si="45"/>
        <v>2.7</v>
      </c>
    </row>
    <row r="54" spans="1:33" ht="15.75">
      <c r="B54" s="200">
        <v>4.3423999999999996</v>
      </c>
      <c r="C54" s="200">
        <v>3.7376</v>
      </c>
      <c r="D54" s="200">
        <v>3.1332</v>
      </c>
      <c r="E54" s="200">
        <v>2.5255999999999998</v>
      </c>
      <c r="F54" s="202">
        <f t="shared" si="35"/>
        <v>120.93999999999994</v>
      </c>
      <c r="G54" s="203">
        <v>20</v>
      </c>
      <c r="H54" s="201">
        <f t="shared" si="36"/>
        <v>-0.83462874152472288</v>
      </c>
      <c r="I54" s="206">
        <f t="array" ref="I54">INDEX('Gain_offset step test'!$AG$4:$AG$19,MATCH(MIN(IF('Gain_offset step test'!$AG$4:$AG$19&gt;H54,'Gain_offset step test'!$AG$4:$AG$19)),IF('Gain_offset step test'!$AG$4:$AG$19&gt;H54,'Gain_offset step test'!$AG$4:$AG$19),0))</f>
        <v>0.12356481985392632</v>
      </c>
      <c r="J54" s="200">
        <v>2.8784999999999998</v>
      </c>
      <c r="K54" s="200">
        <v>2.7654000000000001</v>
      </c>
      <c r="L54" s="200">
        <v>2.6522000000000001</v>
      </c>
      <c r="M54" s="200">
        <v>2.5379999999999998</v>
      </c>
      <c r="N54" s="202">
        <f t="shared" si="37"/>
        <v>22.624999999999964</v>
      </c>
      <c r="O54" s="557">
        <f t="shared" si="38"/>
        <v>-0.11602209944751242</v>
      </c>
      <c r="P54" s="186">
        <f t="array" ref="P54">INDEX('Gain_offset step test'!$F$21:$F$52,MATCH(MIN(ABS('Gain_offset step test'!$F$21:$F$52-O54)),ABS('Gain_offset step test'!$F$21:$F$52-O54),0))</f>
        <v>0.86066911118590772</v>
      </c>
      <c r="Q54" s="421">
        <f t="shared" si="39"/>
        <v>252.83502997951734</v>
      </c>
      <c r="R54" s="422">
        <f t="shared" si="40"/>
        <v>-1.0136205258156417E-2</v>
      </c>
      <c r="S54" s="207">
        <f t="array" ref="S54">INDEX('Gain_offset step test'!$AL$55:$AL$70,MATCH(MIN(ABS('Gain_offset step test'!$AL$55:$AL$70-R54)),ABS('Gain_offset step test'!$AL$55:$AL$70-R54),0))</f>
        <v>0.92385130661693504</v>
      </c>
      <c r="T54" s="423">
        <f t="shared" si="41"/>
        <v>-0.48547801415978198</v>
      </c>
      <c r="U54" s="424">
        <f t="array" ref="U54">INDEX('Gain_offset step test'!$AL$72:$AL$87,MATCH(MIN(ABS('Gain_offset step test'!$AL$72:$AL$87-T54)),ABS('Gain_offset step test'!$AL$72:$AL$87-T54),0))</f>
        <v>0.98003123080023602</v>
      </c>
      <c r="W54" s="418" t="str">
        <f t="array" ref="W54">INDEX('Gain_offset step test'!$H$4:$AG$19,MATCH(MIN(IF('Gain_offset step test'!$AG$4:$AG$19&gt;H54,'Gain_offset step test'!$AG$4:$AG$19)),IF('Gain_offset step test'!$AG$4:$AG$19&gt;H54,'Gain_offset step test'!$AG$4:$AG$19),0),1)</f>
        <v>E0</v>
      </c>
      <c r="X54" s="419">
        <f t="array" ref="X54">INDEX('Gain_offset step test'!$H$4:$AG$19,MATCH(MIN(IF('Gain_offset step test'!$AG$4:$AG$19&gt;H54,'Gain_offset step test'!$AG$4:$AG$19)),IF('Gain_offset step test'!$AG$4:$AG$19&gt;H54,'Gain_offset step test'!$AG$4:$AG$19),0),2)</f>
        <v>1</v>
      </c>
      <c r="Y54" s="184" t="str">
        <f t="array" ref="Y54">INDEX('Gain_offset step test'!$F$21:$H$52,MATCH(MIN(ABS('Gain_offset step test'!$F$21:$F$52-O54)),ABS('Gain_offset step test'!$F$21:$F$52-O54),0),3)</f>
        <v>1F</v>
      </c>
      <c r="Z54" s="184" t="str">
        <f t="array" ref="Z54">INDEX('Gain_offset step test'!$H$55:$AL$70,MATCH(MIN(ABS('Gain_offset step test'!$AL$55:$AL$70-R54)),ABS('Gain_offset step test'!$AL$55:$AL$70-R54),0),1)</f>
        <v>0</v>
      </c>
      <c r="AA54" s="183" t="str">
        <f t="shared" si="42"/>
        <v>FF</v>
      </c>
      <c r="AB54" s="183" t="str">
        <f t="shared" si="43"/>
        <v>1</v>
      </c>
      <c r="AC54" s="184">
        <f t="array" ref="AC54">INDEX('Gain_offset step test'!$H$55:$AL$70,MATCH(MIN(ABS('Gain_offset step test'!$AL$55:$AL$70-R54)),ABS('Gain_offset step test'!$AL$55:$AL$70-R54),0),2)</f>
        <v>7</v>
      </c>
      <c r="AD54" s="184" t="str">
        <f t="array" ref="AD54">INDEX('Gain_offset step test'!$H$72:$AL$87,MATCH(MIN(ABS('Gain_offset step test'!$AL$72:$AL$87-T54)),ABS('Gain_offset step test'!$AL$72:$AL$87-T54),0),1)</f>
        <v>38</v>
      </c>
      <c r="AE54" s="184">
        <v>10</v>
      </c>
      <c r="AF54">
        <f t="shared" si="44"/>
        <v>2.8</v>
      </c>
      <c r="AG54">
        <f t="shared" si="45"/>
        <v>2.7</v>
      </c>
    </row>
    <row r="55" spans="1:33" ht="15.75">
      <c r="B55" s="200">
        <v>4.2089999999999996</v>
      </c>
      <c r="C55" s="200">
        <v>3.6339999999999999</v>
      </c>
      <c r="D55" s="200">
        <v>3.0594000000000001</v>
      </c>
      <c r="E55" s="200">
        <v>2.4809999999999999</v>
      </c>
      <c r="F55" s="202">
        <f t="shared" si="35"/>
        <v>114.97999999999995</v>
      </c>
      <c r="G55" s="203">
        <v>20</v>
      </c>
      <c r="H55" s="201">
        <f t="shared" si="36"/>
        <v>-0.82605670551400234</v>
      </c>
      <c r="I55" s="206">
        <f t="array" ref="I55">INDEX('Gain_offset step test'!$AG$4:$AG$19,MATCH(MIN(IF('Gain_offset step test'!$AG$4:$AG$19&gt;H55,'Gain_offset step test'!$AG$4:$AG$19)),IF('Gain_offset step test'!$AG$4:$AG$19&gt;H55,'Gain_offset step test'!$AG$4:$AG$19),0))</f>
        <v>0.12356481985392632</v>
      </c>
      <c r="J55" s="200">
        <v>2.7970999999999999</v>
      </c>
      <c r="K55" s="200">
        <v>2.6896</v>
      </c>
      <c r="L55" s="200">
        <v>2.5823</v>
      </c>
      <c r="M55" s="200">
        <v>2.4740000000000002</v>
      </c>
      <c r="N55" s="202">
        <f t="shared" si="37"/>
        <v>21.489999999999988</v>
      </c>
      <c r="O55" s="557">
        <f t="shared" si="38"/>
        <v>-6.9334574220567172E-2</v>
      </c>
      <c r="P55" s="186">
        <f t="array" ref="P55">INDEX('Gain_offset step test'!$F$21:$F$52,MATCH(MIN(ABS('Gain_offset step test'!$F$21:$F$52-O55)),ABS('Gain_offset step test'!$F$21:$F$52-O55),0))</f>
        <v>0.86066911118590772</v>
      </c>
      <c r="Q55" s="421">
        <f t="shared" si="39"/>
        <v>240.37515914540188</v>
      </c>
      <c r="R55" s="422">
        <f t="shared" si="40"/>
        <v>7.658202337767081E-3</v>
      </c>
      <c r="S55" s="207">
        <f t="array" ref="S55">INDEX('Gain_offset step test'!$AL$55:$AL$70,MATCH(MIN(ABS('Gain_offset step test'!$AL$55:$AL$70-R55)),ABS('Gain_offset step test'!$AL$55:$AL$70-R55),0))</f>
        <v>0.92385130661693504</v>
      </c>
      <c r="T55" s="423">
        <f t="shared" si="41"/>
        <v>-0.47622864674000209</v>
      </c>
      <c r="U55" s="424">
        <f t="array" ref="U55">INDEX('Gain_offset step test'!$AL$72:$AL$87,MATCH(MIN(ABS('Gain_offset step test'!$AL$72:$AL$87-T55)),ABS('Gain_offset step test'!$AL$72:$AL$87-T55),0))</f>
        <v>0.98003123080023602</v>
      </c>
      <c r="W55" s="418" t="str">
        <f t="array" ref="W55">INDEX('Gain_offset step test'!$H$4:$AG$19,MATCH(MIN(IF('Gain_offset step test'!$AG$4:$AG$19&gt;H55,'Gain_offset step test'!$AG$4:$AG$19)),IF('Gain_offset step test'!$AG$4:$AG$19&gt;H55,'Gain_offset step test'!$AG$4:$AG$19),0),1)</f>
        <v>E0</v>
      </c>
      <c r="X55" s="419">
        <f t="array" ref="X55">INDEX('Gain_offset step test'!$H$4:$AG$19,MATCH(MIN(IF('Gain_offset step test'!$AG$4:$AG$19&gt;H55,'Gain_offset step test'!$AG$4:$AG$19)),IF('Gain_offset step test'!$AG$4:$AG$19&gt;H55,'Gain_offset step test'!$AG$4:$AG$19),0),2)</f>
        <v>1</v>
      </c>
      <c r="Y55" s="184" t="str">
        <f t="array" ref="Y55">INDEX('Gain_offset step test'!$F$21:$H$52,MATCH(MIN(ABS('Gain_offset step test'!$F$21:$F$52-O55)),ABS('Gain_offset step test'!$F$21:$F$52-O55),0),3)</f>
        <v>1F</v>
      </c>
      <c r="Z55" s="184" t="str">
        <f t="array" ref="Z55">INDEX('Gain_offset step test'!$H$55:$AL$70,MATCH(MIN(ABS('Gain_offset step test'!$AL$55:$AL$70-R55)),ABS('Gain_offset step test'!$AL$55:$AL$70-R55),0),1)</f>
        <v>0</v>
      </c>
      <c r="AA55" s="183" t="str">
        <f t="shared" si="42"/>
        <v>FF</v>
      </c>
      <c r="AB55" s="183" t="str">
        <f t="shared" si="43"/>
        <v>1</v>
      </c>
      <c r="AC55" s="184">
        <f t="array" ref="AC55">INDEX('Gain_offset step test'!$H$55:$AL$70,MATCH(MIN(ABS('Gain_offset step test'!$AL$55:$AL$70-R55)),ABS('Gain_offset step test'!$AL$55:$AL$70-R55),0),2)</f>
        <v>7</v>
      </c>
      <c r="AD55" s="184" t="str">
        <f t="array" ref="AD55">INDEX('Gain_offset step test'!$H$72:$AL$87,MATCH(MIN(ABS('Gain_offset step test'!$AL$72:$AL$87-T55)),ABS('Gain_offset step test'!$AL$72:$AL$87-T55),0),1)</f>
        <v>38</v>
      </c>
      <c r="AE55" s="184">
        <v>0</v>
      </c>
      <c r="AF55">
        <f t="shared" si="44"/>
        <v>2.8</v>
      </c>
      <c r="AG55">
        <f t="shared" si="45"/>
        <v>2.7</v>
      </c>
    </row>
    <row r="56" spans="1:33" ht="15.75">
      <c r="B56" s="200">
        <v>4.1555999999999997</v>
      </c>
      <c r="C56" s="200">
        <v>3.5849000000000002</v>
      </c>
      <c r="D56" s="200">
        <v>3.0139</v>
      </c>
      <c r="E56" s="200">
        <v>2.4394999999999998</v>
      </c>
      <c r="F56" s="202">
        <f t="shared" si="35"/>
        <v>114.15499999999993</v>
      </c>
      <c r="G56" s="203">
        <v>20</v>
      </c>
      <c r="H56" s="201">
        <f t="shared" si="36"/>
        <v>-0.82479961455915196</v>
      </c>
      <c r="I56" s="206">
        <f t="array" ref="I56">INDEX('Gain_offset step test'!$AG$4:$AG$19,MATCH(MIN(IF('Gain_offset step test'!$AG$4:$AG$19&gt;H56,'Gain_offset step test'!$AG$4:$AG$19)),IF('Gain_offset step test'!$AG$4:$AG$19&gt;H56,'Gain_offset step test'!$AG$4:$AG$19),0))</f>
        <v>0.12356481985392632</v>
      </c>
      <c r="J56" s="200">
        <v>2.762</v>
      </c>
      <c r="K56" s="200">
        <v>2.6549999999999998</v>
      </c>
      <c r="L56" s="200">
        <v>2.5478000000000001</v>
      </c>
      <c r="M56" s="200">
        <v>2.4405000000000001</v>
      </c>
      <c r="N56" s="202">
        <f t="shared" si="37"/>
        <v>21.410000000000018</v>
      </c>
      <c r="O56" s="557">
        <f t="shared" si="38"/>
        <v>-6.5857076132649073E-2</v>
      </c>
      <c r="P56" s="186">
        <f t="array" ref="P56">INDEX('Gain_offset step test'!$F$21:$F$52,MATCH(MIN(ABS('Gain_offset step test'!$F$21:$F$52-O56)),ABS('Gain_offset step test'!$F$21:$F$52-O56),0))</f>
        <v>0.86066911118590772</v>
      </c>
      <c r="Q56" s="421">
        <f t="shared" si="39"/>
        <v>238.65042870276002</v>
      </c>
      <c r="R56" s="422">
        <f t="shared" si="40"/>
        <v>2.4800163968026326E-2</v>
      </c>
      <c r="S56" s="207">
        <f t="array" ref="S56">INDEX('Gain_offset step test'!$AL$55:$AL$70,MATCH(MIN(ABS('Gain_offset step test'!$AL$55:$AL$70-R56)),ABS('Gain_offset step test'!$AL$55:$AL$70-R56),0))</f>
        <v>0.92385130661693504</v>
      </c>
      <c r="T56" s="423">
        <f t="shared" si="41"/>
        <v>-0.46731841465953894</v>
      </c>
      <c r="U56" s="424">
        <f t="array" ref="U56">INDEX('Gain_offset step test'!$AL$72:$AL$87,MATCH(MIN(ABS('Gain_offset step test'!$AL$72:$AL$87-T56)),ABS('Gain_offset step test'!$AL$72:$AL$87-T56),0))</f>
        <v>0.98003123080023602</v>
      </c>
      <c r="W56" s="418" t="str">
        <f t="array" ref="W56">INDEX('Gain_offset step test'!$H$4:$AG$19,MATCH(MIN(IF('Gain_offset step test'!$AG$4:$AG$19&gt;H56,'Gain_offset step test'!$AG$4:$AG$19)),IF('Gain_offset step test'!$AG$4:$AG$19&gt;H56,'Gain_offset step test'!$AG$4:$AG$19),0),1)</f>
        <v>E0</v>
      </c>
      <c r="X56" s="419">
        <f t="array" ref="X56">INDEX('Gain_offset step test'!$H$4:$AG$19,MATCH(MIN(IF('Gain_offset step test'!$AG$4:$AG$19&gt;H56,'Gain_offset step test'!$AG$4:$AG$19)),IF('Gain_offset step test'!$AG$4:$AG$19&gt;H56,'Gain_offset step test'!$AG$4:$AG$19),0),2)</f>
        <v>1</v>
      </c>
      <c r="Y56" s="184" t="str">
        <f t="array" ref="Y56">INDEX('Gain_offset step test'!$F$21:$H$52,MATCH(MIN(ABS('Gain_offset step test'!$F$21:$F$52-O56)),ABS('Gain_offset step test'!$F$21:$F$52-O56),0),3)</f>
        <v>1F</v>
      </c>
      <c r="Z56" s="184" t="str">
        <f t="array" ref="Z56">INDEX('Gain_offset step test'!$H$55:$AL$70,MATCH(MIN(ABS('Gain_offset step test'!$AL$55:$AL$70-R56)),ABS('Gain_offset step test'!$AL$55:$AL$70-R56),0),1)</f>
        <v>0</v>
      </c>
      <c r="AA56" s="183" t="str">
        <f t="shared" si="42"/>
        <v>FF</v>
      </c>
      <c r="AB56" s="183" t="str">
        <f t="shared" si="43"/>
        <v>1</v>
      </c>
      <c r="AC56" s="184">
        <f t="array" ref="AC56">INDEX('Gain_offset step test'!$H$55:$AL$70,MATCH(MIN(ABS('Gain_offset step test'!$AL$55:$AL$70-R56)),ABS('Gain_offset step test'!$AL$55:$AL$70-R56),0),2)</f>
        <v>7</v>
      </c>
      <c r="AD56" s="184" t="str">
        <f t="array" ref="AD56">INDEX('Gain_offset step test'!$H$72:$AL$87,MATCH(MIN(ABS('Gain_offset step test'!$AL$72:$AL$87-T56)),ABS('Gain_offset step test'!$AL$72:$AL$87-T56),0),1)</f>
        <v>38</v>
      </c>
      <c r="AE56" s="184"/>
      <c r="AF56">
        <f t="shared" si="44"/>
        <v>2.8</v>
      </c>
      <c r="AG56">
        <f t="shared" si="45"/>
        <v>2.7</v>
      </c>
    </row>
    <row r="57" spans="1:33" ht="15.75">
      <c r="B57" s="200">
        <v>4.3726000000000003</v>
      </c>
      <c r="C57" s="200">
        <v>3.7679999999999998</v>
      </c>
      <c r="D57" s="200">
        <v>3.165</v>
      </c>
      <c r="E57" s="200">
        <v>2.5648</v>
      </c>
      <c r="F57" s="202">
        <f t="shared" si="35"/>
        <v>120.84000000000006</v>
      </c>
      <c r="G57" s="203">
        <v>20</v>
      </c>
      <c r="H57" s="201">
        <f t="shared" si="36"/>
        <v>-0.83449189010261515</v>
      </c>
      <c r="I57" s="206">
        <f t="array" ref="I57">INDEX('Gain_offset step test'!$AG$4:$AG$19,MATCH(MIN(IF('Gain_offset step test'!$AG$4:$AG$19&gt;H57,'Gain_offset step test'!$AG$4:$AG$19)),IF('Gain_offset step test'!$AG$4:$AG$19&gt;H57,'Gain_offset step test'!$AG$4:$AG$19),0))</f>
        <v>0.12356481985392632</v>
      </c>
      <c r="J57" s="200">
        <v>2.8982000000000001</v>
      </c>
      <c r="K57" s="200">
        <v>2.786</v>
      </c>
      <c r="L57" s="200">
        <v>2.6738</v>
      </c>
      <c r="M57" s="200">
        <v>2.5613000000000001</v>
      </c>
      <c r="N57" s="202">
        <f t="shared" si="37"/>
        <v>22.440000000000015</v>
      </c>
      <c r="O57" s="557">
        <f t="shared" si="38"/>
        <v>-0.10873440285205052</v>
      </c>
      <c r="P57" s="186">
        <f t="array" ref="P57">INDEX('Gain_offset step test'!$F$21:$F$52,MATCH(MIN(ABS('Gain_offset step test'!$F$21:$F$52-O57)),ABS('Gain_offset step test'!$F$21:$F$52-O57),0))</f>
        <v>0.86066911118590772</v>
      </c>
      <c r="Q57" s="421">
        <f t="shared" si="39"/>
        <v>252.62597174404584</v>
      </c>
      <c r="R57" s="422">
        <f t="shared" si="40"/>
        <v>-2.5265127885215208E-2</v>
      </c>
      <c r="S57" s="207">
        <f t="array" ref="S57">INDEX('Gain_offset step test'!$AL$55:$AL$70,MATCH(MIN(ABS('Gain_offset step test'!$AL$55:$AL$70-R57)),ABS('Gain_offset step test'!$AL$55:$AL$70-R57),0))</f>
        <v>0.92385130661693504</v>
      </c>
      <c r="T57" s="423">
        <f t="shared" si="41"/>
        <v>-0.49334188730581152</v>
      </c>
      <c r="U57" s="424">
        <f t="array" ref="U57">INDEX('Gain_offset step test'!$AL$72:$AL$87,MATCH(MIN(ABS('Gain_offset step test'!$AL$72:$AL$87-T57)),ABS('Gain_offset step test'!$AL$72:$AL$87-T57),0))</f>
        <v>0.98003123080023602</v>
      </c>
      <c r="W57" s="418" t="str">
        <f t="array" ref="W57">INDEX('Gain_offset step test'!$H$4:$AG$19,MATCH(MIN(IF('Gain_offset step test'!$AG$4:$AG$19&gt;H57,'Gain_offset step test'!$AG$4:$AG$19)),IF('Gain_offset step test'!$AG$4:$AG$19&gt;H57,'Gain_offset step test'!$AG$4:$AG$19),0),1)</f>
        <v>E0</v>
      </c>
      <c r="X57" s="419">
        <f t="array" ref="X57">INDEX('Gain_offset step test'!$H$4:$AG$19,MATCH(MIN(IF('Gain_offset step test'!$AG$4:$AG$19&gt;H57,'Gain_offset step test'!$AG$4:$AG$19)),IF('Gain_offset step test'!$AG$4:$AG$19&gt;H57,'Gain_offset step test'!$AG$4:$AG$19),0),2)</f>
        <v>1</v>
      </c>
      <c r="Y57" s="184" t="str">
        <f t="array" ref="Y57">INDEX('Gain_offset step test'!$F$21:$H$52,MATCH(MIN(ABS('Gain_offset step test'!$F$21:$F$52-O57)),ABS('Gain_offset step test'!$F$21:$F$52-O57),0),3)</f>
        <v>1F</v>
      </c>
      <c r="Z57" s="184" t="str">
        <f t="array" ref="Z57">INDEX('Gain_offset step test'!$H$55:$AL$70,MATCH(MIN(ABS('Gain_offset step test'!$AL$55:$AL$70-R57)),ABS('Gain_offset step test'!$AL$55:$AL$70-R57),0),1)</f>
        <v>0</v>
      </c>
      <c r="AA57" s="183" t="str">
        <f t="shared" si="42"/>
        <v>FF</v>
      </c>
      <c r="AB57" s="183" t="str">
        <f t="shared" si="43"/>
        <v>1</v>
      </c>
      <c r="AC57" s="184">
        <f t="array" ref="AC57">INDEX('Gain_offset step test'!$H$55:$AL$70,MATCH(MIN(ABS('Gain_offset step test'!$AL$55:$AL$70-R57)),ABS('Gain_offset step test'!$AL$55:$AL$70-R57),0),2)</f>
        <v>7</v>
      </c>
      <c r="AD57" s="184" t="str">
        <f t="array" ref="AD57">INDEX('Gain_offset step test'!$H$72:$AL$87,MATCH(MIN(ABS('Gain_offset step test'!$AL$72:$AL$87-T57)),ABS('Gain_offset step test'!$AL$72:$AL$87-T57),0),1)</f>
        <v>38</v>
      </c>
      <c r="AE57" s="184"/>
      <c r="AF57">
        <f t="shared" si="44"/>
        <v>2.8</v>
      </c>
      <c r="AG57">
        <f t="shared" si="45"/>
        <v>2.7</v>
      </c>
    </row>
    <row r="58" spans="1:33" ht="15.75">
      <c r="B58" s="200"/>
      <c r="C58" s="200"/>
      <c r="D58" s="200"/>
      <c r="E58" s="200"/>
      <c r="F58" s="202">
        <f>1000*((B58-D58)/10+(B58-C58)/5)/2</f>
        <v>0</v>
      </c>
      <c r="G58" s="203">
        <v>20</v>
      </c>
      <c r="H58" s="201" t="e">
        <f>(G58-F58)/F58</f>
        <v>#DIV/0!</v>
      </c>
      <c r="I58" s="206" t="e">
        <f t="array" ref="I58">INDEX('Gain_offset step test'!$AG$4:$AG$19,MATCH(MIN(IF('Gain_offset step test'!$AG$4:$AG$19&gt;H58,'Gain_offset step test'!$AG$4:$AG$19)),IF('Gain_offset step test'!$AG$4:$AG$19&gt;H58,'Gain_offset step test'!$AG$4:$AG$19),0))</f>
        <v>#DIV/0!</v>
      </c>
      <c r="J58" s="200"/>
      <c r="K58" s="200"/>
      <c r="L58" s="200"/>
      <c r="M58" s="200"/>
      <c r="N58" s="202">
        <f>1000*((J58-L58)/10+(J58-K58)/5)/2</f>
        <v>0</v>
      </c>
      <c r="O58" s="557" t="e">
        <f>(G58-N58)/N58</f>
        <v>#DIV/0!</v>
      </c>
      <c r="P58" s="186" t="e">
        <f t="array" ref="P58">INDEX('Gain_offset step test'!$F$21:$F$52,MATCH(MIN(ABS('Gain_offset step test'!$F$21:$F$52-O58)),ABS('Gain_offset step test'!$F$21:$F$52-O58),0))</f>
        <v>#DIV/0!</v>
      </c>
      <c r="Q58" s="421" t="e">
        <f>(F58+F58*I58)+(F58+F58*I58)*P58</f>
        <v>#DIV/0!</v>
      </c>
      <c r="R58" s="422" t="e">
        <f>(2.5-E58)/E58</f>
        <v>#DIV/0!</v>
      </c>
      <c r="S58" s="207" t="e">
        <f t="array" ref="S58">INDEX('Gain_offset step test'!$AL$55:$AL$70,MATCH(MIN(ABS('Gain_offset step test'!$AL$55:$AL$70-R58)),ABS('Gain_offset step test'!$AL$55:$AL$70-R58),0))</f>
        <v>#DIV/0!</v>
      </c>
      <c r="T58" s="423" t="e">
        <f>((1+R58)/(1+S58))-1</f>
        <v>#DIV/0!</v>
      </c>
      <c r="U58" s="424" t="e">
        <f t="array" ref="U58">INDEX('Gain_offset step test'!$AL$72:$AL$87,MATCH(MIN(ABS('Gain_offset step test'!$AL$72:$AL$87-T58)),ABS('Gain_offset step test'!$AL$72:$AL$87-T58),0))</f>
        <v>#DIV/0!</v>
      </c>
      <c r="W58" s="418" t="e">
        <f t="array" ref="W58">INDEX('Gain_offset step test'!$H$4:$AG$19,MATCH(MIN(IF('Gain_offset step test'!$AG$4:$AG$19&gt;H58,'Gain_offset step test'!$AG$4:$AG$19)),IF('Gain_offset step test'!$AG$4:$AG$19&gt;H58,'Gain_offset step test'!$AG$4:$AG$19),0),1)</f>
        <v>#DIV/0!</v>
      </c>
      <c r="X58" s="419" t="e">
        <f t="array" ref="X58">INDEX('Gain_offset step test'!$H$4:$AG$19,MATCH(MIN(IF('Gain_offset step test'!$AG$4:$AG$19&gt;H58,'Gain_offset step test'!$AG$4:$AG$19)),IF('Gain_offset step test'!$AG$4:$AG$19&gt;H58,'Gain_offset step test'!$AG$4:$AG$19),0),2)</f>
        <v>#DIV/0!</v>
      </c>
      <c r="Y58" s="184" t="e">
        <f t="array" ref="Y58">INDEX('Gain_offset step test'!$F$21:$H$52,MATCH(MIN(ABS('Gain_offset step test'!$F$21:$F$52-O58)),ABS('Gain_offset step test'!$F$21:$F$52-O58),0),3)</f>
        <v>#DIV/0!</v>
      </c>
      <c r="Z58" s="184" t="e">
        <f t="array" ref="Z58">INDEX('Gain_offset step test'!$H$55:$AL$70,MATCH(MIN(ABS('Gain_offset step test'!$AL$55:$AL$70-R58)),ABS('Gain_offset step test'!$AL$55:$AL$70-R58),0),1)</f>
        <v>#DIV/0!</v>
      </c>
      <c r="AA58" s="183" t="e">
        <f>DEC2HEX(HEX2DEC(W58)+HEX2DEC(Y58))</f>
        <v>#DIV/0!</v>
      </c>
      <c r="AB58" s="183" t="e">
        <f>DEC2HEX(HEX2DEC(X58)+HEX2DEC(Z58))</f>
        <v>#DIV/0!</v>
      </c>
      <c r="AC58" s="184" t="e">
        <f t="array" ref="AC58">INDEX('Gain_offset step test'!$H$55:$AL$70,MATCH(MIN(ABS('Gain_offset step test'!$AL$55:$AL$70-R58)),ABS('Gain_offset step test'!$AL$55:$AL$70-R58),0),2)</f>
        <v>#DIV/0!</v>
      </c>
      <c r="AD58" s="184" t="e">
        <f t="array" ref="AD58">INDEX('Gain_offset step test'!$H$72:$AL$87,MATCH(MIN(ABS('Gain_offset step test'!$AL$72:$AL$87-T58)),ABS('Gain_offset step test'!$AL$72:$AL$87-T58),0),1)</f>
        <v>#DIV/0!</v>
      </c>
      <c r="AE58" s="184"/>
      <c r="AF58">
        <f>2.5+G58*15/1000</f>
        <v>2.8</v>
      </c>
      <c r="AG58">
        <f>2.5+G58*10/1000</f>
        <v>2.7</v>
      </c>
    </row>
    <row r="60" spans="1:33">
      <c r="A60" s="465">
        <v>41803</v>
      </c>
    </row>
    <row r="61" spans="1:33">
      <c r="A61" s="465"/>
      <c r="B61" t="s">
        <v>289</v>
      </c>
      <c r="AA61">
        <v>10</v>
      </c>
    </row>
    <row r="62" spans="1:33" ht="15.75">
      <c r="A62" s="363" t="s">
        <v>287</v>
      </c>
      <c r="B62" s="200">
        <v>4.1014999999999997</v>
      </c>
      <c r="C62" s="200">
        <v>3.5644999999999998</v>
      </c>
      <c r="D62" s="200">
        <v>3.0272999999999999</v>
      </c>
      <c r="E62" s="200">
        <v>2.4878</v>
      </c>
      <c r="F62" s="202">
        <f>1000*((B62-D62)/10+(B62-C62)/5)/2</f>
        <v>107.40999999999998</v>
      </c>
      <c r="G62" s="203">
        <v>100</v>
      </c>
      <c r="H62" s="201">
        <f>(G62-F62)/F62</f>
        <v>-6.8987989945070133E-2</v>
      </c>
      <c r="I62" s="206">
        <f t="array" ref="I62">INDEX('Gain_offset step test'!$AG$4:$AG$19,MATCH(MIN(IF('Gain_offset step test'!$AG$4:$AG$19&gt;H62,'Gain_offset step test'!$AG$4:$AG$19)),IF('Gain_offset step test'!$AG$4:$AG$19&gt;H62,'Gain_offset step test'!$AG$4:$AG$19),0))</f>
        <v>0.12356481985392632</v>
      </c>
      <c r="J62" s="200">
        <v>4.1014999999999997</v>
      </c>
      <c r="K62" s="200">
        <v>3.5644999999999998</v>
      </c>
      <c r="L62" s="200">
        <v>3.0272999999999999</v>
      </c>
      <c r="M62" s="200">
        <v>2.4878</v>
      </c>
      <c r="N62" s="202">
        <f>1000*((J62-L62)/10+(J62-K62)/5)/2</f>
        <v>107.40999999999998</v>
      </c>
      <c r="O62" s="557">
        <f>(G62-N62)/N62</f>
        <v>-6.8987989945070133E-2</v>
      </c>
      <c r="P62" s="186">
        <f t="array" ref="P62">INDEX('Gain_offset step test'!$F$21:$F$52,MATCH(MIN(ABS('Gain_offset step test'!$F$21:$F$52-O62)),ABS('Gain_offset step test'!$F$21:$F$52-O62),0))</f>
        <v>0.86066911118590772</v>
      </c>
      <c r="Q62" s="421">
        <f>(F62+F62*I62)+(F62+F62*I62)*P62</f>
        <v>224.54945072019154</v>
      </c>
      <c r="R62" s="422">
        <f>(2.5-E62)/E62</f>
        <v>4.9039311841787879E-3</v>
      </c>
      <c r="S62" s="207">
        <f t="array" ref="S62">INDEX('Gain_offset step test'!$AL$55:$AL$70,MATCH(MIN(ABS('Gain_offset step test'!$AL$55:$AL$70-R62)),ABS('Gain_offset step test'!$AL$55:$AL$70-R62),0))</f>
        <v>0.92385130661693504</v>
      </c>
      <c r="T62" s="423">
        <f>((1+R62)/(1+S62))-1</f>
        <v>-0.47766029124605891</v>
      </c>
      <c r="U62" s="429">
        <f t="array" ref="U62">INDEX('Gain_offset step test'!$AL$72:$AL$87,MATCH(MIN(ABS('Gain_offset step test'!$AL$72:$AL$87-T62)),ABS('Gain_offset step test'!$AL$72:$AL$87-T62),0))</f>
        <v>0.98003123080023602</v>
      </c>
      <c r="V62" s="2"/>
      <c r="W62" s="418" t="str">
        <f t="array" ref="W62">INDEX('Gain_offset step test'!$H$4:$AG$19,MATCH(MIN(IF('Gain_offset step test'!$AG$4:$AG$19&gt;H62,'Gain_offset step test'!$AG$4:$AG$19)),IF('Gain_offset step test'!$AG$4:$AG$19&gt;H62,'Gain_offset step test'!$AG$4:$AG$19),0),1)</f>
        <v>E0</v>
      </c>
      <c r="X62" s="418">
        <f t="array" ref="X62">INDEX('Gain_offset step test'!$H$4:$AG$19,MATCH(MIN(IF('Gain_offset step test'!$AG$4:$AG$19&gt;H62,'Gain_offset step test'!$AG$4:$AG$19)),IF('Gain_offset step test'!$AG$4:$AG$19&gt;H62,'Gain_offset step test'!$AG$4:$AG$19),0),2)</f>
        <v>1</v>
      </c>
      <c r="Y62" s="390" t="str">
        <f t="array" ref="Y62">INDEX('Gain_offset step test'!$F$21:$H$52,MATCH(MIN(ABS('Gain_offset step test'!$F$21:$F$52-O62)),ABS('Gain_offset step test'!$F$21:$F$52-O62),0),3)</f>
        <v>1F</v>
      </c>
      <c r="Z62" s="390" t="str">
        <f t="array" ref="Z62">INDEX('Gain_offset step test'!$H$55:$AL$70,MATCH(MIN(ABS('Gain_offset step test'!$AL$55:$AL$70-R62)),ABS('Gain_offset step test'!$AL$55:$AL$70-R62),0),1)</f>
        <v>0</v>
      </c>
      <c r="AA62" s="432" t="str">
        <f t="shared" ref="AA62:AB64" si="46">DEC2HEX(HEX2DEC(W62)+HEX2DEC(Y62))</f>
        <v>FF</v>
      </c>
      <c r="AB62" s="432" t="str">
        <f t="shared" si="46"/>
        <v>1</v>
      </c>
      <c r="AC62" s="418">
        <f t="array" ref="AC62">INDEX('Gain_offset step test'!$H$55:$AL$70,MATCH(MIN(ABS('Gain_offset step test'!$AL$55:$AL$70-R62)),ABS('Gain_offset step test'!$AL$55:$AL$70-R62),0),2)</f>
        <v>7</v>
      </c>
      <c r="AD62" s="390" t="str">
        <f t="array" ref="AD62">INDEX('Gain_offset step test'!$H$72:$AL$87,MATCH(MIN(ABS('Gain_offset step test'!$AL$72:$AL$87-T62)),ABS('Gain_offset step test'!$AL$72:$AL$87-T62),0),1)</f>
        <v>38</v>
      </c>
      <c r="AE62" s="418" t="str">
        <f>AD62</f>
        <v>38</v>
      </c>
      <c r="AF62" s="2">
        <f>2.5+G62*15/1000</f>
        <v>4</v>
      </c>
      <c r="AG62" s="430">
        <f>2.5+G62*10/1000</f>
        <v>3.5</v>
      </c>
    </row>
    <row r="63" spans="1:33" ht="15.75">
      <c r="A63" s="363" t="s">
        <v>286</v>
      </c>
      <c r="B63" s="200">
        <v>4.2648999999999999</v>
      </c>
      <c r="C63" s="200">
        <v>3.6865000000000001</v>
      </c>
      <c r="D63" s="200">
        <v>3.1071</v>
      </c>
      <c r="E63" s="200">
        <v>2.5257999999999998</v>
      </c>
      <c r="F63" s="202">
        <f>1000*((B63-D63)/10+(B63-C63)/5)/2</f>
        <v>115.72999999999998</v>
      </c>
      <c r="G63" s="203">
        <v>100</v>
      </c>
      <c r="H63" s="201">
        <f>(G63-F63)/F63</f>
        <v>-0.1359198133586795</v>
      </c>
      <c r="I63" s="206">
        <f t="array" ref="I63">INDEX('Gain_offset step test'!$AG$4:$AG$19,MATCH(MIN(IF('Gain_offset step test'!$AG$4:$AG$19&gt;H63,'Gain_offset step test'!$AG$4:$AG$19)),IF('Gain_offset step test'!$AG$4:$AG$19&gt;H63,'Gain_offset step test'!$AG$4:$AG$19),0))</f>
        <v>0.12356481985392632</v>
      </c>
      <c r="J63" s="200">
        <v>4.0503</v>
      </c>
      <c r="K63" s="200">
        <v>3.5428999999999999</v>
      </c>
      <c r="L63" s="200">
        <v>3.0352000000000001</v>
      </c>
      <c r="M63" s="200">
        <v>2.5255999999999998</v>
      </c>
      <c r="N63" s="202">
        <f>1000*((J63-L63)/10+(J63-K63)/5)/2</f>
        <v>101.495</v>
      </c>
      <c r="O63" s="557">
        <f>(G63-N63)/N63</f>
        <v>-1.4729789644810132E-2</v>
      </c>
      <c r="P63" s="186">
        <f t="array" ref="P63">INDEX('Gain_offset step test'!$F$21:$F$52,MATCH(MIN(ABS('Gain_offset step test'!$F$21:$F$52-O63)),ABS('Gain_offset step test'!$F$21:$F$52-O63),0))</f>
        <v>0.86066911118590772</v>
      </c>
      <c r="Q63" s="421">
        <f>(F63+F63*I63)+(F63+F63*I63)*P63</f>
        <v>241.94309591143997</v>
      </c>
      <c r="R63" s="422">
        <f>(2.5-E63)/E63</f>
        <v>-1.0214585477868328E-2</v>
      </c>
      <c r="S63" s="207">
        <f t="array" ref="S63">INDEX('Gain_offset step test'!$AL$55:$AL$70,MATCH(MIN(ABS('Gain_offset step test'!$AL$55:$AL$70-R63)),ABS('Gain_offset step test'!$AL$55:$AL$70-R63),0))</f>
        <v>0.92385130661693504</v>
      </c>
      <c r="T63" s="423">
        <f>((1+R63)/(1+S63))-1</f>
        <v>-0.48551875546834478</v>
      </c>
      <c r="U63" s="429">
        <f t="array" ref="U63">INDEX('Gain_offset step test'!$AL$72:$AL$87,MATCH(MIN(ABS('Gain_offset step test'!$AL$72:$AL$87-T63)),ABS('Gain_offset step test'!$AL$72:$AL$87-T63),0))</f>
        <v>0.98003123080023602</v>
      </c>
      <c r="V63" s="2"/>
      <c r="W63" s="418" t="str">
        <f t="array" ref="W63">INDEX('Gain_offset step test'!$H$4:$AG$19,MATCH(MIN(IF('Gain_offset step test'!$AG$4:$AG$19&gt;H63,'Gain_offset step test'!$AG$4:$AG$19)),IF('Gain_offset step test'!$AG$4:$AG$19&gt;H63,'Gain_offset step test'!$AG$4:$AG$19),0),1)</f>
        <v>E0</v>
      </c>
      <c r="X63" s="418">
        <f t="array" ref="X63">INDEX('Gain_offset step test'!$H$4:$AG$19,MATCH(MIN(IF('Gain_offset step test'!$AG$4:$AG$19&gt;H63,'Gain_offset step test'!$AG$4:$AG$19)),IF('Gain_offset step test'!$AG$4:$AG$19&gt;H63,'Gain_offset step test'!$AG$4:$AG$19),0),2)</f>
        <v>1</v>
      </c>
      <c r="Y63" s="390" t="str">
        <f t="array" ref="Y63">INDEX('Gain_offset step test'!$F$21:$H$52,MATCH(MIN(ABS('Gain_offset step test'!$F$21:$F$52-O63)),ABS('Gain_offset step test'!$F$21:$F$52-O63),0),3)</f>
        <v>1F</v>
      </c>
      <c r="Z63" s="390" t="str">
        <f t="array" ref="Z63">INDEX('Gain_offset step test'!$H$55:$AL$70,MATCH(MIN(ABS('Gain_offset step test'!$AL$55:$AL$70-R63)),ABS('Gain_offset step test'!$AL$55:$AL$70-R63),0),1)</f>
        <v>0</v>
      </c>
      <c r="AA63" s="432" t="str">
        <f t="shared" si="46"/>
        <v>FF</v>
      </c>
      <c r="AB63" s="432" t="str">
        <f t="shared" si="46"/>
        <v>1</v>
      </c>
      <c r="AC63" s="418">
        <f t="array" ref="AC63">INDEX('Gain_offset step test'!$H$55:$AL$70,MATCH(MIN(ABS('Gain_offset step test'!$AL$55:$AL$70-R63)),ABS('Gain_offset step test'!$AL$55:$AL$70-R63),0),2)</f>
        <v>7</v>
      </c>
      <c r="AD63" s="390" t="str">
        <f t="array" ref="AD63">INDEX('Gain_offset step test'!$H$72:$AL$87,MATCH(MIN(ABS('Gain_offset step test'!$AL$72:$AL$87-T63)),ABS('Gain_offset step test'!$AL$72:$AL$87-T63),0),1)</f>
        <v>38</v>
      </c>
      <c r="AE63" s="418" t="str">
        <f>AD63</f>
        <v>38</v>
      </c>
      <c r="AF63" s="2">
        <f>2.5+G63*15/1000</f>
        <v>4</v>
      </c>
      <c r="AG63" s="430">
        <f>2.5+G63*10/1000</f>
        <v>3.5</v>
      </c>
    </row>
    <row r="64" spans="1:33" ht="15.75">
      <c r="A64" s="363" t="s">
        <v>287</v>
      </c>
      <c r="B64" s="200">
        <v>4.3109999999999999</v>
      </c>
      <c r="C64" s="200">
        <v>3.71</v>
      </c>
      <c r="D64" s="200">
        <v>3.1084999999999998</v>
      </c>
      <c r="E64" s="200">
        <v>2.5030000000000001</v>
      </c>
      <c r="F64" s="202">
        <f>1000*((B64-D64)/10+(B64-C64)/5)/2</f>
        <v>120.22499999999999</v>
      </c>
      <c r="G64" s="203">
        <v>100</v>
      </c>
      <c r="H64" s="201">
        <f>(G64-F64)/F64</f>
        <v>-0.16822624246205028</v>
      </c>
      <c r="I64" s="206">
        <f t="array" ref="I64">INDEX('Gain_offset step test'!$AG$4:$AG$19,MATCH(MIN(IF('Gain_offset step test'!$AG$4:$AG$19&gt;H64,'Gain_offset step test'!$AG$4:$AG$19)),IF('Gain_offset step test'!$AG$4:$AG$19&gt;H64,'Gain_offset step test'!$AG$4:$AG$19),0))</f>
        <v>0.12356481985392632</v>
      </c>
      <c r="J64" s="200">
        <v>4.085</v>
      </c>
      <c r="K64" s="200">
        <v>3.5596999999999999</v>
      </c>
      <c r="L64" s="200">
        <v>3.3033000000000001</v>
      </c>
      <c r="M64" s="200">
        <v>2.5032999999999999</v>
      </c>
      <c r="N64" s="202">
        <f>1000*((J64-L64)/10+(J64-K64)/5)/2</f>
        <v>91.615000000000009</v>
      </c>
      <c r="O64" s="557">
        <f>(G64-N64)/N64</f>
        <v>9.1524313704087645E-2</v>
      </c>
      <c r="P64" s="186">
        <f t="array" ref="P64">INDEX('Gain_offset step test'!$F$21:$F$52,MATCH(MIN(ABS('Gain_offset step test'!$F$21:$F$52-O64)),ABS('Gain_offset step test'!$F$21:$F$52-O64),0))</f>
        <v>0.86066911118590772</v>
      </c>
      <c r="Q64" s="421">
        <f>(F64+F64*I64)+(F64+F64*I64)*P64</f>
        <v>251.34026359589453</v>
      </c>
      <c r="R64" s="422">
        <f>(2.5-E64)/E64</f>
        <v>-1.1985617259289308E-3</v>
      </c>
      <c r="S64" s="207">
        <f t="array" ref="S64">INDEX('Gain_offset step test'!$AL$55:$AL$70,MATCH(MIN(ABS('Gain_offset step test'!$AL$55:$AL$70-R64)),ABS('Gain_offset step test'!$AL$55:$AL$70-R64),0))</f>
        <v>0.92385130661693504</v>
      </c>
      <c r="T64" s="423">
        <f>((1+R64)/(1+S64))-1</f>
        <v>-0.48083231025247519</v>
      </c>
      <c r="U64" s="429">
        <f t="array" ref="U64">INDEX('Gain_offset step test'!$AL$72:$AL$87,MATCH(MIN(ABS('Gain_offset step test'!$AL$72:$AL$87-T64)),ABS('Gain_offset step test'!$AL$72:$AL$87-T64),0))</f>
        <v>0.98003123080023602</v>
      </c>
      <c r="V64" s="2"/>
      <c r="W64" s="418" t="str">
        <f t="array" ref="W64">INDEX('Gain_offset step test'!$H$4:$AG$19,MATCH(MIN(IF('Gain_offset step test'!$AG$4:$AG$19&gt;H64,'Gain_offset step test'!$AG$4:$AG$19)),IF('Gain_offset step test'!$AG$4:$AG$19&gt;H64,'Gain_offset step test'!$AG$4:$AG$19),0),1)</f>
        <v>E0</v>
      </c>
      <c r="X64" s="418">
        <f t="array" ref="X64">INDEX('Gain_offset step test'!$H$4:$AG$19,MATCH(MIN(IF('Gain_offset step test'!$AG$4:$AG$19&gt;H64,'Gain_offset step test'!$AG$4:$AG$19)),IF('Gain_offset step test'!$AG$4:$AG$19&gt;H64,'Gain_offset step test'!$AG$4:$AG$19),0),2)</f>
        <v>1</v>
      </c>
      <c r="Y64" s="390" t="str">
        <f t="array" ref="Y64">INDEX('Gain_offset step test'!$F$21:$H$52,MATCH(MIN(ABS('Gain_offset step test'!$F$21:$F$52-O64)),ABS('Gain_offset step test'!$F$21:$F$52-O64),0),3)</f>
        <v>1F</v>
      </c>
      <c r="Z64" s="390" t="str">
        <f t="array" ref="Z64">INDEX('Gain_offset step test'!$H$55:$AL$70,MATCH(MIN(ABS('Gain_offset step test'!$AL$55:$AL$70-R64)),ABS('Gain_offset step test'!$AL$55:$AL$70-R64),0),1)</f>
        <v>0</v>
      </c>
      <c r="AA64" s="432" t="str">
        <f t="shared" si="46"/>
        <v>FF</v>
      </c>
      <c r="AB64" s="432" t="str">
        <f t="shared" si="46"/>
        <v>1</v>
      </c>
      <c r="AC64" s="418">
        <f t="array" ref="AC64">INDEX('Gain_offset step test'!$H$55:$AL$70,MATCH(MIN(ABS('Gain_offset step test'!$AL$55:$AL$70-R64)),ABS('Gain_offset step test'!$AL$55:$AL$70-R64),0),2)</f>
        <v>7</v>
      </c>
      <c r="AD64" s="390" t="str">
        <f t="array" ref="AD64">INDEX('Gain_offset step test'!$H$72:$AL$87,MATCH(MIN(ABS('Gain_offset step test'!$AL$72:$AL$87-T64)),ABS('Gain_offset step test'!$AL$72:$AL$87-T64),0),1)</f>
        <v>38</v>
      </c>
      <c r="AE64" s="418" t="str">
        <f>AD64</f>
        <v>38</v>
      </c>
      <c r="AF64" s="2">
        <f>2.5+G64*15/1000</f>
        <v>4</v>
      </c>
      <c r="AG64" s="430">
        <f>2.5+G64*10/1000</f>
        <v>3.5</v>
      </c>
    </row>
    <row r="65" spans="1:33" ht="15.75">
      <c r="A65" s="2"/>
      <c r="B65" s="4"/>
      <c r="C65" s="4"/>
      <c r="D65" s="4"/>
      <c r="E65" s="4"/>
      <c r="F65" s="10"/>
      <c r="G65" s="10"/>
      <c r="H65" s="13"/>
      <c r="I65" s="466"/>
      <c r="J65" s="4"/>
      <c r="K65" s="4"/>
      <c r="L65" s="4"/>
      <c r="M65" s="4"/>
      <c r="N65" s="10"/>
      <c r="O65" s="561"/>
      <c r="P65" s="467"/>
      <c r="Q65" s="468"/>
      <c r="R65" s="429"/>
      <c r="S65" s="469"/>
      <c r="T65" s="429"/>
      <c r="U65" s="429"/>
      <c r="V65" s="2"/>
      <c r="W65" s="418"/>
      <c r="X65" s="418"/>
      <c r="Y65" s="390"/>
      <c r="Z65" s="390"/>
      <c r="AA65" s="432"/>
      <c r="AB65" s="432"/>
      <c r="AC65" s="418"/>
      <c r="AD65" s="390"/>
      <c r="AE65" s="418"/>
      <c r="AF65" s="2"/>
      <c r="AG65" s="2"/>
    </row>
    <row r="66" spans="1:33">
      <c r="A66" s="465"/>
      <c r="B66" t="s">
        <v>288</v>
      </c>
      <c r="AA66">
        <v>10</v>
      </c>
    </row>
    <row r="67" spans="1:33" ht="15.75">
      <c r="A67" s="363">
        <v>1</v>
      </c>
      <c r="B67" s="200">
        <v>4.4054000000000002</v>
      </c>
      <c r="C67" s="200">
        <v>3.7860999999999998</v>
      </c>
      <c r="D67" s="200">
        <v>3.1665000000000001</v>
      </c>
      <c r="E67" s="200">
        <v>2.5425</v>
      </c>
      <c r="F67" s="202">
        <f t="shared" ref="F67:F72" si="47">1000*((B67-D67)/10+(B67-C67)/5)/2</f>
        <v>123.87500000000004</v>
      </c>
      <c r="G67" s="203">
        <v>40</v>
      </c>
      <c r="H67" s="201">
        <f t="shared" ref="H67:H72" si="48">(G67-F67)/F67</f>
        <v>-0.67709384460141286</v>
      </c>
      <c r="I67" s="206">
        <f t="array" ref="I67">INDEX('Gain_offset step test'!$AG$4:$AG$19,MATCH(MIN(IF('Gain_offset step test'!$AG$4:$AG$19&gt;H67,'Gain_offset step test'!$AG$4:$AG$19)),IF('Gain_offset step test'!$AG$4:$AG$19&gt;H67,'Gain_offset step test'!$AG$4:$AG$19),0))</f>
        <v>0.12356481985392632</v>
      </c>
      <c r="J67" s="200">
        <v>3.1528</v>
      </c>
      <c r="K67" s="200">
        <v>2.952</v>
      </c>
      <c r="L67" s="200">
        <v>2.7475999999999998</v>
      </c>
      <c r="M67" s="200">
        <v>2.5434000000000001</v>
      </c>
      <c r="N67" s="202">
        <f t="shared" ref="N67:N72" si="49">1000*((J67-L67)/10+(J67-K67)/5)/2</f>
        <v>40.340000000000018</v>
      </c>
      <c r="O67" s="557">
        <f t="shared" ref="O67:O72" si="50">(G67-N67)/N67</f>
        <v>-8.4283589489344939E-3</v>
      </c>
      <c r="P67" s="186">
        <f t="array" ref="P67">INDEX('Gain_offset step test'!$F$21:$F$52,MATCH(MIN(ABS('Gain_offset step test'!$F$21:$F$52-O67)),ABS('Gain_offset step test'!$F$21:$F$52-O67),0))</f>
        <v>0.86066911118590772</v>
      </c>
      <c r="Q67" s="421">
        <f t="shared" ref="Q67:Q72" si="51">(F67+F67*I67)+(F67+F67*I67)*P67</f>
        <v>258.97088919061304</v>
      </c>
      <c r="R67" s="422">
        <f t="shared" ref="R67:R72" si="52">(2.5-M67)/M67</f>
        <v>-1.7063772902414131E-2</v>
      </c>
      <c r="S67" s="207">
        <f t="array" ref="S67">INDEX('Gain_offset step test'!$AL$55:$AL$70,MATCH(MIN(ABS('Gain_offset step test'!$AL$55:$AL$70-R67)),ABS('Gain_offset step test'!$AL$55:$AL$70-R67),0))</f>
        <v>0.92385130661693504</v>
      </c>
      <c r="T67" s="423">
        <f t="shared" ref="T67:T72" si="53">((1+R67)/(1+S67))-1</f>
        <v>-0.48907889933236826</v>
      </c>
      <c r="U67" s="429">
        <f t="array" ref="U67">INDEX('Gain_offset step test'!$AL$72:$AL$87,MATCH(MIN(ABS('Gain_offset step test'!$AL$72:$AL$87-T67)),ABS('Gain_offset step test'!$AL$72:$AL$87-T67),0))</f>
        <v>0.98003123080023602</v>
      </c>
      <c r="V67" s="2"/>
      <c r="W67" s="418" t="str">
        <f t="array" ref="W67">INDEX('Gain_offset step test'!$H$4:$AG$19,MATCH(MIN(IF('Gain_offset step test'!$AG$4:$AG$19&gt;H67,'Gain_offset step test'!$AG$4:$AG$19)),IF('Gain_offset step test'!$AG$4:$AG$19&gt;H67,'Gain_offset step test'!$AG$4:$AG$19),0),1)</f>
        <v>E0</v>
      </c>
      <c r="X67" s="418">
        <f t="array" ref="X67">INDEX('Gain_offset step test'!$H$4:$AG$19,MATCH(MIN(IF('Gain_offset step test'!$AG$4:$AG$19&gt;H67,'Gain_offset step test'!$AG$4:$AG$19)),IF('Gain_offset step test'!$AG$4:$AG$19&gt;H67,'Gain_offset step test'!$AG$4:$AG$19),0),2)</f>
        <v>1</v>
      </c>
      <c r="Y67" s="390" t="str">
        <f t="array" ref="Y67">INDEX('Gain_offset step test'!$F$21:$H$52,MATCH(MIN(ABS('Gain_offset step test'!$F$21:$F$52-O67)),ABS('Gain_offset step test'!$F$21:$F$52-O67),0),3)</f>
        <v>1F</v>
      </c>
      <c r="Z67" s="390" t="str">
        <f t="array" ref="Z67">INDEX('Gain_offset step test'!$H$55:$AL$70,MATCH(MIN(ABS('Gain_offset step test'!$AL$55:$AL$70-R67)),ABS('Gain_offset step test'!$AL$55:$AL$70-R67),0),1)</f>
        <v>0</v>
      </c>
      <c r="AA67" s="432" t="str">
        <f t="shared" ref="AA67:AA72" si="54">DEC2HEX(HEX2DEC(W67)+HEX2DEC(Y67))</f>
        <v>FF</v>
      </c>
      <c r="AB67" s="432" t="str">
        <f t="shared" ref="AB67:AB72" si="55">DEC2HEX(HEX2DEC(X67)+HEX2DEC(Z67))</f>
        <v>1</v>
      </c>
      <c r="AC67" s="418">
        <f t="array" ref="AC67">INDEX('Gain_offset step test'!$H$55:$AL$70,MATCH(MIN(ABS('Gain_offset step test'!$AL$55:$AL$70-R67)),ABS('Gain_offset step test'!$AL$55:$AL$70-R67),0),2)</f>
        <v>7</v>
      </c>
      <c r="AD67" s="390" t="str">
        <f t="array" ref="AD67">INDEX('Gain_offset step test'!$H$72:$AL$87,MATCH(MIN(ABS('Gain_offset step test'!$AL$72:$AL$87-T67)),ABS('Gain_offset step test'!$AL$72:$AL$87-T67),0),1)</f>
        <v>38</v>
      </c>
      <c r="AE67" s="418" t="s">
        <v>95</v>
      </c>
      <c r="AF67" s="2">
        <f t="shared" ref="AF67:AF72" si="56">2.5+G67*15/1000</f>
        <v>3.1</v>
      </c>
      <c r="AG67" s="430">
        <f t="shared" ref="AG67:AG72" si="57">2.5+G67*10/1000</f>
        <v>2.9</v>
      </c>
    </row>
    <row r="68" spans="1:33" ht="15.75">
      <c r="A68" s="363">
        <f>A67+1</f>
        <v>2</v>
      </c>
      <c r="B68" s="200">
        <v>4.2522000000000002</v>
      </c>
      <c r="C68" s="200">
        <v>3.6766999999999999</v>
      </c>
      <c r="D68" s="200">
        <v>3.1009000000000002</v>
      </c>
      <c r="E68" s="200">
        <v>2.5232999999999999</v>
      </c>
      <c r="F68" s="202">
        <f t="shared" si="47"/>
        <v>115.11500000000002</v>
      </c>
      <c r="G68" s="203">
        <v>40</v>
      </c>
      <c r="H68" s="201">
        <f t="shared" si="48"/>
        <v>-0.65252139165182654</v>
      </c>
      <c r="I68" s="206">
        <f t="array" ref="I68">INDEX('Gain_offset step test'!$AG$4:$AG$19,MATCH(MIN(IF('Gain_offset step test'!$AG$4:$AG$19&gt;H68,'Gain_offset step test'!$AG$4:$AG$19)),IF('Gain_offset step test'!$AG$4:$AG$19&gt;H68,'Gain_offset step test'!$AG$4:$AG$19),0))</f>
        <v>0.12356481985392632</v>
      </c>
      <c r="J68" s="200">
        <v>3.1819000000000002</v>
      </c>
      <c r="K68" s="200">
        <v>2.9643999999999999</v>
      </c>
      <c r="L68" s="200">
        <v>2.7469999999999999</v>
      </c>
      <c r="M68" s="200">
        <v>2.5276999999999998</v>
      </c>
      <c r="N68" s="202">
        <f t="shared" si="49"/>
        <v>43.49500000000004</v>
      </c>
      <c r="O68" s="557">
        <f t="shared" si="50"/>
        <v>-8.0354063685481938E-2</v>
      </c>
      <c r="P68" s="186">
        <f t="array" ref="P68">INDEX('Gain_offset step test'!$F$21:$F$52,MATCH(MIN(ABS('Gain_offset step test'!$F$21:$F$52-O68)),ABS('Gain_offset step test'!$F$21:$F$52-O68),0))</f>
        <v>0.86066911118590772</v>
      </c>
      <c r="Q68" s="421">
        <f t="shared" si="51"/>
        <v>240.65738776328891</v>
      </c>
      <c r="R68" s="422">
        <f t="shared" si="52"/>
        <v>-1.0958578945286164E-2</v>
      </c>
      <c r="S68" s="207">
        <f t="array" ref="S68">INDEX('Gain_offset step test'!$AL$55:$AL$70,MATCH(MIN(ABS('Gain_offset step test'!$AL$55:$AL$70-R68)),ABS('Gain_offset step test'!$AL$55:$AL$70-R68),0))</f>
        <v>0.92385130661693504</v>
      </c>
      <c r="T68" s="423">
        <f t="shared" si="53"/>
        <v>-0.48590547634685499</v>
      </c>
      <c r="U68" s="429">
        <f t="array" ref="U68">INDEX('Gain_offset step test'!$AL$72:$AL$87,MATCH(MIN(ABS('Gain_offset step test'!$AL$72:$AL$87-T68)),ABS('Gain_offset step test'!$AL$72:$AL$87-T68),0))</f>
        <v>0.98003123080023602</v>
      </c>
      <c r="V68" s="2"/>
      <c r="W68" s="418" t="str">
        <f t="array" ref="W68">INDEX('Gain_offset step test'!$H$4:$AG$19,MATCH(MIN(IF('Gain_offset step test'!$AG$4:$AG$19&gt;H68,'Gain_offset step test'!$AG$4:$AG$19)),IF('Gain_offset step test'!$AG$4:$AG$19&gt;H68,'Gain_offset step test'!$AG$4:$AG$19),0),1)</f>
        <v>E0</v>
      </c>
      <c r="X68" s="418">
        <f t="array" ref="X68">INDEX('Gain_offset step test'!$H$4:$AG$19,MATCH(MIN(IF('Gain_offset step test'!$AG$4:$AG$19&gt;H68,'Gain_offset step test'!$AG$4:$AG$19)),IF('Gain_offset step test'!$AG$4:$AG$19&gt;H68,'Gain_offset step test'!$AG$4:$AG$19),0),2)</f>
        <v>1</v>
      </c>
      <c r="Y68" s="390" t="str">
        <f t="array" ref="Y68">INDEX('Gain_offset step test'!$F$21:$H$52,MATCH(MIN(ABS('Gain_offset step test'!$F$21:$F$52-O68)),ABS('Gain_offset step test'!$F$21:$F$52-O68),0),3)</f>
        <v>1F</v>
      </c>
      <c r="Z68" s="390" t="str">
        <f t="array" ref="Z68">INDEX('Gain_offset step test'!$H$55:$AL$70,MATCH(MIN(ABS('Gain_offset step test'!$AL$55:$AL$70-R68)),ABS('Gain_offset step test'!$AL$55:$AL$70-R68),0),1)</f>
        <v>0</v>
      </c>
      <c r="AA68" s="432" t="str">
        <f t="shared" si="54"/>
        <v>FF</v>
      </c>
      <c r="AB68" s="432" t="str">
        <f t="shared" si="55"/>
        <v>1</v>
      </c>
      <c r="AC68" s="418">
        <f t="array" ref="AC68">INDEX('Gain_offset step test'!$H$55:$AL$70,MATCH(MIN(ABS('Gain_offset step test'!$AL$55:$AL$70-R68)),ABS('Gain_offset step test'!$AL$55:$AL$70-R68),0),2)</f>
        <v>7</v>
      </c>
      <c r="AD68" s="390" t="str">
        <f t="array" ref="AD68">INDEX('Gain_offset step test'!$H$72:$AL$87,MATCH(MIN(ABS('Gain_offset step test'!$AL$72:$AL$87-T68)),ABS('Gain_offset step test'!$AL$72:$AL$87-T68),0),1)</f>
        <v>38</v>
      </c>
      <c r="AE68" s="418">
        <v>0</v>
      </c>
      <c r="AF68" s="2">
        <f t="shared" si="56"/>
        <v>3.1</v>
      </c>
      <c r="AG68" s="430">
        <f t="shared" si="57"/>
        <v>2.9</v>
      </c>
    </row>
    <row r="69" spans="1:33" ht="15.75">
      <c r="A69" s="363">
        <f>A68+1</f>
        <v>3</v>
      </c>
      <c r="B69" s="200">
        <v>4.3666999999999998</v>
      </c>
      <c r="C69" s="200">
        <v>3.7570000000000001</v>
      </c>
      <c r="D69" s="200">
        <v>3.1467999999999998</v>
      </c>
      <c r="E69" s="200">
        <v>2.5324</v>
      </c>
      <c r="F69" s="202">
        <f>1000*((B69-D69)/10+(B69-C69)/5)/2</f>
        <v>121.96499999999996</v>
      </c>
      <c r="G69" s="203">
        <v>40</v>
      </c>
      <c r="H69" s="201">
        <f t="shared" si="48"/>
        <v>-0.67203705981224116</v>
      </c>
      <c r="I69" s="206">
        <f t="array" ref="I69">INDEX('Gain_offset step test'!$AG$4:$AG$19,MATCH(MIN(IF('Gain_offset step test'!$AG$4:$AG$19&gt;H69,'Gain_offset step test'!$AG$4:$AG$19)),IF('Gain_offset step test'!$AG$4:$AG$19&gt;H69,'Gain_offset step test'!$AG$4:$AG$19),0))</f>
        <v>0.12356481985392632</v>
      </c>
      <c r="J69" s="200">
        <v>3.1324000000000001</v>
      </c>
      <c r="K69" s="200">
        <v>2.9329999999999998</v>
      </c>
      <c r="L69" s="200">
        <v>2.7332999999999998</v>
      </c>
      <c r="M69" s="200">
        <v>2.5322</v>
      </c>
      <c r="N69" s="202">
        <f>1000*((J69-L69)/10+(J69-K69)/5)/2</f>
        <v>39.895000000000032</v>
      </c>
      <c r="O69" s="557">
        <f t="shared" si="50"/>
        <v>2.63190876049551E-3</v>
      </c>
      <c r="P69" s="186">
        <f t="array" ref="P69">INDEX('Gain_offset step test'!$F$21:$F$52,MATCH(MIN(ABS('Gain_offset step test'!$F$21:$F$52-O69)),ABS('Gain_offset step test'!$F$21:$F$52-O69),0))</f>
        <v>0.86066911118590772</v>
      </c>
      <c r="Q69" s="421">
        <f t="shared" si="51"/>
        <v>254.97787689310269</v>
      </c>
      <c r="R69" s="422">
        <f t="shared" si="52"/>
        <v>-1.2716215148882397E-2</v>
      </c>
      <c r="S69" s="207">
        <f t="array" ref="S69">INDEX('Gain_offset step test'!$AL$55:$AL$70,MATCH(MIN(ABS('Gain_offset step test'!$AL$55:$AL$70-R69)),ABS('Gain_offset step test'!$AL$55:$AL$70-R69),0))</f>
        <v>0.92385130661693504</v>
      </c>
      <c r="T69" s="423">
        <f t="shared" si="53"/>
        <v>-0.48681907928360535</v>
      </c>
      <c r="U69" s="429">
        <f t="array" ref="U69">INDEX('Gain_offset step test'!$AL$72:$AL$87,MATCH(MIN(ABS('Gain_offset step test'!$AL$72:$AL$87-T69)),ABS('Gain_offset step test'!$AL$72:$AL$87-T69),0))</f>
        <v>0.98003123080023602</v>
      </c>
      <c r="V69" s="2"/>
      <c r="W69" s="418" t="str">
        <f t="array" ref="W69">INDEX('Gain_offset step test'!$H$4:$AG$19,MATCH(MIN(IF('Gain_offset step test'!$AG$4:$AG$19&gt;H69,'Gain_offset step test'!$AG$4:$AG$19)),IF('Gain_offset step test'!$AG$4:$AG$19&gt;H69,'Gain_offset step test'!$AG$4:$AG$19),0),1)</f>
        <v>E0</v>
      </c>
      <c r="X69" s="418">
        <f t="array" ref="X69">INDEX('Gain_offset step test'!$H$4:$AG$19,MATCH(MIN(IF('Gain_offset step test'!$AG$4:$AG$19&gt;H69,'Gain_offset step test'!$AG$4:$AG$19)),IF('Gain_offset step test'!$AG$4:$AG$19&gt;H69,'Gain_offset step test'!$AG$4:$AG$19),0),2)</f>
        <v>1</v>
      </c>
      <c r="Y69" s="390" t="str">
        <f t="array" ref="Y69">INDEX('Gain_offset step test'!$F$21:$H$52,MATCH(MIN(ABS('Gain_offset step test'!$F$21:$F$52-O69)),ABS('Gain_offset step test'!$F$21:$F$52-O69),0),3)</f>
        <v>1F</v>
      </c>
      <c r="Z69" s="390" t="str">
        <f t="array" ref="Z69">INDEX('Gain_offset step test'!$H$55:$AL$70,MATCH(MIN(ABS('Gain_offset step test'!$AL$55:$AL$70-R69)),ABS('Gain_offset step test'!$AL$55:$AL$70-R69),0),1)</f>
        <v>0</v>
      </c>
      <c r="AA69" s="432" t="str">
        <f t="shared" si="54"/>
        <v>FF</v>
      </c>
      <c r="AB69" s="432" t="str">
        <f t="shared" si="55"/>
        <v>1</v>
      </c>
      <c r="AC69" s="418">
        <f t="array" ref="AC69">INDEX('Gain_offset step test'!$H$55:$AL$70,MATCH(MIN(ABS('Gain_offset step test'!$AL$55:$AL$70-R69)),ABS('Gain_offset step test'!$AL$55:$AL$70-R69),0),2)</f>
        <v>7</v>
      </c>
      <c r="AD69" s="390" t="str">
        <f t="array" ref="AD69">INDEX('Gain_offset step test'!$H$72:$AL$87,MATCH(MIN(ABS('Gain_offset step test'!$AL$72:$AL$87-T69)),ABS('Gain_offset step test'!$AL$72:$AL$87-T69),0),1)</f>
        <v>38</v>
      </c>
      <c r="AE69" s="418" t="str">
        <f t="shared" ref="AE69:AE103" si="58">AD69</f>
        <v>38</v>
      </c>
      <c r="AF69" s="2">
        <f t="shared" si="56"/>
        <v>3.1</v>
      </c>
      <c r="AG69" s="430">
        <f t="shared" si="57"/>
        <v>2.9</v>
      </c>
    </row>
    <row r="70" spans="1:33" ht="15.75">
      <c r="A70" s="363">
        <f>A69+1</f>
        <v>4</v>
      </c>
      <c r="B70" s="200">
        <v>4.3898000000000001</v>
      </c>
      <c r="C70" s="200">
        <v>3.7768000000000002</v>
      </c>
      <c r="D70" s="200">
        <v>3.1638000000000002</v>
      </c>
      <c r="E70" s="200">
        <v>2.5426000000000002</v>
      </c>
      <c r="F70" s="202">
        <f>1000*((B70-D70)/10+(B70-C70)/5)/2</f>
        <v>122.6</v>
      </c>
      <c r="G70" s="203">
        <v>40</v>
      </c>
      <c r="H70" s="201">
        <f t="shared" si="48"/>
        <v>-0.67373572593800979</v>
      </c>
      <c r="I70" s="206">
        <f t="array" ref="I70">INDEX('Gain_offset step test'!$AG$4:$AG$19,MATCH(MIN(IF('Gain_offset step test'!$AG$4:$AG$19&gt;H70,'Gain_offset step test'!$AG$4:$AG$19)),IF('Gain_offset step test'!$AG$4:$AG$19&gt;H70,'Gain_offset step test'!$AG$4:$AG$19),0))</f>
        <v>0.12356481985392632</v>
      </c>
      <c r="J70" s="200">
        <v>3.1473</v>
      </c>
      <c r="K70" s="200">
        <v>2.9468000000000001</v>
      </c>
      <c r="L70" s="200">
        <v>2.7462</v>
      </c>
      <c r="M70" s="200">
        <v>2.5449999999999999</v>
      </c>
      <c r="N70" s="202">
        <f t="shared" si="49"/>
        <v>40.10499999999999</v>
      </c>
      <c r="O70" s="557">
        <f t="shared" si="50"/>
        <v>-2.6181274155339684E-3</v>
      </c>
      <c r="P70" s="186">
        <f t="array" ref="P70">INDEX('Gain_offset step test'!$F$21:$F$52,MATCH(MIN(ABS('Gain_offset step test'!$F$21:$F$52-O70)),ABS('Gain_offset step test'!$F$21:$F$52-O70),0))</f>
        <v>0.86066911118590772</v>
      </c>
      <c r="Q70" s="421">
        <f t="shared" si="51"/>
        <v>256.30539668834831</v>
      </c>
      <c r="R70" s="422">
        <f t="shared" si="52"/>
        <v>-1.7681728880157142E-2</v>
      </c>
      <c r="S70" s="207">
        <f t="array" ref="S70">INDEX('Gain_offset step test'!$AL$55:$AL$70,MATCH(MIN(ABS('Gain_offset step test'!$AL$55:$AL$70-R70)),ABS('Gain_offset step test'!$AL$55:$AL$70-R70),0))</f>
        <v>0.92385130661693504</v>
      </c>
      <c r="T70" s="423">
        <f t="shared" si="53"/>
        <v>-0.48940010709703163</v>
      </c>
      <c r="U70" s="429">
        <f t="array" ref="U70">INDEX('Gain_offset step test'!$AL$72:$AL$87,MATCH(MIN(ABS('Gain_offset step test'!$AL$72:$AL$87-T70)),ABS('Gain_offset step test'!$AL$72:$AL$87-T70),0))</f>
        <v>0.98003123080023602</v>
      </c>
      <c r="V70" s="2"/>
      <c r="W70" s="418" t="str">
        <f t="array" ref="W70">INDEX('Gain_offset step test'!$H$4:$AG$19,MATCH(MIN(IF('Gain_offset step test'!$AG$4:$AG$19&gt;H70,'Gain_offset step test'!$AG$4:$AG$19)),IF('Gain_offset step test'!$AG$4:$AG$19&gt;H70,'Gain_offset step test'!$AG$4:$AG$19),0),1)</f>
        <v>E0</v>
      </c>
      <c r="X70" s="418">
        <f t="array" ref="X70">INDEX('Gain_offset step test'!$H$4:$AG$19,MATCH(MIN(IF('Gain_offset step test'!$AG$4:$AG$19&gt;H70,'Gain_offset step test'!$AG$4:$AG$19)),IF('Gain_offset step test'!$AG$4:$AG$19&gt;H70,'Gain_offset step test'!$AG$4:$AG$19),0),2)</f>
        <v>1</v>
      </c>
      <c r="Y70" s="390" t="str">
        <f t="array" ref="Y70">INDEX('Gain_offset step test'!$F$21:$H$52,MATCH(MIN(ABS('Gain_offset step test'!$F$21:$F$52-O70)),ABS('Gain_offset step test'!$F$21:$F$52-O70),0),3)</f>
        <v>1F</v>
      </c>
      <c r="Z70" s="390" t="str">
        <f t="array" ref="Z70">INDEX('Gain_offset step test'!$H$55:$AL$70,MATCH(MIN(ABS('Gain_offset step test'!$AL$55:$AL$70-R70)),ABS('Gain_offset step test'!$AL$55:$AL$70-R70),0),1)</f>
        <v>0</v>
      </c>
      <c r="AA70" s="432" t="str">
        <f t="shared" si="54"/>
        <v>FF</v>
      </c>
      <c r="AB70" s="432" t="str">
        <f t="shared" si="55"/>
        <v>1</v>
      </c>
      <c r="AC70" s="418">
        <f t="array" ref="AC70">INDEX('Gain_offset step test'!$H$55:$AL$70,MATCH(MIN(ABS('Gain_offset step test'!$AL$55:$AL$70-R70)),ABS('Gain_offset step test'!$AL$55:$AL$70-R70),0),2)</f>
        <v>7</v>
      </c>
      <c r="AD70" s="390" t="str">
        <f t="array" ref="AD70">INDEX('Gain_offset step test'!$H$72:$AL$87,MATCH(MIN(ABS('Gain_offset step test'!$AL$72:$AL$87-T70)),ABS('Gain_offset step test'!$AL$72:$AL$87-T70),0),1)</f>
        <v>38</v>
      </c>
      <c r="AE70" s="418" t="str">
        <f t="shared" si="58"/>
        <v>38</v>
      </c>
      <c r="AF70" s="2">
        <f t="shared" si="56"/>
        <v>3.1</v>
      </c>
      <c r="AG70" s="430">
        <f t="shared" si="57"/>
        <v>2.9</v>
      </c>
    </row>
    <row r="71" spans="1:33" ht="15.75">
      <c r="A71" s="363">
        <f>A70+1</f>
        <v>5</v>
      </c>
      <c r="B71" s="200">
        <v>4.3287000000000004</v>
      </c>
      <c r="C71" s="200">
        <v>3.7319</v>
      </c>
      <c r="D71" s="200">
        <v>3.133</v>
      </c>
      <c r="E71" s="200">
        <v>2.5329000000000002</v>
      </c>
      <c r="F71" s="202">
        <f t="shared" si="47"/>
        <v>119.46500000000007</v>
      </c>
      <c r="G71" s="203">
        <v>40</v>
      </c>
      <c r="H71" s="201">
        <f t="shared" si="48"/>
        <v>-0.66517390030552903</v>
      </c>
      <c r="I71" s="206">
        <f t="array" ref="I71">INDEX('Gain_offset step test'!$AG$4:$AG$19,MATCH(MIN(IF('Gain_offset step test'!$AG$4:$AG$19&gt;H71,'Gain_offset step test'!$AG$4:$AG$19)),IF('Gain_offset step test'!$AG$4:$AG$19&gt;H71,'Gain_offset step test'!$AG$4:$AG$19),0))</f>
        <v>0.12356481985392632</v>
      </c>
      <c r="J71" s="200">
        <v>3.22</v>
      </c>
      <c r="K71" s="200">
        <v>2.9950000000000001</v>
      </c>
      <c r="L71" s="200">
        <v>2.7694000000000001</v>
      </c>
      <c r="M71" s="200">
        <v>2.5432999999999999</v>
      </c>
      <c r="N71" s="202">
        <f t="shared" si="49"/>
        <v>45.030000000000015</v>
      </c>
      <c r="O71" s="557">
        <f t="shared" si="50"/>
        <v>-0.11170330890517463</v>
      </c>
      <c r="P71" s="186">
        <f t="array" ref="P71">INDEX('Gain_offset step test'!$F$21:$F$52,MATCH(MIN(ABS('Gain_offset step test'!$F$21:$F$52-O71)),ABS('Gain_offset step test'!$F$21:$F$52-O71),0))</f>
        <v>0.86066911118590772</v>
      </c>
      <c r="Q71" s="421">
        <f t="shared" si="51"/>
        <v>249.7514210063095</v>
      </c>
      <c r="R71" s="422">
        <f t="shared" si="52"/>
        <v>-1.7025124837809106E-2</v>
      </c>
      <c r="S71" s="207">
        <f t="array" ref="S71">INDEX('Gain_offset step test'!$AL$55:$AL$70,MATCH(MIN(ABS('Gain_offset step test'!$AL$55:$AL$70-R71)),ABS('Gain_offset step test'!$AL$55:$AL$70-R71),0))</f>
        <v>0.92385130661693504</v>
      </c>
      <c r="T71" s="423">
        <f t="shared" si="53"/>
        <v>-0.48905881042816235</v>
      </c>
      <c r="U71" s="429">
        <f t="array" ref="U71">INDEX('Gain_offset step test'!$AL$72:$AL$87,MATCH(MIN(ABS('Gain_offset step test'!$AL$72:$AL$87-T71)),ABS('Gain_offset step test'!$AL$72:$AL$87-T71),0))</f>
        <v>0.98003123080023602</v>
      </c>
      <c r="V71" s="2"/>
      <c r="W71" s="418" t="str">
        <f t="array" ref="W71">INDEX('Gain_offset step test'!$H$4:$AG$19,MATCH(MIN(IF('Gain_offset step test'!$AG$4:$AG$19&gt;H71,'Gain_offset step test'!$AG$4:$AG$19)),IF('Gain_offset step test'!$AG$4:$AG$19&gt;H71,'Gain_offset step test'!$AG$4:$AG$19),0),1)</f>
        <v>E0</v>
      </c>
      <c r="X71" s="418">
        <f t="array" ref="X71">INDEX('Gain_offset step test'!$H$4:$AG$19,MATCH(MIN(IF('Gain_offset step test'!$AG$4:$AG$19&gt;H71,'Gain_offset step test'!$AG$4:$AG$19)),IF('Gain_offset step test'!$AG$4:$AG$19&gt;H71,'Gain_offset step test'!$AG$4:$AG$19),0),2)</f>
        <v>1</v>
      </c>
      <c r="Y71" s="390" t="str">
        <f t="array" ref="Y71">INDEX('Gain_offset step test'!$F$21:$H$52,MATCH(MIN(ABS('Gain_offset step test'!$F$21:$F$52-O71)),ABS('Gain_offset step test'!$F$21:$F$52-O71),0),3)</f>
        <v>1F</v>
      </c>
      <c r="Z71" s="390" t="str">
        <f t="array" ref="Z71">INDEX('Gain_offset step test'!$H$55:$AL$70,MATCH(MIN(ABS('Gain_offset step test'!$AL$55:$AL$70-R71)),ABS('Gain_offset step test'!$AL$55:$AL$70-R71),0),1)</f>
        <v>0</v>
      </c>
      <c r="AA71" s="432" t="str">
        <f t="shared" si="54"/>
        <v>FF</v>
      </c>
      <c r="AB71" s="432" t="str">
        <f t="shared" si="55"/>
        <v>1</v>
      </c>
      <c r="AC71" s="418">
        <f t="array" ref="AC71">INDEX('Gain_offset step test'!$H$55:$AL$70,MATCH(MIN(ABS('Gain_offset step test'!$AL$55:$AL$70-R71)),ABS('Gain_offset step test'!$AL$55:$AL$70-R71),0),2)</f>
        <v>7</v>
      </c>
      <c r="AD71" s="390" t="str">
        <f t="array" ref="AD71">INDEX('Gain_offset step test'!$H$72:$AL$87,MATCH(MIN(ABS('Gain_offset step test'!$AL$72:$AL$87-T71)),ABS('Gain_offset step test'!$AL$72:$AL$87-T71),0),1)</f>
        <v>38</v>
      </c>
      <c r="AE71" s="418">
        <v>10</v>
      </c>
      <c r="AF71" s="2">
        <f t="shared" si="56"/>
        <v>3.1</v>
      </c>
      <c r="AG71" s="430">
        <f t="shared" si="57"/>
        <v>2.9</v>
      </c>
    </row>
    <row r="72" spans="1:33" ht="15.75">
      <c r="A72" s="363">
        <f>A71+1</f>
        <v>6</v>
      </c>
      <c r="B72" s="200">
        <v>4.3844000000000003</v>
      </c>
      <c r="C72" s="200">
        <v>3.778</v>
      </c>
      <c r="D72" s="200">
        <v>3.1717</v>
      </c>
      <c r="E72" s="200">
        <v>2.5613999999999999</v>
      </c>
      <c r="F72" s="202">
        <f t="shared" si="47"/>
        <v>121.27500000000005</v>
      </c>
      <c r="G72" s="203">
        <v>40</v>
      </c>
      <c r="H72" s="201">
        <f t="shared" si="48"/>
        <v>-0.67017109874252745</v>
      </c>
      <c r="I72" s="206">
        <f t="array" ref="I72">INDEX('Gain_offset step test'!$AG$4:$AG$19,MATCH(MIN(IF('Gain_offset step test'!$AG$4:$AG$19&gt;H72,'Gain_offset step test'!$AG$4:$AG$19)),IF('Gain_offset step test'!$AG$4:$AG$19&gt;H72,'Gain_offset step test'!$AG$4:$AG$19),0))</f>
        <v>0.12356481985392632</v>
      </c>
      <c r="J72" s="200">
        <v>3.2450000000000001</v>
      </c>
      <c r="K72" s="200">
        <v>3.0164</v>
      </c>
      <c r="L72" s="200">
        <v>2.7877999999999998</v>
      </c>
      <c r="M72" s="200">
        <v>2.5573000000000001</v>
      </c>
      <c r="N72" s="202">
        <f t="shared" si="49"/>
        <v>45.720000000000027</v>
      </c>
      <c r="O72" s="557">
        <f t="shared" si="50"/>
        <v>-0.1251093613298343</v>
      </c>
      <c r="P72" s="186">
        <f t="array" ref="P72">INDEX('Gain_offset step test'!$F$21:$F$52,MATCH(MIN(ABS('Gain_offset step test'!$F$21:$F$52-O72)),ABS('Gain_offset step test'!$F$21:$F$52-O72),0))</f>
        <v>0.86066911118590772</v>
      </c>
      <c r="Q72" s="421">
        <f t="shared" si="51"/>
        <v>253.53537506834789</v>
      </c>
      <c r="R72" s="422">
        <f t="shared" si="52"/>
        <v>-2.2406444296719244E-2</v>
      </c>
      <c r="S72" s="207">
        <f t="array" ref="S72">INDEX('Gain_offset step test'!$AL$55:$AL$70,MATCH(MIN(ABS('Gain_offset step test'!$AL$55:$AL$70-R72)),ABS('Gain_offset step test'!$AL$55:$AL$70-R72),0))</f>
        <v>0.92385130661693504</v>
      </c>
      <c r="T72" s="423">
        <f t="shared" si="53"/>
        <v>-0.4918559701880677</v>
      </c>
      <c r="U72" s="429">
        <f t="array" ref="U72">INDEX('Gain_offset step test'!$AL$72:$AL$87,MATCH(MIN(ABS('Gain_offset step test'!$AL$72:$AL$87-T72)),ABS('Gain_offset step test'!$AL$72:$AL$87-T72),0))</f>
        <v>0.98003123080023602</v>
      </c>
      <c r="V72" s="2"/>
      <c r="W72" s="418" t="str">
        <f t="array" ref="W72">INDEX('Gain_offset step test'!$H$4:$AG$19,MATCH(MIN(IF('Gain_offset step test'!$AG$4:$AG$19&gt;H72,'Gain_offset step test'!$AG$4:$AG$19)),IF('Gain_offset step test'!$AG$4:$AG$19&gt;H72,'Gain_offset step test'!$AG$4:$AG$19),0),1)</f>
        <v>E0</v>
      </c>
      <c r="X72" s="418">
        <f t="array" ref="X72">INDEX('Gain_offset step test'!$H$4:$AG$19,MATCH(MIN(IF('Gain_offset step test'!$AG$4:$AG$19&gt;H72,'Gain_offset step test'!$AG$4:$AG$19)),IF('Gain_offset step test'!$AG$4:$AG$19&gt;H72,'Gain_offset step test'!$AG$4:$AG$19),0),2)</f>
        <v>1</v>
      </c>
      <c r="Y72" s="390" t="str">
        <f t="array" ref="Y72">INDEX('Gain_offset step test'!$F$21:$H$52,MATCH(MIN(ABS('Gain_offset step test'!$F$21:$F$52-O72)),ABS('Gain_offset step test'!$F$21:$F$52-O72),0),3)</f>
        <v>1F</v>
      </c>
      <c r="Z72" s="390" t="str">
        <f t="array" ref="Z72">INDEX('Gain_offset step test'!$H$55:$AL$70,MATCH(MIN(ABS('Gain_offset step test'!$AL$55:$AL$70-R72)),ABS('Gain_offset step test'!$AL$55:$AL$70-R72),0),1)</f>
        <v>0</v>
      </c>
      <c r="AA72" s="432" t="str">
        <f t="shared" si="54"/>
        <v>FF</v>
      </c>
      <c r="AB72" s="432" t="str">
        <f t="shared" si="55"/>
        <v>1</v>
      </c>
      <c r="AC72" s="418">
        <f t="array" ref="AC72">INDEX('Gain_offset step test'!$H$55:$AL$70,MATCH(MIN(ABS('Gain_offset step test'!$AL$55:$AL$70-R72)),ABS('Gain_offset step test'!$AL$55:$AL$70-R72),0),2)</f>
        <v>7</v>
      </c>
      <c r="AD72" s="390" t="str">
        <f t="array" ref="AD72">INDEX('Gain_offset step test'!$H$72:$AL$87,MATCH(MIN(ABS('Gain_offset step test'!$AL$72:$AL$87-T72)),ABS('Gain_offset step test'!$AL$72:$AL$87-T72),0),1)</f>
        <v>38</v>
      </c>
      <c r="AE72" s="418" t="str">
        <f t="shared" si="58"/>
        <v>38</v>
      </c>
      <c r="AF72" s="2">
        <f t="shared" si="56"/>
        <v>3.1</v>
      </c>
      <c r="AG72" s="430">
        <f t="shared" si="57"/>
        <v>2.9</v>
      </c>
    </row>
    <row r="73" spans="1:33" ht="15.75">
      <c r="A73" s="363">
        <f t="shared" ref="A73:A112" si="59">A72+1</f>
        <v>7</v>
      </c>
      <c r="B73" s="200">
        <v>4.2835000000000001</v>
      </c>
      <c r="C73" s="200">
        <v>3.6909999999999998</v>
      </c>
      <c r="D73" s="200">
        <v>3.0992000000000002</v>
      </c>
      <c r="E73" s="200">
        <v>2.5009999999999999</v>
      </c>
      <c r="F73" s="202">
        <f t="shared" ref="F73:F112" si="60">1000*((B73-D73)/10+(B73-C73)/5)/2</f>
        <v>118.46500000000002</v>
      </c>
      <c r="G73" s="203">
        <v>40</v>
      </c>
      <c r="H73" s="201">
        <f t="shared" ref="H73:H103" si="61">(G73-F73)/F73</f>
        <v>-0.66234752880597647</v>
      </c>
      <c r="I73" s="206">
        <f t="array" ref="I73">INDEX('Gain_offset step test'!$AG$4:$AG$19,MATCH(MIN(IF('Gain_offset step test'!$AG$4:$AG$19&gt;H73,'Gain_offset step test'!$AG$4:$AG$19)),IF('Gain_offset step test'!$AG$4:$AG$19&gt;H73,'Gain_offset step test'!$AG$4:$AG$19),0))</f>
        <v>0.12356481985392632</v>
      </c>
      <c r="J73" s="200">
        <v>3.1646999999999998</v>
      </c>
      <c r="K73" s="200">
        <v>2.9409999999999998</v>
      </c>
      <c r="L73" s="200">
        <v>2.7176</v>
      </c>
      <c r="M73" s="200">
        <v>2.4929999999999999</v>
      </c>
      <c r="N73" s="202">
        <f t="shared" ref="N73:N103" si="62">1000*((J73-L73)/10+(J73-K73)/5)/2</f>
        <v>44.724999999999994</v>
      </c>
      <c r="O73" s="557">
        <f t="shared" ref="O73:O103" si="63">(G73-N73)/N73</f>
        <v>-0.10564561207378412</v>
      </c>
      <c r="P73" s="186">
        <f t="array" ref="P73">INDEX('Gain_offset step test'!$F$21:$F$52,MATCH(MIN(ABS('Gain_offset step test'!$F$21:$F$52-O73)),ABS('Gain_offset step test'!$F$21:$F$52-O73),0))</f>
        <v>0.86066911118590772</v>
      </c>
      <c r="Q73" s="421">
        <f t="shared" ref="Q73:Q112" si="64">(F73+F73*I73)+(F73+F73*I73)*P73</f>
        <v>247.66083865159203</v>
      </c>
      <c r="R73" s="422">
        <f t="shared" ref="R73:R103" si="65">(2.5-M73)/M73</f>
        <v>2.8078620136382341E-3</v>
      </c>
      <c r="S73" s="207">
        <f t="array" ref="S73">INDEX('Gain_offset step test'!$AL$55:$AL$70,MATCH(MIN(ABS('Gain_offset step test'!$AL$55:$AL$70-R73)),ABS('Gain_offset step test'!$AL$55:$AL$70-R73),0))</f>
        <v>0.92385130661693504</v>
      </c>
      <c r="T73" s="423">
        <f t="shared" ref="T73:T103" si="66">((1+R73)/(1+S73))-1</f>
        <v>-0.47874980848854609</v>
      </c>
      <c r="U73" s="429">
        <f t="array" ref="U73">INDEX('Gain_offset step test'!$AL$72:$AL$87,MATCH(MIN(ABS('Gain_offset step test'!$AL$72:$AL$87-T73)),ABS('Gain_offset step test'!$AL$72:$AL$87-T73),0))</f>
        <v>0.98003123080023602</v>
      </c>
      <c r="V73" s="2"/>
      <c r="W73" s="418" t="str">
        <f t="array" ref="W73">INDEX('Gain_offset step test'!$H$4:$AG$19,MATCH(MIN(IF('Gain_offset step test'!$AG$4:$AG$19&gt;H73,'Gain_offset step test'!$AG$4:$AG$19)),IF('Gain_offset step test'!$AG$4:$AG$19&gt;H73,'Gain_offset step test'!$AG$4:$AG$19),0),1)</f>
        <v>E0</v>
      </c>
      <c r="X73" s="418">
        <f t="array" ref="X73">INDEX('Gain_offset step test'!$H$4:$AG$19,MATCH(MIN(IF('Gain_offset step test'!$AG$4:$AG$19&gt;H73,'Gain_offset step test'!$AG$4:$AG$19)),IF('Gain_offset step test'!$AG$4:$AG$19&gt;H73,'Gain_offset step test'!$AG$4:$AG$19),0),2)</f>
        <v>1</v>
      </c>
      <c r="Y73" s="390" t="str">
        <f t="array" ref="Y73">INDEX('Gain_offset step test'!$F$21:$H$52,MATCH(MIN(ABS('Gain_offset step test'!$F$21:$F$52-O73)),ABS('Gain_offset step test'!$F$21:$F$52-O73),0),3)</f>
        <v>1F</v>
      </c>
      <c r="Z73" s="390" t="str">
        <f t="array" ref="Z73">INDEX('Gain_offset step test'!$H$55:$AL$70,MATCH(MIN(ABS('Gain_offset step test'!$AL$55:$AL$70-R73)),ABS('Gain_offset step test'!$AL$55:$AL$70-R73),0),1)</f>
        <v>0</v>
      </c>
      <c r="AA73" s="432" t="str">
        <f t="shared" ref="AA73:AA103" si="67">DEC2HEX(HEX2DEC(W73)+HEX2DEC(Y73))</f>
        <v>FF</v>
      </c>
      <c r="AB73" s="432" t="str">
        <f t="shared" ref="AB73:AB103" si="68">DEC2HEX(HEX2DEC(X73)+HEX2DEC(Z73))</f>
        <v>1</v>
      </c>
      <c r="AC73" s="418">
        <f t="array" ref="AC73">INDEX('Gain_offset step test'!$H$55:$AL$70,MATCH(MIN(ABS('Gain_offset step test'!$AL$55:$AL$70-R73)),ABS('Gain_offset step test'!$AL$55:$AL$70-R73),0),2)</f>
        <v>7</v>
      </c>
      <c r="AD73" s="390" t="str">
        <f t="array" ref="AD73">INDEX('Gain_offset step test'!$H$72:$AL$87,MATCH(MIN(ABS('Gain_offset step test'!$AL$72:$AL$87-T73)),ABS('Gain_offset step test'!$AL$72:$AL$87-T73),0),1)</f>
        <v>38</v>
      </c>
      <c r="AE73" s="418" t="str">
        <f t="shared" si="58"/>
        <v>38</v>
      </c>
      <c r="AF73" s="2">
        <f t="shared" ref="AF73:AF112" si="69">2.5+G73*15/1000</f>
        <v>3.1</v>
      </c>
      <c r="AG73" s="430">
        <f t="shared" ref="AG73:AG112" si="70">2.5+G73*10/1000</f>
        <v>2.9</v>
      </c>
    </row>
    <row r="74" spans="1:33" ht="15.75">
      <c r="A74" s="363">
        <f t="shared" si="59"/>
        <v>8</v>
      </c>
      <c r="B74" s="200">
        <v>4.2666000000000004</v>
      </c>
      <c r="C74" s="200">
        <v>3.6806999999999999</v>
      </c>
      <c r="D74" s="200">
        <v>3.0939999999999999</v>
      </c>
      <c r="E74" s="200">
        <v>2.5057</v>
      </c>
      <c r="F74" s="202">
        <f t="shared" si="60"/>
        <v>117.22000000000007</v>
      </c>
      <c r="G74" s="203">
        <v>40</v>
      </c>
      <c r="H74" s="201">
        <f t="shared" si="61"/>
        <v>-0.65876130353182072</v>
      </c>
      <c r="I74" s="206">
        <f t="array" ref="I74">INDEX('Gain_offset step test'!$AG$4:$AG$19,MATCH(MIN(IF('Gain_offset step test'!$AG$4:$AG$19&gt;H74,'Gain_offset step test'!$AG$4:$AG$19)),IF('Gain_offset step test'!$AG$4:$AG$19&gt;H74,'Gain_offset step test'!$AG$4:$AG$19),0))</f>
        <v>0.12356481985392632</v>
      </c>
      <c r="J74" s="200">
        <v>3.1798999999999999</v>
      </c>
      <c r="K74" s="200">
        <v>2.9584000000000001</v>
      </c>
      <c r="L74" s="200">
        <v>2.7366999999999999</v>
      </c>
      <c r="M74" s="200">
        <v>2.5150000000000001</v>
      </c>
      <c r="N74" s="202">
        <f>1000*((J74-L74)/10+(J74-K74)/5)/2</f>
        <v>44.309999999999988</v>
      </c>
      <c r="O74" s="557">
        <f t="shared" si="63"/>
        <v>-9.7269239449333994E-2</v>
      </c>
      <c r="P74" s="186">
        <f t="array" ref="P74">INDEX('Gain_offset step test'!$F$21:$F$52,MATCH(MIN(ABS('Gain_offset step test'!$F$21:$F$52-O74)),ABS('Gain_offset step test'!$F$21:$F$52-O74),0))</f>
        <v>0.86066911118590772</v>
      </c>
      <c r="Q74" s="421">
        <f t="shared" si="64"/>
        <v>245.05806361996903</v>
      </c>
      <c r="R74" s="422">
        <f t="shared" si="65"/>
        <v>-5.9642147117296715E-3</v>
      </c>
      <c r="S74" s="207">
        <f t="array" ref="S74">INDEX('Gain_offset step test'!$AL$55:$AL$70,MATCH(MIN(ABS('Gain_offset step test'!$AL$55:$AL$70-R74)),ABS('Gain_offset step test'!$AL$55:$AL$70-R74),0))</f>
        <v>0.92385130661693504</v>
      </c>
      <c r="T74" s="423">
        <f t="shared" si="66"/>
        <v>-0.48330945231091271</v>
      </c>
      <c r="U74" s="429">
        <f t="array" ref="U74">INDEX('Gain_offset step test'!$AL$72:$AL$87,MATCH(MIN(ABS('Gain_offset step test'!$AL$72:$AL$87-T74)),ABS('Gain_offset step test'!$AL$72:$AL$87-T74),0))</f>
        <v>0.98003123080023602</v>
      </c>
      <c r="V74" s="2"/>
      <c r="W74" s="418" t="str">
        <f t="array" ref="W74">INDEX('Gain_offset step test'!$H$4:$AG$19,MATCH(MIN(IF('Gain_offset step test'!$AG$4:$AG$19&gt;H74,'Gain_offset step test'!$AG$4:$AG$19)),IF('Gain_offset step test'!$AG$4:$AG$19&gt;H74,'Gain_offset step test'!$AG$4:$AG$19),0),1)</f>
        <v>E0</v>
      </c>
      <c r="X74" s="418">
        <f t="array" ref="X74">INDEX('Gain_offset step test'!$H$4:$AG$19,MATCH(MIN(IF('Gain_offset step test'!$AG$4:$AG$19&gt;H74,'Gain_offset step test'!$AG$4:$AG$19)),IF('Gain_offset step test'!$AG$4:$AG$19&gt;H74,'Gain_offset step test'!$AG$4:$AG$19),0),2)</f>
        <v>1</v>
      </c>
      <c r="Y74" s="390" t="str">
        <f t="array" ref="Y74">INDEX('Gain_offset step test'!$F$21:$H$52,MATCH(MIN(ABS('Gain_offset step test'!$F$21:$F$52-O74)),ABS('Gain_offset step test'!$F$21:$F$52-O74),0),3)</f>
        <v>1F</v>
      </c>
      <c r="Z74" s="390" t="str">
        <f t="array" ref="Z74">INDEX('Gain_offset step test'!$H$55:$AL$70,MATCH(MIN(ABS('Gain_offset step test'!$AL$55:$AL$70-R74)),ABS('Gain_offset step test'!$AL$55:$AL$70-R74),0),1)</f>
        <v>0</v>
      </c>
      <c r="AA74" s="432" t="str">
        <f t="shared" si="67"/>
        <v>FF</v>
      </c>
      <c r="AB74" s="432" t="str">
        <f t="shared" si="68"/>
        <v>1</v>
      </c>
      <c r="AC74" s="418">
        <f t="array" ref="AC74">INDEX('Gain_offset step test'!$H$55:$AL$70,MATCH(MIN(ABS('Gain_offset step test'!$AL$55:$AL$70-R74)),ABS('Gain_offset step test'!$AL$55:$AL$70-R74),0),2)</f>
        <v>7</v>
      </c>
      <c r="AD74" s="390" t="str">
        <f t="array" ref="AD74">INDEX('Gain_offset step test'!$H$72:$AL$87,MATCH(MIN(ABS('Gain_offset step test'!$AL$72:$AL$87-T74)),ABS('Gain_offset step test'!$AL$72:$AL$87-T74),0),1)</f>
        <v>38</v>
      </c>
      <c r="AE74" s="418" t="str">
        <f t="shared" si="58"/>
        <v>38</v>
      </c>
      <c r="AF74" s="2">
        <f t="shared" si="69"/>
        <v>3.1</v>
      </c>
      <c r="AG74" s="430">
        <f t="shared" si="70"/>
        <v>2.9</v>
      </c>
    </row>
    <row r="75" spans="1:33" ht="15.75">
      <c r="A75" s="363">
        <f t="shared" si="59"/>
        <v>9</v>
      </c>
      <c r="B75" s="200">
        <v>4.2549999999999999</v>
      </c>
      <c r="C75" s="200">
        <v>3.6676000000000002</v>
      </c>
      <c r="D75" s="200">
        <v>3.0806</v>
      </c>
      <c r="E75" s="200">
        <v>2.4927000000000001</v>
      </c>
      <c r="F75" s="202">
        <f t="shared" si="60"/>
        <v>117.45999999999997</v>
      </c>
      <c r="G75" s="203">
        <v>40</v>
      </c>
      <c r="H75" s="201">
        <f t="shared" si="61"/>
        <v>-0.65945853907713259</v>
      </c>
      <c r="I75" s="206">
        <f t="array" ref="I75">INDEX('Gain_offset step test'!$AG$4:$AG$19,MATCH(MIN(IF('Gain_offset step test'!$AG$4:$AG$19&gt;H75,'Gain_offset step test'!$AG$4:$AG$19)),IF('Gain_offset step test'!$AG$4:$AG$19&gt;H75,'Gain_offset step test'!$AG$4:$AG$19),0))</f>
        <v>0.12356481985392632</v>
      </c>
      <c r="J75" s="200">
        <v>3.1591999999999998</v>
      </c>
      <c r="K75" s="200">
        <v>2.9382000000000001</v>
      </c>
      <c r="L75" s="200">
        <v>2.7166999999999999</v>
      </c>
      <c r="M75" s="200">
        <v>2.4935</v>
      </c>
      <c r="N75" s="202">
        <f t="shared" si="62"/>
        <v>44.224999999999959</v>
      </c>
      <c r="O75" s="557">
        <f t="shared" si="63"/>
        <v>-9.5534200113057383E-2</v>
      </c>
      <c r="P75" s="186">
        <f t="array" ref="P75">INDEX('Gain_offset step test'!$F$21:$F$52,MATCH(MIN(ABS('Gain_offset step test'!$F$21:$F$52-O75)),ABS('Gain_offset step test'!$F$21:$F$52-O75),0))</f>
        <v>0.86066911118590772</v>
      </c>
      <c r="Q75" s="421">
        <f t="shared" si="64"/>
        <v>245.55980338510102</v>
      </c>
      <c r="R75" s="422">
        <f t="shared" si="65"/>
        <v>2.6067776218167034E-3</v>
      </c>
      <c r="S75" s="207">
        <f t="array" ref="S75">INDEX('Gain_offset step test'!$AL$55:$AL$70,MATCH(MIN(ABS('Gain_offset step test'!$AL$55:$AL$70-R75)),ABS('Gain_offset step test'!$AL$55:$AL$70-R75),0))</f>
        <v>0.92385130661693504</v>
      </c>
      <c r="T75" s="423">
        <f t="shared" si="66"/>
        <v>-0.47885433028351532</v>
      </c>
      <c r="U75" s="429">
        <f t="array" ref="U75">INDEX('Gain_offset step test'!$AL$72:$AL$87,MATCH(MIN(ABS('Gain_offset step test'!$AL$72:$AL$87-T75)),ABS('Gain_offset step test'!$AL$72:$AL$87-T75),0))</f>
        <v>0.98003123080023602</v>
      </c>
      <c r="V75" s="2"/>
      <c r="W75" s="418" t="str">
        <f t="array" ref="W75">INDEX('Gain_offset step test'!$H$4:$AG$19,MATCH(MIN(IF('Gain_offset step test'!$AG$4:$AG$19&gt;H75,'Gain_offset step test'!$AG$4:$AG$19)),IF('Gain_offset step test'!$AG$4:$AG$19&gt;H75,'Gain_offset step test'!$AG$4:$AG$19),0),1)</f>
        <v>E0</v>
      </c>
      <c r="X75" s="418">
        <f t="array" ref="X75">INDEX('Gain_offset step test'!$H$4:$AG$19,MATCH(MIN(IF('Gain_offset step test'!$AG$4:$AG$19&gt;H75,'Gain_offset step test'!$AG$4:$AG$19)),IF('Gain_offset step test'!$AG$4:$AG$19&gt;H75,'Gain_offset step test'!$AG$4:$AG$19),0),2)</f>
        <v>1</v>
      </c>
      <c r="Y75" s="390" t="str">
        <f t="array" ref="Y75">INDEX('Gain_offset step test'!$F$21:$H$52,MATCH(MIN(ABS('Gain_offset step test'!$F$21:$F$52-O75)),ABS('Gain_offset step test'!$F$21:$F$52-O75),0),3)</f>
        <v>1F</v>
      </c>
      <c r="Z75" s="390" t="str">
        <f t="array" ref="Z75">INDEX('Gain_offset step test'!$H$55:$AL$70,MATCH(MIN(ABS('Gain_offset step test'!$AL$55:$AL$70-R75)),ABS('Gain_offset step test'!$AL$55:$AL$70-R75),0),1)</f>
        <v>0</v>
      </c>
      <c r="AA75" s="432" t="str">
        <f t="shared" si="67"/>
        <v>FF</v>
      </c>
      <c r="AB75" s="432" t="str">
        <f t="shared" si="68"/>
        <v>1</v>
      </c>
      <c r="AC75" s="418">
        <f t="array" ref="AC75">INDEX('Gain_offset step test'!$H$55:$AL$70,MATCH(MIN(ABS('Gain_offset step test'!$AL$55:$AL$70-R75)),ABS('Gain_offset step test'!$AL$55:$AL$70-R75),0),2)</f>
        <v>7</v>
      </c>
      <c r="AD75" s="390" t="str">
        <f t="array" ref="AD75">INDEX('Gain_offset step test'!$H$72:$AL$87,MATCH(MIN(ABS('Gain_offset step test'!$AL$72:$AL$87-T75)),ABS('Gain_offset step test'!$AL$72:$AL$87-T75),0),1)</f>
        <v>38</v>
      </c>
      <c r="AE75" s="418" t="str">
        <f t="shared" si="58"/>
        <v>38</v>
      </c>
      <c r="AF75" s="2">
        <f t="shared" si="69"/>
        <v>3.1</v>
      </c>
      <c r="AG75" s="430">
        <f t="shared" si="70"/>
        <v>2.9</v>
      </c>
    </row>
    <row r="76" spans="1:33" ht="15.75">
      <c r="A76" s="363">
        <f t="shared" si="59"/>
        <v>10</v>
      </c>
      <c r="B76" s="200">
        <v>4.2930000000000001</v>
      </c>
      <c r="C76" s="200">
        <v>3.6968999999999999</v>
      </c>
      <c r="D76" s="200">
        <v>3.0996999999999999</v>
      </c>
      <c r="E76" s="200">
        <v>2.5007000000000001</v>
      </c>
      <c r="F76" s="202">
        <f t="shared" si="60"/>
        <v>119.27500000000005</v>
      </c>
      <c r="G76" s="203">
        <v>40</v>
      </c>
      <c r="H76" s="201">
        <f t="shared" si="61"/>
        <v>-0.66464053657514166</v>
      </c>
      <c r="I76" s="206">
        <f t="array" ref="I76">INDEX('Gain_offset step test'!$AG$4:$AG$19,MATCH(MIN(IF('Gain_offset step test'!$AG$4:$AG$19&gt;H76,'Gain_offset step test'!$AG$4:$AG$19)),IF('Gain_offset step test'!$AG$4:$AG$19&gt;H76,'Gain_offset step test'!$AG$4:$AG$19),0))</f>
        <v>0.12356481985392632</v>
      </c>
      <c r="J76" s="200">
        <v>3.1772999999999998</v>
      </c>
      <c r="K76" s="200">
        <v>2.952</v>
      </c>
      <c r="L76" s="200">
        <v>2.7267000000000001</v>
      </c>
      <c r="M76" s="200">
        <v>2.4996</v>
      </c>
      <c r="N76" s="202">
        <f t="shared" si="62"/>
        <v>45.059999999999967</v>
      </c>
      <c r="O76" s="557">
        <f t="shared" si="63"/>
        <v>-0.11229471815357236</v>
      </c>
      <c r="P76" s="186">
        <f t="array" ref="P76">INDEX('Gain_offset step test'!$F$21:$F$52,MATCH(MIN(ABS('Gain_offset step test'!$F$21:$F$52-O76)),ABS('Gain_offset step test'!$F$21:$F$52-O76),0))</f>
        <v>0.86066911118590772</v>
      </c>
      <c r="Q76" s="421">
        <f t="shared" si="64"/>
        <v>249.35421035891318</v>
      </c>
      <c r="R76" s="422">
        <f t="shared" si="65"/>
        <v>1.6002560409663784E-4</v>
      </c>
      <c r="S76" s="207">
        <f t="array" ref="S76">INDEX('Gain_offset step test'!$AL$55:$AL$70,MATCH(MIN(ABS('Gain_offset step test'!$AL$55:$AL$70-R76)),ABS('Gain_offset step test'!$AL$55:$AL$70-R76),0))</f>
        <v>0.92385130661693504</v>
      </c>
      <c r="T76" s="423">
        <f t="shared" si="66"/>
        <v>-0.48012612920545106</v>
      </c>
      <c r="U76" s="429">
        <f t="array" ref="U76">INDEX('Gain_offset step test'!$AL$72:$AL$87,MATCH(MIN(ABS('Gain_offset step test'!$AL$72:$AL$87-T76)),ABS('Gain_offset step test'!$AL$72:$AL$87-T76),0))</f>
        <v>0.98003123080023602</v>
      </c>
      <c r="V76" s="2"/>
      <c r="W76" s="418" t="str">
        <f t="array" ref="W76">INDEX('Gain_offset step test'!$H$4:$AG$19,MATCH(MIN(IF('Gain_offset step test'!$AG$4:$AG$19&gt;H76,'Gain_offset step test'!$AG$4:$AG$19)),IF('Gain_offset step test'!$AG$4:$AG$19&gt;H76,'Gain_offset step test'!$AG$4:$AG$19),0),1)</f>
        <v>E0</v>
      </c>
      <c r="X76" s="418">
        <f t="array" ref="X76">INDEX('Gain_offset step test'!$H$4:$AG$19,MATCH(MIN(IF('Gain_offset step test'!$AG$4:$AG$19&gt;H76,'Gain_offset step test'!$AG$4:$AG$19)),IF('Gain_offset step test'!$AG$4:$AG$19&gt;H76,'Gain_offset step test'!$AG$4:$AG$19),0),2)</f>
        <v>1</v>
      </c>
      <c r="Y76" s="390" t="str">
        <f t="array" ref="Y76">INDEX('Gain_offset step test'!$F$21:$H$52,MATCH(MIN(ABS('Gain_offset step test'!$F$21:$F$52-O76)),ABS('Gain_offset step test'!$F$21:$F$52-O76),0),3)</f>
        <v>1F</v>
      </c>
      <c r="Z76" s="390" t="str">
        <f t="array" ref="Z76">INDEX('Gain_offset step test'!$H$55:$AL$70,MATCH(MIN(ABS('Gain_offset step test'!$AL$55:$AL$70-R76)),ABS('Gain_offset step test'!$AL$55:$AL$70-R76),0),1)</f>
        <v>0</v>
      </c>
      <c r="AA76" s="432" t="str">
        <f t="shared" si="67"/>
        <v>FF</v>
      </c>
      <c r="AB76" s="432" t="str">
        <f t="shared" si="68"/>
        <v>1</v>
      </c>
      <c r="AC76" s="418">
        <f t="array" ref="AC76">INDEX('Gain_offset step test'!$H$55:$AL$70,MATCH(MIN(ABS('Gain_offset step test'!$AL$55:$AL$70-R76)),ABS('Gain_offset step test'!$AL$55:$AL$70-R76),0),2)</f>
        <v>7</v>
      </c>
      <c r="AD76" s="390" t="str">
        <f t="array" ref="AD76">INDEX('Gain_offset step test'!$H$72:$AL$87,MATCH(MIN(ABS('Gain_offset step test'!$AL$72:$AL$87-T76)),ABS('Gain_offset step test'!$AL$72:$AL$87-T76),0),1)</f>
        <v>38</v>
      </c>
      <c r="AE76" s="418" t="str">
        <f t="shared" si="58"/>
        <v>38</v>
      </c>
      <c r="AF76" s="2">
        <f t="shared" si="69"/>
        <v>3.1</v>
      </c>
      <c r="AG76" s="430">
        <f t="shared" si="70"/>
        <v>2.9</v>
      </c>
    </row>
    <row r="77" spans="1:33" ht="15.75">
      <c r="A77" s="363">
        <f t="shared" si="59"/>
        <v>11</v>
      </c>
      <c r="B77" s="200">
        <v>4.3179999999999996</v>
      </c>
      <c r="C77" s="200">
        <v>3.7229999999999999</v>
      </c>
      <c r="D77" s="200">
        <v>3.1274999999999999</v>
      </c>
      <c r="E77" s="200">
        <v>2.5310000000000001</v>
      </c>
      <c r="F77" s="202">
        <f t="shared" si="60"/>
        <v>119.02499999999996</v>
      </c>
      <c r="G77" s="203">
        <v>40</v>
      </c>
      <c r="H77" s="201">
        <f t="shared" si="61"/>
        <v>-0.66393614786809485</v>
      </c>
      <c r="I77" s="206">
        <f t="array" ref="I77">INDEX('Gain_offset step test'!$AG$4:$AG$19,MATCH(MIN(IF('Gain_offset step test'!$AG$4:$AG$19&gt;H77,'Gain_offset step test'!$AG$4:$AG$19)),IF('Gain_offset step test'!$AG$4:$AG$19&gt;H77,'Gain_offset step test'!$AG$4:$AG$19),0))</f>
        <v>0.12356481985392632</v>
      </c>
      <c r="J77" s="200">
        <v>3.2057000000000002</v>
      </c>
      <c r="K77" s="200">
        <v>2.9817</v>
      </c>
      <c r="L77" s="200">
        <v>2.7574999999999998</v>
      </c>
      <c r="M77" s="200">
        <v>2.5314000000000001</v>
      </c>
      <c r="N77" s="202">
        <f t="shared" si="62"/>
        <v>44.810000000000045</v>
      </c>
      <c r="O77" s="557">
        <f t="shared" si="63"/>
        <v>-0.10734211113590805</v>
      </c>
      <c r="P77" s="186">
        <f t="array" ref="P77">INDEX('Gain_offset step test'!$F$21:$F$52,MATCH(MIN(ABS('Gain_offset step test'!$F$21:$F$52-O77)),ABS('Gain_offset step test'!$F$21:$F$52-O77),0))</f>
        <v>0.86066911118590772</v>
      </c>
      <c r="Q77" s="421">
        <f t="shared" si="64"/>
        <v>248.83156477023368</v>
      </c>
      <c r="R77" s="422">
        <f t="shared" si="65"/>
        <v>-1.2404203207711184E-2</v>
      </c>
      <c r="S77" s="207">
        <f t="array" ref="S77">INDEX('Gain_offset step test'!$AL$55:$AL$70,MATCH(MIN(ABS('Gain_offset step test'!$AL$55:$AL$70-R77)),ABS('Gain_offset step test'!$AL$55:$AL$70-R77),0))</f>
        <v>0.92385130661693504</v>
      </c>
      <c r="T77" s="423">
        <f t="shared" si="66"/>
        <v>-0.48665689838111137</v>
      </c>
      <c r="U77" s="429">
        <f t="array" ref="U77">INDEX('Gain_offset step test'!$AL$72:$AL$87,MATCH(MIN(ABS('Gain_offset step test'!$AL$72:$AL$87-T77)),ABS('Gain_offset step test'!$AL$72:$AL$87-T77),0))</f>
        <v>0.98003123080023602</v>
      </c>
      <c r="V77" s="2"/>
      <c r="W77" s="418" t="str">
        <f t="array" ref="W77">INDEX('Gain_offset step test'!$H$4:$AG$19,MATCH(MIN(IF('Gain_offset step test'!$AG$4:$AG$19&gt;H77,'Gain_offset step test'!$AG$4:$AG$19)),IF('Gain_offset step test'!$AG$4:$AG$19&gt;H77,'Gain_offset step test'!$AG$4:$AG$19),0),1)</f>
        <v>E0</v>
      </c>
      <c r="X77" s="418">
        <f t="array" ref="X77">INDEX('Gain_offset step test'!$H$4:$AG$19,MATCH(MIN(IF('Gain_offset step test'!$AG$4:$AG$19&gt;H77,'Gain_offset step test'!$AG$4:$AG$19)),IF('Gain_offset step test'!$AG$4:$AG$19&gt;H77,'Gain_offset step test'!$AG$4:$AG$19),0),2)</f>
        <v>1</v>
      </c>
      <c r="Y77" s="390" t="str">
        <f t="array" ref="Y77">INDEX('Gain_offset step test'!$F$21:$H$52,MATCH(MIN(ABS('Gain_offset step test'!$F$21:$F$52-O77)),ABS('Gain_offset step test'!$F$21:$F$52-O77),0),3)</f>
        <v>1F</v>
      </c>
      <c r="Z77" s="390" t="str">
        <f t="array" ref="Z77">INDEX('Gain_offset step test'!$H$55:$AL$70,MATCH(MIN(ABS('Gain_offset step test'!$AL$55:$AL$70-R77)),ABS('Gain_offset step test'!$AL$55:$AL$70-R77),0),1)</f>
        <v>0</v>
      </c>
      <c r="AA77" s="432" t="str">
        <f t="shared" si="67"/>
        <v>FF</v>
      </c>
      <c r="AB77" s="432" t="str">
        <f t="shared" si="68"/>
        <v>1</v>
      </c>
      <c r="AC77" s="418">
        <f t="array" ref="AC77">INDEX('Gain_offset step test'!$H$55:$AL$70,MATCH(MIN(ABS('Gain_offset step test'!$AL$55:$AL$70-R77)),ABS('Gain_offset step test'!$AL$55:$AL$70-R77),0),2)</f>
        <v>7</v>
      </c>
      <c r="AD77" s="390" t="str">
        <f t="array" ref="AD77">INDEX('Gain_offset step test'!$H$72:$AL$87,MATCH(MIN(ABS('Gain_offset step test'!$AL$72:$AL$87-T77)),ABS('Gain_offset step test'!$AL$72:$AL$87-T77),0),1)</f>
        <v>38</v>
      </c>
      <c r="AE77" s="418" t="str">
        <f t="shared" si="58"/>
        <v>38</v>
      </c>
      <c r="AF77" s="2">
        <f t="shared" si="69"/>
        <v>3.1</v>
      </c>
      <c r="AG77" s="430">
        <f t="shared" si="70"/>
        <v>2.9</v>
      </c>
    </row>
    <row r="78" spans="1:33" ht="15.75">
      <c r="A78" s="363">
        <f t="shared" si="59"/>
        <v>12</v>
      </c>
      <c r="B78" s="200">
        <v>4.2960000000000003</v>
      </c>
      <c r="C78" s="200">
        <v>3.7107000000000001</v>
      </c>
      <c r="D78" s="200">
        <v>3.1257000000000001</v>
      </c>
      <c r="E78" s="200">
        <v>2.5394999999999999</v>
      </c>
      <c r="F78" s="202">
        <f t="shared" si="60"/>
        <v>117.04500000000002</v>
      </c>
      <c r="G78" s="203">
        <v>40</v>
      </c>
      <c r="H78" s="201">
        <f t="shared" si="61"/>
        <v>-0.65825110000427189</v>
      </c>
      <c r="I78" s="206">
        <f t="array" ref="I78">INDEX('Gain_offset step test'!$AG$4:$AG$19,MATCH(MIN(IF('Gain_offset step test'!$AG$4:$AG$19&gt;H78,'Gain_offset step test'!$AG$4:$AG$19)),IF('Gain_offset step test'!$AG$4:$AG$19&gt;H78,'Gain_offset step test'!$AG$4:$AG$19),0))</f>
        <v>0.12356481985392632</v>
      </c>
      <c r="J78" s="200">
        <v>3.1970999999999998</v>
      </c>
      <c r="K78" s="200">
        <v>2.9767999999999999</v>
      </c>
      <c r="L78" s="200">
        <v>2.7563</v>
      </c>
      <c r="M78" s="200">
        <v>2.5341999999999998</v>
      </c>
      <c r="N78" s="202">
        <f>1000*((J78-L78)/10+(J78-K78)/5)/2</f>
        <v>44.069999999999986</v>
      </c>
      <c r="O78" s="557">
        <f t="shared" si="63"/>
        <v>-9.2353074653959324E-2</v>
      </c>
      <c r="P78" s="186">
        <f t="array" ref="P78">INDEX('Gain_offset step test'!$F$21:$F$52,MATCH(MIN(ABS('Gain_offset step test'!$F$21:$F$52-O78)),ABS('Gain_offset step test'!$F$21:$F$52-O78),0))</f>
        <v>0.86066911118590772</v>
      </c>
      <c r="Q78" s="421">
        <f t="shared" si="64"/>
        <v>244.69221170789339</v>
      </c>
      <c r="R78" s="422">
        <f t="shared" si="65"/>
        <v>-1.3495383158393099E-2</v>
      </c>
      <c r="S78" s="207">
        <f t="array" ref="S78">INDEX('Gain_offset step test'!$AL$55:$AL$70,MATCH(MIN(ABS('Gain_offset step test'!$AL$55:$AL$70-R78)),ABS('Gain_offset step test'!$AL$55:$AL$70-R78),0))</f>
        <v>0.92385130661693504</v>
      </c>
      <c r="T78" s="423">
        <f t="shared" si="66"/>
        <v>-0.4872240835616547</v>
      </c>
      <c r="U78" s="429">
        <f t="array" ref="U78">INDEX('Gain_offset step test'!$AL$72:$AL$87,MATCH(MIN(ABS('Gain_offset step test'!$AL$72:$AL$87-T78)),ABS('Gain_offset step test'!$AL$72:$AL$87-T78),0))</f>
        <v>0.98003123080023602</v>
      </c>
      <c r="V78" s="2"/>
      <c r="W78" s="418" t="str">
        <f t="array" ref="W78">INDEX('Gain_offset step test'!$H$4:$AG$19,MATCH(MIN(IF('Gain_offset step test'!$AG$4:$AG$19&gt;H78,'Gain_offset step test'!$AG$4:$AG$19)),IF('Gain_offset step test'!$AG$4:$AG$19&gt;H78,'Gain_offset step test'!$AG$4:$AG$19),0),1)</f>
        <v>E0</v>
      </c>
      <c r="X78" s="418">
        <f t="array" ref="X78">INDEX('Gain_offset step test'!$H$4:$AG$19,MATCH(MIN(IF('Gain_offset step test'!$AG$4:$AG$19&gt;H78,'Gain_offset step test'!$AG$4:$AG$19)),IF('Gain_offset step test'!$AG$4:$AG$19&gt;H78,'Gain_offset step test'!$AG$4:$AG$19),0),2)</f>
        <v>1</v>
      </c>
      <c r="Y78" s="390" t="str">
        <f t="array" ref="Y78">INDEX('Gain_offset step test'!$F$21:$H$52,MATCH(MIN(ABS('Gain_offset step test'!$F$21:$F$52-O78)),ABS('Gain_offset step test'!$F$21:$F$52-O78),0),3)</f>
        <v>1F</v>
      </c>
      <c r="Z78" s="390" t="str">
        <f t="array" ref="Z78">INDEX('Gain_offset step test'!$H$55:$AL$70,MATCH(MIN(ABS('Gain_offset step test'!$AL$55:$AL$70-R78)),ABS('Gain_offset step test'!$AL$55:$AL$70-R78),0),1)</f>
        <v>0</v>
      </c>
      <c r="AA78" s="432" t="str">
        <f t="shared" si="67"/>
        <v>FF</v>
      </c>
      <c r="AB78" s="432" t="str">
        <f t="shared" si="68"/>
        <v>1</v>
      </c>
      <c r="AC78" s="418">
        <f t="array" ref="AC78">INDEX('Gain_offset step test'!$H$55:$AL$70,MATCH(MIN(ABS('Gain_offset step test'!$AL$55:$AL$70-R78)),ABS('Gain_offset step test'!$AL$55:$AL$70-R78),0),2)</f>
        <v>7</v>
      </c>
      <c r="AD78" s="390" t="str">
        <f t="array" ref="AD78">INDEX('Gain_offset step test'!$H$72:$AL$87,MATCH(MIN(ABS('Gain_offset step test'!$AL$72:$AL$87-T78)),ABS('Gain_offset step test'!$AL$72:$AL$87-T78),0),1)</f>
        <v>38</v>
      </c>
      <c r="AE78" s="418" t="str">
        <f t="shared" si="58"/>
        <v>38</v>
      </c>
      <c r="AF78" s="2">
        <f t="shared" si="69"/>
        <v>3.1</v>
      </c>
      <c r="AG78" s="430">
        <f t="shared" si="70"/>
        <v>2.9</v>
      </c>
    </row>
    <row r="79" spans="1:33" ht="15.75">
      <c r="A79" s="363">
        <f t="shared" si="59"/>
        <v>13</v>
      </c>
      <c r="B79" s="200">
        <v>4.4630000000000001</v>
      </c>
      <c r="C79" s="200">
        <v>3.8258000000000001</v>
      </c>
      <c r="D79" s="200">
        <v>3.1880000000000002</v>
      </c>
      <c r="E79" s="200">
        <v>2.5457999999999998</v>
      </c>
      <c r="F79" s="202">
        <f t="shared" si="60"/>
        <v>127.47</v>
      </c>
      <c r="G79" s="203">
        <v>40</v>
      </c>
      <c r="H79" s="201">
        <f t="shared" si="61"/>
        <v>-0.6862006746685495</v>
      </c>
      <c r="I79" s="206">
        <f t="array" ref="I79">INDEX('Gain_offset step test'!$AG$4:$AG$19,MATCH(MIN(IF('Gain_offset step test'!$AG$4:$AG$19&gt;H79,'Gain_offset step test'!$AG$4:$AG$19)),IF('Gain_offset step test'!$AG$4:$AG$19&gt;H79,'Gain_offset step test'!$AG$4:$AG$19),0))</f>
        <v>0.12356481985392632</v>
      </c>
      <c r="J79" s="200">
        <v>3.1720000000000002</v>
      </c>
      <c r="K79" s="200">
        <v>2.9634999999999998</v>
      </c>
      <c r="L79" s="200">
        <v>2.7544</v>
      </c>
      <c r="M79" s="200">
        <v>2.5436999999999999</v>
      </c>
      <c r="N79" s="202">
        <f t="shared" si="62"/>
        <v>41.730000000000047</v>
      </c>
      <c r="O79" s="557">
        <f t="shared" si="63"/>
        <v>-4.1456985382220098E-2</v>
      </c>
      <c r="P79" s="186">
        <f t="array" ref="P79">INDEX('Gain_offset step test'!$F$21:$F$52,MATCH(MIN(ABS('Gain_offset step test'!$F$21:$F$52-O79)),ABS('Gain_offset step test'!$F$21:$F$52-O79),0))</f>
        <v>0.86066911118590772</v>
      </c>
      <c r="Q79" s="421">
        <f t="shared" si="64"/>
        <v>266.48653275582183</v>
      </c>
      <c r="R79" s="422">
        <f t="shared" si="65"/>
        <v>-1.7179698863859675E-2</v>
      </c>
      <c r="S79" s="207">
        <f t="array" ref="S79">INDEX('Gain_offset step test'!$AL$55:$AL$70,MATCH(MIN(ABS('Gain_offset step test'!$AL$55:$AL$70-R79)),ABS('Gain_offset step test'!$AL$55:$AL$70-R79),0))</f>
        <v>0.92385130661693504</v>
      </c>
      <c r="T79" s="423">
        <f t="shared" si="66"/>
        <v>-0.48913915656797002</v>
      </c>
      <c r="U79" s="429">
        <f t="array" ref="U79">INDEX('Gain_offset step test'!$AL$72:$AL$87,MATCH(MIN(ABS('Gain_offset step test'!$AL$72:$AL$87-T79)),ABS('Gain_offset step test'!$AL$72:$AL$87-T79),0))</f>
        <v>0.98003123080023602</v>
      </c>
      <c r="V79" s="2"/>
      <c r="W79" s="418" t="str">
        <f t="array" ref="W79">INDEX('Gain_offset step test'!$H$4:$AG$19,MATCH(MIN(IF('Gain_offset step test'!$AG$4:$AG$19&gt;H79,'Gain_offset step test'!$AG$4:$AG$19)),IF('Gain_offset step test'!$AG$4:$AG$19&gt;H79,'Gain_offset step test'!$AG$4:$AG$19),0),1)</f>
        <v>E0</v>
      </c>
      <c r="X79" s="418">
        <f t="array" ref="X79">INDEX('Gain_offset step test'!$H$4:$AG$19,MATCH(MIN(IF('Gain_offset step test'!$AG$4:$AG$19&gt;H79,'Gain_offset step test'!$AG$4:$AG$19)),IF('Gain_offset step test'!$AG$4:$AG$19&gt;H79,'Gain_offset step test'!$AG$4:$AG$19),0),2)</f>
        <v>1</v>
      </c>
      <c r="Y79" s="390" t="str">
        <f t="array" ref="Y79">INDEX('Gain_offset step test'!$F$21:$H$52,MATCH(MIN(ABS('Gain_offset step test'!$F$21:$F$52-O79)),ABS('Gain_offset step test'!$F$21:$F$52-O79),0),3)</f>
        <v>1F</v>
      </c>
      <c r="Z79" s="390" t="str">
        <f t="array" ref="Z79">INDEX('Gain_offset step test'!$H$55:$AL$70,MATCH(MIN(ABS('Gain_offset step test'!$AL$55:$AL$70-R79)),ABS('Gain_offset step test'!$AL$55:$AL$70-R79),0),1)</f>
        <v>0</v>
      </c>
      <c r="AA79" s="432" t="str">
        <f t="shared" si="67"/>
        <v>FF</v>
      </c>
      <c r="AB79" s="432" t="str">
        <f t="shared" si="68"/>
        <v>1</v>
      </c>
      <c r="AC79" s="418">
        <f t="array" ref="AC79">INDEX('Gain_offset step test'!$H$55:$AL$70,MATCH(MIN(ABS('Gain_offset step test'!$AL$55:$AL$70-R79)),ABS('Gain_offset step test'!$AL$55:$AL$70-R79),0),2)</f>
        <v>7</v>
      </c>
      <c r="AD79" s="390" t="str">
        <f t="array" ref="AD79">INDEX('Gain_offset step test'!$H$72:$AL$87,MATCH(MIN(ABS('Gain_offset step test'!$AL$72:$AL$87-T79)),ABS('Gain_offset step test'!$AL$72:$AL$87-T79),0),1)</f>
        <v>38</v>
      </c>
      <c r="AE79" s="418" t="str">
        <f t="shared" si="58"/>
        <v>38</v>
      </c>
      <c r="AF79" s="2">
        <f t="shared" si="69"/>
        <v>3.1</v>
      </c>
      <c r="AG79" s="430">
        <f t="shared" si="70"/>
        <v>2.9</v>
      </c>
    </row>
    <row r="80" spans="1:33" ht="15.75">
      <c r="A80" s="363">
        <f t="shared" si="59"/>
        <v>14</v>
      </c>
      <c r="B80" s="200">
        <v>4.3010000000000002</v>
      </c>
      <c r="C80" s="200">
        <v>3.6989999999999998</v>
      </c>
      <c r="D80" s="200">
        <v>3.097</v>
      </c>
      <c r="E80" s="200">
        <v>2.4914999999999998</v>
      </c>
      <c r="F80" s="202">
        <f t="shared" si="60"/>
        <v>120.40000000000003</v>
      </c>
      <c r="G80" s="203">
        <v>40</v>
      </c>
      <c r="H80" s="201">
        <f t="shared" si="61"/>
        <v>-0.66777408637873759</v>
      </c>
      <c r="I80" s="206">
        <f t="array" ref="I80">INDEX('Gain_offset step test'!$AG$4:$AG$19,MATCH(MIN(IF('Gain_offset step test'!$AG$4:$AG$19&gt;H80,'Gain_offset step test'!$AG$4:$AG$19)),IF('Gain_offset step test'!$AG$4:$AG$19&gt;H80,'Gain_offset step test'!$AG$4:$AG$19),0))</f>
        <v>0.12356481985392632</v>
      </c>
      <c r="J80" s="200">
        <v>3.1791999999999998</v>
      </c>
      <c r="K80" s="200">
        <v>2.9518</v>
      </c>
      <c r="L80" s="200">
        <v>2.7237</v>
      </c>
      <c r="M80" s="200">
        <v>2.4942000000000002</v>
      </c>
      <c r="N80" s="202">
        <f t="shared" si="62"/>
        <v>45.514999999999972</v>
      </c>
      <c r="O80" s="557">
        <f t="shared" si="63"/>
        <v>-0.12116884543557015</v>
      </c>
      <c r="P80" s="186">
        <f t="array" ref="P80">INDEX('Gain_offset step test'!$F$21:$F$52,MATCH(MIN(ABS('Gain_offset step test'!$F$21:$F$52-O80)),ABS('Gain_offset step test'!$F$21:$F$52-O80),0))</f>
        <v>0.86066911118590772</v>
      </c>
      <c r="Q80" s="421">
        <f t="shared" si="64"/>
        <v>251.70611550797017</v>
      </c>
      <c r="R80" s="422">
        <f t="shared" si="65"/>
        <v>2.3253949162055187E-3</v>
      </c>
      <c r="S80" s="207">
        <f t="array" ref="S80">INDEX('Gain_offset step test'!$AL$55:$AL$70,MATCH(MIN(ABS('Gain_offset step test'!$AL$55:$AL$70-R80)),ABS('Gain_offset step test'!$AL$55:$AL$70-R80),0))</f>
        <v>0.92385130661693504</v>
      </c>
      <c r="T80" s="423">
        <f t="shared" si="66"/>
        <v>-0.4790005903944935</v>
      </c>
      <c r="U80" s="429">
        <f t="array" ref="U80">INDEX('Gain_offset step test'!$AL$72:$AL$87,MATCH(MIN(ABS('Gain_offset step test'!$AL$72:$AL$87-T80)),ABS('Gain_offset step test'!$AL$72:$AL$87-T80),0))</f>
        <v>0.98003123080023602</v>
      </c>
      <c r="V80" s="2"/>
      <c r="W80" s="418" t="str">
        <f t="array" ref="W80">INDEX('Gain_offset step test'!$H$4:$AG$19,MATCH(MIN(IF('Gain_offset step test'!$AG$4:$AG$19&gt;H80,'Gain_offset step test'!$AG$4:$AG$19)),IF('Gain_offset step test'!$AG$4:$AG$19&gt;H80,'Gain_offset step test'!$AG$4:$AG$19),0),1)</f>
        <v>E0</v>
      </c>
      <c r="X80" s="418">
        <f t="array" ref="X80">INDEX('Gain_offset step test'!$H$4:$AG$19,MATCH(MIN(IF('Gain_offset step test'!$AG$4:$AG$19&gt;H80,'Gain_offset step test'!$AG$4:$AG$19)),IF('Gain_offset step test'!$AG$4:$AG$19&gt;H80,'Gain_offset step test'!$AG$4:$AG$19),0),2)</f>
        <v>1</v>
      </c>
      <c r="Y80" s="390" t="str">
        <f t="array" ref="Y80">INDEX('Gain_offset step test'!$F$21:$H$52,MATCH(MIN(ABS('Gain_offset step test'!$F$21:$F$52-O80)),ABS('Gain_offset step test'!$F$21:$F$52-O80),0),3)</f>
        <v>1F</v>
      </c>
      <c r="Z80" s="390" t="str">
        <f t="array" ref="Z80">INDEX('Gain_offset step test'!$H$55:$AL$70,MATCH(MIN(ABS('Gain_offset step test'!$AL$55:$AL$70-R80)),ABS('Gain_offset step test'!$AL$55:$AL$70-R80),0),1)</f>
        <v>0</v>
      </c>
      <c r="AA80" s="432" t="str">
        <f t="shared" si="67"/>
        <v>FF</v>
      </c>
      <c r="AB80" s="432" t="str">
        <f t="shared" si="68"/>
        <v>1</v>
      </c>
      <c r="AC80" s="418">
        <f t="array" ref="AC80">INDEX('Gain_offset step test'!$H$55:$AL$70,MATCH(MIN(ABS('Gain_offset step test'!$AL$55:$AL$70-R80)),ABS('Gain_offset step test'!$AL$55:$AL$70-R80),0),2)</f>
        <v>7</v>
      </c>
      <c r="AD80" s="390" t="str">
        <f t="array" ref="AD80">INDEX('Gain_offset step test'!$H$72:$AL$87,MATCH(MIN(ABS('Gain_offset step test'!$AL$72:$AL$87-T80)),ABS('Gain_offset step test'!$AL$72:$AL$87-T80),0),1)</f>
        <v>38</v>
      </c>
      <c r="AE80" s="418" t="str">
        <f t="shared" si="58"/>
        <v>38</v>
      </c>
      <c r="AF80" s="2">
        <f t="shared" si="69"/>
        <v>3.1</v>
      </c>
      <c r="AG80" s="430">
        <f t="shared" si="70"/>
        <v>2.9</v>
      </c>
    </row>
    <row r="81" spans="1:33" ht="15.75">
      <c r="A81" s="481">
        <f t="shared" si="59"/>
        <v>15</v>
      </c>
      <c r="B81" s="200">
        <v>4.3234000000000004</v>
      </c>
      <c r="C81" s="200">
        <v>3.7214</v>
      </c>
      <c r="D81" s="200">
        <v>3.1192000000000002</v>
      </c>
      <c r="E81" s="200">
        <v>2.5127999999999999</v>
      </c>
      <c r="F81" s="202">
        <f t="shared" si="60"/>
        <v>120.41000000000004</v>
      </c>
      <c r="G81" s="203">
        <v>40</v>
      </c>
      <c r="H81" s="201">
        <f t="shared" si="61"/>
        <v>-0.6678016776015282</v>
      </c>
      <c r="I81" s="206">
        <f t="array" ref="I81">INDEX('Gain_offset step test'!$AG$4:$AG$19,MATCH(MIN(IF('Gain_offset step test'!$AG$4:$AG$19&gt;H81,'Gain_offset step test'!$AG$4:$AG$19)),IF('Gain_offset step test'!$AG$4:$AG$19&gt;H81,'Gain_offset step test'!$AG$4:$AG$19),0))</f>
        <v>0.12356481985392632</v>
      </c>
      <c r="J81" s="200">
        <v>3.2</v>
      </c>
      <c r="K81" s="200">
        <v>2.9727999999999999</v>
      </c>
      <c r="L81" s="200">
        <v>2.7452000000000001</v>
      </c>
      <c r="M81" s="200">
        <v>2.5171000000000001</v>
      </c>
      <c r="N81" s="202">
        <f>1000*((J81-L81)/10+(J81-K81)/5)/2</f>
        <v>45.460000000000029</v>
      </c>
      <c r="O81" s="557">
        <f t="shared" si="63"/>
        <v>-0.12010558732952102</v>
      </c>
      <c r="P81" s="186">
        <f t="array" ref="P81">INDEX('Gain_offset step test'!$F$21:$F$52,MATCH(MIN(ABS('Gain_offset step test'!$F$21:$F$52-O81)),ABS('Gain_offset step test'!$F$21:$F$52-O81),0))</f>
        <v>0.86066911118590772</v>
      </c>
      <c r="Q81" s="421">
        <f t="shared" si="64"/>
        <v>251.72702133151736</v>
      </c>
      <c r="R81" s="422">
        <f t="shared" si="65"/>
        <v>-6.7935322394819886E-3</v>
      </c>
      <c r="S81" s="207">
        <f t="array" ref="S81">INDEX('Gain_offset step test'!$AL$55:$AL$70,MATCH(MIN(ABS('Gain_offset step test'!$AL$55:$AL$70-R81)),ABS('Gain_offset step test'!$AL$55:$AL$70-R81),0))</f>
        <v>0.92385130661693504</v>
      </c>
      <c r="T81" s="423">
        <f t="shared" si="66"/>
        <v>-0.48374052384170096</v>
      </c>
      <c r="U81" s="429">
        <f t="array" ref="U81">INDEX('Gain_offset step test'!$AL$72:$AL$87,MATCH(MIN(ABS('Gain_offset step test'!$AL$72:$AL$87-T81)),ABS('Gain_offset step test'!$AL$72:$AL$87-T81),0))</f>
        <v>0.98003123080023602</v>
      </c>
      <c r="V81" s="2"/>
      <c r="W81" s="418" t="str">
        <f t="array" ref="W81">INDEX('Gain_offset step test'!$H$4:$AG$19,MATCH(MIN(IF('Gain_offset step test'!$AG$4:$AG$19&gt;H81,'Gain_offset step test'!$AG$4:$AG$19)),IF('Gain_offset step test'!$AG$4:$AG$19&gt;H81,'Gain_offset step test'!$AG$4:$AG$19),0),1)</f>
        <v>E0</v>
      </c>
      <c r="X81" s="418">
        <f t="array" ref="X81">INDEX('Gain_offset step test'!$H$4:$AG$19,MATCH(MIN(IF('Gain_offset step test'!$AG$4:$AG$19&gt;H81,'Gain_offset step test'!$AG$4:$AG$19)),IF('Gain_offset step test'!$AG$4:$AG$19&gt;H81,'Gain_offset step test'!$AG$4:$AG$19),0),2)</f>
        <v>1</v>
      </c>
      <c r="Y81" s="390" t="str">
        <f t="array" ref="Y81">INDEX('Gain_offset step test'!$F$21:$H$52,MATCH(MIN(ABS('Gain_offset step test'!$F$21:$F$52-O81)),ABS('Gain_offset step test'!$F$21:$F$52-O81),0),3)</f>
        <v>1F</v>
      </c>
      <c r="Z81" s="390" t="str">
        <f t="array" ref="Z81">INDEX('Gain_offset step test'!$H$55:$AL$70,MATCH(MIN(ABS('Gain_offset step test'!$AL$55:$AL$70-R81)),ABS('Gain_offset step test'!$AL$55:$AL$70-R81),0),1)</f>
        <v>0</v>
      </c>
      <c r="AA81" s="432" t="str">
        <f t="shared" si="67"/>
        <v>FF</v>
      </c>
      <c r="AB81" s="432" t="str">
        <f t="shared" si="68"/>
        <v>1</v>
      </c>
      <c r="AC81" s="418">
        <f t="array" ref="AC81">INDEX('Gain_offset step test'!$H$55:$AL$70,MATCH(MIN(ABS('Gain_offset step test'!$AL$55:$AL$70-R81)),ABS('Gain_offset step test'!$AL$55:$AL$70-R81),0),2)</f>
        <v>7</v>
      </c>
      <c r="AD81" s="390" t="str">
        <f t="array" ref="AD81">INDEX('Gain_offset step test'!$H$72:$AL$87,MATCH(MIN(ABS('Gain_offset step test'!$AL$72:$AL$87-T81)),ABS('Gain_offset step test'!$AL$72:$AL$87-T81),0),1)</f>
        <v>38</v>
      </c>
      <c r="AE81" s="418" t="str">
        <f t="shared" si="58"/>
        <v>38</v>
      </c>
      <c r="AF81" s="2">
        <f t="shared" si="69"/>
        <v>3.1</v>
      </c>
      <c r="AG81" s="430">
        <f t="shared" si="70"/>
        <v>2.9</v>
      </c>
    </row>
    <row r="82" spans="1:33" ht="15.75">
      <c r="A82" s="363">
        <f t="shared" si="59"/>
        <v>16</v>
      </c>
      <c r="B82" s="200">
        <v>4.3232999999999997</v>
      </c>
      <c r="C82" s="200">
        <v>3.7172999999999998</v>
      </c>
      <c r="D82" s="200">
        <v>3.1107999999999998</v>
      </c>
      <c r="E82" s="200">
        <v>2.5004</v>
      </c>
      <c r="F82" s="202">
        <f t="shared" si="60"/>
        <v>121.22499999999998</v>
      </c>
      <c r="G82" s="203">
        <v>40</v>
      </c>
      <c r="H82" s="201">
        <f t="shared" si="61"/>
        <v>-0.67003505877500513</v>
      </c>
      <c r="I82" s="206">
        <f t="array" ref="I82">INDEX('Gain_offset step test'!$AG$4:$AG$19,MATCH(MIN(IF('Gain_offset step test'!$AG$4:$AG$19&gt;H82,'Gain_offset step test'!$AG$4:$AG$19)),IF('Gain_offset step test'!$AG$4:$AG$19&gt;H82,'Gain_offset step test'!$AG$4:$AG$19),0))</f>
        <v>0.12356481985392632</v>
      </c>
      <c r="J82" s="200">
        <v>3.1882999999999999</v>
      </c>
      <c r="K82" s="200">
        <v>2.96</v>
      </c>
      <c r="L82" s="200">
        <v>2.7296</v>
      </c>
      <c r="M82" s="200">
        <v>2.5015000000000001</v>
      </c>
      <c r="N82" s="202">
        <f t="shared" si="62"/>
        <v>45.764999999999986</v>
      </c>
      <c r="O82" s="557">
        <f t="shared" si="63"/>
        <v>-0.12596962744455345</v>
      </c>
      <c r="P82" s="186">
        <f t="array" ref="P82">INDEX('Gain_offset step test'!$F$21:$F$52,MATCH(MIN(ABS('Gain_offset step test'!$F$21:$F$52-O82)),ABS('Gain_offset step test'!$F$21:$F$52-O82),0))</f>
        <v>0.86066911118590772</v>
      </c>
      <c r="Q82" s="421">
        <f t="shared" si="64"/>
        <v>253.43084595061188</v>
      </c>
      <c r="R82" s="422">
        <f t="shared" si="65"/>
        <v>-5.9964021587050043E-4</v>
      </c>
      <c r="S82" s="207">
        <f t="array" ref="S82">INDEX('Gain_offset step test'!$AL$55:$AL$70,MATCH(MIN(ABS('Gain_offset step test'!$AL$55:$AL$70-R82)),ABS('Gain_offset step test'!$AL$55:$AL$70-R82),0))</f>
        <v>0.92385130661693504</v>
      </c>
      <c r="T82" s="423">
        <f t="shared" si="66"/>
        <v>-0.48052099642692203</v>
      </c>
      <c r="U82" s="429">
        <f t="array" ref="U82">INDEX('Gain_offset step test'!$AL$72:$AL$87,MATCH(MIN(ABS('Gain_offset step test'!$AL$72:$AL$87-T82)),ABS('Gain_offset step test'!$AL$72:$AL$87-T82),0))</f>
        <v>0.98003123080023602</v>
      </c>
      <c r="V82" s="2"/>
      <c r="W82" s="418" t="str">
        <f t="array" ref="W82">INDEX('Gain_offset step test'!$H$4:$AG$19,MATCH(MIN(IF('Gain_offset step test'!$AG$4:$AG$19&gt;H82,'Gain_offset step test'!$AG$4:$AG$19)),IF('Gain_offset step test'!$AG$4:$AG$19&gt;H82,'Gain_offset step test'!$AG$4:$AG$19),0),1)</f>
        <v>E0</v>
      </c>
      <c r="X82" s="418">
        <f t="array" ref="X82">INDEX('Gain_offset step test'!$H$4:$AG$19,MATCH(MIN(IF('Gain_offset step test'!$AG$4:$AG$19&gt;H82,'Gain_offset step test'!$AG$4:$AG$19)),IF('Gain_offset step test'!$AG$4:$AG$19&gt;H82,'Gain_offset step test'!$AG$4:$AG$19),0),2)</f>
        <v>1</v>
      </c>
      <c r="Y82" s="390" t="str">
        <f t="array" ref="Y82">INDEX('Gain_offset step test'!$F$21:$H$52,MATCH(MIN(ABS('Gain_offset step test'!$F$21:$F$52-O82)),ABS('Gain_offset step test'!$F$21:$F$52-O82),0),3)</f>
        <v>1F</v>
      </c>
      <c r="Z82" s="390" t="str">
        <f t="array" ref="Z82">INDEX('Gain_offset step test'!$H$55:$AL$70,MATCH(MIN(ABS('Gain_offset step test'!$AL$55:$AL$70-R82)),ABS('Gain_offset step test'!$AL$55:$AL$70-R82),0),1)</f>
        <v>0</v>
      </c>
      <c r="AA82" s="432" t="str">
        <f t="shared" si="67"/>
        <v>FF</v>
      </c>
      <c r="AB82" s="432" t="str">
        <f t="shared" si="68"/>
        <v>1</v>
      </c>
      <c r="AC82" s="418">
        <f t="array" ref="AC82">INDEX('Gain_offset step test'!$H$55:$AL$70,MATCH(MIN(ABS('Gain_offset step test'!$AL$55:$AL$70-R82)),ABS('Gain_offset step test'!$AL$55:$AL$70-R82),0),2)</f>
        <v>7</v>
      </c>
      <c r="AD82" s="390" t="str">
        <f t="array" ref="AD82">INDEX('Gain_offset step test'!$H$72:$AL$87,MATCH(MIN(ABS('Gain_offset step test'!$AL$72:$AL$87-T82)),ABS('Gain_offset step test'!$AL$72:$AL$87-T82),0),1)</f>
        <v>38</v>
      </c>
      <c r="AE82" s="418" t="str">
        <f t="shared" si="58"/>
        <v>38</v>
      </c>
      <c r="AF82" s="2">
        <f t="shared" si="69"/>
        <v>3.1</v>
      </c>
      <c r="AG82" s="430">
        <f t="shared" si="70"/>
        <v>2.9</v>
      </c>
    </row>
    <row r="83" spans="1:33" ht="15.75">
      <c r="A83" s="363">
        <f t="shared" si="59"/>
        <v>17</v>
      </c>
      <c r="B83" s="200"/>
      <c r="C83" s="200"/>
      <c r="D83" s="200"/>
      <c r="E83" s="200"/>
      <c r="F83" s="202">
        <f t="shared" si="60"/>
        <v>0</v>
      </c>
      <c r="G83" s="203">
        <v>40</v>
      </c>
      <c r="H83" s="201" t="e">
        <f t="shared" si="61"/>
        <v>#DIV/0!</v>
      </c>
      <c r="I83" s="206" t="e">
        <f t="array" ref="I83">INDEX('Gain_offset step test'!$AG$4:$AG$19,MATCH(MIN(IF('Gain_offset step test'!$AG$4:$AG$19&gt;H83,'Gain_offset step test'!$AG$4:$AG$19)),IF('Gain_offset step test'!$AG$4:$AG$19&gt;H83,'Gain_offset step test'!$AG$4:$AG$19),0))</f>
        <v>#DIV/0!</v>
      </c>
      <c r="J83" s="200">
        <v>3.2368000000000001</v>
      </c>
      <c r="K83" s="200">
        <v>3.0125199999999999</v>
      </c>
      <c r="L83" s="200">
        <v>2.7841999999999998</v>
      </c>
      <c r="M83" s="200">
        <v>2.5598000000000001</v>
      </c>
      <c r="N83" s="202">
        <f t="shared" si="62"/>
        <v>45.058000000000042</v>
      </c>
      <c r="O83" s="557">
        <f t="shared" si="63"/>
        <v>-0.11225531537130005</v>
      </c>
      <c r="P83" s="186">
        <f t="array" ref="P83">INDEX('Gain_offset step test'!$F$21:$F$52,MATCH(MIN(ABS('Gain_offset step test'!$F$21:$F$52-O83)),ABS('Gain_offset step test'!$F$21:$F$52-O83),0))</f>
        <v>0.86066911118590772</v>
      </c>
      <c r="Q83" s="421" t="e">
        <f t="shared" si="64"/>
        <v>#DIV/0!</v>
      </c>
      <c r="R83" s="422">
        <f t="shared" si="65"/>
        <v>-2.3361200093757355E-2</v>
      </c>
      <c r="S83" s="207">
        <f t="array" ref="S83">INDEX('Gain_offset step test'!$AL$55:$AL$70,MATCH(MIN(ABS('Gain_offset step test'!$AL$55:$AL$70-R83)),ABS('Gain_offset step test'!$AL$55:$AL$70-R83),0))</f>
        <v>0.92385130661693504</v>
      </c>
      <c r="T83" s="423">
        <f t="shared" si="66"/>
        <v>-0.49235224336352268</v>
      </c>
      <c r="U83" s="429">
        <f t="array" ref="U83">INDEX('Gain_offset step test'!$AL$72:$AL$87,MATCH(MIN(ABS('Gain_offset step test'!$AL$72:$AL$87-T83)),ABS('Gain_offset step test'!$AL$72:$AL$87-T83),0))</f>
        <v>0.98003123080023602</v>
      </c>
      <c r="V83" s="2"/>
      <c r="W83" s="462" t="s">
        <v>43</v>
      </c>
      <c r="X83" s="462">
        <v>1</v>
      </c>
      <c r="Y83" s="390" t="str">
        <f t="array" ref="Y83">INDEX('Gain_offset step test'!$F$21:$H$52,MATCH(MIN(ABS('Gain_offset step test'!$F$21:$F$52-O83)),ABS('Gain_offset step test'!$F$21:$F$52-O83),0),3)</f>
        <v>1F</v>
      </c>
      <c r="Z83" s="390" t="str">
        <f t="array" ref="Z83">INDEX('Gain_offset step test'!$H$55:$AL$70,MATCH(MIN(ABS('Gain_offset step test'!$AL$55:$AL$70-R83)),ABS('Gain_offset step test'!$AL$55:$AL$70-R83),0),1)</f>
        <v>0</v>
      </c>
      <c r="AA83" s="432" t="str">
        <f t="shared" si="67"/>
        <v>DF</v>
      </c>
      <c r="AB83" s="432" t="str">
        <f t="shared" si="68"/>
        <v>1</v>
      </c>
      <c r="AC83" s="418">
        <f t="array" ref="AC83">INDEX('Gain_offset step test'!$H$55:$AL$70,MATCH(MIN(ABS('Gain_offset step test'!$AL$55:$AL$70-R83)),ABS('Gain_offset step test'!$AL$55:$AL$70-R83),0),2)</f>
        <v>7</v>
      </c>
      <c r="AD83" s="390" t="str">
        <f t="array" ref="AD83">INDEX('Gain_offset step test'!$H$72:$AL$87,MATCH(MIN(ABS('Gain_offset step test'!$AL$72:$AL$87-T83)),ABS('Gain_offset step test'!$AL$72:$AL$87-T83),0),1)</f>
        <v>38</v>
      </c>
      <c r="AE83" s="418" t="str">
        <f t="shared" si="58"/>
        <v>38</v>
      </c>
      <c r="AF83" s="2">
        <f t="shared" si="69"/>
        <v>3.1</v>
      </c>
      <c r="AG83" s="430">
        <f t="shared" si="70"/>
        <v>2.9</v>
      </c>
    </row>
    <row r="84" spans="1:33" ht="15.75">
      <c r="A84" s="363">
        <f t="shared" si="59"/>
        <v>18</v>
      </c>
      <c r="B84" s="200"/>
      <c r="C84" s="200"/>
      <c r="D84" s="200"/>
      <c r="E84" s="200"/>
      <c r="F84" s="202">
        <f t="shared" si="60"/>
        <v>0</v>
      </c>
      <c r="G84" s="203">
        <v>40</v>
      </c>
      <c r="H84" s="201" t="e">
        <f t="shared" si="61"/>
        <v>#DIV/0!</v>
      </c>
      <c r="I84" s="206" t="e">
        <f t="array" ref="I84">INDEX('Gain_offset step test'!$AG$4:$AG$19,MATCH(MIN(IF('Gain_offset step test'!$AG$4:$AG$19&gt;H84,'Gain_offset step test'!$AG$4:$AG$19)),IF('Gain_offset step test'!$AG$4:$AG$19&gt;H84,'Gain_offset step test'!$AG$4:$AG$19),0))</f>
        <v>#DIV/0!</v>
      </c>
      <c r="J84" s="200">
        <v>3.1398999999999999</v>
      </c>
      <c r="K84" s="200">
        <v>2.9188999999999998</v>
      </c>
      <c r="L84" s="200">
        <v>2.6977000000000002</v>
      </c>
      <c r="M84" s="200">
        <v>2.4750000000000001</v>
      </c>
      <c r="N84" s="202">
        <f t="shared" si="62"/>
        <v>44.209999999999994</v>
      </c>
      <c r="O84" s="557">
        <f t="shared" si="63"/>
        <v>-9.5227324134810998E-2</v>
      </c>
      <c r="P84" s="186">
        <f t="array" ref="P84">INDEX('Gain_offset step test'!$F$21:$F$52,MATCH(MIN(ABS('Gain_offset step test'!$F$21:$F$52-O84)),ABS('Gain_offset step test'!$F$21:$F$52-O84),0))</f>
        <v>0.86066911118590772</v>
      </c>
      <c r="Q84" s="421" t="e">
        <f t="shared" si="64"/>
        <v>#DIV/0!</v>
      </c>
      <c r="R84" s="422">
        <f t="shared" si="65"/>
        <v>1.0101010101010065E-2</v>
      </c>
      <c r="S84" s="207">
        <f t="array" ref="S84">INDEX('Gain_offset step test'!$AL$55:$AL$70,MATCH(MIN(ABS('Gain_offset step test'!$AL$55:$AL$70-R84)),ABS('Gain_offset step test'!$AL$55:$AL$70-R84),0))</f>
        <v>0.92385130661693504</v>
      </c>
      <c r="T84" s="423">
        <f t="shared" si="66"/>
        <v>-0.47495889800482638</v>
      </c>
      <c r="U84" s="429">
        <f t="array" ref="U84">INDEX('Gain_offset step test'!$AL$72:$AL$87,MATCH(MIN(ABS('Gain_offset step test'!$AL$72:$AL$87-T84)),ABS('Gain_offset step test'!$AL$72:$AL$87-T84),0))</f>
        <v>0.98003123080023602</v>
      </c>
      <c r="V84" s="2"/>
      <c r="W84" s="462" t="s">
        <v>43</v>
      </c>
      <c r="X84" s="462">
        <v>1</v>
      </c>
      <c r="Y84" s="390" t="str">
        <f t="array" ref="Y84">INDEX('Gain_offset step test'!$F$21:$H$52,MATCH(MIN(ABS('Gain_offset step test'!$F$21:$F$52-O84)),ABS('Gain_offset step test'!$F$21:$F$52-O84),0),3)</f>
        <v>1F</v>
      </c>
      <c r="Z84" s="390" t="str">
        <f t="array" ref="Z84">INDEX('Gain_offset step test'!$H$55:$AL$70,MATCH(MIN(ABS('Gain_offset step test'!$AL$55:$AL$70-R84)),ABS('Gain_offset step test'!$AL$55:$AL$70-R84),0),1)</f>
        <v>0</v>
      </c>
      <c r="AA84" s="432" t="str">
        <f t="shared" si="67"/>
        <v>DF</v>
      </c>
      <c r="AB84" s="432" t="str">
        <f t="shared" si="68"/>
        <v>1</v>
      </c>
      <c r="AC84" s="418">
        <f t="array" ref="AC84">INDEX('Gain_offset step test'!$H$55:$AL$70,MATCH(MIN(ABS('Gain_offset step test'!$AL$55:$AL$70-R84)),ABS('Gain_offset step test'!$AL$55:$AL$70-R84),0),2)</f>
        <v>7</v>
      </c>
      <c r="AD84" s="390" t="str">
        <f t="array" ref="AD84">INDEX('Gain_offset step test'!$H$72:$AL$87,MATCH(MIN(ABS('Gain_offset step test'!$AL$72:$AL$87-T84)),ABS('Gain_offset step test'!$AL$72:$AL$87-T84),0),1)</f>
        <v>38</v>
      </c>
      <c r="AE84" s="418" t="str">
        <f t="shared" si="58"/>
        <v>38</v>
      </c>
      <c r="AF84" s="2">
        <f t="shared" si="69"/>
        <v>3.1</v>
      </c>
      <c r="AG84" s="430">
        <f t="shared" si="70"/>
        <v>2.9</v>
      </c>
    </row>
    <row r="85" spans="1:33" ht="15.75">
      <c r="A85" s="363">
        <f t="shared" si="59"/>
        <v>19</v>
      </c>
      <c r="B85" s="200"/>
      <c r="C85" s="200"/>
      <c r="D85" s="200"/>
      <c r="E85" s="200"/>
      <c r="F85" s="202">
        <f t="shared" si="60"/>
        <v>0</v>
      </c>
      <c r="G85" s="203">
        <v>40</v>
      </c>
      <c r="H85" s="201" t="e">
        <f t="shared" si="61"/>
        <v>#DIV/0!</v>
      </c>
      <c r="I85" s="206" t="e">
        <f t="array" ref="I85">INDEX('Gain_offset step test'!$AG$4:$AG$19,MATCH(MIN(IF('Gain_offset step test'!$AG$4:$AG$19&gt;H85,'Gain_offset step test'!$AG$4:$AG$19)),IF('Gain_offset step test'!$AG$4:$AG$19&gt;H85,'Gain_offset step test'!$AG$4:$AG$19),0))</f>
        <v>#DIV/0!</v>
      </c>
      <c r="J85" s="200">
        <v>3.1918000000000002</v>
      </c>
      <c r="K85" s="200">
        <v>2.9622999999999999</v>
      </c>
      <c r="L85" s="200">
        <v>2.7326000000000001</v>
      </c>
      <c r="M85" s="200">
        <v>2.5013000000000001</v>
      </c>
      <c r="N85" s="202">
        <f t="shared" si="62"/>
        <v>45.910000000000025</v>
      </c>
      <c r="O85" s="557">
        <f t="shared" si="63"/>
        <v>-0.12873012415595778</v>
      </c>
      <c r="P85" s="186">
        <f t="array" ref="P85">INDEX('Gain_offset step test'!$F$21:$F$52,MATCH(MIN(ABS('Gain_offset step test'!$F$21:$F$52-O85)),ABS('Gain_offset step test'!$F$21:$F$52-O85),0))</f>
        <v>0.86066911118590772</v>
      </c>
      <c r="Q85" s="421" t="e">
        <f t="shared" si="64"/>
        <v>#DIV/0!</v>
      </c>
      <c r="R85" s="422">
        <f t="shared" si="65"/>
        <v>-5.1972974053495337E-4</v>
      </c>
      <c r="S85" s="207">
        <f t="array" ref="S85">INDEX('Gain_offset step test'!$AL$55:$AL$70,MATCH(MIN(ABS('Gain_offset step test'!$AL$55:$AL$70-R85)),ABS('Gain_offset step test'!$AL$55:$AL$70-R85),0))</f>
        <v>0.92385130661693504</v>
      </c>
      <c r="T85" s="423">
        <f t="shared" si="66"/>
        <v>-0.48047945970573114</v>
      </c>
      <c r="U85" s="429">
        <f t="array" ref="U85">INDEX('Gain_offset step test'!$AL$72:$AL$87,MATCH(MIN(ABS('Gain_offset step test'!$AL$72:$AL$87-T85)),ABS('Gain_offset step test'!$AL$72:$AL$87-T85),0))</f>
        <v>0.98003123080023602</v>
      </c>
      <c r="V85" s="2"/>
      <c r="W85" s="462" t="s">
        <v>43</v>
      </c>
      <c r="X85" s="462">
        <v>1</v>
      </c>
      <c r="Y85" s="390" t="str">
        <f t="array" ref="Y85">INDEX('Gain_offset step test'!$F$21:$H$52,MATCH(MIN(ABS('Gain_offset step test'!$F$21:$F$52-O85)),ABS('Gain_offset step test'!$F$21:$F$52-O85),0),3)</f>
        <v>1F</v>
      </c>
      <c r="Z85" s="390" t="str">
        <f t="array" ref="Z85">INDEX('Gain_offset step test'!$H$55:$AL$70,MATCH(MIN(ABS('Gain_offset step test'!$AL$55:$AL$70-R85)),ABS('Gain_offset step test'!$AL$55:$AL$70-R85),0),1)</f>
        <v>0</v>
      </c>
      <c r="AA85" s="432" t="str">
        <f t="shared" si="67"/>
        <v>DF</v>
      </c>
      <c r="AB85" s="432" t="str">
        <f t="shared" si="68"/>
        <v>1</v>
      </c>
      <c r="AC85" s="418">
        <f t="array" ref="AC85">INDEX('Gain_offset step test'!$H$55:$AL$70,MATCH(MIN(ABS('Gain_offset step test'!$AL$55:$AL$70-R85)),ABS('Gain_offset step test'!$AL$55:$AL$70-R85),0),2)</f>
        <v>7</v>
      </c>
      <c r="AD85" s="390" t="str">
        <f t="array" ref="AD85">INDEX('Gain_offset step test'!$H$72:$AL$87,MATCH(MIN(ABS('Gain_offset step test'!$AL$72:$AL$87-T85)),ABS('Gain_offset step test'!$AL$72:$AL$87-T85),0),1)</f>
        <v>38</v>
      </c>
      <c r="AE85" s="418" t="str">
        <f t="shared" si="58"/>
        <v>38</v>
      </c>
      <c r="AF85" s="2">
        <f t="shared" si="69"/>
        <v>3.1</v>
      </c>
      <c r="AG85" s="430">
        <f t="shared" si="70"/>
        <v>2.9</v>
      </c>
    </row>
    <row r="86" spans="1:33" ht="15.75">
      <c r="A86" s="363">
        <f t="shared" si="59"/>
        <v>20</v>
      </c>
      <c r="B86" s="200"/>
      <c r="C86" s="200"/>
      <c r="D86" s="200"/>
      <c r="E86" s="200"/>
      <c r="F86" s="202">
        <f t="shared" si="60"/>
        <v>0</v>
      </c>
      <c r="G86" s="203">
        <v>40</v>
      </c>
      <c r="H86" s="201" t="e">
        <f t="shared" si="61"/>
        <v>#DIV/0!</v>
      </c>
      <c r="I86" s="206" t="e">
        <f t="array" ref="I86">INDEX('Gain_offset step test'!$AG$4:$AG$19,MATCH(MIN(IF('Gain_offset step test'!$AG$4:$AG$19&gt;H86,'Gain_offset step test'!$AG$4:$AG$19)),IF('Gain_offset step test'!$AG$4:$AG$19&gt;H86,'Gain_offset step test'!$AG$4:$AG$19),0))</f>
        <v>#DIV/0!</v>
      </c>
      <c r="J86" s="200">
        <v>3.1713</v>
      </c>
      <c r="K86" s="200">
        <v>2.9529999999999998</v>
      </c>
      <c r="L86" s="200">
        <v>2.7347000000000001</v>
      </c>
      <c r="M86" s="200">
        <v>2.5139999999999998</v>
      </c>
      <c r="N86" s="202">
        <f t="shared" si="62"/>
        <v>43.660000000000011</v>
      </c>
      <c r="O86" s="557">
        <f t="shared" si="63"/>
        <v>-8.3829592304168796E-2</v>
      </c>
      <c r="P86" s="186">
        <f t="array" ref="P86">INDEX('Gain_offset step test'!$F$21:$F$52,MATCH(MIN(ABS('Gain_offset step test'!$F$21:$F$52-O86)),ABS('Gain_offset step test'!$F$21:$F$52-O86),0))</f>
        <v>0.86066911118590772</v>
      </c>
      <c r="Q86" s="421" t="e">
        <f t="shared" si="64"/>
        <v>#DIV/0!</v>
      </c>
      <c r="R86" s="422">
        <f t="shared" si="65"/>
        <v>-5.5688146380269655E-3</v>
      </c>
      <c r="S86" s="207">
        <f t="array" ref="S86">INDEX('Gain_offset step test'!$AL$55:$AL$70,MATCH(MIN(ABS('Gain_offset step test'!$AL$55:$AL$70-R86)),ABS('Gain_offset step test'!$AL$55:$AL$70-R86),0))</f>
        <v>0.92385130661693504</v>
      </c>
      <c r="T86" s="423">
        <f t="shared" si="66"/>
        <v>-0.48310392703339111</v>
      </c>
      <c r="U86" s="429">
        <f t="array" ref="U86">INDEX('Gain_offset step test'!$AL$72:$AL$87,MATCH(MIN(ABS('Gain_offset step test'!$AL$72:$AL$87-T86)),ABS('Gain_offset step test'!$AL$72:$AL$87-T86),0))</f>
        <v>0.98003123080023602</v>
      </c>
      <c r="V86" s="2"/>
      <c r="W86" s="462" t="s">
        <v>43</v>
      </c>
      <c r="X86" s="462">
        <v>1</v>
      </c>
      <c r="Y86" s="390" t="str">
        <f t="array" ref="Y86">INDEX('Gain_offset step test'!$F$21:$H$52,MATCH(MIN(ABS('Gain_offset step test'!$F$21:$F$52-O86)),ABS('Gain_offset step test'!$F$21:$F$52-O86),0),3)</f>
        <v>1F</v>
      </c>
      <c r="Z86" s="390" t="str">
        <f t="array" ref="Z86">INDEX('Gain_offset step test'!$H$55:$AL$70,MATCH(MIN(ABS('Gain_offset step test'!$AL$55:$AL$70-R86)),ABS('Gain_offset step test'!$AL$55:$AL$70-R86),0),1)</f>
        <v>0</v>
      </c>
      <c r="AA86" s="432" t="str">
        <f t="shared" si="67"/>
        <v>DF</v>
      </c>
      <c r="AB86" s="432" t="str">
        <f t="shared" si="68"/>
        <v>1</v>
      </c>
      <c r="AC86" s="418">
        <f t="array" ref="AC86">INDEX('Gain_offset step test'!$H$55:$AL$70,MATCH(MIN(ABS('Gain_offset step test'!$AL$55:$AL$70-R86)),ABS('Gain_offset step test'!$AL$55:$AL$70-R86),0),2)</f>
        <v>7</v>
      </c>
      <c r="AD86" s="390" t="str">
        <f t="array" ref="AD86">INDEX('Gain_offset step test'!$H$72:$AL$87,MATCH(MIN(ABS('Gain_offset step test'!$AL$72:$AL$87-T86)),ABS('Gain_offset step test'!$AL$72:$AL$87-T86),0),1)</f>
        <v>38</v>
      </c>
      <c r="AE86" s="418" t="str">
        <f t="shared" si="58"/>
        <v>38</v>
      </c>
      <c r="AF86" s="2">
        <f t="shared" si="69"/>
        <v>3.1</v>
      </c>
      <c r="AG86" s="430">
        <f t="shared" si="70"/>
        <v>2.9</v>
      </c>
    </row>
    <row r="87" spans="1:33" ht="15.75">
      <c r="A87" s="363">
        <f t="shared" si="59"/>
        <v>21</v>
      </c>
      <c r="B87" s="200">
        <v>4.8639999999999999</v>
      </c>
      <c r="C87" s="200">
        <v>4.05</v>
      </c>
      <c r="D87" s="200">
        <v>3.25</v>
      </c>
      <c r="E87" s="200">
        <v>2.4569999999999999</v>
      </c>
      <c r="F87" s="202">
        <f>1000*((B87-D87)/10+(B87-C87)/5)/2</f>
        <v>162.1</v>
      </c>
      <c r="G87" s="203">
        <v>66</v>
      </c>
      <c r="H87" s="201">
        <f t="shared" si="61"/>
        <v>-0.59284392350400983</v>
      </c>
      <c r="I87" s="206">
        <f t="array" ref="I87">INDEX('Gain_offset step test'!$AG$4:$AG$19,MATCH(MIN(IF('Gain_offset step test'!$AG$4:$AG$19&gt;H87,'Gain_offset step test'!$AG$4:$AG$19)),IF('Gain_offset step test'!$AG$4:$AG$19&gt;H87,'Gain_offset step test'!$AG$4:$AG$19),0))</f>
        <v>0.12356481985392632</v>
      </c>
      <c r="J87" s="200">
        <v>3.53</v>
      </c>
      <c r="K87" s="200">
        <v>3.1749999999999998</v>
      </c>
      <c r="L87" s="200">
        <v>2.8279999999999998</v>
      </c>
      <c r="M87" s="200">
        <v>2.4820000000000002</v>
      </c>
      <c r="N87" s="202">
        <f t="shared" si="62"/>
        <v>70.599999999999994</v>
      </c>
      <c r="O87" s="557">
        <f t="shared" si="63"/>
        <v>-6.5155807365439022E-2</v>
      </c>
      <c r="P87" s="186">
        <f t="array" ref="P87">INDEX('Gain_offset step test'!$F$21:$F$52,MATCH(MIN(ABS('Gain_offset step test'!$F$21:$F$52-O87)),ABS('Gain_offset step test'!$F$21:$F$52-O87),0))</f>
        <v>0.86066911118590772</v>
      </c>
      <c r="Q87" s="421">
        <f t="shared" si="64"/>
        <v>338.88339969968399</v>
      </c>
      <c r="R87" s="422">
        <f t="shared" si="65"/>
        <v>7.252215954875017E-3</v>
      </c>
      <c r="S87" s="207">
        <f t="array" ref="S87">INDEX('Gain_offset step test'!$AL$55:$AL$70,MATCH(MIN(ABS('Gain_offset step test'!$AL$55:$AL$70-R87)),ABS('Gain_offset step test'!$AL$55:$AL$70-R87),0))</f>
        <v>0.92385130661693504</v>
      </c>
      <c r="T87" s="423">
        <f t="shared" si="66"/>
        <v>-0.47643967468249215</v>
      </c>
      <c r="U87" s="429">
        <f t="array" ref="U87">INDEX('Gain_offset step test'!$AL$72:$AL$87,MATCH(MIN(ABS('Gain_offset step test'!$AL$72:$AL$87-T87)),ABS('Gain_offset step test'!$AL$72:$AL$87-T87),0))</f>
        <v>0.98003123080023602</v>
      </c>
      <c r="V87" s="2"/>
      <c r="W87" s="418" t="str">
        <f t="array" ref="W87">INDEX('Gain_offset step test'!$H$4:$AG$19,MATCH(MIN(IF('Gain_offset step test'!$AG$4:$AG$19&gt;H87,'Gain_offset step test'!$AG$4:$AG$19)),IF('Gain_offset step test'!$AG$4:$AG$19&gt;H87,'Gain_offset step test'!$AG$4:$AG$19),0),1)</f>
        <v>E0</v>
      </c>
      <c r="X87" s="418">
        <f t="array" ref="X87">INDEX('Gain_offset step test'!$H$4:$AG$19,MATCH(MIN(IF('Gain_offset step test'!$AG$4:$AG$19&gt;H87,'Gain_offset step test'!$AG$4:$AG$19)),IF('Gain_offset step test'!$AG$4:$AG$19&gt;H87,'Gain_offset step test'!$AG$4:$AG$19),0),2)</f>
        <v>1</v>
      </c>
      <c r="Y87" s="390" t="str">
        <f t="array" ref="Y87">INDEX('Gain_offset step test'!$F$21:$H$52,MATCH(MIN(ABS('Gain_offset step test'!$F$21:$F$52-O87)),ABS('Gain_offset step test'!$F$21:$F$52-O87),0),3)</f>
        <v>1F</v>
      </c>
      <c r="Z87" s="390" t="str">
        <f t="array" ref="Z87">INDEX('Gain_offset step test'!$H$55:$AL$70,MATCH(MIN(ABS('Gain_offset step test'!$AL$55:$AL$70-R87)),ABS('Gain_offset step test'!$AL$55:$AL$70-R87),0),1)</f>
        <v>0</v>
      </c>
      <c r="AA87" s="432" t="str">
        <f t="shared" si="67"/>
        <v>FF</v>
      </c>
      <c r="AB87" s="432" t="str">
        <f t="shared" si="68"/>
        <v>1</v>
      </c>
      <c r="AC87" s="418">
        <f t="array" ref="AC87">INDEX('Gain_offset step test'!$H$55:$AL$70,MATCH(MIN(ABS('Gain_offset step test'!$AL$55:$AL$70-R87)),ABS('Gain_offset step test'!$AL$55:$AL$70-R87),0),2)</f>
        <v>7</v>
      </c>
      <c r="AD87" s="390" t="str">
        <f t="array" ref="AD87">INDEX('Gain_offset step test'!$H$72:$AL$87,MATCH(MIN(ABS('Gain_offset step test'!$AL$72:$AL$87-T87)),ABS('Gain_offset step test'!$AL$72:$AL$87-T87),0),1)</f>
        <v>38</v>
      </c>
      <c r="AE87" s="418" t="str">
        <f t="shared" si="58"/>
        <v>38</v>
      </c>
      <c r="AF87" s="2">
        <f t="shared" si="69"/>
        <v>3.49</v>
      </c>
      <c r="AG87" s="430">
        <f t="shared" si="70"/>
        <v>3.16</v>
      </c>
    </row>
    <row r="88" spans="1:33" ht="15.75">
      <c r="A88" s="363">
        <f t="shared" si="59"/>
        <v>22</v>
      </c>
      <c r="B88" s="200">
        <v>4.92</v>
      </c>
      <c r="C88" s="200">
        <v>4.1079999999999997</v>
      </c>
      <c r="D88" s="200">
        <v>3.302</v>
      </c>
      <c r="E88" s="200">
        <v>2.508</v>
      </c>
      <c r="F88" s="202">
        <f t="shared" si="60"/>
        <v>162.10000000000002</v>
      </c>
      <c r="G88" s="203">
        <f>2000/30</f>
        <v>66.666666666666671</v>
      </c>
      <c r="H88" s="201">
        <f t="shared" si="61"/>
        <v>-0.58873123586263632</v>
      </c>
      <c r="I88" s="206">
        <f t="array" ref="I88">INDEX('Gain_offset step test'!$AG$4:$AG$19,MATCH(MIN(IF('Gain_offset step test'!$AG$4:$AG$19&gt;H88,'Gain_offset step test'!$AG$4:$AG$19)),IF('Gain_offset step test'!$AG$4:$AG$19&gt;H88,'Gain_offset step test'!$AG$4:$AG$19),0))</f>
        <v>0.12356481985392632</v>
      </c>
      <c r="J88" s="200">
        <v>3.5579999999999998</v>
      </c>
      <c r="K88" s="200">
        <v>3.2050000000000001</v>
      </c>
      <c r="L88" s="200">
        <v>2.8570000000000002</v>
      </c>
      <c r="M88" s="200">
        <v>2.5129999999999999</v>
      </c>
      <c r="N88" s="202">
        <f t="shared" si="62"/>
        <v>70.349999999999966</v>
      </c>
      <c r="O88" s="557">
        <f t="shared" si="63"/>
        <v>-5.2357261312484665E-2</v>
      </c>
      <c r="P88" s="186">
        <f t="array" ref="P88">INDEX('Gain_offset step test'!$F$21:$F$52,MATCH(MIN(ABS('Gain_offset step test'!$F$21:$F$52-O88)),ABS('Gain_offset step test'!$F$21:$F$52-O88),0))</f>
        <v>0.86066911118590772</v>
      </c>
      <c r="Q88" s="421">
        <f t="shared" si="64"/>
        <v>338.88339969968411</v>
      </c>
      <c r="R88" s="422">
        <f t="shared" si="65"/>
        <v>-5.173099880620733E-3</v>
      </c>
      <c r="S88" s="207">
        <f t="array" ref="S88">INDEX('Gain_offset step test'!$AL$55:$AL$70,MATCH(MIN(ABS('Gain_offset step test'!$AL$55:$AL$70-R88)),ABS('Gain_offset step test'!$AL$55:$AL$70-R88),0))</f>
        <v>0.92385130661693504</v>
      </c>
      <c r="T88" s="423">
        <f t="shared" si="66"/>
        <v>-0.48289823818620981</v>
      </c>
      <c r="U88" s="429">
        <f t="array" ref="U88">INDEX('Gain_offset step test'!$AL$72:$AL$87,MATCH(MIN(ABS('Gain_offset step test'!$AL$72:$AL$87-T88)),ABS('Gain_offset step test'!$AL$72:$AL$87-T88),0))</f>
        <v>0.98003123080023602</v>
      </c>
      <c r="V88" s="2"/>
      <c r="W88" s="418" t="str">
        <f t="array" ref="W88">INDEX('Gain_offset step test'!$H$4:$AG$19,MATCH(MIN(IF('Gain_offset step test'!$AG$4:$AG$19&gt;H88,'Gain_offset step test'!$AG$4:$AG$19)),IF('Gain_offset step test'!$AG$4:$AG$19&gt;H88,'Gain_offset step test'!$AG$4:$AG$19),0),1)</f>
        <v>E0</v>
      </c>
      <c r="X88" s="418">
        <f t="array" ref="X88">INDEX('Gain_offset step test'!$H$4:$AG$19,MATCH(MIN(IF('Gain_offset step test'!$AG$4:$AG$19&gt;H88,'Gain_offset step test'!$AG$4:$AG$19)),IF('Gain_offset step test'!$AG$4:$AG$19&gt;H88,'Gain_offset step test'!$AG$4:$AG$19),0),2)</f>
        <v>1</v>
      </c>
      <c r="Y88" s="390" t="str">
        <f t="array" ref="Y88">INDEX('Gain_offset step test'!$F$21:$H$52,MATCH(MIN(ABS('Gain_offset step test'!$F$21:$F$52-O88)),ABS('Gain_offset step test'!$F$21:$F$52-O88),0),3)</f>
        <v>1F</v>
      </c>
      <c r="Z88" s="390" t="str">
        <f t="array" ref="Z88">INDEX('Gain_offset step test'!$H$55:$AL$70,MATCH(MIN(ABS('Gain_offset step test'!$AL$55:$AL$70-R88)),ABS('Gain_offset step test'!$AL$55:$AL$70-R88),0),1)</f>
        <v>0</v>
      </c>
      <c r="AA88" s="432" t="str">
        <f t="shared" si="67"/>
        <v>FF</v>
      </c>
      <c r="AB88" s="432" t="str">
        <f t="shared" si="68"/>
        <v>1</v>
      </c>
      <c r="AC88" s="418">
        <f t="array" ref="AC88">INDEX('Gain_offset step test'!$H$55:$AL$70,MATCH(MIN(ABS('Gain_offset step test'!$AL$55:$AL$70-R88)),ABS('Gain_offset step test'!$AL$55:$AL$70-R88),0),2)</f>
        <v>7</v>
      </c>
      <c r="AD88" s="390" t="str">
        <f t="array" ref="AD88">INDEX('Gain_offset step test'!$H$72:$AL$87,MATCH(MIN(ABS('Gain_offset step test'!$AL$72:$AL$87-T88)),ABS('Gain_offset step test'!$AL$72:$AL$87-T88),0),1)</f>
        <v>38</v>
      </c>
      <c r="AE88" s="418" t="str">
        <f t="shared" si="58"/>
        <v>38</v>
      </c>
      <c r="AF88" s="2">
        <f t="shared" si="69"/>
        <v>3.5</v>
      </c>
      <c r="AG88" s="430">
        <f t="shared" si="70"/>
        <v>3.166666666666667</v>
      </c>
    </row>
    <row r="89" spans="1:33" ht="15.75">
      <c r="A89" s="363" t="s">
        <v>290</v>
      </c>
      <c r="B89" s="200"/>
      <c r="C89" s="200"/>
      <c r="D89" s="200"/>
      <c r="E89" s="200"/>
      <c r="F89" s="202"/>
      <c r="G89" s="203"/>
      <c r="H89" s="201"/>
      <c r="I89" s="206"/>
      <c r="J89" s="200"/>
      <c r="K89" s="200"/>
      <c r="L89" s="200"/>
      <c r="M89" s="200"/>
      <c r="N89" s="202"/>
      <c r="O89" s="557"/>
      <c r="P89" s="186"/>
      <c r="Q89" s="421"/>
      <c r="R89" s="422"/>
      <c r="S89" s="207"/>
      <c r="T89" s="423"/>
      <c r="U89" s="429"/>
      <c r="V89" s="2"/>
      <c r="W89" s="418"/>
      <c r="X89" s="418"/>
      <c r="Y89" s="390"/>
      <c r="Z89" s="390"/>
      <c r="AA89" s="432"/>
      <c r="AB89" s="432"/>
      <c r="AC89" s="418"/>
      <c r="AD89" s="390"/>
      <c r="AE89" s="418"/>
      <c r="AF89" s="2"/>
      <c r="AG89" s="430"/>
    </row>
    <row r="90" spans="1:33" ht="15.75">
      <c r="A90" s="363">
        <v>1</v>
      </c>
      <c r="B90" s="200">
        <v>4.9450000000000003</v>
      </c>
      <c r="C90" s="200">
        <v>4.1230000000000002</v>
      </c>
      <c r="D90" s="200">
        <v>3.3014999999999999</v>
      </c>
      <c r="E90" s="200">
        <v>2.4851999999999999</v>
      </c>
      <c r="F90" s="202">
        <f>1000*((B90-D90)/10+(B90-C90)/5)/2</f>
        <v>164.37500000000006</v>
      </c>
      <c r="G90" s="203">
        <f>2000/30</f>
        <v>66.666666666666671</v>
      </c>
      <c r="H90" s="201">
        <f>(G90-F90)/F90</f>
        <v>-0.59442332065906223</v>
      </c>
      <c r="I90" s="206">
        <f t="array" ref="I90">INDEX('Gain_offset step test'!$AG$4:$AG$19,MATCH(MIN(IF('Gain_offset step test'!$AG$4:$AG$19&gt;H90,'Gain_offset step test'!$AG$4:$AG$19)),IF('Gain_offset step test'!$AG$4:$AG$19&gt;H90,'Gain_offset step test'!$AG$4:$AG$19),0))</f>
        <v>0.12356481985392632</v>
      </c>
      <c r="J90" s="200">
        <v>3.589</v>
      </c>
      <c r="K90" s="200">
        <v>3.2280000000000002</v>
      </c>
      <c r="L90" s="200">
        <v>2.8687</v>
      </c>
      <c r="M90" s="200">
        <v>2.5116999999999998</v>
      </c>
      <c r="N90" s="202">
        <f>1000*((J90-L90)/10+(J90-K90)/5)/2</f>
        <v>72.114999999999981</v>
      </c>
      <c r="O90" s="557">
        <f>(G90-N90)/N90</f>
        <v>-7.5550625158889426E-2</v>
      </c>
      <c r="P90" s="186">
        <f t="array" ref="P90">INDEX('Gain_offset step test'!$F$21:$F$52,MATCH(MIN(ABS('Gain_offset step test'!$F$21:$F$52-O90)),ABS('Gain_offset step test'!$F$21:$F$52-O90),0))</f>
        <v>0.86066911118590772</v>
      </c>
      <c r="Q90" s="421">
        <f>(F90+F90*I90)+(F90+F90*I90)*P90</f>
        <v>343.63947455666607</v>
      </c>
      <c r="R90" s="422">
        <f>(2.5-M90)/M90</f>
        <v>-4.6581996257514125E-3</v>
      </c>
      <c r="S90" s="207">
        <f t="array" ref="S90">INDEX('Gain_offset step test'!$AL$55:$AL$70,MATCH(MIN(ABS('Gain_offset step test'!$AL$55:$AL$70-R90)),ABS('Gain_offset step test'!$AL$55:$AL$70-R90),0))</f>
        <v>0.92385130661693504</v>
      </c>
      <c r="T90" s="423">
        <f>((1+R90)/(1+S90))-1</f>
        <v>-0.48263059782694806</v>
      </c>
      <c r="U90" s="429">
        <f t="array" ref="U90">INDEX('Gain_offset step test'!$AL$72:$AL$87,MATCH(MIN(ABS('Gain_offset step test'!$AL$72:$AL$87-T90)),ABS('Gain_offset step test'!$AL$72:$AL$87-T90),0))</f>
        <v>0.98003123080023602</v>
      </c>
      <c r="V90" s="2"/>
      <c r="W90" s="418" t="str">
        <f t="array" ref="W90">INDEX('Gain_offset step test'!$H$4:$AG$19,MATCH(MIN(IF('Gain_offset step test'!$AG$4:$AG$19&gt;H90,'Gain_offset step test'!$AG$4:$AG$19)),IF('Gain_offset step test'!$AG$4:$AG$19&gt;H90,'Gain_offset step test'!$AG$4:$AG$19),0),1)</f>
        <v>E0</v>
      </c>
      <c r="X90" s="418">
        <f t="array" ref="X90">INDEX('Gain_offset step test'!$H$4:$AG$19,MATCH(MIN(IF('Gain_offset step test'!$AG$4:$AG$19&gt;H90,'Gain_offset step test'!$AG$4:$AG$19)),IF('Gain_offset step test'!$AG$4:$AG$19&gt;H90,'Gain_offset step test'!$AG$4:$AG$19),0),2)</f>
        <v>1</v>
      </c>
      <c r="Y90" s="390" t="str">
        <f t="array" ref="Y90">INDEX('Gain_offset step test'!$F$21:$H$52,MATCH(MIN(ABS('Gain_offset step test'!$F$21:$F$52-O90)),ABS('Gain_offset step test'!$F$21:$F$52-O90),0),3)</f>
        <v>1F</v>
      </c>
      <c r="Z90" s="390" t="str">
        <f t="array" ref="Z90">INDEX('Gain_offset step test'!$H$55:$AL$70,MATCH(MIN(ABS('Gain_offset step test'!$AL$55:$AL$70-R90)),ABS('Gain_offset step test'!$AL$55:$AL$70-R90),0),1)</f>
        <v>0</v>
      </c>
      <c r="AA90" s="432" t="str">
        <f>DEC2HEX(HEX2DEC(W90)+HEX2DEC(Y90))</f>
        <v>FF</v>
      </c>
      <c r="AB90" s="432" t="str">
        <f>DEC2HEX(HEX2DEC(X90)+HEX2DEC(Z90))</f>
        <v>1</v>
      </c>
      <c r="AC90" s="418">
        <f t="array" ref="AC90">INDEX('Gain_offset step test'!$H$55:$AL$70,MATCH(MIN(ABS('Gain_offset step test'!$AL$55:$AL$70-R90)),ABS('Gain_offset step test'!$AL$55:$AL$70-R90),0),2)</f>
        <v>7</v>
      </c>
      <c r="AD90" s="390" t="str">
        <f t="array" ref="AD90">INDEX('Gain_offset step test'!$H$72:$AL$87,MATCH(MIN(ABS('Gain_offset step test'!$AL$72:$AL$87-T90)),ABS('Gain_offset step test'!$AL$72:$AL$87-T90),0),1)</f>
        <v>38</v>
      </c>
      <c r="AE90" s="418" t="str">
        <f t="shared" si="58"/>
        <v>38</v>
      </c>
      <c r="AF90" s="2">
        <f>2.5+G90*15/1000</f>
        <v>3.5</v>
      </c>
      <c r="AG90" s="430">
        <f>2.5+G90*10/1000</f>
        <v>3.166666666666667</v>
      </c>
    </row>
    <row r="91" spans="1:33" s="499" customFormat="1" ht="15.75">
      <c r="A91" s="482">
        <f t="shared" si="59"/>
        <v>2</v>
      </c>
      <c r="B91" s="483">
        <v>4.4459999999999997</v>
      </c>
      <c r="C91" s="483">
        <v>3.7959999999999998</v>
      </c>
      <c r="D91" s="483">
        <v>3.15</v>
      </c>
      <c r="E91" s="483">
        <v>2.5066999999999999</v>
      </c>
      <c r="F91" s="484">
        <f>1000*((B91-D91)/8+(B91-C91)/4)/2</f>
        <v>162.24999999999997</v>
      </c>
      <c r="G91" s="485">
        <f>2000/30</f>
        <v>66.666666666666671</v>
      </c>
      <c r="H91" s="486">
        <f t="shared" si="61"/>
        <v>-0.58911145351823313</v>
      </c>
      <c r="I91" s="487">
        <f t="array" ref="I91">INDEX('Gain_offset step test'!$AG$4:$AG$19,MATCH(MIN(IF('Gain_offset step test'!$AG$4:$AG$19&gt;H91,'Gain_offset step test'!$AG$4:$AG$19)),IF('Gain_offset step test'!$AG$4:$AG$19&gt;H91,'Gain_offset step test'!$AG$4:$AG$19),0))</f>
        <v>0.12356481985392632</v>
      </c>
      <c r="J91" s="483">
        <v>3.3868</v>
      </c>
      <c r="K91" s="483">
        <v>3.101</v>
      </c>
      <c r="L91" s="483">
        <v>2.8187000000000002</v>
      </c>
      <c r="M91" s="483">
        <v>2.5369999999999999</v>
      </c>
      <c r="N91" s="484">
        <f>1000*((J91-L91)/8+(J91-K91)/4)/2</f>
        <v>71.231250000000003</v>
      </c>
      <c r="O91" s="562">
        <f t="shared" si="63"/>
        <v>-6.4081190956684478E-2</v>
      </c>
      <c r="P91" s="488">
        <f t="array" ref="P91">INDEX('Gain_offset step test'!$F$21:$F$52,MATCH(MIN(ABS('Gain_offset step test'!$F$21:$F$52-O91)),ABS('Gain_offset step test'!$F$21:$F$52-O91),0))</f>
        <v>0.86066911118590772</v>
      </c>
      <c r="Q91" s="489">
        <f t="shared" si="64"/>
        <v>339.19698705289159</v>
      </c>
      <c r="R91" s="490">
        <f t="shared" si="65"/>
        <v>-1.4584154513204542E-2</v>
      </c>
      <c r="S91" s="491">
        <f t="array" ref="S91">INDEX('Gain_offset step test'!$AL$55:$AL$70,MATCH(MIN(ABS('Gain_offset step test'!$AL$55:$AL$70-R91)),ABS('Gain_offset step test'!$AL$55:$AL$70-R91),0))</f>
        <v>0.92385130661693504</v>
      </c>
      <c r="T91" s="492">
        <f t="shared" si="66"/>
        <v>-0.48779001677648615</v>
      </c>
      <c r="U91" s="493">
        <f t="array" ref="U91">INDEX('Gain_offset step test'!$AL$72:$AL$87,MATCH(MIN(ABS('Gain_offset step test'!$AL$72:$AL$87-T91)),ABS('Gain_offset step test'!$AL$72:$AL$87-T91),0))</f>
        <v>0.98003123080023602</v>
      </c>
      <c r="V91" s="494"/>
      <c r="W91" s="495" t="str">
        <f t="array" ref="W91">INDEX('Gain_offset step test'!$H$4:$AG$19,MATCH(MIN(IF('Gain_offset step test'!$AG$4:$AG$19&gt;H91,'Gain_offset step test'!$AG$4:$AG$19)),IF('Gain_offset step test'!$AG$4:$AG$19&gt;H91,'Gain_offset step test'!$AG$4:$AG$19),0),1)</f>
        <v>E0</v>
      </c>
      <c r="X91" s="495">
        <f t="array" ref="X91">INDEX('Gain_offset step test'!$H$4:$AG$19,MATCH(MIN(IF('Gain_offset step test'!$AG$4:$AG$19&gt;H91,'Gain_offset step test'!$AG$4:$AG$19)),IF('Gain_offset step test'!$AG$4:$AG$19&gt;H91,'Gain_offset step test'!$AG$4:$AG$19),0),2)</f>
        <v>1</v>
      </c>
      <c r="Y91" s="496" t="str">
        <f t="array" ref="Y91">INDEX('Gain_offset step test'!$F$21:$H$52,MATCH(MIN(ABS('Gain_offset step test'!$F$21:$F$52-O91)),ABS('Gain_offset step test'!$F$21:$F$52-O91),0),3)</f>
        <v>1F</v>
      </c>
      <c r="Z91" s="496" t="str">
        <f t="array" ref="Z91">INDEX('Gain_offset step test'!$H$55:$AL$70,MATCH(MIN(ABS('Gain_offset step test'!$AL$55:$AL$70-R91)),ABS('Gain_offset step test'!$AL$55:$AL$70-R91),0),1)</f>
        <v>0</v>
      </c>
      <c r="AA91" s="497" t="str">
        <f t="shared" si="67"/>
        <v>FF</v>
      </c>
      <c r="AB91" s="497" t="str">
        <f t="shared" si="68"/>
        <v>1</v>
      </c>
      <c r="AC91" s="495">
        <f t="array" ref="AC91">INDEX('Gain_offset step test'!$H$55:$AL$70,MATCH(MIN(ABS('Gain_offset step test'!$AL$55:$AL$70-R91)),ABS('Gain_offset step test'!$AL$55:$AL$70-R91),0),2)</f>
        <v>7</v>
      </c>
      <c r="AD91" s="496" t="str">
        <f t="array" ref="AD91">INDEX('Gain_offset step test'!$H$72:$AL$87,MATCH(MIN(ABS('Gain_offset step test'!$AL$72:$AL$87-T91)),ABS('Gain_offset step test'!$AL$72:$AL$87-T91),0),1)</f>
        <v>38</v>
      </c>
      <c r="AE91" s="495" t="str">
        <f t="shared" si="58"/>
        <v>38</v>
      </c>
      <c r="AF91" s="494">
        <f t="shared" si="69"/>
        <v>3.5</v>
      </c>
      <c r="AG91" s="498">
        <f t="shared" si="70"/>
        <v>3.166666666666667</v>
      </c>
    </row>
    <row r="92" spans="1:33" s="519" customFormat="1" ht="15.75">
      <c r="A92" s="504">
        <f t="shared" si="59"/>
        <v>3</v>
      </c>
      <c r="B92" s="505">
        <v>4.3520000000000003</v>
      </c>
      <c r="C92" s="505">
        <v>3.7069999999999999</v>
      </c>
      <c r="D92" s="505">
        <v>3.0687000000000002</v>
      </c>
      <c r="E92" s="505">
        <v>2.4319999999999999</v>
      </c>
      <c r="F92" s="506">
        <f>1000*((B92-D92)/8+(B92-C92)/4)/2</f>
        <v>160.83125000000007</v>
      </c>
      <c r="G92" s="507">
        <f t="shared" ref="G92:G98" si="71">2000/30</f>
        <v>66.666666666666671</v>
      </c>
      <c r="H92" s="508">
        <f t="shared" si="61"/>
        <v>-0.58548685863806538</v>
      </c>
      <c r="I92" s="509">
        <f t="array" ref="I92">INDEX('Gain_offset step test'!$AG$4:$AG$19,MATCH(MIN(IF('Gain_offset step test'!$AG$4:$AG$19&gt;H92,'Gain_offset step test'!$AG$4:$AG$19)),IF('Gain_offset step test'!$AG$4:$AG$19&gt;H92,'Gain_offset step test'!$AG$4:$AG$19),0))</f>
        <v>0.12356481985392632</v>
      </c>
      <c r="J92" s="505">
        <v>3.2846000000000002</v>
      </c>
      <c r="K92" s="505">
        <v>3.0047000000000001</v>
      </c>
      <c r="L92" s="505">
        <v>2.7262</v>
      </c>
      <c r="M92" s="505">
        <v>2.4485999999999999</v>
      </c>
      <c r="N92" s="506">
        <f>1000*((J92-L92)/8+(J92-K92)/4)/2</f>
        <v>69.887500000000017</v>
      </c>
      <c r="O92" s="563">
        <f t="shared" si="63"/>
        <v>-4.6085971501818562E-2</v>
      </c>
      <c r="P92" s="510">
        <f t="array" ref="P92">INDEX('Gain_offset step test'!$F$21:$F$52,MATCH(MIN(ABS('Gain_offset step test'!$F$21:$F$52-O92)),ABS('Gain_offset step test'!$F$21:$F$52-O92),0))</f>
        <v>0.86066911118590772</v>
      </c>
      <c r="Q92" s="511">
        <f t="shared" si="64"/>
        <v>336.23097333713645</v>
      </c>
      <c r="R92" s="508">
        <f t="shared" si="65"/>
        <v>2.0991587029322925E-2</v>
      </c>
      <c r="S92" s="512">
        <f t="array" ref="S92">INDEX('Gain_offset step test'!$AL$55:$AL$70,MATCH(MIN(ABS('Gain_offset step test'!$AL$55:$AL$70-R92)),ABS('Gain_offset step test'!$AL$55:$AL$70-R92),0))</f>
        <v>0.92385130661693504</v>
      </c>
      <c r="T92" s="513">
        <f t="shared" si="66"/>
        <v>-0.4692980774981399</v>
      </c>
      <c r="U92" s="514">
        <f t="array" ref="U92">INDEX('Gain_offset step test'!$AL$72:$AL$87,MATCH(MIN(ABS('Gain_offset step test'!$AL$72:$AL$87-T92)),ABS('Gain_offset step test'!$AL$72:$AL$87-T92),0))</f>
        <v>0.98003123080023602</v>
      </c>
      <c r="V92" s="515"/>
      <c r="W92" s="516" t="str">
        <f t="array" ref="W92">INDEX('Gain_offset step test'!$H$4:$AG$19,MATCH(MIN(IF('Gain_offset step test'!$AG$4:$AG$19&gt;H92,'Gain_offset step test'!$AG$4:$AG$19)),IF('Gain_offset step test'!$AG$4:$AG$19&gt;H92,'Gain_offset step test'!$AG$4:$AG$19),0),1)</f>
        <v>E0</v>
      </c>
      <c r="X92" s="516">
        <f t="array" ref="X92">INDEX('Gain_offset step test'!$H$4:$AG$19,MATCH(MIN(IF('Gain_offset step test'!$AG$4:$AG$19&gt;H92,'Gain_offset step test'!$AG$4:$AG$19)),IF('Gain_offset step test'!$AG$4:$AG$19&gt;H92,'Gain_offset step test'!$AG$4:$AG$19),0),2)</f>
        <v>1</v>
      </c>
      <c r="Y92" s="516" t="str">
        <f t="array" ref="Y92">INDEX('Gain_offset step test'!$F$21:$H$52,MATCH(MIN(ABS('Gain_offset step test'!$F$21:$F$52-O92)),ABS('Gain_offset step test'!$F$21:$F$52-O92),0),3)</f>
        <v>1F</v>
      </c>
      <c r="Z92" s="516" t="str">
        <f t="array" ref="Z92">INDEX('Gain_offset step test'!$H$55:$AL$70,MATCH(MIN(ABS('Gain_offset step test'!$AL$55:$AL$70-R92)),ABS('Gain_offset step test'!$AL$55:$AL$70-R92),0),1)</f>
        <v>0</v>
      </c>
      <c r="AA92" s="517" t="str">
        <f t="shared" si="67"/>
        <v>FF</v>
      </c>
      <c r="AB92" s="517" t="str">
        <f t="shared" si="68"/>
        <v>1</v>
      </c>
      <c r="AC92" s="516">
        <f t="array" ref="AC92">INDEX('Gain_offset step test'!$H$55:$AL$70,MATCH(MIN(ABS('Gain_offset step test'!$AL$55:$AL$70-R92)),ABS('Gain_offset step test'!$AL$55:$AL$70-R92),0),2)</f>
        <v>7</v>
      </c>
      <c r="AD92" s="516" t="str">
        <f t="array" ref="AD92">INDEX('Gain_offset step test'!$H$72:$AL$87,MATCH(MIN(ABS('Gain_offset step test'!$AL$72:$AL$87-T92)),ABS('Gain_offset step test'!$AL$72:$AL$87-T92),0),1)</f>
        <v>38</v>
      </c>
      <c r="AE92" s="516" t="str">
        <f t="shared" si="58"/>
        <v>38</v>
      </c>
      <c r="AF92" s="515">
        <f t="shared" si="69"/>
        <v>3.5</v>
      </c>
      <c r="AG92" s="518">
        <f t="shared" si="70"/>
        <v>3.166666666666667</v>
      </c>
    </row>
    <row r="93" spans="1:33" s="519" customFormat="1" ht="15.75">
      <c r="A93" s="504">
        <f t="shared" si="59"/>
        <v>4</v>
      </c>
      <c r="B93" s="505">
        <v>4.3739999999999997</v>
      </c>
      <c r="C93" s="505">
        <v>3.7280000000000002</v>
      </c>
      <c r="D93" s="505">
        <v>3.0876000000000001</v>
      </c>
      <c r="E93" s="505">
        <v>2.4487999999999999</v>
      </c>
      <c r="F93" s="506">
        <f>1000*((B93-D93)/8+(B93-C93)/4)/2</f>
        <v>161.14999999999989</v>
      </c>
      <c r="G93" s="507">
        <f t="shared" si="71"/>
        <v>66.666666666666671</v>
      </c>
      <c r="H93" s="508">
        <f t="shared" si="61"/>
        <v>-0.58630675354224815</v>
      </c>
      <c r="I93" s="509">
        <f t="array" ref="I93">INDEX('Gain_offset step test'!$AG$4:$AG$19,MATCH(MIN(IF('Gain_offset step test'!$AG$4:$AG$19&gt;H93,'Gain_offset step test'!$AG$4:$AG$19)),IF('Gain_offset step test'!$AG$4:$AG$19&gt;H93,'Gain_offset step test'!$AG$4:$AG$19),0))</f>
        <v>0.12356481985392632</v>
      </c>
      <c r="J93" s="505">
        <v>3.3079999999999998</v>
      </c>
      <c r="K93" s="505">
        <v>3.0287999999999999</v>
      </c>
      <c r="L93" s="505">
        <v>2.7492000000000001</v>
      </c>
      <c r="M93" s="505">
        <v>2.4706999999999999</v>
      </c>
      <c r="N93" s="506">
        <f>1000*((J93-L93)/8+(J93-K93)/4)/2</f>
        <v>69.824999999999974</v>
      </c>
      <c r="O93" s="563">
        <f t="shared" si="63"/>
        <v>-4.5232127938894438E-2</v>
      </c>
      <c r="P93" s="510">
        <f t="array" ref="P93">INDEX('Gain_offset step test'!$F$21:$F$52,MATCH(MIN(ABS('Gain_offset step test'!$F$21:$F$52-O93)),ABS('Gain_offset step test'!$F$21:$F$52-O93),0))</f>
        <v>0.86066911118590772</v>
      </c>
      <c r="Q93" s="511">
        <f t="shared" si="64"/>
        <v>336.89734646270222</v>
      </c>
      <c r="R93" s="508">
        <f t="shared" si="65"/>
        <v>1.185898733152552E-2</v>
      </c>
      <c r="S93" s="512">
        <f t="array" ref="S93">INDEX('Gain_offset step test'!$AL$55:$AL$70,MATCH(MIN(ABS('Gain_offset step test'!$AL$55:$AL$70-R93)),ABS('Gain_offset step test'!$AL$55:$AL$70-R93),0))</f>
        <v>0.92385130661693504</v>
      </c>
      <c r="T93" s="513">
        <f t="shared" si="66"/>
        <v>-0.4740451178054581</v>
      </c>
      <c r="U93" s="514">
        <f t="array" ref="U93">INDEX('Gain_offset step test'!$AL$72:$AL$87,MATCH(MIN(ABS('Gain_offset step test'!$AL$72:$AL$87-T93)),ABS('Gain_offset step test'!$AL$72:$AL$87-T93),0))</f>
        <v>0.98003123080023602</v>
      </c>
      <c r="V93" s="515"/>
      <c r="W93" s="516" t="str">
        <f t="array" ref="W93">INDEX('Gain_offset step test'!$H$4:$AG$19,MATCH(MIN(IF('Gain_offset step test'!$AG$4:$AG$19&gt;H93,'Gain_offset step test'!$AG$4:$AG$19)),IF('Gain_offset step test'!$AG$4:$AG$19&gt;H93,'Gain_offset step test'!$AG$4:$AG$19),0),1)</f>
        <v>E0</v>
      </c>
      <c r="X93" s="516">
        <f t="array" ref="X93">INDEX('Gain_offset step test'!$H$4:$AG$19,MATCH(MIN(IF('Gain_offset step test'!$AG$4:$AG$19&gt;H93,'Gain_offset step test'!$AG$4:$AG$19)),IF('Gain_offset step test'!$AG$4:$AG$19&gt;H93,'Gain_offset step test'!$AG$4:$AG$19),0),2)</f>
        <v>1</v>
      </c>
      <c r="Y93" s="516" t="str">
        <f t="array" ref="Y93">INDEX('Gain_offset step test'!$F$21:$H$52,MATCH(MIN(ABS('Gain_offset step test'!$F$21:$F$52-O93)),ABS('Gain_offset step test'!$F$21:$F$52-O93),0),3)</f>
        <v>1F</v>
      </c>
      <c r="Z93" s="516" t="str">
        <f t="array" ref="Z93">INDEX('Gain_offset step test'!$H$55:$AL$70,MATCH(MIN(ABS('Gain_offset step test'!$AL$55:$AL$70-R93)),ABS('Gain_offset step test'!$AL$55:$AL$70-R93),0),1)</f>
        <v>0</v>
      </c>
      <c r="AA93" s="517" t="str">
        <f t="shared" si="67"/>
        <v>FF</v>
      </c>
      <c r="AB93" s="517" t="str">
        <f t="shared" si="68"/>
        <v>1</v>
      </c>
      <c r="AC93" s="516">
        <f t="array" ref="AC93">INDEX('Gain_offset step test'!$H$55:$AL$70,MATCH(MIN(ABS('Gain_offset step test'!$AL$55:$AL$70-R93)),ABS('Gain_offset step test'!$AL$55:$AL$70-R93),0),2)</f>
        <v>7</v>
      </c>
      <c r="AD93" s="516" t="str">
        <f t="array" ref="AD93">INDEX('Gain_offset step test'!$H$72:$AL$87,MATCH(MIN(ABS('Gain_offset step test'!$AL$72:$AL$87-T93)),ABS('Gain_offset step test'!$AL$72:$AL$87-T93),0),1)</f>
        <v>38</v>
      </c>
      <c r="AE93" s="516" t="str">
        <f t="shared" si="58"/>
        <v>38</v>
      </c>
      <c r="AF93" s="515">
        <f t="shared" si="69"/>
        <v>3.5</v>
      </c>
      <c r="AG93" s="518">
        <f t="shared" si="70"/>
        <v>3.166666666666667</v>
      </c>
    </row>
    <row r="94" spans="1:33" s="530" customFormat="1" ht="15.75">
      <c r="A94" s="531">
        <v>41810</v>
      </c>
      <c r="B94" s="532" t="s">
        <v>291</v>
      </c>
      <c r="C94" s="520"/>
      <c r="D94" s="520"/>
      <c r="E94" s="520"/>
      <c r="F94" s="521"/>
      <c r="G94" s="522"/>
      <c r="H94" s="501"/>
      <c r="I94" s="523"/>
      <c r="J94" s="520"/>
      <c r="K94" s="520"/>
      <c r="L94" s="520"/>
      <c r="M94" s="520"/>
      <c r="N94" s="521"/>
      <c r="O94" s="564"/>
      <c r="P94" s="524"/>
      <c r="Q94" s="500"/>
      <c r="R94" s="501"/>
      <c r="S94" s="525"/>
      <c r="T94" s="502"/>
      <c r="U94" s="503"/>
      <c r="V94" s="526"/>
      <c r="W94" s="527"/>
      <c r="X94" s="527"/>
      <c r="Y94" s="527"/>
      <c r="Z94" s="527"/>
      <c r="AA94" s="528"/>
      <c r="AB94" s="528"/>
      <c r="AC94" s="527"/>
      <c r="AD94" s="527"/>
      <c r="AE94" s="527"/>
      <c r="AF94" s="526"/>
      <c r="AG94" s="529"/>
    </row>
    <row r="95" spans="1:33" s="530" customFormat="1" ht="15.75">
      <c r="A95" s="531"/>
      <c r="B95" s="532" t="s">
        <v>293</v>
      </c>
      <c r="C95" s="532" t="s">
        <v>294</v>
      </c>
      <c r="D95" s="532" t="s">
        <v>295</v>
      </c>
      <c r="E95" s="532" t="s">
        <v>17</v>
      </c>
      <c r="F95" s="521"/>
      <c r="G95" s="522"/>
      <c r="H95" s="501"/>
      <c r="I95" s="523"/>
      <c r="J95" s="532" t="s">
        <v>293</v>
      </c>
      <c r="K95" s="532" t="s">
        <v>294</v>
      </c>
      <c r="L95" s="532" t="s">
        <v>295</v>
      </c>
      <c r="M95" s="532" t="s">
        <v>17</v>
      </c>
      <c r="N95" s="521"/>
      <c r="O95" s="564"/>
      <c r="P95" s="524"/>
      <c r="Q95" s="500"/>
      <c r="R95" s="501"/>
      <c r="S95" s="525"/>
      <c r="T95" s="502"/>
      <c r="U95" s="503"/>
      <c r="V95" s="526"/>
      <c r="W95" s="527"/>
      <c r="X95" s="527"/>
      <c r="Y95" s="527"/>
      <c r="Z95" s="527"/>
      <c r="AA95" s="528"/>
      <c r="AB95" s="528"/>
      <c r="AC95" s="527"/>
      <c r="AD95" s="527"/>
      <c r="AE95" s="527"/>
      <c r="AF95" s="526"/>
      <c r="AG95" s="529"/>
    </row>
    <row r="96" spans="1:33" ht="15.75">
      <c r="A96" s="363">
        <f>A93+1</f>
        <v>5</v>
      </c>
      <c r="B96" s="200">
        <v>3.972</v>
      </c>
      <c r="C96" s="200">
        <v>3.484</v>
      </c>
      <c r="D96" s="200">
        <v>2.9950000000000001</v>
      </c>
      <c r="E96" s="200">
        <v>2.5091000000000001</v>
      </c>
      <c r="F96" s="484">
        <f>1000*((B96-D96)/6+(B96-C96)/3)/2</f>
        <v>162.74999999999997</v>
      </c>
      <c r="G96" s="485">
        <f t="shared" si="71"/>
        <v>66.666666666666671</v>
      </c>
      <c r="H96" s="201">
        <f t="shared" si="61"/>
        <v>-0.59037378392217088</v>
      </c>
      <c r="I96" s="206">
        <f t="array" ref="I96">INDEX('Gain_offset step test'!$AG$4:$AG$19,MATCH(MIN(IF('Gain_offset step test'!$AG$4:$AG$19&gt;H96,'Gain_offset step test'!$AG$4:$AG$19)),IF('Gain_offset step test'!$AG$4:$AG$19&gt;H96,'Gain_offset step test'!$AG$4:$AG$19),0))</f>
        <v>0.12356481985392632</v>
      </c>
      <c r="J96" s="200">
        <v>3.1747000000000001</v>
      </c>
      <c r="K96" s="200">
        <v>2.9622999999999999</v>
      </c>
      <c r="L96" s="200">
        <v>2.7486000000000002</v>
      </c>
      <c r="M96" s="200">
        <v>2.5364</v>
      </c>
      <c r="N96" s="484">
        <f>1000*((J96-L96)/6+(J96-K96)/3)/2</f>
        <v>70.908333333333346</v>
      </c>
      <c r="O96" s="557">
        <f t="shared" si="63"/>
        <v>-5.981901516041848E-2</v>
      </c>
      <c r="P96" s="186">
        <f t="array" ref="P96">INDEX('Gain_offset step test'!$F$21:$F$52,MATCH(MIN(ABS('Gain_offset step test'!$F$21:$F$52-O96)),ABS('Gain_offset step test'!$F$21:$F$52-O96),0))</f>
        <v>0.86066911118590772</v>
      </c>
      <c r="Q96" s="421">
        <f t="shared" si="64"/>
        <v>340.24227823025024</v>
      </c>
      <c r="R96" s="422">
        <f t="shared" si="65"/>
        <v>-1.4351048730484145E-2</v>
      </c>
      <c r="S96" s="207">
        <f t="array" ref="S96">INDEX('Gain_offset step test'!$AL$55:$AL$70,MATCH(MIN(ABS('Gain_offset step test'!$AL$55:$AL$70-R96)),ABS('Gain_offset step test'!$AL$55:$AL$70-R96),0))</f>
        <v>0.92385130661693504</v>
      </c>
      <c r="T96" s="423">
        <f t="shared" si="66"/>
        <v>-0.4876688505606156</v>
      </c>
      <c r="U96" s="429">
        <f t="array" ref="U96">INDEX('Gain_offset step test'!$AL$72:$AL$87,MATCH(MIN(ABS('Gain_offset step test'!$AL$72:$AL$87-T96)),ABS('Gain_offset step test'!$AL$72:$AL$87-T96),0))</f>
        <v>0.98003123080023602</v>
      </c>
      <c r="V96" s="2"/>
      <c r="W96" s="418" t="str">
        <f t="array" ref="W96">INDEX('Gain_offset step test'!$H$4:$AG$19,MATCH(MIN(IF('Gain_offset step test'!$AG$4:$AG$19&gt;H96,'Gain_offset step test'!$AG$4:$AG$19)),IF('Gain_offset step test'!$AG$4:$AG$19&gt;H96,'Gain_offset step test'!$AG$4:$AG$19),0),1)</f>
        <v>E0</v>
      </c>
      <c r="X96" s="418">
        <f t="array" ref="X96">INDEX('Gain_offset step test'!$H$4:$AG$19,MATCH(MIN(IF('Gain_offset step test'!$AG$4:$AG$19&gt;H96,'Gain_offset step test'!$AG$4:$AG$19)),IF('Gain_offset step test'!$AG$4:$AG$19&gt;H96,'Gain_offset step test'!$AG$4:$AG$19),0),2)</f>
        <v>1</v>
      </c>
      <c r="Y96" s="390" t="str">
        <f t="array" ref="Y96">INDEX('Gain_offset step test'!$F$21:$H$52,MATCH(MIN(ABS('Gain_offset step test'!$F$21:$F$52-O96)),ABS('Gain_offset step test'!$F$21:$F$52-O96),0),3)</f>
        <v>1F</v>
      </c>
      <c r="Z96" s="390" t="str">
        <f t="array" ref="Z96">INDEX('Gain_offset step test'!$H$55:$AL$70,MATCH(MIN(ABS('Gain_offset step test'!$AL$55:$AL$70-R96)),ABS('Gain_offset step test'!$AL$55:$AL$70-R96),0),1)</f>
        <v>0</v>
      </c>
      <c r="AA96" s="432" t="str">
        <f t="shared" si="67"/>
        <v>FF</v>
      </c>
      <c r="AB96" s="432" t="str">
        <f t="shared" si="68"/>
        <v>1</v>
      </c>
      <c r="AC96" s="418">
        <f t="array" ref="AC96">INDEX('Gain_offset step test'!$H$55:$AL$70,MATCH(MIN(ABS('Gain_offset step test'!$AL$55:$AL$70-R96)),ABS('Gain_offset step test'!$AL$55:$AL$70-R96),0),2)</f>
        <v>7</v>
      </c>
      <c r="AD96" s="390" t="str">
        <f t="array" ref="AD96">INDEX('Gain_offset step test'!$H$72:$AL$87,MATCH(MIN(ABS('Gain_offset step test'!$AL$72:$AL$87-T96)),ABS('Gain_offset step test'!$AL$72:$AL$87-T96),0),1)</f>
        <v>38</v>
      </c>
      <c r="AE96" s="418" t="str">
        <f t="shared" si="58"/>
        <v>38</v>
      </c>
      <c r="AF96" s="2">
        <f t="shared" si="69"/>
        <v>3.5</v>
      </c>
      <c r="AG96" s="430">
        <f t="shared" si="70"/>
        <v>3.166666666666667</v>
      </c>
    </row>
    <row r="97" spans="1:33" ht="15.75">
      <c r="A97" s="363">
        <v>4</v>
      </c>
      <c r="B97" s="200">
        <v>3.9550000000000001</v>
      </c>
      <c r="C97" s="200">
        <v>3.4670000000000001</v>
      </c>
      <c r="D97" s="200">
        <v>2.9803000000000002</v>
      </c>
      <c r="E97" s="200">
        <v>2.496</v>
      </c>
      <c r="F97" s="484">
        <f>1000*((B97-D97)/6+(B97-C97)/3)/2</f>
        <v>162.55833333333331</v>
      </c>
      <c r="G97" s="485">
        <f t="shared" si="71"/>
        <v>66.666666666666671</v>
      </c>
      <c r="H97" s="201">
        <f t="shared" si="61"/>
        <v>-0.58989080842774377</v>
      </c>
      <c r="I97" s="206">
        <f t="array" ref="I97">INDEX('Gain_offset step test'!$AG$4:$AG$19,MATCH(MIN(IF('Gain_offset step test'!$AG$4:$AG$19&gt;H97,'Gain_offset step test'!$AG$4:$AG$19)),IF('Gain_offset step test'!$AG$4:$AG$19&gt;H97,'Gain_offset step test'!$AG$4:$AG$19),0))</f>
        <v>0.12356481985392632</v>
      </c>
      <c r="J97" s="200">
        <v>3.1619999999999999</v>
      </c>
      <c r="K97" s="200">
        <v>2.9487000000000001</v>
      </c>
      <c r="L97" s="200">
        <v>2.7362000000000002</v>
      </c>
      <c r="M97" s="200">
        <v>2.5249999999999999</v>
      </c>
      <c r="N97" s="484">
        <f>1000*((J97-L97)/6+(J97-K97)/3)/2</f>
        <v>71.033333333333275</v>
      </c>
      <c r="O97" s="557">
        <f t="shared" si="63"/>
        <v>-6.1473486625996339E-2</v>
      </c>
      <c r="P97" s="186">
        <f t="array" ref="P97">INDEX('Gain_offset step test'!$F$21:$F$52,MATCH(MIN(ABS('Gain_offset step test'!$F$21:$F$52-O97)),ABS('Gain_offset step test'!$F$21:$F$52-O97),0))</f>
        <v>0.86066911118590772</v>
      </c>
      <c r="Q97" s="421">
        <f t="shared" si="64"/>
        <v>339.84158327892942</v>
      </c>
      <c r="R97" s="422">
        <f t="shared" si="65"/>
        <v>-9.9009900990098664E-3</v>
      </c>
      <c r="S97" s="207">
        <f t="array" ref="S97">INDEX('Gain_offset step test'!$AL$55:$AL$70,MATCH(MIN(ABS('Gain_offset step test'!$AL$55:$AL$70-R97)),ABS('Gain_offset step test'!$AL$55:$AL$70-R97),0))</f>
        <v>0.92385130661693504</v>
      </c>
      <c r="T97" s="423">
        <f t="shared" si="66"/>
        <v>-0.48535575150968135</v>
      </c>
      <c r="U97" s="429">
        <f t="array" ref="U97">INDEX('Gain_offset step test'!$AL$72:$AL$87,MATCH(MIN(ABS('Gain_offset step test'!$AL$72:$AL$87-T97)),ABS('Gain_offset step test'!$AL$72:$AL$87-T97),0))</f>
        <v>0.98003123080023602</v>
      </c>
      <c r="V97" s="2"/>
      <c r="W97" s="418" t="str">
        <f t="array" ref="W97">INDEX('Gain_offset step test'!$H$4:$AG$19,MATCH(MIN(IF('Gain_offset step test'!$AG$4:$AG$19&gt;H97,'Gain_offset step test'!$AG$4:$AG$19)),IF('Gain_offset step test'!$AG$4:$AG$19&gt;H97,'Gain_offset step test'!$AG$4:$AG$19),0),1)</f>
        <v>E0</v>
      </c>
      <c r="X97" s="418">
        <f t="array" ref="X97">INDEX('Gain_offset step test'!$H$4:$AG$19,MATCH(MIN(IF('Gain_offset step test'!$AG$4:$AG$19&gt;H97,'Gain_offset step test'!$AG$4:$AG$19)),IF('Gain_offset step test'!$AG$4:$AG$19&gt;H97,'Gain_offset step test'!$AG$4:$AG$19),0),2)</f>
        <v>1</v>
      </c>
      <c r="Y97" s="390" t="str">
        <f t="array" ref="Y97">INDEX('Gain_offset step test'!$F$21:$H$52,MATCH(MIN(ABS('Gain_offset step test'!$F$21:$F$52-O97)),ABS('Gain_offset step test'!$F$21:$F$52-O97),0),3)</f>
        <v>1F</v>
      </c>
      <c r="Z97" s="390" t="str">
        <f t="array" ref="Z97">INDEX('Gain_offset step test'!$H$55:$AL$70,MATCH(MIN(ABS('Gain_offset step test'!$AL$55:$AL$70-R97)),ABS('Gain_offset step test'!$AL$55:$AL$70-R97),0),1)</f>
        <v>0</v>
      </c>
      <c r="AA97" s="432" t="str">
        <f t="shared" si="67"/>
        <v>FF</v>
      </c>
      <c r="AB97" s="432" t="str">
        <f t="shared" si="68"/>
        <v>1</v>
      </c>
      <c r="AC97" s="418">
        <f t="array" ref="AC97">INDEX('Gain_offset step test'!$H$55:$AL$70,MATCH(MIN(ABS('Gain_offset step test'!$AL$55:$AL$70-R97)),ABS('Gain_offset step test'!$AL$55:$AL$70-R97),0),2)</f>
        <v>7</v>
      </c>
      <c r="AD97" s="390" t="str">
        <f t="array" ref="AD97">INDEX('Gain_offset step test'!$H$72:$AL$87,MATCH(MIN(ABS('Gain_offset step test'!$AL$72:$AL$87-T97)),ABS('Gain_offset step test'!$AL$72:$AL$87-T97),0),1)</f>
        <v>38</v>
      </c>
      <c r="AE97" s="418" t="str">
        <f t="shared" si="58"/>
        <v>38</v>
      </c>
      <c r="AF97" s="2">
        <f t="shared" si="69"/>
        <v>3.5</v>
      </c>
      <c r="AG97" s="430">
        <f t="shared" si="70"/>
        <v>3.166666666666667</v>
      </c>
    </row>
    <row r="98" spans="1:33" ht="15.75">
      <c r="A98" s="363">
        <v>3</v>
      </c>
      <c r="B98" s="200">
        <v>3.8210000000000002</v>
      </c>
      <c r="C98" s="200">
        <v>3.3386</v>
      </c>
      <c r="D98" s="200">
        <v>2.8580000000000001</v>
      </c>
      <c r="E98" s="200">
        <v>2.3788</v>
      </c>
      <c r="F98" s="484">
        <f>1000*((B98-D98)/6+(B98-C98)/3)/2</f>
        <v>160.65</v>
      </c>
      <c r="G98" s="485">
        <f t="shared" si="71"/>
        <v>66.666666666666671</v>
      </c>
      <c r="H98" s="201">
        <f t="shared" si="61"/>
        <v>-0.58501919286233006</v>
      </c>
      <c r="I98" s="206">
        <f t="array" ref="I98">INDEX('Gain_offset step test'!$AG$4:$AG$19,MATCH(MIN(IF('Gain_offset step test'!$AG$4:$AG$19&gt;H98,'Gain_offset step test'!$AG$4:$AG$19)),IF('Gain_offset step test'!$AG$4:$AG$19&gt;H98,'Gain_offset step test'!$AG$4:$AG$19),0))</f>
        <v>0.12356481985392632</v>
      </c>
      <c r="J98" s="200">
        <v>3.0390000000000001</v>
      </c>
      <c r="K98" s="200">
        <v>2.8273999999999999</v>
      </c>
      <c r="L98" s="200">
        <v>2.617</v>
      </c>
      <c r="M98" s="200">
        <v>2.4074</v>
      </c>
      <c r="N98" s="484">
        <f>1000*((J98-L98)/6+(J98-K98)/3)/2</f>
        <v>70.43333333333338</v>
      </c>
      <c r="O98" s="557">
        <f t="shared" si="63"/>
        <v>-5.3478466635116503E-2</v>
      </c>
      <c r="P98" s="186">
        <f t="array" ref="P98">INDEX('Gain_offset step test'!$F$21:$F$52,MATCH(MIN(ABS('Gain_offset step test'!$F$21:$F$52-O98)),ABS('Gain_offset step test'!$F$21:$F$52-O98),0))</f>
        <v>0.86066911118590772</v>
      </c>
      <c r="Q98" s="421">
        <f t="shared" si="64"/>
        <v>335.85205528534385</v>
      </c>
      <c r="R98" s="422">
        <f t="shared" si="65"/>
        <v>3.8464733737642275E-2</v>
      </c>
      <c r="S98" s="207">
        <f t="array" ref="S98">INDEX('Gain_offset step test'!$AL$55:$AL$70,MATCH(MIN(ABS('Gain_offset step test'!$AL$55:$AL$70-R98)),ABS('Gain_offset step test'!$AL$55:$AL$70-R98),0))</f>
        <v>0.92385130661693504</v>
      </c>
      <c r="T98" s="423">
        <f t="shared" si="66"/>
        <v>-0.46021569849711119</v>
      </c>
      <c r="U98" s="429">
        <f t="array" ref="U98">INDEX('Gain_offset step test'!$AL$72:$AL$87,MATCH(MIN(ABS('Gain_offset step test'!$AL$72:$AL$87-T98)),ABS('Gain_offset step test'!$AL$72:$AL$87-T98),0))</f>
        <v>0.98003123080023602</v>
      </c>
      <c r="V98" s="2"/>
      <c r="W98" s="418" t="str">
        <f t="array" ref="W98">INDEX('Gain_offset step test'!$H$4:$AG$19,MATCH(MIN(IF('Gain_offset step test'!$AG$4:$AG$19&gt;H98,'Gain_offset step test'!$AG$4:$AG$19)),IF('Gain_offset step test'!$AG$4:$AG$19&gt;H98,'Gain_offset step test'!$AG$4:$AG$19),0),1)</f>
        <v>E0</v>
      </c>
      <c r="X98" s="418">
        <f t="array" ref="X98">INDEX('Gain_offset step test'!$H$4:$AG$19,MATCH(MIN(IF('Gain_offset step test'!$AG$4:$AG$19&gt;H98,'Gain_offset step test'!$AG$4:$AG$19)),IF('Gain_offset step test'!$AG$4:$AG$19&gt;H98,'Gain_offset step test'!$AG$4:$AG$19),0),2)</f>
        <v>1</v>
      </c>
      <c r="Y98" s="390" t="str">
        <f t="array" ref="Y98">INDEX('Gain_offset step test'!$F$21:$H$52,MATCH(MIN(ABS('Gain_offset step test'!$F$21:$F$52-O98)),ABS('Gain_offset step test'!$F$21:$F$52-O98),0),3)</f>
        <v>1F</v>
      </c>
      <c r="Z98" s="390" t="str">
        <f t="array" ref="Z98">INDEX('Gain_offset step test'!$H$55:$AL$70,MATCH(MIN(ABS('Gain_offset step test'!$AL$55:$AL$70-R98)),ABS('Gain_offset step test'!$AL$55:$AL$70-R98),0),1)</f>
        <v>0</v>
      </c>
      <c r="AA98" s="432" t="str">
        <f t="shared" si="67"/>
        <v>FF</v>
      </c>
      <c r="AB98" s="432" t="str">
        <f t="shared" si="68"/>
        <v>1</v>
      </c>
      <c r="AC98" s="418">
        <f t="array" ref="AC98">INDEX('Gain_offset step test'!$H$55:$AL$70,MATCH(MIN(ABS('Gain_offset step test'!$AL$55:$AL$70-R98)),ABS('Gain_offset step test'!$AL$55:$AL$70-R98),0),2)</f>
        <v>7</v>
      </c>
      <c r="AD98" s="390" t="str">
        <f t="array" ref="AD98">INDEX('Gain_offset step test'!$H$72:$AL$87,MATCH(MIN(ABS('Gain_offset step test'!$AL$72:$AL$87-T98)),ABS('Gain_offset step test'!$AL$72:$AL$87-T98),0),1)</f>
        <v>38</v>
      </c>
      <c r="AE98" s="418" t="str">
        <f t="shared" si="58"/>
        <v>38</v>
      </c>
      <c r="AF98" s="2">
        <f t="shared" si="69"/>
        <v>3.5</v>
      </c>
      <c r="AG98" s="430">
        <f t="shared" si="70"/>
        <v>3.166666666666667</v>
      </c>
    </row>
    <row r="99" spans="1:33" ht="15.75">
      <c r="A99" s="533">
        <v>41810</v>
      </c>
      <c r="B99" s="200" t="s">
        <v>292</v>
      </c>
      <c r="C99" s="200"/>
      <c r="D99" s="200"/>
      <c r="E99" s="200"/>
      <c r="F99" s="484"/>
      <c r="G99" s="485"/>
      <c r="H99" s="201"/>
      <c r="I99" s="206"/>
      <c r="J99" s="200"/>
      <c r="K99" s="200"/>
      <c r="L99" s="200"/>
      <c r="M99" s="200"/>
      <c r="N99" s="484"/>
      <c r="O99" s="557"/>
      <c r="P99" s="186"/>
      <c r="Q99" s="421"/>
      <c r="R99" s="422"/>
      <c r="S99" s="207"/>
      <c r="T99" s="423"/>
      <c r="U99" s="429"/>
      <c r="V99" s="2"/>
      <c r="W99" s="418"/>
      <c r="X99" s="418"/>
      <c r="Y99" s="390"/>
      <c r="Z99" s="390"/>
      <c r="AA99" s="432"/>
      <c r="AB99" s="432"/>
      <c r="AC99" s="418"/>
      <c r="AD99" s="390"/>
      <c r="AE99" s="418"/>
      <c r="AF99" s="2"/>
      <c r="AG99" s="430"/>
    </row>
    <row r="100" spans="1:33" ht="15.75">
      <c r="A100" s="533"/>
      <c r="B100" s="200" t="s">
        <v>283</v>
      </c>
      <c r="C100" s="200" t="s">
        <v>22</v>
      </c>
      <c r="D100" s="200" t="s">
        <v>296</v>
      </c>
      <c r="E100" s="200" t="s">
        <v>17</v>
      </c>
      <c r="F100" s="484"/>
      <c r="G100" s="485"/>
      <c r="H100" s="201"/>
      <c r="I100" s="206"/>
      <c r="J100" s="200" t="s">
        <v>283</v>
      </c>
      <c r="K100" s="200" t="s">
        <v>22</v>
      </c>
      <c r="L100" s="200" t="s">
        <v>296</v>
      </c>
      <c r="M100" s="200" t="s">
        <v>17</v>
      </c>
      <c r="N100" s="484"/>
      <c r="O100" s="557"/>
      <c r="P100" s="186"/>
      <c r="Q100" s="421"/>
      <c r="R100" s="422"/>
      <c r="S100" s="207"/>
      <c r="T100" s="423"/>
      <c r="U100" s="429"/>
      <c r="V100" s="2"/>
      <c r="W100" s="418"/>
      <c r="X100" s="418"/>
      <c r="Y100" s="390"/>
      <c r="Z100" s="390"/>
      <c r="AA100" s="432"/>
      <c r="AB100" s="432"/>
      <c r="AC100" s="418"/>
      <c r="AD100" s="390"/>
      <c r="AE100" s="418"/>
      <c r="AF100" s="2"/>
      <c r="AG100" s="430"/>
    </row>
    <row r="101" spans="1:33" ht="15.75">
      <c r="A101" s="363">
        <v>1</v>
      </c>
      <c r="B101" s="200">
        <v>4.2889999999999997</v>
      </c>
      <c r="C101" s="200">
        <v>3.6892999999999998</v>
      </c>
      <c r="D101" s="200">
        <v>3.0905</v>
      </c>
      <c r="E101" s="200">
        <v>2.4937</v>
      </c>
      <c r="F101" s="202">
        <f t="shared" si="60"/>
        <v>119.89499999999997</v>
      </c>
      <c r="G101" s="203">
        <v>100</v>
      </c>
      <c r="H101" s="201">
        <f t="shared" si="61"/>
        <v>-0.16593686142040931</v>
      </c>
      <c r="I101" s="206">
        <f t="array" ref="I101">INDEX('Gain_offset step test'!$AG$4:$AG$19,MATCH(MIN(IF('Gain_offset step test'!$AG$4:$AG$19&gt;H101,'Gain_offset step test'!$AG$4:$AG$19)),IF('Gain_offset step test'!$AG$4:$AG$19&gt;H101,'Gain_offset step test'!$AG$4:$AG$19),0))</f>
        <v>0.12356481985392632</v>
      </c>
      <c r="J101" s="200">
        <v>4.0667999999999997</v>
      </c>
      <c r="K101" s="200">
        <v>3.5413000000000001</v>
      </c>
      <c r="L101" s="200">
        <v>3.0196000000000001</v>
      </c>
      <c r="M101" s="200">
        <v>2.4956</v>
      </c>
      <c r="N101" s="202">
        <f t="shared" si="62"/>
        <v>104.90999999999995</v>
      </c>
      <c r="O101" s="557">
        <f t="shared" si="63"/>
        <v>-4.6802020779715528E-2</v>
      </c>
      <c r="P101" s="186">
        <f t="array" ref="P101">INDEX('Gain_offset step test'!$F$21:$F$52,MATCH(MIN(ABS('Gain_offset step test'!$F$21:$F$52-O101)),ABS('Gain_offset step test'!$F$21:$F$52-O101),0))</f>
        <v>0.86066911118590772</v>
      </c>
      <c r="Q101" s="421">
        <f t="shared" si="64"/>
        <v>250.65037141883778</v>
      </c>
      <c r="R101" s="422">
        <f t="shared" si="65"/>
        <v>1.7631030613880266E-3</v>
      </c>
      <c r="S101" s="207">
        <f t="array" ref="S101">INDEX('Gain_offset step test'!$AL$55:$AL$70,MATCH(MIN(ABS('Gain_offset step test'!$AL$55:$AL$70-R101)),ABS('Gain_offset step test'!$AL$55:$AL$70-R101),0))</f>
        <v>0.92385130661693504</v>
      </c>
      <c r="T101" s="423">
        <f t="shared" si="66"/>
        <v>-0.47929286446623875</v>
      </c>
      <c r="U101" s="429">
        <f t="array" ref="U101">INDEX('Gain_offset step test'!$AL$72:$AL$87,MATCH(MIN(ABS('Gain_offset step test'!$AL$72:$AL$87-T101)),ABS('Gain_offset step test'!$AL$72:$AL$87-T101),0))</f>
        <v>0.98003123080023602</v>
      </c>
      <c r="V101" s="2"/>
      <c r="W101" s="418" t="str">
        <f t="array" ref="W101">INDEX('Gain_offset step test'!$H$4:$AG$19,MATCH(MIN(IF('Gain_offset step test'!$AG$4:$AG$19&gt;H101,'Gain_offset step test'!$AG$4:$AG$19)),IF('Gain_offset step test'!$AG$4:$AG$19&gt;H101,'Gain_offset step test'!$AG$4:$AG$19),0),1)</f>
        <v>E0</v>
      </c>
      <c r="X101" s="418">
        <f t="array" ref="X101">INDEX('Gain_offset step test'!$H$4:$AG$19,MATCH(MIN(IF('Gain_offset step test'!$AG$4:$AG$19&gt;H101,'Gain_offset step test'!$AG$4:$AG$19)),IF('Gain_offset step test'!$AG$4:$AG$19&gt;H101,'Gain_offset step test'!$AG$4:$AG$19),0),2)</f>
        <v>1</v>
      </c>
      <c r="Y101" s="390" t="str">
        <f t="array" ref="Y101">INDEX('Gain_offset step test'!$F$21:$H$52,MATCH(MIN(ABS('Gain_offset step test'!$F$21:$F$52-O101)),ABS('Gain_offset step test'!$F$21:$F$52-O101),0),3)</f>
        <v>1F</v>
      </c>
      <c r="Z101" s="390" t="str">
        <f t="array" ref="Z101">INDEX('Gain_offset step test'!$H$55:$AL$70,MATCH(MIN(ABS('Gain_offset step test'!$AL$55:$AL$70-R101)),ABS('Gain_offset step test'!$AL$55:$AL$70-R101),0),1)</f>
        <v>0</v>
      </c>
      <c r="AA101" s="432" t="str">
        <f t="shared" si="67"/>
        <v>FF</v>
      </c>
      <c r="AB101" s="432" t="str">
        <f t="shared" si="68"/>
        <v>1</v>
      </c>
      <c r="AC101" s="418">
        <f t="array" ref="AC101">INDEX('Gain_offset step test'!$H$55:$AL$70,MATCH(MIN(ABS('Gain_offset step test'!$AL$55:$AL$70-R101)),ABS('Gain_offset step test'!$AL$55:$AL$70-R101),0),2)</f>
        <v>7</v>
      </c>
      <c r="AD101" s="390" t="str">
        <f t="array" ref="AD101">INDEX('Gain_offset step test'!$H$72:$AL$87,MATCH(MIN(ABS('Gain_offset step test'!$AL$72:$AL$87-T101)),ABS('Gain_offset step test'!$AL$72:$AL$87-T101),0),1)</f>
        <v>38</v>
      </c>
      <c r="AE101" s="418" t="str">
        <f t="shared" si="58"/>
        <v>38</v>
      </c>
      <c r="AF101" s="2">
        <f t="shared" si="69"/>
        <v>4</v>
      </c>
      <c r="AG101" s="430">
        <f t="shared" si="70"/>
        <v>3.5</v>
      </c>
    </row>
    <row r="102" spans="1:33" ht="15.75">
      <c r="A102" s="363">
        <f t="shared" si="59"/>
        <v>2</v>
      </c>
      <c r="B102" s="200">
        <v>4.335</v>
      </c>
      <c r="C102" s="200">
        <v>3.74</v>
      </c>
      <c r="D102" s="200">
        <v>3.149</v>
      </c>
      <c r="E102" s="200">
        <v>2.5550000000000002</v>
      </c>
      <c r="F102" s="202">
        <f t="shared" si="60"/>
        <v>118.79999999999997</v>
      </c>
      <c r="G102" s="203">
        <v>100</v>
      </c>
      <c r="H102" s="201">
        <f t="shared" si="61"/>
        <v>-0.15824915824915803</v>
      </c>
      <c r="I102" s="206">
        <f t="array" ref="I102">INDEX('Gain_offset step test'!$AG$4:$AG$19,MATCH(MIN(IF('Gain_offset step test'!$AG$4:$AG$19&gt;H102,'Gain_offset step test'!$AG$4:$AG$19)),IF('Gain_offset step test'!$AG$4:$AG$19&gt;H102,'Gain_offset step test'!$AG$4:$AG$19),0))</f>
        <v>0.12356481985392632</v>
      </c>
      <c r="J102" s="200">
        <v>4.1064999999999996</v>
      </c>
      <c r="K102" s="200">
        <v>3.59</v>
      </c>
      <c r="L102" s="200">
        <v>3.0733000000000001</v>
      </c>
      <c r="M102" s="200">
        <v>2.5524</v>
      </c>
      <c r="N102" s="202">
        <f t="shared" si="62"/>
        <v>103.30999999999995</v>
      </c>
      <c r="O102" s="557">
        <f t="shared" si="63"/>
        <v>-3.203949278869371E-2</v>
      </c>
      <c r="P102" s="186">
        <f t="array" ref="P102">INDEX('Gain_offset step test'!$F$21:$F$52,MATCH(MIN(ABS('Gain_offset step test'!$F$21:$F$52-O102)),ABS('Gain_offset step test'!$F$21:$F$52-O102),0))</f>
        <v>0.86066911118590772</v>
      </c>
      <c r="Q102" s="421">
        <f t="shared" si="64"/>
        <v>248.36118374042223</v>
      </c>
      <c r="R102" s="422">
        <f t="shared" si="65"/>
        <v>-2.05296975395706E-2</v>
      </c>
      <c r="S102" s="207">
        <f t="array" ref="S102">INDEX('Gain_offset step test'!$AL$55:$AL$70,MATCH(MIN(ABS('Gain_offset step test'!$AL$55:$AL$70-R102)),ABS('Gain_offset step test'!$AL$55:$AL$70-R102),0))</f>
        <v>0.92385130661693504</v>
      </c>
      <c r="T102" s="423">
        <f t="shared" si="66"/>
        <v>-0.49088045469438379</v>
      </c>
      <c r="U102" s="429">
        <f t="array" ref="U102">INDEX('Gain_offset step test'!$AL$72:$AL$87,MATCH(MIN(ABS('Gain_offset step test'!$AL$72:$AL$87-T102)),ABS('Gain_offset step test'!$AL$72:$AL$87-T102),0))</f>
        <v>0.98003123080023602</v>
      </c>
      <c r="V102" s="2"/>
      <c r="W102" s="418" t="str">
        <f t="array" ref="W102">INDEX('Gain_offset step test'!$H$4:$AG$19,MATCH(MIN(IF('Gain_offset step test'!$AG$4:$AG$19&gt;H102,'Gain_offset step test'!$AG$4:$AG$19)),IF('Gain_offset step test'!$AG$4:$AG$19&gt;H102,'Gain_offset step test'!$AG$4:$AG$19),0),1)</f>
        <v>E0</v>
      </c>
      <c r="X102" s="418">
        <f t="array" ref="X102">INDEX('Gain_offset step test'!$H$4:$AG$19,MATCH(MIN(IF('Gain_offset step test'!$AG$4:$AG$19&gt;H102,'Gain_offset step test'!$AG$4:$AG$19)),IF('Gain_offset step test'!$AG$4:$AG$19&gt;H102,'Gain_offset step test'!$AG$4:$AG$19),0),2)</f>
        <v>1</v>
      </c>
      <c r="Y102" s="390" t="str">
        <f t="array" ref="Y102">INDEX('Gain_offset step test'!$F$21:$H$52,MATCH(MIN(ABS('Gain_offset step test'!$F$21:$F$52-O102)),ABS('Gain_offset step test'!$F$21:$F$52-O102),0),3)</f>
        <v>1F</v>
      </c>
      <c r="Z102" s="390" t="str">
        <f t="array" ref="Z102">INDEX('Gain_offset step test'!$H$55:$AL$70,MATCH(MIN(ABS('Gain_offset step test'!$AL$55:$AL$70-R102)),ABS('Gain_offset step test'!$AL$55:$AL$70-R102),0),1)</f>
        <v>0</v>
      </c>
      <c r="AA102" s="432" t="str">
        <f t="shared" si="67"/>
        <v>FF</v>
      </c>
      <c r="AB102" s="432" t="str">
        <f t="shared" si="68"/>
        <v>1</v>
      </c>
      <c r="AC102" s="418">
        <f t="array" ref="AC102">INDEX('Gain_offset step test'!$H$55:$AL$70,MATCH(MIN(ABS('Gain_offset step test'!$AL$55:$AL$70-R102)),ABS('Gain_offset step test'!$AL$55:$AL$70-R102),0),2)</f>
        <v>7</v>
      </c>
      <c r="AD102" s="390" t="str">
        <f t="array" ref="AD102">INDEX('Gain_offset step test'!$H$72:$AL$87,MATCH(MIN(ABS('Gain_offset step test'!$AL$72:$AL$87-T102)),ABS('Gain_offset step test'!$AL$72:$AL$87-T102),0),1)</f>
        <v>38</v>
      </c>
      <c r="AE102" s="418" t="str">
        <f t="shared" si="58"/>
        <v>38</v>
      </c>
      <c r="AF102" s="2">
        <f t="shared" si="69"/>
        <v>4</v>
      </c>
      <c r="AG102" s="430">
        <f t="shared" si="70"/>
        <v>3.5</v>
      </c>
    </row>
    <row r="103" spans="1:33" ht="15.75">
      <c r="A103" s="363">
        <f t="shared" si="59"/>
        <v>3</v>
      </c>
      <c r="B103" s="200">
        <v>4.3745000000000003</v>
      </c>
      <c r="C103" s="200">
        <v>3.7706</v>
      </c>
      <c r="D103" s="200">
        <v>3.1663999999999999</v>
      </c>
      <c r="E103" s="200">
        <v>2.5594000000000001</v>
      </c>
      <c r="F103" s="202">
        <f t="shared" si="60"/>
        <v>120.79500000000006</v>
      </c>
      <c r="G103" s="203">
        <v>100</v>
      </c>
      <c r="H103" s="201">
        <f t="shared" si="61"/>
        <v>-0.17215116519723539</v>
      </c>
      <c r="I103" s="206">
        <f t="array" ref="I103">INDEX('Gain_offset step test'!$AG$4:$AG$19,MATCH(MIN(IF('Gain_offset step test'!$AG$4:$AG$19&gt;H103,'Gain_offset step test'!$AG$4:$AG$19)),IF('Gain_offset step test'!$AG$4:$AG$19&gt;H103,'Gain_offset step test'!$AG$4:$AG$19),0))</f>
        <v>0.12356481985392632</v>
      </c>
      <c r="J103" s="200">
        <v>4.1459000000000001</v>
      </c>
      <c r="K103" s="200">
        <v>3.6181999999999999</v>
      </c>
      <c r="L103" s="200">
        <v>3.0905</v>
      </c>
      <c r="M103" s="200">
        <v>2.5602999999999998</v>
      </c>
      <c r="N103" s="202">
        <f t="shared" si="62"/>
        <v>105.54000000000002</v>
      </c>
      <c r="O103" s="557">
        <f t="shared" si="63"/>
        <v>-5.249194618154273E-2</v>
      </c>
      <c r="P103" s="186">
        <f t="array" ref="P103">INDEX('Gain_offset step test'!$F$21:$F$52,MATCH(MIN(ABS('Gain_offset step test'!$F$21:$F$52-O103)),ABS('Gain_offset step test'!$F$21:$F$52-O103),0))</f>
        <v>0.86066911118590772</v>
      </c>
      <c r="Q103" s="421">
        <f t="shared" si="64"/>
        <v>252.53189553808357</v>
      </c>
      <c r="R103" s="422">
        <f t="shared" si="65"/>
        <v>-2.3551927508495021E-2</v>
      </c>
      <c r="S103" s="207">
        <f t="array" ref="S103">INDEX('Gain_offset step test'!$AL$55:$AL$70,MATCH(MIN(ABS('Gain_offset step test'!$AL$55:$AL$70-R103)),ABS('Gain_offset step test'!$AL$55:$AL$70-R103),0))</f>
        <v>0.92385130661693504</v>
      </c>
      <c r="T103" s="423">
        <f t="shared" si="66"/>
        <v>-0.49245138169821712</v>
      </c>
      <c r="U103" s="429">
        <f t="array" ref="U103">INDEX('Gain_offset step test'!$AL$72:$AL$87,MATCH(MIN(ABS('Gain_offset step test'!$AL$72:$AL$87-T103)),ABS('Gain_offset step test'!$AL$72:$AL$87-T103),0))</f>
        <v>0.98003123080023602</v>
      </c>
      <c r="V103" s="2"/>
      <c r="W103" s="418" t="str">
        <f t="array" ref="W103">INDEX('Gain_offset step test'!$H$4:$AG$19,MATCH(MIN(IF('Gain_offset step test'!$AG$4:$AG$19&gt;H103,'Gain_offset step test'!$AG$4:$AG$19)),IF('Gain_offset step test'!$AG$4:$AG$19&gt;H103,'Gain_offset step test'!$AG$4:$AG$19),0),1)</f>
        <v>E0</v>
      </c>
      <c r="X103" s="418">
        <f t="array" ref="X103">INDEX('Gain_offset step test'!$H$4:$AG$19,MATCH(MIN(IF('Gain_offset step test'!$AG$4:$AG$19&gt;H103,'Gain_offset step test'!$AG$4:$AG$19)),IF('Gain_offset step test'!$AG$4:$AG$19&gt;H103,'Gain_offset step test'!$AG$4:$AG$19),0),2)</f>
        <v>1</v>
      </c>
      <c r="Y103" s="390" t="str">
        <f t="array" ref="Y103">INDEX('Gain_offset step test'!$F$21:$H$52,MATCH(MIN(ABS('Gain_offset step test'!$F$21:$F$52-O103)),ABS('Gain_offset step test'!$F$21:$F$52-O103),0),3)</f>
        <v>1F</v>
      </c>
      <c r="Z103" s="390" t="str">
        <f t="array" ref="Z103">INDEX('Gain_offset step test'!$H$55:$AL$70,MATCH(MIN(ABS('Gain_offset step test'!$AL$55:$AL$70-R103)),ABS('Gain_offset step test'!$AL$55:$AL$70-R103),0),1)</f>
        <v>0</v>
      </c>
      <c r="AA103" s="432" t="str">
        <f t="shared" si="67"/>
        <v>FF</v>
      </c>
      <c r="AB103" s="432" t="str">
        <f t="shared" si="68"/>
        <v>1</v>
      </c>
      <c r="AC103" s="418">
        <f t="array" ref="AC103">INDEX('Gain_offset step test'!$H$55:$AL$70,MATCH(MIN(ABS('Gain_offset step test'!$AL$55:$AL$70-R103)),ABS('Gain_offset step test'!$AL$55:$AL$70-R103),0),2)</f>
        <v>7</v>
      </c>
      <c r="AD103" s="390" t="str">
        <f t="array" ref="AD103">INDEX('Gain_offset step test'!$H$72:$AL$87,MATCH(MIN(ABS('Gain_offset step test'!$AL$72:$AL$87-T103)),ABS('Gain_offset step test'!$AL$72:$AL$87-T103),0),1)</f>
        <v>38</v>
      </c>
      <c r="AE103" s="418" t="str">
        <f t="shared" si="58"/>
        <v>38</v>
      </c>
      <c r="AF103" s="2">
        <f t="shared" si="69"/>
        <v>4</v>
      </c>
      <c r="AG103" s="430">
        <f t="shared" si="70"/>
        <v>3.5</v>
      </c>
    </row>
    <row r="104" spans="1:33" ht="15.75">
      <c r="A104" s="363">
        <f t="shared" si="59"/>
        <v>4</v>
      </c>
      <c r="B104" s="200">
        <v>4.3745000000000003</v>
      </c>
      <c r="C104" s="200">
        <v>3.7706</v>
      </c>
      <c r="D104" s="200">
        <v>3.1663999999999999</v>
      </c>
      <c r="E104" s="200">
        <v>2.5594000000000001</v>
      </c>
      <c r="F104" s="202">
        <f t="shared" si="60"/>
        <v>120.79500000000006</v>
      </c>
      <c r="G104" s="203">
        <v>100</v>
      </c>
      <c r="H104" s="201">
        <f t="shared" ref="H104:H112" si="72">(G104-F104)/F104</f>
        <v>-0.17215116519723539</v>
      </c>
      <c r="I104" s="206">
        <f t="array" ref="I104">INDEX('Gain_offset step test'!$AG$4:$AG$19,MATCH(MIN(IF('Gain_offset step test'!$AG$4:$AG$19&gt;H104,'Gain_offset step test'!$AG$4:$AG$19)),IF('Gain_offset step test'!$AG$4:$AG$19&gt;H104,'Gain_offset step test'!$AG$4:$AG$19),0))</f>
        <v>0.12356481985392632</v>
      </c>
      <c r="J104" s="200">
        <v>4.1459000000000001</v>
      </c>
      <c r="K104" s="200">
        <v>3.6181999999999999</v>
      </c>
      <c r="L104" s="200">
        <v>3.0905</v>
      </c>
      <c r="M104" s="200">
        <v>2.5602999999999998</v>
      </c>
      <c r="N104" s="202">
        <f t="shared" ref="N104:N112" si="73">1000*((J104-L104)/10+(J104-K104)/5)/2</f>
        <v>105.54000000000002</v>
      </c>
      <c r="O104" s="557">
        <f t="shared" ref="O104:O112" si="74">(G104-N104)/N104</f>
        <v>-5.249194618154273E-2</v>
      </c>
      <c r="P104" s="186">
        <f t="array" ref="P104">INDEX('Gain_offset step test'!$F$21:$F$52,MATCH(MIN(ABS('Gain_offset step test'!$F$21:$F$52-O104)),ABS('Gain_offset step test'!$F$21:$F$52-O104),0))</f>
        <v>0.86066911118590772</v>
      </c>
      <c r="Q104" s="421">
        <f t="shared" si="64"/>
        <v>252.53189553808357</v>
      </c>
      <c r="R104" s="422">
        <f t="shared" ref="R104:R112" si="75">(2.5-M104)/M104</f>
        <v>-2.3551927508495021E-2</v>
      </c>
      <c r="S104" s="207">
        <f t="array" ref="S104">INDEX('Gain_offset step test'!$AL$55:$AL$70,MATCH(MIN(ABS('Gain_offset step test'!$AL$55:$AL$70-R104)),ABS('Gain_offset step test'!$AL$55:$AL$70-R104),0))</f>
        <v>0.92385130661693504</v>
      </c>
      <c r="T104" s="423">
        <f t="shared" ref="T104:T112" si="76">((1+R104)/(1+S104))-1</f>
        <v>-0.49245138169821712</v>
      </c>
      <c r="U104" s="429">
        <f t="array" ref="U104">INDEX('Gain_offset step test'!$AL$72:$AL$87,MATCH(MIN(ABS('Gain_offset step test'!$AL$72:$AL$87-T104)),ABS('Gain_offset step test'!$AL$72:$AL$87-T104),0))</f>
        <v>0.98003123080023602</v>
      </c>
      <c r="V104" s="2"/>
      <c r="W104" s="418" t="str">
        <f t="array" ref="W104">INDEX('Gain_offset step test'!$H$4:$AG$19,MATCH(MIN(IF('Gain_offset step test'!$AG$4:$AG$19&gt;H104,'Gain_offset step test'!$AG$4:$AG$19)),IF('Gain_offset step test'!$AG$4:$AG$19&gt;H104,'Gain_offset step test'!$AG$4:$AG$19),0),1)</f>
        <v>E0</v>
      </c>
      <c r="X104" s="418">
        <f t="array" ref="X104">INDEX('Gain_offset step test'!$H$4:$AG$19,MATCH(MIN(IF('Gain_offset step test'!$AG$4:$AG$19&gt;H104,'Gain_offset step test'!$AG$4:$AG$19)),IF('Gain_offset step test'!$AG$4:$AG$19&gt;H104,'Gain_offset step test'!$AG$4:$AG$19),0),2)</f>
        <v>1</v>
      </c>
      <c r="Y104" s="390" t="str">
        <f t="array" ref="Y104">INDEX('Gain_offset step test'!$F$21:$H$52,MATCH(MIN(ABS('Gain_offset step test'!$F$21:$F$52-O104)),ABS('Gain_offset step test'!$F$21:$F$52-O104),0),3)</f>
        <v>1F</v>
      </c>
      <c r="Z104" s="390" t="str">
        <f t="array" ref="Z104">INDEX('Gain_offset step test'!$H$55:$AL$70,MATCH(MIN(ABS('Gain_offset step test'!$AL$55:$AL$70-R104)),ABS('Gain_offset step test'!$AL$55:$AL$70-R104),0),1)</f>
        <v>0</v>
      </c>
      <c r="AA104" s="432" t="str">
        <f t="shared" ref="AA104:AA112" si="77">DEC2HEX(HEX2DEC(W104)+HEX2DEC(Y104))</f>
        <v>FF</v>
      </c>
      <c r="AB104" s="432" t="str">
        <f t="shared" ref="AB104:AB112" si="78">DEC2HEX(HEX2DEC(X104)+HEX2DEC(Z104))</f>
        <v>1</v>
      </c>
      <c r="AC104" s="418">
        <f t="array" ref="AC104">INDEX('Gain_offset step test'!$H$55:$AL$70,MATCH(MIN(ABS('Gain_offset step test'!$AL$55:$AL$70-R104)),ABS('Gain_offset step test'!$AL$55:$AL$70-R104),0),2)</f>
        <v>7</v>
      </c>
      <c r="AD104" s="390" t="str">
        <f t="array" ref="AD104">INDEX('Gain_offset step test'!$H$72:$AL$87,MATCH(MIN(ABS('Gain_offset step test'!$AL$72:$AL$87-T104)),ABS('Gain_offset step test'!$AL$72:$AL$87-T104),0),1)</f>
        <v>38</v>
      </c>
      <c r="AE104" s="418" t="str">
        <f t="shared" ref="AE104:AE112" si="79">AD104</f>
        <v>38</v>
      </c>
      <c r="AF104" s="2">
        <f t="shared" si="69"/>
        <v>4</v>
      </c>
      <c r="AG104" s="430">
        <f t="shared" si="70"/>
        <v>3.5</v>
      </c>
    </row>
    <row r="105" spans="1:33" ht="15.75">
      <c r="A105" s="363">
        <f t="shared" si="59"/>
        <v>5</v>
      </c>
      <c r="B105" s="200">
        <v>4.3745000000000003</v>
      </c>
      <c r="C105" s="200">
        <v>3.7706</v>
      </c>
      <c r="D105" s="200">
        <v>3.1663999999999999</v>
      </c>
      <c r="E105" s="200">
        <v>2.5594000000000001</v>
      </c>
      <c r="F105" s="202">
        <f t="shared" si="60"/>
        <v>120.79500000000006</v>
      </c>
      <c r="G105" s="203">
        <v>100</v>
      </c>
      <c r="H105" s="201">
        <f t="shared" si="72"/>
        <v>-0.17215116519723539</v>
      </c>
      <c r="I105" s="206">
        <f t="array" ref="I105">INDEX('Gain_offset step test'!$AG$4:$AG$19,MATCH(MIN(IF('Gain_offset step test'!$AG$4:$AG$19&gt;H105,'Gain_offset step test'!$AG$4:$AG$19)),IF('Gain_offset step test'!$AG$4:$AG$19&gt;H105,'Gain_offset step test'!$AG$4:$AG$19),0))</f>
        <v>0.12356481985392632</v>
      </c>
      <c r="J105" s="200">
        <v>4.1459000000000001</v>
      </c>
      <c r="K105" s="200">
        <v>3.6181999999999999</v>
      </c>
      <c r="L105" s="200">
        <v>3.0905</v>
      </c>
      <c r="M105" s="200">
        <v>2.5602999999999998</v>
      </c>
      <c r="N105" s="202">
        <f t="shared" si="73"/>
        <v>105.54000000000002</v>
      </c>
      <c r="O105" s="557">
        <f t="shared" si="74"/>
        <v>-5.249194618154273E-2</v>
      </c>
      <c r="P105" s="186">
        <f t="array" ref="P105">INDEX('Gain_offset step test'!$F$21:$F$52,MATCH(MIN(ABS('Gain_offset step test'!$F$21:$F$52-O105)),ABS('Gain_offset step test'!$F$21:$F$52-O105),0))</f>
        <v>0.86066911118590772</v>
      </c>
      <c r="Q105" s="421">
        <f t="shared" si="64"/>
        <v>252.53189553808357</v>
      </c>
      <c r="R105" s="422">
        <f t="shared" si="75"/>
        <v>-2.3551927508495021E-2</v>
      </c>
      <c r="S105" s="207">
        <f t="array" ref="S105">INDEX('Gain_offset step test'!$AL$55:$AL$70,MATCH(MIN(ABS('Gain_offset step test'!$AL$55:$AL$70-R105)),ABS('Gain_offset step test'!$AL$55:$AL$70-R105),0))</f>
        <v>0.92385130661693504</v>
      </c>
      <c r="T105" s="423">
        <f t="shared" si="76"/>
        <v>-0.49245138169821712</v>
      </c>
      <c r="U105" s="429">
        <f t="array" ref="U105">INDEX('Gain_offset step test'!$AL$72:$AL$87,MATCH(MIN(ABS('Gain_offset step test'!$AL$72:$AL$87-T105)),ABS('Gain_offset step test'!$AL$72:$AL$87-T105),0))</f>
        <v>0.98003123080023602</v>
      </c>
      <c r="V105" s="2"/>
      <c r="W105" s="418" t="str">
        <f t="array" ref="W105">INDEX('Gain_offset step test'!$H$4:$AG$19,MATCH(MIN(IF('Gain_offset step test'!$AG$4:$AG$19&gt;H105,'Gain_offset step test'!$AG$4:$AG$19)),IF('Gain_offset step test'!$AG$4:$AG$19&gt;H105,'Gain_offset step test'!$AG$4:$AG$19),0),1)</f>
        <v>E0</v>
      </c>
      <c r="X105" s="418">
        <f t="array" ref="X105">INDEX('Gain_offset step test'!$H$4:$AG$19,MATCH(MIN(IF('Gain_offset step test'!$AG$4:$AG$19&gt;H105,'Gain_offset step test'!$AG$4:$AG$19)),IF('Gain_offset step test'!$AG$4:$AG$19&gt;H105,'Gain_offset step test'!$AG$4:$AG$19),0),2)</f>
        <v>1</v>
      </c>
      <c r="Y105" s="390" t="str">
        <f t="array" ref="Y105">INDEX('Gain_offset step test'!$F$21:$H$52,MATCH(MIN(ABS('Gain_offset step test'!$F$21:$F$52-O105)),ABS('Gain_offset step test'!$F$21:$F$52-O105),0),3)</f>
        <v>1F</v>
      </c>
      <c r="Z105" s="390" t="str">
        <f t="array" ref="Z105">INDEX('Gain_offset step test'!$H$55:$AL$70,MATCH(MIN(ABS('Gain_offset step test'!$AL$55:$AL$70-R105)),ABS('Gain_offset step test'!$AL$55:$AL$70-R105),0),1)</f>
        <v>0</v>
      </c>
      <c r="AA105" s="432" t="str">
        <f t="shared" si="77"/>
        <v>FF</v>
      </c>
      <c r="AB105" s="432" t="str">
        <f t="shared" si="78"/>
        <v>1</v>
      </c>
      <c r="AC105" s="418">
        <f t="array" ref="AC105">INDEX('Gain_offset step test'!$H$55:$AL$70,MATCH(MIN(ABS('Gain_offset step test'!$AL$55:$AL$70-R105)),ABS('Gain_offset step test'!$AL$55:$AL$70-R105),0),2)</f>
        <v>7</v>
      </c>
      <c r="AD105" s="390" t="str">
        <f t="array" ref="AD105">INDEX('Gain_offset step test'!$H$72:$AL$87,MATCH(MIN(ABS('Gain_offset step test'!$AL$72:$AL$87-T105)),ABS('Gain_offset step test'!$AL$72:$AL$87-T105),0),1)</f>
        <v>38</v>
      </c>
      <c r="AE105" s="418" t="str">
        <f t="shared" si="79"/>
        <v>38</v>
      </c>
      <c r="AF105" s="2">
        <f t="shared" si="69"/>
        <v>4</v>
      </c>
      <c r="AG105" s="430">
        <f t="shared" si="70"/>
        <v>3.5</v>
      </c>
    </row>
    <row r="106" spans="1:33" ht="15.75">
      <c r="A106" s="363">
        <f t="shared" si="59"/>
        <v>6</v>
      </c>
      <c r="B106" s="200">
        <v>4.3745000000000003</v>
      </c>
      <c r="C106" s="200">
        <v>3.7706</v>
      </c>
      <c r="D106" s="200">
        <v>3.1663999999999999</v>
      </c>
      <c r="E106" s="200">
        <v>2.5594000000000001</v>
      </c>
      <c r="F106" s="202">
        <f t="shared" si="60"/>
        <v>120.79500000000006</v>
      </c>
      <c r="G106" s="203">
        <v>100</v>
      </c>
      <c r="H106" s="201">
        <f t="shared" si="72"/>
        <v>-0.17215116519723539</v>
      </c>
      <c r="I106" s="206">
        <f t="array" ref="I106">INDEX('Gain_offset step test'!$AG$4:$AG$19,MATCH(MIN(IF('Gain_offset step test'!$AG$4:$AG$19&gt;H106,'Gain_offset step test'!$AG$4:$AG$19)),IF('Gain_offset step test'!$AG$4:$AG$19&gt;H106,'Gain_offset step test'!$AG$4:$AG$19),0))</f>
        <v>0.12356481985392632</v>
      </c>
      <c r="J106" s="200">
        <v>4.1459000000000001</v>
      </c>
      <c r="K106" s="200">
        <v>3.6181999999999999</v>
      </c>
      <c r="L106" s="200">
        <v>3.0905</v>
      </c>
      <c r="M106" s="200">
        <v>2.5602999999999998</v>
      </c>
      <c r="N106" s="202">
        <f t="shared" si="73"/>
        <v>105.54000000000002</v>
      </c>
      <c r="O106" s="557">
        <f t="shared" si="74"/>
        <v>-5.249194618154273E-2</v>
      </c>
      <c r="P106" s="186">
        <f t="array" ref="P106">INDEX('Gain_offset step test'!$F$21:$F$52,MATCH(MIN(ABS('Gain_offset step test'!$F$21:$F$52-O106)),ABS('Gain_offset step test'!$F$21:$F$52-O106),0))</f>
        <v>0.86066911118590772</v>
      </c>
      <c r="Q106" s="421">
        <f t="shared" si="64"/>
        <v>252.53189553808357</v>
      </c>
      <c r="R106" s="422">
        <f t="shared" si="75"/>
        <v>-2.3551927508495021E-2</v>
      </c>
      <c r="S106" s="207">
        <f t="array" ref="S106">INDEX('Gain_offset step test'!$AL$55:$AL$70,MATCH(MIN(ABS('Gain_offset step test'!$AL$55:$AL$70-R106)),ABS('Gain_offset step test'!$AL$55:$AL$70-R106),0))</f>
        <v>0.92385130661693504</v>
      </c>
      <c r="T106" s="423">
        <f t="shared" si="76"/>
        <v>-0.49245138169821712</v>
      </c>
      <c r="U106" s="429">
        <f t="array" ref="U106">INDEX('Gain_offset step test'!$AL$72:$AL$87,MATCH(MIN(ABS('Gain_offset step test'!$AL$72:$AL$87-T106)),ABS('Gain_offset step test'!$AL$72:$AL$87-T106),0))</f>
        <v>0.98003123080023602</v>
      </c>
      <c r="V106" s="2"/>
      <c r="W106" s="418" t="str">
        <f t="array" ref="W106">INDEX('Gain_offset step test'!$H$4:$AG$19,MATCH(MIN(IF('Gain_offset step test'!$AG$4:$AG$19&gt;H106,'Gain_offset step test'!$AG$4:$AG$19)),IF('Gain_offset step test'!$AG$4:$AG$19&gt;H106,'Gain_offset step test'!$AG$4:$AG$19),0),1)</f>
        <v>E0</v>
      </c>
      <c r="X106" s="418">
        <f t="array" ref="X106">INDEX('Gain_offset step test'!$H$4:$AG$19,MATCH(MIN(IF('Gain_offset step test'!$AG$4:$AG$19&gt;H106,'Gain_offset step test'!$AG$4:$AG$19)),IF('Gain_offset step test'!$AG$4:$AG$19&gt;H106,'Gain_offset step test'!$AG$4:$AG$19),0),2)</f>
        <v>1</v>
      </c>
      <c r="Y106" s="390" t="str">
        <f t="array" ref="Y106">INDEX('Gain_offset step test'!$F$21:$H$52,MATCH(MIN(ABS('Gain_offset step test'!$F$21:$F$52-O106)),ABS('Gain_offset step test'!$F$21:$F$52-O106),0),3)</f>
        <v>1F</v>
      </c>
      <c r="Z106" s="390" t="str">
        <f t="array" ref="Z106">INDEX('Gain_offset step test'!$H$55:$AL$70,MATCH(MIN(ABS('Gain_offset step test'!$AL$55:$AL$70-R106)),ABS('Gain_offset step test'!$AL$55:$AL$70-R106),0),1)</f>
        <v>0</v>
      </c>
      <c r="AA106" s="432" t="str">
        <f t="shared" si="77"/>
        <v>FF</v>
      </c>
      <c r="AB106" s="432" t="str">
        <f t="shared" si="78"/>
        <v>1</v>
      </c>
      <c r="AC106" s="418">
        <f t="array" ref="AC106">INDEX('Gain_offset step test'!$H$55:$AL$70,MATCH(MIN(ABS('Gain_offset step test'!$AL$55:$AL$70-R106)),ABS('Gain_offset step test'!$AL$55:$AL$70-R106),0),2)</f>
        <v>7</v>
      </c>
      <c r="AD106" s="390" t="str">
        <f t="array" ref="AD106">INDEX('Gain_offset step test'!$H$72:$AL$87,MATCH(MIN(ABS('Gain_offset step test'!$AL$72:$AL$87-T106)),ABS('Gain_offset step test'!$AL$72:$AL$87-T106),0),1)</f>
        <v>38</v>
      </c>
      <c r="AE106" s="418" t="str">
        <f t="shared" si="79"/>
        <v>38</v>
      </c>
      <c r="AF106" s="2">
        <f t="shared" si="69"/>
        <v>4</v>
      </c>
      <c r="AG106" s="430">
        <f t="shared" si="70"/>
        <v>3.5</v>
      </c>
    </row>
    <row r="107" spans="1:33" ht="15.75">
      <c r="A107" s="363">
        <f t="shared" si="59"/>
        <v>7</v>
      </c>
      <c r="B107" s="200">
        <v>4.3745000000000003</v>
      </c>
      <c r="C107" s="200">
        <v>3.7706</v>
      </c>
      <c r="D107" s="200">
        <v>3.1663999999999999</v>
      </c>
      <c r="E107" s="200">
        <v>2.5594000000000001</v>
      </c>
      <c r="F107" s="202">
        <f t="shared" si="60"/>
        <v>120.79500000000006</v>
      </c>
      <c r="G107" s="203">
        <v>100</v>
      </c>
      <c r="H107" s="201">
        <f t="shared" si="72"/>
        <v>-0.17215116519723539</v>
      </c>
      <c r="I107" s="206">
        <f t="array" ref="I107">INDEX('Gain_offset step test'!$AG$4:$AG$19,MATCH(MIN(IF('Gain_offset step test'!$AG$4:$AG$19&gt;H107,'Gain_offset step test'!$AG$4:$AG$19)),IF('Gain_offset step test'!$AG$4:$AG$19&gt;H107,'Gain_offset step test'!$AG$4:$AG$19),0))</f>
        <v>0.12356481985392632</v>
      </c>
      <c r="J107" s="200">
        <v>4.1459000000000001</v>
      </c>
      <c r="K107" s="200">
        <v>3.6181999999999999</v>
      </c>
      <c r="L107" s="200">
        <v>3.0905</v>
      </c>
      <c r="M107" s="200">
        <v>2.5602999999999998</v>
      </c>
      <c r="N107" s="202">
        <f t="shared" si="73"/>
        <v>105.54000000000002</v>
      </c>
      <c r="O107" s="557">
        <f t="shared" si="74"/>
        <v>-5.249194618154273E-2</v>
      </c>
      <c r="P107" s="186">
        <f t="array" ref="P107">INDEX('Gain_offset step test'!$F$21:$F$52,MATCH(MIN(ABS('Gain_offset step test'!$F$21:$F$52-O107)),ABS('Gain_offset step test'!$F$21:$F$52-O107),0))</f>
        <v>0.86066911118590772</v>
      </c>
      <c r="Q107" s="421">
        <f t="shared" si="64"/>
        <v>252.53189553808357</v>
      </c>
      <c r="R107" s="422">
        <f t="shared" si="75"/>
        <v>-2.3551927508495021E-2</v>
      </c>
      <c r="S107" s="207">
        <f t="array" ref="S107">INDEX('Gain_offset step test'!$AL$55:$AL$70,MATCH(MIN(ABS('Gain_offset step test'!$AL$55:$AL$70-R107)),ABS('Gain_offset step test'!$AL$55:$AL$70-R107),0))</f>
        <v>0.92385130661693504</v>
      </c>
      <c r="T107" s="423">
        <f t="shared" si="76"/>
        <v>-0.49245138169821712</v>
      </c>
      <c r="U107" s="429">
        <f t="array" ref="U107">INDEX('Gain_offset step test'!$AL$72:$AL$87,MATCH(MIN(ABS('Gain_offset step test'!$AL$72:$AL$87-T107)),ABS('Gain_offset step test'!$AL$72:$AL$87-T107),0))</f>
        <v>0.98003123080023602</v>
      </c>
      <c r="V107" s="2"/>
      <c r="W107" s="418" t="str">
        <f t="array" ref="W107">INDEX('Gain_offset step test'!$H$4:$AG$19,MATCH(MIN(IF('Gain_offset step test'!$AG$4:$AG$19&gt;H107,'Gain_offset step test'!$AG$4:$AG$19)),IF('Gain_offset step test'!$AG$4:$AG$19&gt;H107,'Gain_offset step test'!$AG$4:$AG$19),0),1)</f>
        <v>E0</v>
      </c>
      <c r="X107" s="418">
        <f t="array" ref="X107">INDEX('Gain_offset step test'!$H$4:$AG$19,MATCH(MIN(IF('Gain_offset step test'!$AG$4:$AG$19&gt;H107,'Gain_offset step test'!$AG$4:$AG$19)),IF('Gain_offset step test'!$AG$4:$AG$19&gt;H107,'Gain_offset step test'!$AG$4:$AG$19),0),2)</f>
        <v>1</v>
      </c>
      <c r="Y107" s="390" t="str">
        <f t="array" ref="Y107">INDEX('Gain_offset step test'!$F$21:$H$52,MATCH(MIN(ABS('Gain_offset step test'!$F$21:$F$52-O107)),ABS('Gain_offset step test'!$F$21:$F$52-O107),0),3)</f>
        <v>1F</v>
      </c>
      <c r="Z107" s="390" t="str">
        <f t="array" ref="Z107">INDEX('Gain_offset step test'!$H$55:$AL$70,MATCH(MIN(ABS('Gain_offset step test'!$AL$55:$AL$70-R107)),ABS('Gain_offset step test'!$AL$55:$AL$70-R107),0),1)</f>
        <v>0</v>
      </c>
      <c r="AA107" s="432" t="str">
        <f t="shared" si="77"/>
        <v>FF</v>
      </c>
      <c r="AB107" s="432" t="str">
        <f t="shared" si="78"/>
        <v>1</v>
      </c>
      <c r="AC107" s="418">
        <f t="array" ref="AC107">INDEX('Gain_offset step test'!$H$55:$AL$70,MATCH(MIN(ABS('Gain_offset step test'!$AL$55:$AL$70-R107)),ABS('Gain_offset step test'!$AL$55:$AL$70-R107),0),2)</f>
        <v>7</v>
      </c>
      <c r="AD107" s="390" t="str">
        <f t="array" ref="AD107">INDEX('Gain_offset step test'!$H$72:$AL$87,MATCH(MIN(ABS('Gain_offset step test'!$AL$72:$AL$87-T107)),ABS('Gain_offset step test'!$AL$72:$AL$87-T107),0),1)</f>
        <v>38</v>
      </c>
      <c r="AE107" s="418" t="str">
        <f t="shared" si="79"/>
        <v>38</v>
      </c>
      <c r="AF107" s="2">
        <f t="shared" si="69"/>
        <v>4</v>
      </c>
      <c r="AG107" s="430">
        <f t="shared" si="70"/>
        <v>3.5</v>
      </c>
    </row>
    <row r="108" spans="1:33" ht="15.75">
      <c r="A108" s="363">
        <f t="shared" si="59"/>
        <v>8</v>
      </c>
      <c r="B108" s="200">
        <v>4.3745000000000003</v>
      </c>
      <c r="C108" s="200">
        <v>3.7706</v>
      </c>
      <c r="D108" s="200">
        <v>3.1663999999999999</v>
      </c>
      <c r="E108" s="200">
        <v>2.5594000000000001</v>
      </c>
      <c r="F108" s="202">
        <f t="shared" si="60"/>
        <v>120.79500000000006</v>
      </c>
      <c r="G108" s="203">
        <v>100</v>
      </c>
      <c r="H108" s="201">
        <f t="shared" si="72"/>
        <v>-0.17215116519723539</v>
      </c>
      <c r="I108" s="206">
        <f t="array" ref="I108">INDEX('Gain_offset step test'!$AG$4:$AG$19,MATCH(MIN(IF('Gain_offset step test'!$AG$4:$AG$19&gt;H108,'Gain_offset step test'!$AG$4:$AG$19)),IF('Gain_offset step test'!$AG$4:$AG$19&gt;H108,'Gain_offset step test'!$AG$4:$AG$19),0))</f>
        <v>0.12356481985392632</v>
      </c>
      <c r="J108" s="200">
        <v>4.1459000000000001</v>
      </c>
      <c r="K108" s="200">
        <v>3.6181999999999999</v>
      </c>
      <c r="L108" s="200">
        <v>3.0905</v>
      </c>
      <c r="M108" s="200">
        <v>2.5602999999999998</v>
      </c>
      <c r="N108" s="202">
        <f t="shared" si="73"/>
        <v>105.54000000000002</v>
      </c>
      <c r="O108" s="557">
        <f t="shared" si="74"/>
        <v>-5.249194618154273E-2</v>
      </c>
      <c r="P108" s="186">
        <f t="array" ref="P108">INDEX('Gain_offset step test'!$F$21:$F$52,MATCH(MIN(ABS('Gain_offset step test'!$F$21:$F$52-O108)),ABS('Gain_offset step test'!$F$21:$F$52-O108),0))</f>
        <v>0.86066911118590772</v>
      </c>
      <c r="Q108" s="421">
        <f t="shared" si="64"/>
        <v>252.53189553808357</v>
      </c>
      <c r="R108" s="422">
        <f t="shared" si="75"/>
        <v>-2.3551927508495021E-2</v>
      </c>
      <c r="S108" s="207">
        <f t="array" ref="S108">INDEX('Gain_offset step test'!$AL$55:$AL$70,MATCH(MIN(ABS('Gain_offset step test'!$AL$55:$AL$70-R108)),ABS('Gain_offset step test'!$AL$55:$AL$70-R108),0))</f>
        <v>0.92385130661693504</v>
      </c>
      <c r="T108" s="423">
        <f t="shared" si="76"/>
        <v>-0.49245138169821712</v>
      </c>
      <c r="U108" s="429">
        <f t="array" ref="U108">INDEX('Gain_offset step test'!$AL$72:$AL$87,MATCH(MIN(ABS('Gain_offset step test'!$AL$72:$AL$87-T108)),ABS('Gain_offset step test'!$AL$72:$AL$87-T108),0))</f>
        <v>0.98003123080023602</v>
      </c>
      <c r="V108" s="2"/>
      <c r="W108" s="418" t="str">
        <f t="array" ref="W108">INDEX('Gain_offset step test'!$H$4:$AG$19,MATCH(MIN(IF('Gain_offset step test'!$AG$4:$AG$19&gt;H108,'Gain_offset step test'!$AG$4:$AG$19)),IF('Gain_offset step test'!$AG$4:$AG$19&gt;H108,'Gain_offset step test'!$AG$4:$AG$19),0),1)</f>
        <v>E0</v>
      </c>
      <c r="X108" s="418">
        <f t="array" ref="X108">INDEX('Gain_offset step test'!$H$4:$AG$19,MATCH(MIN(IF('Gain_offset step test'!$AG$4:$AG$19&gt;H108,'Gain_offset step test'!$AG$4:$AG$19)),IF('Gain_offset step test'!$AG$4:$AG$19&gt;H108,'Gain_offset step test'!$AG$4:$AG$19),0),2)</f>
        <v>1</v>
      </c>
      <c r="Y108" s="390" t="str">
        <f t="array" ref="Y108">INDEX('Gain_offset step test'!$F$21:$H$52,MATCH(MIN(ABS('Gain_offset step test'!$F$21:$F$52-O108)),ABS('Gain_offset step test'!$F$21:$F$52-O108),0),3)</f>
        <v>1F</v>
      </c>
      <c r="Z108" s="390" t="str">
        <f t="array" ref="Z108">INDEX('Gain_offset step test'!$H$55:$AL$70,MATCH(MIN(ABS('Gain_offset step test'!$AL$55:$AL$70-R108)),ABS('Gain_offset step test'!$AL$55:$AL$70-R108),0),1)</f>
        <v>0</v>
      </c>
      <c r="AA108" s="432" t="str">
        <f t="shared" si="77"/>
        <v>FF</v>
      </c>
      <c r="AB108" s="432" t="str">
        <f t="shared" si="78"/>
        <v>1</v>
      </c>
      <c r="AC108" s="418">
        <f t="array" ref="AC108">INDEX('Gain_offset step test'!$H$55:$AL$70,MATCH(MIN(ABS('Gain_offset step test'!$AL$55:$AL$70-R108)),ABS('Gain_offset step test'!$AL$55:$AL$70-R108),0),2)</f>
        <v>7</v>
      </c>
      <c r="AD108" s="390" t="str">
        <f t="array" ref="AD108">INDEX('Gain_offset step test'!$H$72:$AL$87,MATCH(MIN(ABS('Gain_offset step test'!$AL$72:$AL$87-T108)),ABS('Gain_offset step test'!$AL$72:$AL$87-T108),0),1)</f>
        <v>38</v>
      </c>
      <c r="AE108" s="418" t="str">
        <f t="shared" si="79"/>
        <v>38</v>
      </c>
      <c r="AF108" s="2">
        <f t="shared" si="69"/>
        <v>4</v>
      </c>
      <c r="AG108" s="430">
        <f t="shared" si="70"/>
        <v>3.5</v>
      </c>
    </row>
    <row r="109" spans="1:33" ht="15.75">
      <c r="A109" s="363">
        <f t="shared" si="59"/>
        <v>9</v>
      </c>
      <c r="B109" s="200">
        <v>4.3745000000000003</v>
      </c>
      <c r="C109" s="200">
        <v>3.7706</v>
      </c>
      <c r="D109" s="200">
        <v>3.1663999999999999</v>
      </c>
      <c r="E109" s="200">
        <v>2.5594000000000001</v>
      </c>
      <c r="F109" s="202">
        <f t="shared" si="60"/>
        <v>120.79500000000006</v>
      </c>
      <c r="G109" s="203">
        <v>100</v>
      </c>
      <c r="H109" s="201">
        <f t="shared" si="72"/>
        <v>-0.17215116519723539</v>
      </c>
      <c r="I109" s="206">
        <f t="array" ref="I109">INDEX('Gain_offset step test'!$AG$4:$AG$19,MATCH(MIN(IF('Gain_offset step test'!$AG$4:$AG$19&gt;H109,'Gain_offset step test'!$AG$4:$AG$19)),IF('Gain_offset step test'!$AG$4:$AG$19&gt;H109,'Gain_offset step test'!$AG$4:$AG$19),0))</f>
        <v>0.12356481985392632</v>
      </c>
      <c r="J109" s="200">
        <v>4.1459000000000001</v>
      </c>
      <c r="K109" s="200">
        <v>3.6181999999999999</v>
      </c>
      <c r="L109" s="200">
        <v>3.0905</v>
      </c>
      <c r="M109" s="200">
        <v>2.5602999999999998</v>
      </c>
      <c r="N109" s="202">
        <f t="shared" si="73"/>
        <v>105.54000000000002</v>
      </c>
      <c r="O109" s="557">
        <f t="shared" si="74"/>
        <v>-5.249194618154273E-2</v>
      </c>
      <c r="P109" s="186">
        <f t="array" ref="P109">INDEX('Gain_offset step test'!$F$21:$F$52,MATCH(MIN(ABS('Gain_offset step test'!$F$21:$F$52-O109)),ABS('Gain_offset step test'!$F$21:$F$52-O109),0))</f>
        <v>0.86066911118590772</v>
      </c>
      <c r="Q109" s="421">
        <f t="shared" si="64"/>
        <v>252.53189553808357</v>
      </c>
      <c r="R109" s="422">
        <f t="shared" si="75"/>
        <v>-2.3551927508495021E-2</v>
      </c>
      <c r="S109" s="207">
        <f t="array" ref="S109">INDEX('Gain_offset step test'!$AL$55:$AL$70,MATCH(MIN(ABS('Gain_offset step test'!$AL$55:$AL$70-R109)),ABS('Gain_offset step test'!$AL$55:$AL$70-R109),0))</f>
        <v>0.92385130661693504</v>
      </c>
      <c r="T109" s="423">
        <f t="shared" si="76"/>
        <v>-0.49245138169821712</v>
      </c>
      <c r="U109" s="429">
        <f t="array" ref="U109">INDEX('Gain_offset step test'!$AL$72:$AL$87,MATCH(MIN(ABS('Gain_offset step test'!$AL$72:$AL$87-T109)),ABS('Gain_offset step test'!$AL$72:$AL$87-T109),0))</f>
        <v>0.98003123080023602</v>
      </c>
      <c r="V109" s="2"/>
      <c r="W109" s="418" t="str">
        <f t="array" ref="W109">INDEX('Gain_offset step test'!$H$4:$AG$19,MATCH(MIN(IF('Gain_offset step test'!$AG$4:$AG$19&gt;H109,'Gain_offset step test'!$AG$4:$AG$19)),IF('Gain_offset step test'!$AG$4:$AG$19&gt;H109,'Gain_offset step test'!$AG$4:$AG$19),0),1)</f>
        <v>E0</v>
      </c>
      <c r="X109" s="418">
        <f t="array" ref="X109">INDEX('Gain_offset step test'!$H$4:$AG$19,MATCH(MIN(IF('Gain_offset step test'!$AG$4:$AG$19&gt;H109,'Gain_offset step test'!$AG$4:$AG$19)),IF('Gain_offset step test'!$AG$4:$AG$19&gt;H109,'Gain_offset step test'!$AG$4:$AG$19),0),2)</f>
        <v>1</v>
      </c>
      <c r="Y109" s="390" t="str">
        <f t="array" ref="Y109">INDEX('Gain_offset step test'!$F$21:$H$52,MATCH(MIN(ABS('Gain_offset step test'!$F$21:$F$52-O109)),ABS('Gain_offset step test'!$F$21:$F$52-O109),0),3)</f>
        <v>1F</v>
      </c>
      <c r="Z109" s="390" t="str">
        <f t="array" ref="Z109">INDEX('Gain_offset step test'!$H$55:$AL$70,MATCH(MIN(ABS('Gain_offset step test'!$AL$55:$AL$70-R109)),ABS('Gain_offset step test'!$AL$55:$AL$70-R109),0),1)</f>
        <v>0</v>
      </c>
      <c r="AA109" s="432" t="str">
        <f t="shared" si="77"/>
        <v>FF</v>
      </c>
      <c r="AB109" s="432" t="str">
        <f t="shared" si="78"/>
        <v>1</v>
      </c>
      <c r="AC109" s="418">
        <f t="array" ref="AC109">INDEX('Gain_offset step test'!$H$55:$AL$70,MATCH(MIN(ABS('Gain_offset step test'!$AL$55:$AL$70-R109)),ABS('Gain_offset step test'!$AL$55:$AL$70-R109),0),2)</f>
        <v>7</v>
      </c>
      <c r="AD109" s="390" t="str">
        <f t="array" ref="AD109">INDEX('Gain_offset step test'!$H$72:$AL$87,MATCH(MIN(ABS('Gain_offset step test'!$AL$72:$AL$87-T109)),ABS('Gain_offset step test'!$AL$72:$AL$87-T109),0),1)</f>
        <v>38</v>
      </c>
      <c r="AE109" s="418" t="str">
        <f t="shared" si="79"/>
        <v>38</v>
      </c>
      <c r="AF109" s="2">
        <f t="shared" si="69"/>
        <v>4</v>
      </c>
      <c r="AG109" s="430">
        <f t="shared" si="70"/>
        <v>3.5</v>
      </c>
    </row>
    <row r="110" spans="1:33" ht="15.75">
      <c r="A110" s="363">
        <f t="shared" si="59"/>
        <v>10</v>
      </c>
      <c r="B110" s="200">
        <v>4.3745000000000003</v>
      </c>
      <c r="C110" s="200">
        <v>3.7706</v>
      </c>
      <c r="D110" s="200">
        <v>3.1663999999999999</v>
      </c>
      <c r="E110" s="200">
        <v>2.5594000000000001</v>
      </c>
      <c r="F110" s="202">
        <f t="shared" si="60"/>
        <v>120.79500000000006</v>
      </c>
      <c r="G110" s="203">
        <v>100</v>
      </c>
      <c r="H110" s="201">
        <f t="shared" si="72"/>
        <v>-0.17215116519723539</v>
      </c>
      <c r="I110" s="206">
        <f t="array" ref="I110">INDEX('Gain_offset step test'!$AG$4:$AG$19,MATCH(MIN(IF('Gain_offset step test'!$AG$4:$AG$19&gt;H110,'Gain_offset step test'!$AG$4:$AG$19)),IF('Gain_offset step test'!$AG$4:$AG$19&gt;H110,'Gain_offset step test'!$AG$4:$AG$19),0))</f>
        <v>0.12356481985392632</v>
      </c>
      <c r="J110" s="200">
        <v>4.1459000000000001</v>
      </c>
      <c r="K110" s="200">
        <v>3.6181999999999999</v>
      </c>
      <c r="L110" s="200">
        <v>3.0905</v>
      </c>
      <c r="M110" s="200">
        <v>2.5602999999999998</v>
      </c>
      <c r="N110" s="202">
        <f t="shared" si="73"/>
        <v>105.54000000000002</v>
      </c>
      <c r="O110" s="557">
        <f t="shared" si="74"/>
        <v>-5.249194618154273E-2</v>
      </c>
      <c r="P110" s="186">
        <f t="array" ref="P110">INDEX('Gain_offset step test'!$F$21:$F$52,MATCH(MIN(ABS('Gain_offset step test'!$F$21:$F$52-O110)),ABS('Gain_offset step test'!$F$21:$F$52-O110),0))</f>
        <v>0.86066911118590772</v>
      </c>
      <c r="Q110" s="421">
        <f t="shared" si="64"/>
        <v>252.53189553808357</v>
      </c>
      <c r="R110" s="422">
        <f t="shared" si="75"/>
        <v>-2.3551927508495021E-2</v>
      </c>
      <c r="S110" s="207">
        <f t="array" ref="S110">INDEX('Gain_offset step test'!$AL$55:$AL$70,MATCH(MIN(ABS('Gain_offset step test'!$AL$55:$AL$70-R110)),ABS('Gain_offset step test'!$AL$55:$AL$70-R110),0))</f>
        <v>0.92385130661693504</v>
      </c>
      <c r="T110" s="423">
        <f t="shared" si="76"/>
        <v>-0.49245138169821712</v>
      </c>
      <c r="U110" s="429">
        <f t="array" ref="U110">INDEX('Gain_offset step test'!$AL$72:$AL$87,MATCH(MIN(ABS('Gain_offset step test'!$AL$72:$AL$87-T110)),ABS('Gain_offset step test'!$AL$72:$AL$87-T110),0))</f>
        <v>0.98003123080023602</v>
      </c>
      <c r="V110" s="2"/>
      <c r="W110" s="418" t="str">
        <f t="array" ref="W110">INDEX('Gain_offset step test'!$H$4:$AG$19,MATCH(MIN(IF('Gain_offset step test'!$AG$4:$AG$19&gt;H110,'Gain_offset step test'!$AG$4:$AG$19)),IF('Gain_offset step test'!$AG$4:$AG$19&gt;H110,'Gain_offset step test'!$AG$4:$AG$19),0),1)</f>
        <v>E0</v>
      </c>
      <c r="X110" s="418">
        <f t="array" ref="X110">INDEX('Gain_offset step test'!$H$4:$AG$19,MATCH(MIN(IF('Gain_offset step test'!$AG$4:$AG$19&gt;H110,'Gain_offset step test'!$AG$4:$AG$19)),IF('Gain_offset step test'!$AG$4:$AG$19&gt;H110,'Gain_offset step test'!$AG$4:$AG$19),0),2)</f>
        <v>1</v>
      </c>
      <c r="Y110" s="390" t="str">
        <f t="array" ref="Y110">INDEX('Gain_offset step test'!$F$21:$H$52,MATCH(MIN(ABS('Gain_offset step test'!$F$21:$F$52-O110)),ABS('Gain_offset step test'!$F$21:$F$52-O110),0),3)</f>
        <v>1F</v>
      </c>
      <c r="Z110" s="390" t="str">
        <f t="array" ref="Z110">INDEX('Gain_offset step test'!$H$55:$AL$70,MATCH(MIN(ABS('Gain_offset step test'!$AL$55:$AL$70-R110)),ABS('Gain_offset step test'!$AL$55:$AL$70-R110),0),1)</f>
        <v>0</v>
      </c>
      <c r="AA110" s="432" t="str">
        <f t="shared" si="77"/>
        <v>FF</v>
      </c>
      <c r="AB110" s="432" t="str">
        <f t="shared" si="78"/>
        <v>1</v>
      </c>
      <c r="AC110" s="418">
        <f t="array" ref="AC110">INDEX('Gain_offset step test'!$H$55:$AL$70,MATCH(MIN(ABS('Gain_offset step test'!$AL$55:$AL$70-R110)),ABS('Gain_offset step test'!$AL$55:$AL$70-R110),0),2)</f>
        <v>7</v>
      </c>
      <c r="AD110" s="390" t="str">
        <f t="array" ref="AD110">INDEX('Gain_offset step test'!$H$72:$AL$87,MATCH(MIN(ABS('Gain_offset step test'!$AL$72:$AL$87-T110)),ABS('Gain_offset step test'!$AL$72:$AL$87-T110),0),1)</f>
        <v>38</v>
      </c>
      <c r="AE110" s="418" t="str">
        <f t="shared" si="79"/>
        <v>38</v>
      </c>
      <c r="AF110" s="2">
        <f t="shared" si="69"/>
        <v>4</v>
      </c>
      <c r="AG110" s="430">
        <f t="shared" si="70"/>
        <v>3.5</v>
      </c>
    </row>
    <row r="111" spans="1:33" ht="15.75">
      <c r="A111" s="363">
        <f t="shared" si="59"/>
        <v>11</v>
      </c>
      <c r="B111" s="200">
        <v>4.3745000000000003</v>
      </c>
      <c r="C111" s="200">
        <v>3.7706</v>
      </c>
      <c r="D111" s="200">
        <v>3.1663999999999999</v>
      </c>
      <c r="E111" s="200">
        <v>2.5594000000000001</v>
      </c>
      <c r="F111" s="202">
        <f t="shared" si="60"/>
        <v>120.79500000000006</v>
      </c>
      <c r="G111" s="203">
        <v>100</v>
      </c>
      <c r="H111" s="201">
        <f t="shared" si="72"/>
        <v>-0.17215116519723539</v>
      </c>
      <c r="I111" s="206">
        <f t="array" ref="I111">INDEX('Gain_offset step test'!$AG$4:$AG$19,MATCH(MIN(IF('Gain_offset step test'!$AG$4:$AG$19&gt;H111,'Gain_offset step test'!$AG$4:$AG$19)),IF('Gain_offset step test'!$AG$4:$AG$19&gt;H111,'Gain_offset step test'!$AG$4:$AG$19),0))</f>
        <v>0.12356481985392632</v>
      </c>
      <c r="J111" s="200">
        <v>4.1459000000000001</v>
      </c>
      <c r="K111" s="200">
        <v>3.6181999999999999</v>
      </c>
      <c r="L111" s="200">
        <v>3.0905</v>
      </c>
      <c r="M111" s="200">
        <v>2.5602999999999998</v>
      </c>
      <c r="N111" s="202">
        <f t="shared" si="73"/>
        <v>105.54000000000002</v>
      </c>
      <c r="O111" s="557">
        <f t="shared" si="74"/>
        <v>-5.249194618154273E-2</v>
      </c>
      <c r="P111" s="186">
        <f t="array" ref="P111">INDEX('Gain_offset step test'!$F$21:$F$52,MATCH(MIN(ABS('Gain_offset step test'!$F$21:$F$52-O111)),ABS('Gain_offset step test'!$F$21:$F$52-O111),0))</f>
        <v>0.86066911118590772</v>
      </c>
      <c r="Q111" s="421">
        <f t="shared" si="64"/>
        <v>252.53189553808357</v>
      </c>
      <c r="R111" s="422">
        <f t="shared" si="75"/>
        <v>-2.3551927508495021E-2</v>
      </c>
      <c r="S111" s="207">
        <f t="array" ref="S111">INDEX('Gain_offset step test'!$AL$55:$AL$70,MATCH(MIN(ABS('Gain_offset step test'!$AL$55:$AL$70-R111)),ABS('Gain_offset step test'!$AL$55:$AL$70-R111),0))</f>
        <v>0.92385130661693504</v>
      </c>
      <c r="T111" s="423">
        <f t="shared" si="76"/>
        <v>-0.49245138169821712</v>
      </c>
      <c r="U111" s="429">
        <f t="array" ref="U111">INDEX('Gain_offset step test'!$AL$72:$AL$87,MATCH(MIN(ABS('Gain_offset step test'!$AL$72:$AL$87-T111)),ABS('Gain_offset step test'!$AL$72:$AL$87-T111),0))</f>
        <v>0.98003123080023602</v>
      </c>
      <c r="V111" s="2"/>
      <c r="W111" s="418" t="str">
        <f t="array" ref="W111">INDEX('Gain_offset step test'!$H$4:$AG$19,MATCH(MIN(IF('Gain_offset step test'!$AG$4:$AG$19&gt;H111,'Gain_offset step test'!$AG$4:$AG$19)),IF('Gain_offset step test'!$AG$4:$AG$19&gt;H111,'Gain_offset step test'!$AG$4:$AG$19),0),1)</f>
        <v>E0</v>
      </c>
      <c r="X111" s="418">
        <f t="array" ref="X111">INDEX('Gain_offset step test'!$H$4:$AG$19,MATCH(MIN(IF('Gain_offset step test'!$AG$4:$AG$19&gt;H111,'Gain_offset step test'!$AG$4:$AG$19)),IF('Gain_offset step test'!$AG$4:$AG$19&gt;H111,'Gain_offset step test'!$AG$4:$AG$19),0),2)</f>
        <v>1</v>
      </c>
      <c r="Y111" s="390" t="str">
        <f t="array" ref="Y111">INDEX('Gain_offset step test'!$F$21:$H$52,MATCH(MIN(ABS('Gain_offset step test'!$F$21:$F$52-O111)),ABS('Gain_offset step test'!$F$21:$F$52-O111),0),3)</f>
        <v>1F</v>
      </c>
      <c r="Z111" s="390" t="str">
        <f t="array" ref="Z111">INDEX('Gain_offset step test'!$H$55:$AL$70,MATCH(MIN(ABS('Gain_offset step test'!$AL$55:$AL$70-R111)),ABS('Gain_offset step test'!$AL$55:$AL$70-R111),0),1)</f>
        <v>0</v>
      </c>
      <c r="AA111" s="432" t="str">
        <f t="shared" si="77"/>
        <v>FF</v>
      </c>
      <c r="AB111" s="432" t="str">
        <f t="shared" si="78"/>
        <v>1</v>
      </c>
      <c r="AC111" s="418">
        <f t="array" ref="AC111">INDEX('Gain_offset step test'!$H$55:$AL$70,MATCH(MIN(ABS('Gain_offset step test'!$AL$55:$AL$70-R111)),ABS('Gain_offset step test'!$AL$55:$AL$70-R111),0),2)</f>
        <v>7</v>
      </c>
      <c r="AD111" s="390" t="str">
        <f t="array" ref="AD111">INDEX('Gain_offset step test'!$H$72:$AL$87,MATCH(MIN(ABS('Gain_offset step test'!$AL$72:$AL$87-T111)),ABS('Gain_offset step test'!$AL$72:$AL$87-T111),0),1)</f>
        <v>38</v>
      </c>
      <c r="AE111" s="418" t="str">
        <f t="shared" si="79"/>
        <v>38</v>
      </c>
      <c r="AF111" s="2">
        <f t="shared" si="69"/>
        <v>4</v>
      </c>
      <c r="AG111" s="430">
        <f t="shared" si="70"/>
        <v>3.5</v>
      </c>
    </row>
    <row r="112" spans="1:33" s="582" customFormat="1" ht="15.75">
      <c r="A112" s="566">
        <f t="shared" si="59"/>
        <v>12</v>
      </c>
      <c r="B112" s="567">
        <v>4.3745000000000003</v>
      </c>
      <c r="C112" s="567">
        <v>3.7706</v>
      </c>
      <c r="D112" s="567">
        <v>3.1663999999999999</v>
      </c>
      <c r="E112" s="567">
        <v>2.5594000000000001</v>
      </c>
      <c r="F112" s="568">
        <f t="shared" si="60"/>
        <v>120.79500000000006</v>
      </c>
      <c r="G112" s="569">
        <v>100</v>
      </c>
      <c r="H112" s="570">
        <f t="shared" si="72"/>
        <v>-0.17215116519723539</v>
      </c>
      <c r="I112" s="571">
        <f t="array" ref="I112">INDEX('Gain_offset step test'!$AG$4:$AG$19,MATCH(MIN(IF('Gain_offset step test'!$AG$4:$AG$19&gt;H112,'Gain_offset step test'!$AG$4:$AG$19)),IF('Gain_offset step test'!$AG$4:$AG$19&gt;H112,'Gain_offset step test'!$AG$4:$AG$19),0))</f>
        <v>0.12356481985392632</v>
      </c>
      <c r="J112" s="567">
        <v>4.1459000000000001</v>
      </c>
      <c r="K112" s="567">
        <v>3.6181999999999999</v>
      </c>
      <c r="L112" s="567">
        <v>3.0905</v>
      </c>
      <c r="M112" s="567">
        <v>2.5602999999999998</v>
      </c>
      <c r="N112" s="568">
        <f t="shared" si="73"/>
        <v>105.54000000000002</v>
      </c>
      <c r="O112" s="572">
        <f t="shared" si="74"/>
        <v>-5.249194618154273E-2</v>
      </c>
      <c r="P112" s="573">
        <f t="array" ref="P112">INDEX('Gain_offset step test'!$F$21:$F$52,MATCH(MIN(ABS('Gain_offset step test'!$F$21:$F$52-O112)),ABS('Gain_offset step test'!$F$21:$F$52-O112),0))</f>
        <v>0.86066911118590772</v>
      </c>
      <c r="Q112" s="574">
        <f t="shared" si="64"/>
        <v>252.53189553808357</v>
      </c>
      <c r="R112" s="570">
        <f t="shared" si="75"/>
        <v>-2.3551927508495021E-2</v>
      </c>
      <c r="S112" s="575">
        <f t="array" ref="S112">INDEX('Gain_offset step test'!$AL$55:$AL$70,MATCH(MIN(ABS('Gain_offset step test'!$AL$55:$AL$70-R112)),ABS('Gain_offset step test'!$AL$55:$AL$70-R112),0))</f>
        <v>0.92385130661693504</v>
      </c>
      <c r="T112" s="576">
        <f t="shared" si="76"/>
        <v>-0.49245138169821712</v>
      </c>
      <c r="U112" s="577">
        <f t="array" ref="U112">INDEX('Gain_offset step test'!$AL$72:$AL$87,MATCH(MIN(ABS('Gain_offset step test'!$AL$72:$AL$87-T112)),ABS('Gain_offset step test'!$AL$72:$AL$87-T112),0))</f>
        <v>0.98003123080023602</v>
      </c>
      <c r="V112" s="578"/>
      <c r="W112" s="579" t="str">
        <f t="array" ref="W112">INDEX('Gain_offset step test'!$H$4:$AG$19,MATCH(MIN(IF('Gain_offset step test'!$AG$4:$AG$19&gt;H112,'Gain_offset step test'!$AG$4:$AG$19)),IF('Gain_offset step test'!$AG$4:$AG$19&gt;H112,'Gain_offset step test'!$AG$4:$AG$19),0),1)</f>
        <v>E0</v>
      </c>
      <c r="X112" s="579">
        <f t="array" ref="X112">INDEX('Gain_offset step test'!$H$4:$AG$19,MATCH(MIN(IF('Gain_offset step test'!$AG$4:$AG$19&gt;H112,'Gain_offset step test'!$AG$4:$AG$19)),IF('Gain_offset step test'!$AG$4:$AG$19&gt;H112,'Gain_offset step test'!$AG$4:$AG$19),0),2)</f>
        <v>1</v>
      </c>
      <c r="Y112" s="579" t="str">
        <f t="array" ref="Y112">INDEX('Gain_offset step test'!$F$21:$H$52,MATCH(MIN(ABS('Gain_offset step test'!$F$21:$F$52-O112)),ABS('Gain_offset step test'!$F$21:$F$52-O112),0),3)</f>
        <v>1F</v>
      </c>
      <c r="Z112" s="579" t="str">
        <f t="array" ref="Z112">INDEX('Gain_offset step test'!$H$55:$AL$70,MATCH(MIN(ABS('Gain_offset step test'!$AL$55:$AL$70-R112)),ABS('Gain_offset step test'!$AL$55:$AL$70-R112),0),1)</f>
        <v>0</v>
      </c>
      <c r="AA112" s="580" t="str">
        <f t="shared" si="77"/>
        <v>FF</v>
      </c>
      <c r="AB112" s="580" t="str">
        <f t="shared" si="78"/>
        <v>1</v>
      </c>
      <c r="AC112" s="579">
        <f t="array" ref="AC112">INDEX('Gain_offset step test'!$H$55:$AL$70,MATCH(MIN(ABS('Gain_offset step test'!$AL$55:$AL$70-R112)),ABS('Gain_offset step test'!$AL$55:$AL$70-R112),0),2)</f>
        <v>7</v>
      </c>
      <c r="AD112" s="579" t="str">
        <f t="array" ref="AD112">INDEX('Gain_offset step test'!$H$72:$AL$87,MATCH(MIN(ABS('Gain_offset step test'!$AL$72:$AL$87-T112)),ABS('Gain_offset step test'!$AL$72:$AL$87-T112),0),1)</f>
        <v>38</v>
      </c>
      <c r="AE112" s="579" t="str">
        <f t="shared" si="79"/>
        <v>38</v>
      </c>
      <c r="AF112" s="578">
        <f t="shared" si="69"/>
        <v>4</v>
      </c>
      <c r="AG112" s="581">
        <f t="shared" si="70"/>
        <v>3.5</v>
      </c>
    </row>
    <row r="113" spans="1:37" s="582" customFormat="1" ht="15.75">
      <c r="A113" s="582">
        <v>1</v>
      </c>
      <c r="B113" s="582">
        <v>4.0609999999999999</v>
      </c>
      <c r="E113" s="567"/>
      <c r="F113" s="568">
        <f t="shared" ref="F113:F118" si="80">(B113-M113)*1000/15</f>
        <v>108.13333333333334</v>
      </c>
      <c r="G113" s="569">
        <v>25</v>
      </c>
      <c r="H113" s="570">
        <f t="shared" ref="H113:H118" si="81">G113/F113</f>
        <v>0.23119605425400738</v>
      </c>
      <c r="I113" s="571">
        <f t="array" ref="I113">INDEX('Gain_offset step test'!$AG$4:$AG$19,MATCH(MIN(IF('Gain_offset step test'!$AG$4:$AG$19&gt;H113,'Gain_offset step test'!$AG$4:$AG$19)),IF('Gain_offset step test'!$AG$4:$AG$19&gt;H113,'Gain_offset step test'!$AG$4:$AG$19),0))</f>
        <v>0.24743302057072233</v>
      </c>
      <c r="J113" s="567"/>
      <c r="K113" s="567"/>
      <c r="L113" s="567"/>
      <c r="M113" s="567">
        <v>2.4390000000000001</v>
      </c>
      <c r="N113" s="568"/>
      <c r="O113" s="572">
        <f t="shared" ref="O113:O118" si="82">H113-I113</f>
        <v>-1.6236966316714951E-2</v>
      </c>
      <c r="P113" s="573">
        <f t="array" ref="P113">INDEX('Gain_offset step test'!$F$21:$F$52,MATCH(MIN(ABS('Gain_offset step test'!$F$21:$F$52-O113)),ABS('Gain_offset step test'!$F$21:$F$52-O113),0))</f>
        <v>0.86066911118590772</v>
      </c>
      <c r="Q113" s="574">
        <f t="shared" ref="Q113:Q118" si="83">(F113+F113*I113)+(F113+F113*I113)*P113</f>
        <v>250.98396436074199</v>
      </c>
      <c r="R113" s="570">
        <f t="shared" ref="R113:R118" si="84">(2.5-M113)/M113</f>
        <v>2.5010250102501002E-2</v>
      </c>
      <c r="S113" s="575">
        <f t="array" ref="S113">INDEX('Gain_offset step test'!$AL$55:$AL$70,MATCH(MIN(ABS('Gain_offset step test'!$AL$55:$AL$70-R113)),ABS('Gain_offset step test'!$AL$55:$AL$70-R113),0))</f>
        <v>0.92385130661693504</v>
      </c>
      <c r="T113" s="576">
        <f t="shared" ref="T113:T118" si="85">((1+R113)/(1+S113))-1</f>
        <v>-0.46720921384253611</v>
      </c>
      <c r="U113" s="577">
        <f t="array" ref="U113">INDEX('Gain_offset step test'!$AL$72:$AL$87,MATCH(MIN(ABS('Gain_offset step test'!$AL$72:$AL$87-T113)),ABS('Gain_offset step test'!$AL$72:$AL$87-T113),0))</f>
        <v>0.98003123080023602</v>
      </c>
      <c r="V113" s="578"/>
      <c r="W113" s="579" t="str">
        <f t="array" ref="W113">INDEX('Gain_offset step test'!$H$4:$AG$19,MATCH(MIN(IF('Gain_offset step test'!$AG$4:$AG$19&gt;H113,'Gain_offset step test'!$AG$4:$AG$19)),IF('Gain_offset step test'!$AG$4:$AG$19&gt;H113,'Gain_offset step test'!$AG$4:$AG$19),0),1)</f>
        <v>A0</v>
      </c>
      <c r="X113" s="579">
        <f t="array" ref="X113">INDEX('Gain_offset step test'!$H$4:$AG$19,MATCH(MIN(IF('Gain_offset step test'!$AG$4:$AG$19&gt;H113,'Gain_offset step test'!$AG$4:$AG$19)),IF('Gain_offset step test'!$AG$4:$AG$19&gt;H113,'Gain_offset step test'!$AG$4:$AG$19),0),2)</f>
        <v>0</v>
      </c>
      <c r="Y113" s="579" t="str">
        <f t="array" ref="Y113">INDEX('Gain_offset step test'!$F$21:$H$52,MATCH(MIN(ABS('Gain_offset step test'!$F$21:$F$52-O113)),ABS('Gain_offset step test'!$F$21:$F$52-O113),0),3)</f>
        <v>1F</v>
      </c>
      <c r="Z113" s="579" t="str">
        <f t="array" ref="Z113">INDEX('Gain_offset step test'!$H$55:$AL$70,MATCH(MIN(ABS('Gain_offset step test'!$AL$55:$AL$70-R113)),ABS('Gain_offset step test'!$AL$55:$AL$70-R113),0),1)</f>
        <v>0</v>
      </c>
      <c r="AA113" s="580" t="str">
        <f t="shared" ref="AA113:AB118" si="86">DEC2HEX(HEX2DEC(W113)+HEX2DEC(Y113))</f>
        <v>BF</v>
      </c>
      <c r="AB113" s="580" t="str">
        <f t="shared" si="86"/>
        <v>0</v>
      </c>
      <c r="AC113" s="579">
        <f t="array" ref="AC113">INDEX('Gain_offset step test'!$H$55:$AL$70,MATCH(MIN(ABS('Gain_offset step test'!$AL$55:$AL$70-R113)),ABS('Gain_offset step test'!$AL$55:$AL$70-R113),0),2)</f>
        <v>7</v>
      </c>
      <c r="AD113" s="579" t="str">
        <f t="array" ref="AD113">INDEX('Gain_offset step test'!$H$72:$AL$87,MATCH(MIN(ABS('Gain_offset step test'!$AL$72:$AL$87-T113)),ABS('Gain_offset step test'!$AL$72:$AL$87-T113),0),1)</f>
        <v>38</v>
      </c>
      <c r="AE113" s="579" t="str">
        <f t="shared" ref="AE113:AE118" si="87">AD113</f>
        <v>38</v>
      </c>
      <c r="AF113" s="578">
        <v>2.9009999999999998</v>
      </c>
      <c r="AG113" s="581">
        <v>2.5070000000000001</v>
      </c>
      <c r="AH113" s="582">
        <f>1000*(AF113-2.5-G113*15/1000)</f>
        <v>25.999999999999801</v>
      </c>
      <c r="AI113" s="582">
        <f>1000*(AG113-2.5)</f>
        <v>7.0000000000001172</v>
      </c>
      <c r="AJ113" s="582">
        <f>AH113-AI113</f>
        <v>18.999999999999684</v>
      </c>
    </row>
    <row r="114" spans="1:37" s="582" customFormat="1" ht="15.75">
      <c r="A114" s="582">
        <v>2</v>
      </c>
      <c r="B114" s="582">
        <v>4.258</v>
      </c>
      <c r="E114" s="567"/>
      <c r="F114" s="568">
        <f t="shared" si="80"/>
        <v>119.19999999999999</v>
      </c>
      <c r="G114" s="569">
        <v>25</v>
      </c>
      <c r="H114" s="570">
        <f t="shared" si="81"/>
        <v>0.2097315436241611</v>
      </c>
      <c r="I114" s="571">
        <f t="array" ref="I114">INDEX('Gain_offset step test'!$AG$4:$AG$19,MATCH(MIN(IF('Gain_offset step test'!$AG$4:$AG$19&gt;H114,'Gain_offset step test'!$AG$4:$AG$19)),IF('Gain_offset step test'!$AG$4:$AG$19&gt;H114,'Gain_offset step test'!$AG$4:$AG$19),0))</f>
        <v>0.21524820452761606</v>
      </c>
      <c r="J114" s="567"/>
      <c r="K114" s="567"/>
      <c r="L114" s="567"/>
      <c r="M114" s="567">
        <v>2.4700000000000002</v>
      </c>
      <c r="N114" s="568"/>
      <c r="O114" s="572">
        <f t="shared" si="82"/>
        <v>-5.5166609034549563E-3</v>
      </c>
      <c r="P114" s="573">
        <f t="array" ref="P114">INDEX('Gain_offset step test'!$F$21:$F$52,MATCH(MIN(ABS('Gain_offset step test'!$F$21:$F$52-O114)),ABS('Gain_offset step test'!$F$21:$F$52-O114),0))</f>
        <v>0.86066911118590772</v>
      </c>
      <c r="Q114" s="574">
        <f t="shared" si="83"/>
        <v>269.53203575336937</v>
      </c>
      <c r="R114" s="570">
        <f t="shared" si="84"/>
        <v>1.2145748987854171E-2</v>
      </c>
      <c r="S114" s="575">
        <f t="array" ref="S114">INDEX('Gain_offset step test'!$AL$55:$AL$70,MATCH(MIN(ABS('Gain_offset step test'!$AL$55:$AL$70-R114)),ABS('Gain_offset step test'!$AL$55:$AL$70-R114),0))</f>
        <v>0.92385130661693504</v>
      </c>
      <c r="T114" s="576">
        <f t="shared" si="85"/>
        <v>-0.47389606176596977</v>
      </c>
      <c r="U114" s="577">
        <f t="array" ref="U114">INDEX('Gain_offset step test'!$AL$72:$AL$87,MATCH(MIN(ABS('Gain_offset step test'!$AL$72:$AL$87-T114)),ABS('Gain_offset step test'!$AL$72:$AL$87-T114),0))</f>
        <v>0.98003123080023602</v>
      </c>
      <c r="V114" s="578"/>
      <c r="W114" s="579" t="str">
        <f t="array" ref="W114">INDEX('Gain_offset step test'!$H$4:$AG$19,MATCH(MIN(IF('Gain_offset step test'!$AG$4:$AG$19&gt;H114,'Gain_offset step test'!$AG$4:$AG$19)),IF('Gain_offset step test'!$AG$4:$AG$19&gt;H114,'Gain_offset step test'!$AG$4:$AG$19),0),1)</f>
        <v>A0</v>
      </c>
      <c r="X114" s="579">
        <f t="array" ref="X114">INDEX('Gain_offset step test'!$H$4:$AG$19,MATCH(MIN(IF('Gain_offset step test'!$AG$4:$AG$19&gt;H114,'Gain_offset step test'!$AG$4:$AG$19)),IF('Gain_offset step test'!$AG$4:$AG$19&gt;H114,'Gain_offset step test'!$AG$4:$AG$19),0),2)</f>
        <v>1</v>
      </c>
      <c r="Y114" s="579" t="str">
        <f t="array" ref="Y114">INDEX('Gain_offset step test'!$F$21:$H$52,MATCH(MIN(ABS('Gain_offset step test'!$F$21:$F$52-O114)),ABS('Gain_offset step test'!$F$21:$F$52-O114),0),3)</f>
        <v>1F</v>
      </c>
      <c r="Z114" s="579" t="str">
        <f t="array" ref="Z114">INDEX('Gain_offset step test'!$H$55:$AL$70,MATCH(MIN(ABS('Gain_offset step test'!$AL$55:$AL$70-R114)),ABS('Gain_offset step test'!$AL$55:$AL$70-R114),0),1)</f>
        <v>0</v>
      </c>
      <c r="AA114" s="580" t="str">
        <f t="shared" si="86"/>
        <v>BF</v>
      </c>
      <c r="AB114" s="580" t="str">
        <f t="shared" si="86"/>
        <v>1</v>
      </c>
      <c r="AC114" s="579">
        <f t="array" ref="AC114">INDEX('Gain_offset step test'!$H$55:$AL$70,MATCH(MIN(ABS('Gain_offset step test'!$AL$55:$AL$70-R114)),ABS('Gain_offset step test'!$AL$55:$AL$70-R114),0),2)</f>
        <v>7</v>
      </c>
      <c r="AD114" s="579" t="str">
        <f t="array" ref="AD114">INDEX('Gain_offset step test'!$H$72:$AL$87,MATCH(MIN(ABS('Gain_offset step test'!$AL$72:$AL$87-T114)),ABS('Gain_offset step test'!$AL$72:$AL$87-T114),0),1)</f>
        <v>38</v>
      </c>
      <c r="AE114" s="579" t="str">
        <f t="shared" si="87"/>
        <v>38</v>
      </c>
      <c r="AF114" s="578">
        <v>2.9209999999999998</v>
      </c>
      <c r="AG114" s="581">
        <v>2.5379999999999998</v>
      </c>
      <c r="AH114" s="582">
        <f>1000*(AF114-2.5-G114*15/1000)</f>
        <v>45.999999999999815</v>
      </c>
      <c r="AI114" s="582">
        <f>1000*(AG114-2.5)</f>
        <v>37.999999999999815</v>
      </c>
      <c r="AJ114" s="582">
        <f t="shared" ref="AJ114:AJ120" si="88">AH114-AI114</f>
        <v>8</v>
      </c>
    </row>
    <row r="115" spans="1:37" s="582" customFormat="1" ht="15.75">
      <c r="A115" s="582">
        <v>3</v>
      </c>
      <c r="B115" s="582">
        <v>4.2290000000000001</v>
      </c>
      <c r="E115" s="567"/>
      <c r="F115" s="568">
        <f t="shared" si="80"/>
        <v>113.13333333333334</v>
      </c>
      <c r="G115" s="569">
        <v>25</v>
      </c>
      <c r="H115" s="570">
        <f t="shared" si="81"/>
        <v>0.22097819681791395</v>
      </c>
      <c r="I115" s="571">
        <f t="array" ref="I115">INDEX('Gain_offset step test'!$AG$4:$AG$19,MATCH(MIN(IF('Gain_offset step test'!$AG$4:$AG$19&gt;H115,'Gain_offset step test'!$AG$4:$AG$19)),IF('Gain_offset step test'!$AG$4:$AG$19&gt;H115,'Gain_offset step test'!$AG$4:$AG$19),0))</f>
        <v>0.24743302057072233</v>
      </c>
      <c r="J115" s="567"/>
      <c r="K115" s="567"/>
      <c r="L115" s="567"/>
      <c r="M115" s="567">
        <v>2.532</v>
      </c>
      <c r="N115" s="568"/>
      <c r="O115" s="572">
        <f t="shared" si="82"/>
        <v>-2.6454823752808387E-2</v>
      </c>
      <c r="P115" s="573">
        <f t="array" ref="P115">INDEX('Gain_offset step test'!$F$21:$F$52,MATCH(MIN(ABS('Gain_offset step test'!$F$21:$F$52-O115)),ABS('Gain_offset step test'!$F$21:$F$52-O115),0))</f>
        <v>0.86066911118590772</v>
      </c>
      <c r="Q115" s="574">
        <f t="shared" si="83"/>
        <v>262.58926480898833</v>
      </c>
      <c r="R115" s="570">
        <f t="shared" si="84"/>
        <v>-1.2638230647709331E-2</v>
      </c>
      <c r="S115" s="575">
        <f t="array" ref="S115">INDEX('Gain_offset step test'!$AL$55:$AL$70,MATCH(MIN(ABS('Gain_offset step test'!$AL$55:$AL$70-R115)),ABS('Gain_offset step test'!$AL$55:$AL$70-R115),0))</f>
        <v>0.92385130661693504</v>
      </c>
      <c r="T115" s="576">
        <f t="shared" si="85"/>
        <v>-0.48677854366585516</v>
      </c>
      <c r="U115" s="577">
        <f t="array" ref="U115">INDEX('Gain_offset step test'!$AL$72:$AL$87,MATCH(MIN(ABS('Gain_offset step test'!$AL$72:$AL$87-T115)),ABS('Gain_offset step test'!$AL$72:$AL$87-T115),0))</f>
        <v>0.98003123080023602</v>
      </c>
      <c r="V115" s="578"/>
      <c r="W115" s="579" t="str">
        <f t="array" ref="W115">INDEX('Gain_offset step test'!$H$4:$AG$19,MATCH(MIN(IF('Gain_offset step test'!$AG$4:$AG$19&gt;H115,'Gain_offset step test'!$AG$4:$AG$19)),IF('Gain_offset step test'!$AG$4:$AG$19&gt;H115,'Gain_offset step test'!$AG$4:$AG$19),0),1)</f>
        <v>A0</v>
      </c>
      <c r="X115" s="579">
        <f t="array" ref="X115">INDEX('Gain_offset step test'!$H$4:$AG$19,MATCH(MIN(IF('Gain_offset step test'!$AG$4:$AG$19&gt;H115,'Gain_offset step test'!$AG$4:$AG$19)),IF('Gain_offset step test'!$AG$4:$AG$19&gt;H115,'Gain_offset step test'!$AG$4:$AG$19),0),2)</f>
        <v>0</v>
      </c>
      <c r="Y115" s="579" t="str">
        <f t="array" ref="Y115">INDEX('Gain_offset step test'!$F$21:$H$52,MATCH(MIN(ABS('Gain_offset step test'!$F$21:$F$52-O115)),ABS('Gain_offset step test'!$F$21:$F$52-O115),0),3)</f>
        <v>1F</v>
      </c>
      <c r="Z115" s="579" t="str">
        <f t="array" ref="Z115">INDEX('Gain_offset step test'!$H$55:$AL$70,MATCH(MIN(ABS('Gain_offset step test'!$AL$55:$AL$70-R115)),ABS('Gain_offset step test'!$AL$55:$AL$70-R115),0),1)</f>
        <v>0</v>
      </c>
      <c r="AA115" s="580" t="str">
        <f t="shared" si="86"/>
        <v>BF</v>
      </c>
      <c r="AB115" s="580" t="str">
        <f t="shared" si="86"/>
        <v>0</v>
      </c>
      <c r="AC115" s="579">
        <f t="array" ref="AC115">INDEX('Gain_offset step test'!$H$55:$AL$70,MATCH(MIN(ABS('Gain_offset step test'!$AL$55:$AL$70-R115)),ABS('Gain_offset step test'!$AL$55:$AL$70-R115),0),2)</f>
        <v>7</v>
      </c>
      <c r="AD115" s="579" t="str">
        <f t="array" ref="AD115">INDEX('Gain_offset step test'!$H$72:$AL$87,MATCH(MIN(ABS('Gain_offset step test'!$AL$72:$AL$87-T115)),ABS('Gain_offset step test'!$AL$72:$AL$87-T115),0),1)</f>
        <v>38</v>
      </c>
      <c r="AE115" s="579" t="str">
        <f t="shared" si="87"/>
        <v>38</v>
      </c>
      <c r="AF115" s="578">
        <v>2.9279999999999999</v>
      </c>
      <c r="AG115" s="581">
        <v>2.5190000000000001</v>
      </c>
      <c r="AH115" s="582">
        <f>1000*(AF115-2.5-G115*15/1000)</f>
        <v>52.999999999999936</v>
      </c>
      <c r="AI115" s="582">
        <f>1000*(AG115-2.5)</f>
        <v>19.000000000000128</v>
      </c>
      <c r="AJ115" s="582">
        <f t="shared" si="88"/>
        <v>33.999999999999808</v>
      </c>
    </row>
    <row r="116" spans="1:37" s="582" customFormat="1" ht="15.75">
      <c r="A116" s="582">
        <v>4</v>
      </c>
      <c r="B116" s="582">
        <v>4.2030000000000003</v>
      </c>
      <c r="E116" s="567"/>
      <c r="F116" s="568">
        <f t="shared" si="80"/>
        <v>114.53333333333336</v>
      </c>
      <c r="G116" s="569">
        <v>25</v>
      </c>
      <c r="H116" s="570">
        <f t="shared" si="81"/>
        <v>0.21827706635622812</v>
      </c>
      <c r="I116" s="571">
        <f t="array" ref="I116">INDEX('Gain_offset step test'!$AG$4:$AG$19,MATCH(MIN(IF('Gain_offset step test'!$AG$4:$AG$19&gt;H116,'Gain_offset step test'!$AG$4:$AG$19)),IF('Gain_offset step test'!$AG$4:$AG$19&gt;H116,'Gain_offset step test'!$AG$4:$AG$19),0))</f>
        <v>0.24743302057072233</v>
      </c>
      <c r="J116" s="567"/>
      <c r="K116" s="567"/>
      <c r="L116" s="567"/>
      <c r="M116" s="567">
        <v>2.4849999999999999</v>
      </c>
      <c r="N116" s="568"/>
      <c r="O116" s="572">
        <f t="shared" si="82"/>
        <v>-2.9155954214494212E-2</v>
      </c>
      <c r="P116" s="573">
        <f t="array" ref="P116">INDEX('Gain_offset step test'!$F$21:$F$52,MATCH(MIN(ABS('Gain_offset step test'!$F$21:$F$52-O116)),ABS('Gain_offset step test'!$F$21:$F$52-O116),0))</f>
        <v>0.86066911118590772</v>
      </c>
      <c r="Q116" s="574">
        <f t="shared" si="83"/>
        <v>265.83874893449735</v>
      </c>
      <c r="R116" s="570">
        <f t="shared" si="84"/>
        <v>6.0362173038229876E-3</v>
      </c>
      <c r="S116" s="575">
        <f t="array" ref="S116">INDEX('Gain_offset step test'!$AL$55:$AL$70,MATCH(MIN(ABS('Gain_offset step test'!$AL$55:$AL$70-R116)),ABS('Gain_offset step test'!$AL$55:$AL$70-R116),0))</f>
        <v>0.92385130661693504</v>
      </c>
      <c r="T116" s="576">
        <f t="shared" si="85"/>
        <v>-0.47707173946154735</v>
      </c>
      <c r="U116" s="577">
        <f t="array" ref="U116">INDEX('Gain_offset step test'!$AL$72:$AL$87,MATCH(MIN(ABS('Gain_offset step test'!$AL$72:$AL$87-T116)),ABS('Gain_offset step test'!$AL$72:$AL$87-T116),0))</f>
        <v>0.98003123080023602</v>
      </c>
      <c r="V116" s="578"/>
      <c r="W116" s="579" t="str">
        <f t="array" ref="W116">INDEX('Gain_offset step test'!$H$4:$AG$19,MATCH(MIN(IF('Gain_offset step test'!$AG$4:$AG$19&gt;H116,'Gain_offset step test'!$AG$4:$AG$19)),IF('Gain_offset step test'!$AG$4:$AG$19&gt;H116,'Gain_offset step test'!$AG$4:$AG$19),0),1)</f>
        <v>A0</v>
      </c>
      <c r="X116" s="579">
        <f t="array" ref="X116">INDEX('Gain_offset step test'!$H$4:$AG$19,MATCH(MIN(IF('Gain_offset step test'!$AG$4:$AG$19&gt;H116,'Gain_offset step test'!$AG$4:$AG$19)),IF('Gain_offset step test'!$AG$4:$AG$19&gt;H116,'Gain_offset step test'!$AG$4:$AG$19),0),2)</f>
        <v>0</v>
      </c>
      <c r="Y116" s="579" t="str">
        <f t="array" ref="Y116">INDEX('Gain_offset step test'!$F$21:$H$52,MATCH(MIN(ABS('Gain_offset step test'!$F$21:$F$52-O116)),ABS('Gain_offset step test'!$F$21:$F$52-O116),0),3)</f>
        <v>1F</v>
      </c>
      <c r="Z116" s="579" t="str">
        <f t="array" ref="Z116">INDEX('Gain_offset step test'!$H$55:$AL$70,MATCH(MIN(ABS('Gain_offset step test'!$AL$55:$AL$70-R116)),ABS('Gain_offset step test'!$AL$55:$AL$70-R116),0),1)</f>
        <v>0</v>
      </c>
      <c r="AA116" s="580" t="str">
        <f t="shared" si="86"/>
        <v>BF</v>
      </c>
      <c r="AB116" s="580" t="str">
        <f t="shared" si="86"/>
        <v>0</v>
      </c>
      <c r="AC116" s="579">
        <f t="array" ref="AC116">INDEX('Gain_offset step test'!$H$55:$AL$70,MATCH(MIN(ABS('Gain_offset step test'!$AL$55:$AL$70-R116)),ABS('Gain_offset step test'!$AL$55:$AL$70-R116),0),2)</f>
        <v>7</v>
      </c>
      <c r="AD116" s="579" t="str">
        <f t="array" ref="AD116">INDEX('Gain_offset step test'!$H$72:$AL$87,MATCH(MIN(ABS('Gain_offset step test'!$AL$72:$AL$87-T116)),ABS('Gain_offset step test'!$AL$72:$AL$87-T116),0),1)</f>
        <v>38</v>
      </c>
      <c r="AE116" s="579" t="str">
        <f t="shared" si="87"/>
        <v>38</v>
      </c>
      <c r="AF116" s="578">
        <v>2.9329999999999998</v>
      </c>
      <c r="AG116" s="581">
        <v>2.5209999999999999</v>
      </c>
      <c r="AH116" s="582">
        <f>1000*(AF116-2.5-G116*15/1000)</f>
        <v>57.999999999999829</v>
      </c>
      <c r="AI116" s="582">
        <f>1000*(AG116-2.5)</f>
        <v>20.999999999999908</v>
      </c>
      <c r="AJ116" s="582">
        <f t="shared" si="88"/>
        <v>36.999999999999922</v>
      </c>
    </row>
    <row r="117" spans="1:37" s="534" customFormat="1" ht="15.75">
      <c r="A117" s="534">
        <v>6</v>
      </c>
      <c r="B117" s="534">
        <v>4.3010000000000002</v>
      </c>
      <c r="E117" s="535"/>
      <c r="F117" s="536">
        <f t="shared" si="80"/>
        <v>122.20000000000002</v>
      </c>
      <c r="G117" s="537">
        <v>100</v>
      </c>
      <c r="H117" s="538">
        <f t="shared" si="81"/>
        <v>0.81833060556464798</v>
      </c>
      <c r="I117" s="539">
        <f t="array" ref="I117">INDEX('Gain_offset step test'!$AG$4:$AG$19,MATCH(MIN(IF('Gain_offset step test'!$AG$4:$AG$19&gt;H117,'Gain_offset step test'!$AG$4:$AG$19)),IF('Gain_offset step test'!$AG$4:$AG$19&gt;H117,'Gain_offset step test'!$AG$4:$AG$19),0))</f>
        <v>0.87537969942050642</v>
      </c>
      <c r="J117" s="535"/>
      <c r="K117" s="535"/>
      <c r="L117" s="535"/>
      <c r="M117" s="535">
        <v>2.468</v>
      </c>
      <c r="N117" s="536"/>
      <c r="O117" s="565">
        <f t="shared" si="82"/>
        <v>-5.7049093855858435E-2</v>
      </c>
      <c r="P117" s="540">
        <f t="array" ref="P117">INDEX('Gain_offset step test'!$F$21:$F$52,MATCH(MIN(ABS('Gain_offset step test'!$F$21:$F$52-O117)),ABS('Gain_offset step test'!$F$21:$F$52-O117),0))</f>
        <v>0.86066911118590772</v>
      </c>
      <c r="Q117" s="541">
        <f t="shared" si="83"/>
        <v>426.41214378742694</v>
      </c>
      <c r="R117" s="538">
        <f t="shared" si="84"/>
        <v>1.2965964343598067E-2</v>
      </c>
      <c r="S117" s="542">
        <f t="array" ref="S117">INDEX('Gain_offset step test'!$AL$55:$AL$70,MATCH(MIN(ABS('Gain_offset step test'!$AL$55:$AL$70-R117)),ABS('Gain_offset step test'!$AL$55:$AL$70-R117),0))</f>
        <v>0.92385130661693504</v>
      </c>
      <c r="T117" s="543">
        <f t="shared" si="85"/>
        <v>-0.47346972145945931</v>
      </c>
      <c r="U117" s="544">
        <f t="array" ref="U117">INDEX('Gain_offset step test'!$AL$72:$AL$87,MATCH(MIN(ABS('Gain_offset step test'!$AL$72:$AL$87-T117)),ABS('Gain_offset step test'!$AL$72:$AL$87-T117),0))</f>
        <v>0.98003123080023602</v>
      </c>
      <c r="V117" s="545"/>
      <c r="W117" s="546" t="str">
        <f t="array" ref="W117">INDEX('Gain_offset step test'!$H$4:$AG$19,MATCH(MIN(IF('Gain_offset step test'!$AG$4:$AG$19&gt;H117,'Gain_offset step test'!$AG$4:$AG$19)),IF('Gain_offset step test'!$AG$4:$AG$19&gt;H117,'Gain_offset step test'!$AG$4:$AG$19),0),1)</f>
        <v>0</v>
      </c>
      <c r="X117" s="546">
        <f t="array" ref="X117">INDEX('Gain_offset step test'!$H$4:$AG$19,MATCH(MIN(IF('Gain_offset step test'!$AG$4:$AG$19&gt;H117,'Gain_offset step test'!$AG$4:$AG$19)),IF('Gain_offset step test'!$AG$4:$AG$19&gt;H117,'Gain_offset step test'!$AG$4:$AG$19),0),2)</f>
        <v>1</v>
      </c>
      <c r="Y117" s="546" t="str">
        <f t="array" ref="Y117">INDEX('Gain_offset step test'!$F$21:$H$52,MATCH(MIN(ABS('Gain_offset step test'!$F$21:$F$52-O117)),ABS('Gain_offset step test'!$F$21:$F$52-O117),0),3)</f>
        <v>1F</v>
      </c>
      <c r="Z117" s="546" t="str">
        <f t="array" ref="Z117">INDEX('Gain_offset step test'!$H$55:$AL$70,MATCH(MIN(ABS('Gain_offset step test'!$AL$55:$AL$70-R117)),ABS('Gain_offset step test'!$AL$55:$AL$70-R117),0),1)</f>
        <v>0</v>
      </c>
      <c r="AA117" s="547" t="str">
        <f t="shared" si="86"/>
        <v>1F</v>
      </c>
      <c r="AB117" s="547" t="str">
        <f t="shared" si="86"/>
        <v>1</v>
      </c>
      <c r="AC117" s="546">
        <f t="array" ref="AC117">INDEX('Gain_offset step test'!$H$55:$AL$70,MATCH(MIN(ABS('Gain_offset step test'!$AL$55:$AL$70-R117)),ABS('Gain_offset step test'!$AL$55:$AL$70-R117),0),2)</f>
        <v>7</v>
      </c>
      <c r="AD117" s="546" t="str">
        <f t="array" ref="AD117">INDEX('Gain_offset step test'!$H$72:$AL$87,MATCH(MIN(ABS('Gain_offset step test'!$AL$72:$AL$87-T117)),ABS('Gain_offset step test'!$AL$72:$AL$87-T117),0),1)</f>
        <v>38</v>
      </c>
      <c r="AE117" s="546" t="str">
        <f t="shared" si="87"/>
        <v>38</v>
      </c>
      <c r="AF117" s="545"/>
      <c r="AG117" s="548"/>
    </row>
    <row r="118" spans="1:37" s="582" customFormat="1" ht="15.75">
      <c r="A118" s="582">
        <v>5</v>
      </c>
      <c r="B118" s="582">
        <v>4.2169999999999996</v>
      </c>
      <c r="E118" s="567"/>
      <c r="F118" s="568">
        <f t="shared" si="80"/>
        <v>114.5333333333333</v>
      </c>
      <c r="G118" s="569">
        <v>25</v>
      </c>
      <c r="H118" s="570">
        <f t="shared" si="81"/>
        <v>0.21827706635622823</v>
      </c>
      <c r="I118" s="571">
        <f t="array" ref="I118">INDEX('Gain_offset step test'!$AG$4:$AG$19,MATCH(MIN(IF('Gain_offset step test'!$AG$4:$AG$19&gt;H118,'Gain_offset step test'!$AG$4:$AG$19)),IF('Gain_offset step test'!$AG$4:$AG$19&gt;H118,'Gain_offset step test'!$AG$4:$AG$19),0))</f>
        <v>0.24743302057072233</v>
      </c>
      <c r="J118" s="567"/>
      <c r="K118" s="567"/>
      <c r="L118" s="567"/>
      <c r="M118" s="567">
        <v>2.4990000000000001</v>
      </c>
      <c r="N118" s="568"/>
      <c r="O118" s="572">
        <f t="shared" si="82"/>
        <v>-2.9155954214494101E-2</v>
      </c>
      <c r="P118" s="573">
        <f t="array" ref="P118">INDEX('Gain_offset step test'!$F$21:$F$52,MATCH(MIN(ABS('Gain_offset step test'!$F$21:$F$52-O118)),ABS('Gain_offset step test'!$F$21:$F$52-O118),0))</f>
        <v>0.86066911118590772</v>
      </c>
      <c r="Q118" s="574">
        <f t="shared" si="83"/>
        <v>265.83874893449729</v>
      </c>
      <c r="R118" s="570">
        <f t="shared" si="84"/>
        <v>4.0016006402556614E-4</v>
      </c>
      <c r="S118" s="575">
        <f t="array" ref="S118">INDEX('Gain_offset step test'!$AL$55:$AL$70,MATCH(MIN(ABS('Gain_offset step test'!$AL$55:$AL$70-R118)),ABS('Gain_offset step test'!$AL$55:$AL$70-R118),0))</f>
        <v>0.92385130661693504</v>
      </c>
      <c r="T118" s="576">
        <f t="shared" si="85"/>
        <v>-0.48000130954859765</v>
      </c>
      <c r="U118" s="577">
        <f t="array" ref="U118">INDEX('Gain_offset step test'!$AL$72:$AL$87,MATCH(MIN(ABS('Gain_offset step test'!$AL$72:$AL$87-T118)),ABS('Gain_offset step test'!$AL$72:$AL$87-T118),0))</f>
        <v>0.98003123080023602</v>
      </c>
      <c r="V118" s="578"/>
      <c r="W118" s="579" t="str">
        <f t="array" ref="W118">INDEX('Gain_offset step test'!$H$4:$AG$19,MATCH(MIN(IF('Gain_offset step test'!$AG$4:$AG$19&gt;H118,'Gain_offset step test'!$AG$4:$AG$19)),IF('Gain_offset step test'!$AG$4:$AG$19&gt;H118,'Gain_offset step test'!$AG$4:$AG$19),0),1)</f>
        <v>A0</v>
      </c>
      <c r="X118" s="579">
        <f t="array" ref="X118">INDEX('Gain_offset step test'!$H$4:$AG$19,MATCH(MIN(IF('Gain_offset step test'!$AG$4:$AG$19&gt;H118,'Gain_offset step test'!$AG$4:$AG$19)),IF('Gain_offset step test'!$AG$4:$AG$19&gt;H118,'Gain_offset step test'!$AG$4:$AG$19),0),2)</f>
        <v>0</v>
      </c>
      <c r="Y118" s="579" t="str">
        <f t="array" ref="Y118">INDEX('Gain_offset step test'!$F$21:$H$52,MATCH(MIN(ABS('Gain_offset step test'!$F$21:$F$52-O118)),ABS('Gain_offset step test'!$F$21:$F$52-O118),0),3)</f>
        <v>1F</v>
      </c>
      <c r="Z118" s="579" t="str">
        <f t="array" ref="Z118">INDEX('Gain_offset step test'!$H$55:$AL$70,MATCH(MIN(ABS('Gain_offset step test'!$AL$55:$AL$70-R118)),ABS('Gain_offset step test'!$AL$55:$AL$70-R118),0),1)</f>
        <v>0</v>
      </c>
      <c r="AA118" s="580" t="str">
        <f t="shared" si="86"/>
        <v>BF</v>
      </c>
      <c r="AB118" s="580" t="str">
        <f t="shared" si="86"/>
        <v>0</v>
      </c>
      <c r="AC118" s="579">
        <f t="array" ref="AC118">INDEX('Gain_offset step test'!$H$55:$AL$70,MATCH(MIN(ABS('Gain_offset step test'!$AL$55:$AL$70-R118)),ABS('Gain_offset step test'!$AL$55:$AL$70-R118),0),2)</f>
        <v>7</v>
      </c>
      <c r="AD118" s="579" t="str">
        <f t="array" ref="AD118">INDEX('Gain_offset step test'!$H$72:$AL$87,MATCH(MIN(ABS('Gain_offset step test'!$AL$72:$AL$87-T118)),ABS('Gain_offset step test'!$AL$72:$AL$87-T118),0),1)</f>
        <v>38</v>
      </c>
      <c r="AE118" s="579" t="str">
        <f t="shared" si="87"/>
        <v>38</v>
      </c>
      <c r="AF118" s="578">
        <v>2.9249999999999998</v>
      </c>
      <c r="AG118" s="581">
        <v>2.512</v>
      </c>
      <c r="AH118" s="582">
        <f>1000*(AF118-2.5-G118*15/1000)</f>
        <v>49.999999999999822</v>
      </c>
      <c r="AI118" s="582">
        <f>1000*(AG118-2.5)</f>
        <v>12.000000000000011</v>
      </c>
      <c r="AJ118" s="582">
        <f t="shared" si="88"/>
        <v>37.999999999999815</v>
      </c>
    </row>
    <row r="119" spans="1:37" s="586" customFormat="1" ht="15.75">
      <c r="E119" s="532"/>
      <c r="F119" s="587"/>
      <c r="G119" s="588"/>
      <c r="H119" s="422"/>
      <c r="I119" s="523"/>
      <c r="J119" s="532"/>
      <c r="K119" s="532"/>
      <c r="L119" s="532"/>
      <c r="M119" s="532"/>
      <c r="N119" s="587"/>
      <c r="O119" s="589"/>
      <c r="P119" s="524"/>
      <c r="Q119" s="421"/>
      <c r="R119" s="422"/>
      <c r="S119" s="525"/>
      <c r="T119" s="423"/>
      <c r="U119" s="429"/>
      <c r="V119" s="590"/>
      <c r="W119" s="591"/>
      <c r="X119" s="591"/>
      <c r="Y119" s="591"/>
      <c r="Z119" s="591"/>
      <c r="AA119" s="592"/>
      <c r="AB119" s="592"/>
      <c r="AC119" s="591"/>
      <c r="AD119" s="591"/>
      <c r="AE119" s="591"/>
      <c r="AF119" s="590"/>
      <c r="AG119" s="593"/>
    </row>
    <row r="120" spans="1:37" s="586" customFormat="1" ht="15.75">
      <c r="A120" s="406">
        <v>6</v>
      </c>
      <c r="B120" s="406">
        <v>4.3010000000000002</v>
      </c>
      <c r="C120" s="406"/>
      <c r="D120" s="406"/>
      <c r="E120" s="408"/>
      <c r="F120" s="409">
        <f>(B120-M120)*1000/15</f>
        <v>122.20000000000002</v>
      </c>
      <c r="G120" s="410">
        <v>25</v>
      </c>
      <c r="H120" s="411">
        <f>G120/F120</f>
        <v>0.204582651391162</v>
      </c>
      <c r="I120" s="412">
        <f t="array" ref="I120">INDEX('Gain_offset step test'!$AG$4:$AG$19,MATCH(MIN(IF('Gain_offset step test'!$AG$4:$AG$19&gt;H120,'Gain_offset step test'!$AG$4:$AG$19)),IF('Gain_offset step test'!$AG$4:$AG$19&gt;H120,'Gain_offset step test'!$AG$4:$AG$19),0))</f>
        <v>0.21524820452761606</v>
      </c>
      <c r="J120" s="408"/>
      <c r="K120" s="408"/>
      <c r="L120" s="408"/>
      <c r="M120" s="408">
        <v>2.468</v>
      </c>
      <c r="N120" s="409"/>
      <c r="O120" s="411">
        <f>H120/I120</f>
        <v>0.95044997861951652</v>
      </c>
      <c r="P120" s="413">
        <f t="array" ref="P120">INDEX('Gain_offset step test'!$F$21:$F$52,MATCH(MIN(ABS('Gain_offset step test'!$F$21:$F$52-O120)),ABS('Gain_offset step test'!$F$21:$F$52-O120),0))</f>
        <v>0.94996086680916358</v>
      </c>
      <c r="Q120" s="414">
        <f>I120*P120*F120</f>
        <v>24.987134730355212</v>
      </c>
      <c r="R120" s="411">
        <f>2.5/M120</f>
        <v>1.012965964343598</v>
      </c>
      <c r="S120" s="415">
        <f t="array" ref="S120">INDEX('Gain_offset step test'!$AL$55:$AL$70,MATCH(MIN(ABS('Gain_offset step test'!$AL$55:$AL$70-R120)),ABS('Gain_offset step test'!$AL$55:$AL$70-R120),0))</f>
        <v>1.0106715008575424</v>
      </c>
      <c r="T120" s="416">
        <f>R120/S120</f>
        <v>1.0022702366536591</v>
      </c>
      <c r="U120" s="583">
        <f t="array" ref="U120">INDEX('Gain_offset step test'!$AL$72:$AL$87,MATCH(MIN(ABS('Gain_offset step test'!$AL$72:$AL$87-T120)),ABS('Gain_offset step test'!$AL$72:$AL$87-T120),0))</f>
        <v>1.0030668094445463</v>
      </c>
      <c r="V120" s="583"/>
      <c r="W120" s="418" t="str">
        <f t="array" ref="W120">INDEX('Gain_offset step test'!$H$4:$AG$19,MATCH(MIN(IF('Gain_offset step test'!$AG$4:$AG$19&gt;H120,'Gain_offset step test'!$AG$4:$AG$19)),IF('Gain_offset step test'!$AG$4:$AG$19&gt;H120,'Gain_offset step test'!$AG$4:$AG$19),0),1)</f>
        <v>A0</v>
      </c>
      <c r="X120" s="418">
        <f t="array" ref="X120">INDEX('Gain_offset step test'!$H$4:$AG$19,MATCH(MIN(IF('Gain_offset step test'!$AG$4:$AG$19&gt;H120,'Gain_offset step test'!$AG$4:$AG$19)),IF('Gain_offset step test'!$AG$4:$AG$19&gt;H120,'Gain_offset step test'!$AG$4:$AG$19),0),2)</f>
        <v>1</v>
      </c>
      <c r="Y120" s="418" t="str">
        <f t="array" ref="Y120">INDEX('Gain_offset step test'!$F$21:$H$52,MATCH(MIN(ABS('Gain_offset step test'!$F$21:$F$52-O120)),ABS('Gain_offset step test'!$F$21:$F$52-O120),0),3)</f>
        <v>D</v>
      </c>
      <c r="Z120" s="418" t="str">
        <f t="array" ref="Z120">INDEX('Gain_offset step test'!$H$55:$AL$70,MATCH(MIN(ABS('Gain_offset step test'!$AL$55:$AL$70-R120)),ABS('Gain_offset step test'!$AL$55:$AL$70-R120),0),1)</f>
        <v>80</v>
      </c>
      <c r="AA120" s="596" t="str">
        <f>DEC2HEX(HEX2DEC(W120)+HEX2DEC(Y120))</f>
        <v>AD</v>
      </c>
      <c r="AB120" s="596" t="str">
        <f>DEC2HEX(HEX2DEC(X120)+HEX2DEC(Z120))</f>
        <v>81</v>
      </c>
      <c r="AC120" s="597">
        <f t="array" ref="AC120">INDEX('Gain_offset step test'!$H$55:$AL$70,MATCH(MIN(ABS('Gain_offset step test'!$AL$55:$AL$70-R120)),ABS('Gain_offset step test'!$AL$55:$AL$70-R120),0),2)</f>
        <v>7</v>
      </c>
      <c r="AD120" s="597" t="str">
        <f t="array" ref="AD120">INDEX('Gain_offset step test'!$H$72:$AL$87,MATCH(MIN(ABS('Gain_offset step test'!$AL$72:$AL$87-T120)),ABS('Gain_offset step test'!$AL$72:$AL$87-T120),0),1)</f>
        <v>3C</v>
      </c>
      <c r="AE120" s="418" t="str">
        <f>AD120</f>
        <v>3C</v>
      </c>
      <c r="AF120" s="584">
        <v>2.8969999999999998</v>
      </c>
      <c r="AG120" s="585">
        <v>2.5059999999999998</v>
      </c>
      <c r="AH120" s="406">
        <f>1000*(AF120-2.5-G120*15/1000)</f>
        <v>21.999999999999797</v>
      </c>
      <c r="AI120" s="406">
        <f>1000*(AG120-2.5)</f>
        <v>5.9999999999997833</v>
      </c>
      <c r="AJ120" s="406">
        <f t="shared" si="88"/>
        <v>16.000000000000014</v>
      </c>
      <c r="AK120" s="417">
        <f>S120*U120</f>
        <v>1.0137710377617062</v>
      </c>
    </row>
    <row r="121" spans="1:37" ht="15.75">
      <c r="A121" s="534">
        <v>7</v>
      </c>
      <c r="B121" s="534">
        <v>4.2169999999999996</v>
      </c>
      <c r="C121" s="534"/>
      <c r="D121" s="534"/>
      <c r="E121" s="535"/>
      <c r="F121" s="536">
        <f>(B121-M121)*1000/15</f>
        <v>114.5333333333333</v>
      </c>
      <c r="G121" s="537">
        <v>25</v>
      </c>
      <c r="H121" s="538">
        <f>G121/F121</f>
        <v>0.21827706635622823</v>
      </c>
      <c r="I121" s="539">
        <f t="array" ref="I121">INDEX('Gain_offset step test'!$AG$4:$AG$19,MATCH(MIN(IF('Gain_offset step test'!$AG$4:$AG$19&gt;H121,'Gain_offset step test'!$AG$4:$AG$19)),IF('Gain_offset step test'!$AG$4:$AG$19&gt;H121,'Gain_offset step test'!$AG$4:$AG$19),0))</f>
        <v>0.24743302057072233</v>
      </c>
      <c r="J121" s="535"/>
      <c r="K121" s="535"/>
      <c r="L121" s="535"/>
      <c r="M121" s="535">
        <v>2.4990000000000001</v>
      </c>
      <c r="N121" s="536"/>
      <c r="O121" s="538">
        <f>H121/I121</f>
        <v>0.88216627616134757</v>
      </c>
      <c r="P121" s="540">
        <f t="array" ref="P121">INDEX('Gain_offset step test'!$F$21:$F$52,MATCH(MIN(ABS('Gain_offset step test'!$F$21:$F$52-O121)),ABS('Gain_offset step test'!$F$21:$F$52-O121),0))</f>
        <v>0.88289112265716352</v>
      </c>
      <c r="Q121" s="541">
        <f>I121*P121*F121</f>
        <v>25.02054166304594</v>
      </c>
      <c r="R121" s="538">
        <f>2.5/M121</f>
        <v>1.0004001600640255</v>
      </c>
      <c r="S121" s="542">
        <f t="array" ref="S121">INDEX('Gain_offset step test'!$AL$55:$AL$70,MATCH(MIN(ABS('Gain_offset step test'!$AL$55:$AL$70-R121)),ABS('Gain_offset step test'!$AL$55:$AL$70-R121),0))</f>
        <v>1</v>
      </c>
      <c r="T121" s="543">
        <f>R121/S121</f>
        <v>1.0004001600640255</v>
      </c>
      <c r="U121" s="544">
        <f t="array" ref="U121">INDEX('Gain_offset step test'!$AL$72:$AL$87,MATCH(MIN(ABS('Gain_offset step test'!$AL$72:$AL$87-T121)),ABS('Gain_offset step test'!$AL$72:$AL$87-T121),0))</f>
        <v>1</v>
      </c>
      <c r="V121" s="544"/>
      <c r="W121" s="546" t="str">
        <f t="array" ref="W121">INDEX('Gain_offset step test'!$H$4:$AG$19,MATCH(MIN(IF('Gain_offset step test'!$AG$4:$AG$19&gt;H121,'Gain_offset step test'!$AG$4:$AG$19)),IF('Gain_offset step test'!$AG$4:$AG$19&gt;H121,'Gain_offset step test'!$AG$4:$AG$19),0),1)</f>
        <v>A0</v>
      </c>
      <c r="X121" s="546">
        <f t="array" ref="X121">INDEX('Gain_offset step test'!$H$4:$AG$19,MATCH(MIN(IF('Gain_offset step test'!$AG$4:$AG$19&gt;H121,'Gain_offset step test'!$AG$4:$AG$19)),IF('Gain_offset step test'!$AG$4:$AG$19&gt;H121,'Gain_offset step test'!$AG$4:$AG$19),0),2)</f>
        <v>0</v>
      </c>
      <c r="Y121" s="546" t="str">
        <f t="array" ref="Y121">INDEX('Gain_offset step test'!$F$21:$H$52,MATCH(MIN(ABS('Gain_offset step test'!$F$21:$F$52-O121)),ABS('Gain_offset step test'!$F$21:$F$52-O121),0),3)</f>
        <v>15</v>
      </c>
      <c r="Z121" s="546" t="str">
        <f t="array" ref="Z121">INDEX('Gain_offset step test'!$H$55:$AL$70,MATCH(MIN(ABS('Gain_offset step test'!$AL$55:$AL$70-R121)),ABS('Gain_offset step test'!$AL$55:$AL$70-R121),0),1)</f>
        <v>0</v>
      </c>
      <c r="AA121" s="596" t="str">
        <f>DEC2HEX(HEX2DEC(W121)+HEX2DEC(Y121))</f>
        <v>B5</v>
      </c>
      <c r="AB121" s="596" t="str">
        <f>DEC2HEX(HEX2DEC(X121)+HEX2DEC(Z121))</f>
        <v>0</v>
      </c>
      <c r="AC121" s="597">
        <f t="array" ref="AC121">INDEX('Gain_offset step test'!$H$55:$AL$70,MATCH(MIN(ABS('Gain_offset step test'!$AL$55:$AL$70-R121)),ABS('Gain_offset step test'!$AL$55:$AL$70-R121),0),2)</f>
        <v>0</v>
      </c>
      <c r="AD121" s="597" t="str">
        <f t="array" ref="AD121">INDEX('Gain_offset step test'!$H$72:$AL$87,MATCH(MIN(ABS('Gain_offset step test'!$AL$72:$AL$87-T121)),ABS('Gain_offset step test'!$AL$72:$AL$87-T121),0),1)</f>
        <v>0</v>
      </c>
      <c r="AE121" s="546" t="str">
        <f>AD121</f>
        <v>0</v>
      </c>
      <c r="AF121" s="545">
        <v>2.8969999999999998</v>
      </c>
      <c r="AG121" s="548">
        <v>2.5059999999999998</v>
      </c>
      <c r="AH121" s="534">
        <f>1000*(AF121-2.5-G121*15/1000)</f>
        <v>21.999999999999797</v>
      </c>
      <c r="AI121" s="534">
        <f>1000*(AG121-2.5)</f>
        <v>5.9999999999997833</v>
      </c>
      <c r="AJ121" s="534">
        <f>AH121-AI121</f>
        <v>16.000000000000014</v>
      </c>
      <c r="AK121" s="595">
        <f>S121*U121</f>
        <v>1</v>
      </c>
    </row>
    <row r="122" spans="1:37" ht="15.75">
      <c r="A122" s="534">
        <v>8</v>
      </c>
      <c r="B122" s="534">
        <v>4.1689999999999996</v>
      </c>
      <c r="C122" s="534"/>
      <c r="D122" s="534"/>
      <c r="E122" s="535"/>
      <c r="F122" s="536">
        <f t="shared" ref="F122:F128" si="89">(B122-M122)*1000/15</f>
        <v>112.46666666666663</v>
      </c>
      <c r="G122" s="537">
        <v>25</v>
      </c>
      <c r="H122" s="538">
        <f t="shared" ref="H122:H128" si="90">G122/F122</f>
        <v>0.22228808535862485</v>
      </c>
      <c r="I122" s="539">
        <f t="array" ref="I122">INDEX('Gain_offset step test'!$AG$4:$AG$19,MATCH(MIN(IF('Gain_offset step test'!$AG$4:$AG$19&gt;H122,'Gain_offset step test'!$AG$4:$AG$19)),IF('Gain_offset step test'!$AG$4:$AG$19&gt;H122,'Gain_offset step test'!$AG$4:$AG$19),0))</f>
        <v>0.24743302057072233</v>
      </c>
      <c r="J122" s="535"/>
      <c r="K122" s="535"/>
      <c r="L122" s="535"/>
      <c r="M122" s="535">
        <v>2.4820000000000002</v>
      </c>
      <c r="N122" s="536"/>
      <c r="O122" s="538">
        <f t="shared" ref="O122:O128" si="91">H122/I122</f>
        <v>0.89837680050100488</v>
      </c>
      <c r="P122" s="540">
        <f t="array" ref="P122">INDEX('Gain_offset step test'!$F$21:$F$52,MATCH(MIN(ABS('Gain_offset step test'!$F$21:$F$52-O122)),ABS('Gain_offset step test'!$F$21:$F$52-O122),0))</f>
        <v>0.89656300792062094</v>
      </c>
      <c r="Q122" s="541">
        <f t="shared" ref="Q122:Q128" si="92">I122*P122*F122</f>
        <v>24.949525839843247</v>
      </c>
      <c r="R122" s="538">
        <f t="shared" ref="R122:R128" si="93">2.5/M122</f>
        <v>1.0072522159548749</v>
      </c>
      <c r="S122" s="542">
        <f t="array" ref="S122">INDEX('Gain_offset step test'!$AL$55:$AL$70,MATCH(MIN(ABS('Gain_offset step test'!$AL$55:$AL$70-R122)),ABS('Gain_offset step test'!$AL$55:$AL$70-R122),0))</f>
        <v>1.0106715008575424</v>
      </c>
      <c r="T122" s="543">
        <f t="shared" ref="T122:T128" si="94">R122/S122</f>
        <v>0.99661681871927099</v>
      </c>
      <c r="U122" s="544">
        <f t="array" ref="U122">INDEX('Gain_offset step test'!$AL$72:$AL$87,MATCH(MIN(ABS('Gain_offset step test'!$AL$72:$AL$87-T122)),ABS('Gain_offset step test'!$AL$72:$AL$87-T122),0))</f>
        <v>0.99717461176181799</v>
      </c>
      <c r="V122" s="544">
        <f>S122*U122</f>
        <v>1.0078159614863538</v>
      </c>
      <c r="W122" s="546" t="str">
        <f t="array" ref="W122">INDEX('Gain_offset step test'!$H$4:$AG$19,MATCH(MIN(IF('Gain_offset step test'!$AG$4:$AG$19&gt;H122,'Gain_offset step test'!$AG$4:$AG$19)),IF('Gain_offset step test'!$AG$4:$AG$19&gt;H122,'Gain_offset step test'!$AG$4:$AG$19),0),1)</f>
        <v>A0</v>
      </c>
      <c r="X122" s="546">
        <f t="array" ref="X122">INDEX('Gain_offset step test'!$H$4:$AG$19,MATCH(MIN(IF('Gain_offset step test'!$AG$4:$AG$19&gt;H122,'Gain_offset step test'!$AG$4:$AG$19)),IF('Gain_offset step test'!$AG$4:$AG$19&gt;H122,'Gain_offset step test'!$AG$4:$AG$19),0),2)</f>
        <v>0</v>
      </c>
      <c r="Y122" s="546" t="str">
        <f t="array" ref="Y122">INDEX('Gain_offset step test'!$F$21:$H$52,MATCH(MIN(ABS('Gain_offset step test'!$F$21:$F$52-O122)),ABS('Gain_offset step test'!$F$21:$F$52-O122),0),3)</f>
        <v>1E</v>
      </c>
      <c r="Z122" s="546" t="str">
        <f t="array" ref="Z122">INDEX('Gain_offset step test'!$H$55:$AL$70,MATCH(MIN(ABS('Gain_offset step test'!$AL$55:$AL$70-R122)),ABS('Gain_offset step test'!$AL$55:$AL$70-R122),0),1)</f>
        <v>80</v>
      </c>
      <c r="AA122" s="596" t="str">
        <f t="shared" ref="AA122:AA128" si="95">DEC2HEX(HEX2DEC(W122)+HEX2DEC(Y122))</f>
        <v>BE</v>
      </c>
      <c r="AB122" s="596" t="str">
        <f t="shared" ref="AB122:AB128" si="96">DEC2HEX(HEX2DEC(X122)+HEX2DEC(Z122))</f>
        <v>80</v>
      </c>
      <c r="AC122" s="597">
        <f t="array" ref="AC122">INDEX('Gain_offset step test'!$H$55:$AL$70,MATCH(MIN(ABS('Gain_offset step test'!$AL$55:$AL$70-R122)),ABS('Gain_offset step test'!$AL$55:$AL$70-R122),0),2)</f>
        <v>7</v>
      </c>
      <c r="AD122" s="597" t="str">
        <f t="array" ref="AD122">INDEX('Gain_offset step test'!$H$72:$AL$87,MATCH(MIN(ABS('Gain_offset step test'!$AL$72:$AL$87-T122)),ABS('Gain_offset step test'!$AL$72:$AL$87-T122),0),1)</f>
        <v>20</v>
      </c>
      <c r="AE122" s="546" t="str">
        <f t="shared" ref="AE122:AE128" si="97">AD122</f>
        <v>20</v>
      </c>
      <c r="AF122" s="545"/>
      <c r="AG122" s="548"/>
      <c r="AH122" s="534">
        <f t="shared" ref="AH122:AH128" si="98">1000*(AF122-2.5-G122*15/1000)</f>
        <v>-2875</v>
      </c>
      <c r="AI122" s="534">
        <f t="shared" ref="AI122:AI128" si="99">1000*(AG122-2.5)</f>
        <v>-2500</v>
      </c>
      <c r="AJ122" s="534">
        <f t="shared" ref="AJ122:AJ128" si="100">AH122-AI122</f>
        <v>-375</v>
      </c>
      <c r="AK122" s="595">
        <f t="shared" ref="AK122:AK128" si="101">S122*U122</f>
        <v>1.0078159614863538</v>
      </c>
    </row>
    <row r="123" spans="1:37" ht="15.75">
      <c r="A123" s="534">
        <v>9</v>
      </c>
      <c r="B123" s="534">
        <v>4.3010000000000002</v>
      </c>
      <c r="C123" s="534"/>
      <c r="D123" s="534"/>
      <c r="E123" s="535"/>
      <c r="F123" s="536">
        <f t="shared" si="89"/>
        <v>122.26666666666667</v>
      </c>
      <c r="G123" s="537">
        <v>80</v>
      </c>
      <c r="H123" s="538">
        <f t="shared" si="90"/>
        <v>0.65430752453653218</v>
      </c>
      <c r="I123" s="539">
        <f t="array" ref="I123">INDEX('Gain_offset step test'!$AG$4:$AG$19,MATCH(MIN(IF('Gain_offset step test'!$AG$4:$AG$19&gt;H123,'Gain_offset step test'!$AG$4:$AG$19)),IF('Gain_offset step test'!$AG$4:$AG$19&gt;H123,'Gain_offset step test'!$AG$4:$AG$19),0))</f>
        <v>0.66188042317009843</v>
      </c>
      <c r="J123" s="535"/>
      <c r="K123" s="535"/>
      <c r="L123" s="535"/>
      <c r="M123" s="535">
        <v>2.4670000000000001</v>
      </c>
      <c r="N123" s="536"/>
      <c r="O123" s="538">
        <f t="shared" si="91"/>
        <v>0.98855850940975776</v>
      </c>
      <c r="P123" s="540">
        <f t="array" ref="P123">INDEX('Gain_offset step test'!$F$21:$F$52,MATCH(MIN(ABS('Gain_offset step test'!$F$21:$F$52-O123)),ABS('Gain_offset step test'!$F$21:$F$52-O123),0))</f>
        <v>0.98643639062920563</v>
      </c>
      <c r="Q123" s="541">
        <f t="shared" si="92"/>
        <v>79.828265600034598</v>
      </c>
      <c r="R123" s="538">
        <f t="shared" si="93"/>
        <v>1.0133765707336846</v>
      </c>
      <c r="S123" s="542">
        <f t="array" ref="S123">INDEX('Gain_offset step test'!$AL$55:$AL$70,MATCH(MIN(ABS('Gain_offset step test'!$AL$55:$AL$70-R123)),ABS('Gain_offset step test'!$AL$55:$AL$70-R123),0))</f>
        <v>1.0106715008575424</v>
      </c>
      <c r="T123" s="543">
        <f t="shared" si="94"/>
        <v>1.0026765075238067</v>
      </c>
      <c r="U123" s="544">
        <f t="array" ref="U123">INDEX('Gain_offset step test'!$AL$72:$AL$87,MATCH(MIN(ABS('Gain_offset step test'!$AL$72:$AL$87-T123)),ABS('Gain_offset step test'!$AL$72:$AL$87-T123),0))</f>
        <v>1.0030668094445463</v>
      </c>
      <c r="V123" s="544">
        <f t="shared" ref="V123:V128" si="102">S123*U123</f>
        <v>1.0137710377617062</v>
      </c>
      <c r="W123" s="546" t="str">
        <f t="array" ref="W123">INDEX('Gain_offset step test'!$H$4:$AG$19,MATCH(MIN(IF('Gain_offset step test'!$AG$4:$AG$19&gt;H123,'Gain_offset step test'!$AG$4:$AG$19)),IF('Gain_offset step test'!$AG$4:$AG$19&gt;H123,'Gain_offset step test'!$AG$4:$AG$19),0),1)</f>
        <v>80</v>
      </c>
      <c r="X123" s="546">
        <f t="array" ref="X123">INDEX('Gain_offset step test'!$H$4:$AG$19,MATCH(MIN(IF('Gain_offset step test'!$AG$4:$AG$19&gt;H123,'Gain_offset step test'!$AG$4:$AG$19)),IF('Gain_offset step test'!$AG$4:$AG$19&gt;H123,'Gain_offset step test'!$AG$4:$AG$19),0),2)</f>
        <v>1</v>
      </c>
      <c r="Y123" s="546" t="str">
        <f t="array" ref="Y123">INDEX('Gain_offset step test'!$F$21:$H$52,MATCH(MIN(ABS('Gain_offset step test'!$F$21:$F$52-O123)),ABS('Gain_offset step test'!$F$21:$F$52-O123),0),3)</f>
        <v>C</v>
      </c>
      <c r="Z123" s="546" t="str">
        <f t="array" ref="Z123">INDEX('Gain_offset step test'!$H$55:$AL$70,MATCH(MIN(ABS('Gain_offset step test'!$AL$55:$AL$70-R123)),ABS('Gain_offset step test'!$AL$55:$AL$70-R123),0),1)</f>
        <v>80</v>
      </c>
      <c r="AA123" s="596" t="str">
        <f t="shared" si="95"/>
        <v>8C</v>
      </c>
      <c r="AB123" s="596" t="str">
        <f t="shared" si="96"/>
        <v>81</v>
      </c>
      <c r="AC123" s="597">
        <f t="array" ref="AC123">INDEX('Gain_offset step test'!$H$55:$AL$70,MATCH(MIN(ABS('Gain_offset step test'!$AL$55:$AL$70-R123)),ABS('Gain_offset step test'!$AL$55:$AL$70-R123),0),2)</f>
        <v>7</v>
      </c>
      <c r="AD123" s="597" t="str">
        <f t="array" ref="AD123">INDEX('Gain_offset step test'!$H$72:$AL$87,MATCH(MIN(ABS('Gain_offset step test'!$AL$72:$AL$87-T123)),ABS('Gain_offset step test'!$AL$72:$AL$87-T123),0),1)</f>
        <v>3C</v>
      </c>
      <c r="AE123" s="546" t="str">
        <f t="shared" si="97"/>
        <v>3C</v>
      </c>
      <c r="AF123" s="545">
        <v>3.7010000000000001</v>
      </c>
      <c r="AG123" s="548">
        <v>2.5019999999999998</v>
      </c>
      <c r="AH123" s="534">
        <f t="shared" si="98"/>
        <v>1.0000000000001119</v>
      </c>
      <c r="AI123" s="534">
        <f t="shared" si="99"/>
        <v>1.9999999999997797</v>
      </c>
      <c r="AJ123" s="534">
        <f t="shared" si="100"/>
        <v>-0.99999999999966782</v>
      </c>
      <c r="AK123" s="595">
        <f t="shared" si="101"/>
        <v>1.0137710377617062</v>
      </c>
    </row>
    <row r="124" spans="1:37" ht="15.75">
      <c r="A124" s="534">
        <v>10</v>
      </c>
      <c r="B124" s="534">
        <v>4.1390000000000002</v>
      </c>
      <c r="C124" s="534"/>
      <c r="D124" s="534"/>
      <c r="E124" s="535"/>
      <c r="F124" s="536">
        <f t="shared" si="89"/>
        <v>113.00000000000001</v>
      </c>
      <c r="G124" s="537">
        <v>80</v>
      </c>
      <c r="H124" s="538">
        <f t="shared" si="90"/>
        <v>0.70796460176991138</v>
      </c>
      <c r="I124" s="539">
        <f t="array" ref="I124">INDEX('Gain_offset step test'!$AG$4:$AG$19,MATCH(MIN(IF('Gain_offset step test'!$AG$4:$AG$19&gt;H124,'Gain_offset step test'!$AG$4:$AG$19)),IF('Gain_offset step test'!$AG$4:$AG$19&gt;H124,'Gain_offset step test'!$AG$4:$AG$19),0))</f>
        <v>0.75999842860002031</v>
      </c>
      <c r="J124" s="535"/>
      <c r="K124" s="535"/>
      <c r="L124" s="535"/>
      <c r="M124" s="535">
        <v>2.444</v>
      </c>
      <c r="N124" s="536"/>
      <c r="O124" s="538">
        <f t="shared" si="91"/>
        <v>0.93153429681958744</v>
      </c>
      <c r="P124" s="540">
        <f t="array" ref="P124">INDEX('Gain_offset step test'!$F$21:$F$52,MATCH(MIN(ABS('Gain_offset step test'!$F$21:$F$52-O124)),ABS('Gain_offset step test'!$F$21:$F$52-O124),0))</f>
        <v>0.93252454339438806</v>
      </c>
      <c r="Q124" s="541">
        <f t="shared" si="92"/>
        <v>80.085042200007564</v>
      </c>
      <c r="R124" s="538">
        <f t="shared" si="93"/>
        <v>1.0229132569558101</v>
      </c>
      <c r="S124" s="542">
        <f t="array" ref="S124">INDEX('Gain_offset step test'!$AL$55:$AL$70,MATCH(MIN(ABS('Gain_offset step test'!$AL$55:$AL$70-R124)),ABS('Gain_offset step test'!$AL$55:$AL$70-R124),0))</f>
        <v>1.021217343130661</v>
      </c>
      <c r="T124" s="543">
        <f t="shared" si="94"/>
        <v>1.0016606786366848</v>
      </c>
      <c r="U124" s="544">
        <f t="array" ref="U124">INDEX('Gain_offset step test'!$AL$72:$AL$87,MATCH(MIN(ABS('Gain_offset step test'!$AL$72:$AL$87-T124)),ABS('Gain_offset step test'!$AL$72:$AL$87-T124),0))</f>
        <v>1.0030668094445463</v>
      </c>
      <c r="V124" s="544">
        <f t="shared" si="102"/>
        <v>1.0243492221235087</v>
      </c>
      <c r="W124" s="546" t="str">
        <f t="array" ref="W124">INDEX('Gain_offset step test'!$H$4:$AG$19,MATCH(MIN(IF('Gain_offset step test'!$AG$4:$AG$19&gt;H124,'Gain_offset step test'!$AG$4:$AG$19)),IF('Gain_offset step test'!$AG$4:$AG$19&gt;H124,'Gain_offset step test'!$AG$4:$AG$19),0),1)</f>
        <v>80</v>
      </c>
      <c r="X124" s="546">
        <f t="array" ref="X124">INDEX('Gain_offset step test'!$H$4:$AG$19,MATCH(MIN(IF('Gain_offset step test'!$AG$4:$AG$19&gt;H124,'Gain_offset step test'!$AG$4:$AG$19)),IF('Gain_offset step test'!$AG$4:$AG$19&gt;H124,'Gain_offset step test'!$AG$4:$AG$19),0),2)</f>
        <v>0</v>
      </c>
      <c r="Y124" s="546" t="str">
        <f t="array" ref="Y124">INDEX('Gain_offset step test'!$F$21:$H$52,MATCH(MIN(ABS('Gain_offset step test'!$F$21:$F$52-O124)),ABS('Gain_offset step test'!$F$21:$F$52-O124),0),3)</f>
        <v>F</v>
      </c>
      <c r="Z124" s="546" t="str">
        <f t="array" ref="Z124">INDEX('Gain_offset step test'!$H$55:$AL$70,MATCH(MIN(ABS('Gain_offset step test'!$AL$55:$AL$70-R124)),ABS('Gain_offset step test'!$AL$55:$AL$70-R124),0),1)</f>
        <v>80</v>
      </c>
      <c r="AA124" s="596" t="str">
        <f t="shared" si="95"/>
        <v>8F</v>
      </c>
      <c r="AB124" s="596" t="str">
        <f t="shared" si="96"/>
        <v>80</v>
      </c>
      <c r="AC124" s="597">
        <f t="array" ref="AC124">INDEX('Gain_offset step test'!$H$55:$AL$70,MATCH(MIN(ABS('Gain_offset step test'!$AL$55:$AL$70-R124)),ABS('Gain_offset step test'!$AL$55:$AL$70-R124),0),2)</f>
        <v>3</v>
      </c>
      <c r="AD124" s="597" t="str">
        <f t="array" ref="AD124">INDEX('Gain_offset step test'!$H$72:$AL$87,MATCH(MIN(ABS('Gain_offset step test'!$AL$72:$AL$87-T124)),ABS('Gain_offset step test'!$AL$72:$AL$87-T124),0),1)</f>
        <v>3C</v>
      </c>
      <c r="AE124" s="546" t="str">
        <f t="shared" si="97"/>
        <v>3C</v>
      </c>
      <c r="AF124" s="545">
        <v>3.7120000000000002</v>
      </c>
      <c r="AG124" s="548">
        <v>2.512</v>
      </c>
      <c r="AH124" s="534">
        <f t="shared" si="98"/>
        <v>12.000000000000233</v>
      </c>
      <c r="AI124" s="534">
        <f t="shared" si="99"/>
        <v>12.000000000000011</v>
      </c>
      <c r="AJ124" s="534">
        <f t="shared" si="100"/>
        <v>2.2204460492503131E-13</v>
      </c>
      <c r="AK124" s="595">
        <f t="shared" si="101"/>
        <v>1.0243492221235087</v>
      </c>
    </row>
    <row r="125" spans="1:37" ht="15.75">
      <c r="A125" s="534">
        <v>11</v>
      </c>
      <c r="B125" s="534">
        <v>4.1390000000000002</v>
      </c>
      <c r="C125" s="534"/>
      <c r="D125" s="534"/>
      <c r="E125" s="535"/>
      <c r="F125" s="536">
        <f t="shared" si="89"/>
        <v>113.00000000000001</v>
      </c>
      <c r="G125" s="537">
        <v>100</v>
      </c>
      <c r="H125" s="538">
        <f t="shared" si="90"/>
        <v>0.88495575221238931</v>
      </c>
      <c r="I125" s="539">
        <f t="array" ref="I125">INDEX('Gain_offset step test'!$AG$4:$AG$19,MATCH(MIN(IF('Gain_offset step test'!$AG$4:$AG$19&gt;H125,'Gain_offset step test'!$AG$4:$AG$19)),IF('Gain_offset step test'!$AG$4:$AG$19&gt;H125,'Gain_offset step test'!$AG$4:$AG$19),0))</f>
        <v>1</v>
      </c>
      <c r="J125" s="535"/>
      <c r="K125" s="535"/>
      <c r="L125" s="535"/>
      <c r="M125" s="535">
        <v>2.444</v>
      </c>
      <c r="N125" s="536"/>
      <c r="O125" s="538">
        <f t="shared" si="91"/>
        <v>0.88495575221238931</v>
      </c>
      <c r="P125" s="540">
        <f t="array" ref="P125">INDEX('Gain_offset step test'!$F$21:$F$52,MATCH(MIN(ABS('Gain_offset step test'!$F$21:$F$52-O125)),ABS('Gain_offset step test'!$F$21:$F$52-O125),0))</f>
        <v>0.88289112265716352</v>
      </c>
      <c r="Q125" s="541">
        <f t="shared" si="92"/>
        <v>99.766696860259486</v>
      </c>
      <c r="R125" s="538">
        <f t="shared" si="93"/>
        <v>1.0229132569558101</v>
      </c>
      <c r="S125" s="542">
        <f t="array" ref="S125">INDEX('Gain_offset step test'!$AL$55:$AL$70,MATCH(MIN(ABS('Gain_offset step test'!$AL$55:$AL$70-R125)),ABS('Gain_offset step test'!$AL$55:$AL$70-R125),0))</f>
        <v>1.021217343130661</v>
      </c>
      <c r="T125" s="543">
        <f t="shared" si="94"/>
        <v>1.0016606786366848</v>
      </c>
      <c r="U125" s="544">
        <f t="array" ref="U125">INDEX('Gain_offset step test'!$AL$72:$AL$87,MATCH(MIN(ABS('Gain_offset step test'!$AL$72:$AL$87-T125)),ABS('Gain_offset step test'!$AL$72:$AL$87-T125),0))</f>
        <v>1.0030668094445463</v>
      </c>
      <c r="V125" s="544">
        <f t="shared" si="102"/>
        <v>1.0243492221235087</v>
      </c>
      <c r="W125" s="546" t="str">
        <f t="array" ref="W125">INDEX('Gain_offset step test'!$H$4:$AG$19,MATCH(MIN(IF('Gain_offset step test'!$AG$4:$AG$19&gt;H125,'Gain_offset step test'!$AG$4:$AG$19)),IF('Gain_offset step test'!$AG$4:$AG$19&gt;H125,'Gain_offset step test'!$AG$4:$AG$19),0),1)</f>
        <v>0</v>
      </c>
      <c r="X125" s="546">
        <f t="array" ref="X125">INDEX('Gain_offset step test'!$H$4:$AG$19,MATCH(MIN(IF('Gain_offset step test'!$AG$4:$AG$19&gt;H125,'Gain_offset step test'!$AG$4:$AG$19)),IF('Gain_offset step test'!$AG$4:$AG$19&gt;H125,'Gain_offset step test'!$AG$4:$AG$19),0),2)</f>
        <v>0</v>
      </c>
      <c r="Y125" s="546" t="str">
        <f t="array" ref="Y125">INDEX('Gain_offset step test'!$F$21:$H$52,MATCH(MIN(ABS('Gain_offset step test'!$F$21:$F$52-O125)),ABS('Gain_offset step test'!$F$21:$F$52-O125),0),3)</f>
        <v>15</v>
      </c>
      <c r="Z125" s="546" t="str">
        <f t="array" ref="Z125">INDEX('Gain_offset step test'!$H$55:$AL$70,MATCH(MIN(ABS('Gain_offset step test'!$AL$55:$AL$70-R125)),ABS('Gain_offset step test'!$AL$55:$AL$70-R125),0),1)</f>
        <v>80</v>
      </c>
      <c r="AA125" s="596" t="str">
        <f t="shared" si="95"/>
        <v>15</v>
      </c>
      <c r="AB125" s="596" t="str">
        <f t="shared" si="96"/>
        <v>80</v>
      </c>
      <c r="AC125" s="597">
        <f t="array" ref="AC125">INDEX('Gain_offset step test'!$H$55:$AL$70,MATCH(MIN(ABS('Gain_offset step test'!$AL$55:$AL$70-R125)),ABS('Gain_offset step test'!$AL$55:$AL$70-R125),0),2)</f>
        <v>3</v>
      </c>
      <c r="AD125" s="597" t="str">
        <f t="array" ref="AD125">INDEX('Gain_offset step test'!$H$72:$AL$87,MATCH(MIN(ABS('Gain_offset step test'!$AL$72:$AL$87-T125)),ABS('Gain_offset step test'!$AL$72:$AL$87-T125),0),1)</f>
        <v>3C</v>
      </c>
      <c r="AE125" s="546" t="str">
        <f t="shared" si="97"/>
        <v>3C</v>
      </c>
      <c r="AF125" s="545">
        <v>3.9940000000000002</v>
      </c>
      <c r="AG125" s="548">
        <v>2.4990000000000001</v>
      </c>
      <c r="AH125" s="534">
        <f t="shared" si="98"/>
        <v>-5.9999999999997833</v>
      </c>
      <c r="AI125" s="534">
        <f t="shared" si="99"/>
        <v>-0.99999999999988987</v>
      </c>
      <c r="AJ125" s="534">
        <f t="shared" si="100"/>
        <v>-4.9999999999998934</v>
      </c>
      <c r="AK125" s="595">
        <f t="shared" si="101"/>
        <v>1.0243492221235087</v>
      </c>
    </row>
    <row r="126" spans="1:37" ht="15.75">
      <c r="A126" s="534">
        <v>12</v>
      </c>
      <c r="B126" s="534">
        <v>4.1319999999999997</v>
      </c>
      <c r="C126" s="534"/>
      <c r="D126" s="534"/>
      <c r="E126" s="535"/>
      <c r="F126" s="536">
        <f>(B126-M126)*1000/15</f>
        <v>112.59999999999997</v>
      </c>
      <c r="G126" s="537">
        <v>25</v>
      </c>
      <c r="H126" s="538">
        <f>G126/F126</f>
        <v>0.22202486678507999</v>
      </c>
      <c r="I126" s="539">
        <f t="array" ref="I126">INDEX('Gain_offset step test'!$AG$4:$AG$19,MATCH(MIN(IF('Gain_offset step test'!$AG$4:$AG$19&gt;H126,'Gain_offset step test'!$AG$4:$AG$19)),IF('Gain_offset step test'!$AG$4:$AG$19&gt;H126,'Gain_offset step test'!$AG$4:$AG$19),0))</f>
        <v>0.24743302057072233</v>
      </c>
      <c r="J126" s="535"/>
      <c r="K126" s="535"/>
      <c r="L126" s="535"/>
      <c r="M126" s="535">
        <v>2.4430000000000001</v>
      </c>
      <c r="N126" s="536"/>
      <c r="O126" s="538">
        <f>H126/I126</f>
        <v>0.89731300322391661</v>
      </c>
      <c r="P126" s="540">
        <f t="array" ref="P126">INDEX('Gain_offset step test'!$F$21:$F$52,MATCH(MIN(ABS('Gain_offset step test'!$F$21:$F$52-O126)),ABS('Gain_offset step test'!$F$21:$F$52-O126),0))</f>
        <v>0.89656300792062094</v>
      </c>
      <c r="Q126" s="541">
        <f>I126*P126*F126</f>
        <v>24.979104412267485</v>
      </c>
      <c r="R126" s="538">
        <f>2.5/M126</f>
        <v>1.0233319688907081</v>
      </c>
      <c r="S126" s="542">
        <f t="array" ref="S126">INDEX('Gain_offset step test'!$AL$55:$AL$70,MATCH(MIN(ABS('Gain_offset step test'!$AL$55:$AL$70-R126)),ABS('Gain_offset step test'!$AL$55:$AL$70-R126),0))</f>
        <v>1.021217343130661</v>
      </c>
      <c r="T126" s="543">
        <f>R126/S126</f>
        <v>1.0020706911944566</v>
      </c>
      <c r="U126" s="544">
        <f t="array" ref="U126">INDEX('Gain_offset step test'!$AL$72:$AL$87,MATCH(MIN(ABS('Gain_offset step test'!$AL$72:$AL$87-T126)),ABS('Gain_offset step test'!$AL$72:$AL$87-T126),0))</f>
        <v>1.0030668094445463</v>
      </c>
      <c r="V126" s="544">
        <f>S126*U126</f>
        <v>1.0243492221235087</v>
      </c>
      <c r="W126" s="546" t="str">
        <f t="array" ref="W126">INDEX('Gain_offset step test'!$H$4:$AG$19,MATCH(MIN(IF('Gain_offset step test'!$AG$4:$AG$19&gt;H126,'Gain_offset step test'!$AG$4:$AG$19)),IF('Gain_offset step test'!$AG$4:$AG$19&gt;H126,'Gain_offset step test'!$AG$4:$AG$19),0),1)</f>
        <v>A0</v>
      </c>
      <c r="X126" s="546">
        <f t="array" ref="X126">INDEX('Gain_offset step test'!$H$4:$AG$19,MATCH(MIN(IF('Gain_offset step test'!$AG$4:$AG$19&gt;H126,'Gain_offset step test'!$AG$4:$AG$19)),IF('Gain_offset step test'!$AG$4:$AG$19&gt;H126,'Gain_offset step test'!$AG$4:$AG$19),0),2)</f>
        <v>0</v>
      </c>
      <c r="Y126" s="546" t="str">
        <f t="array" ref="Y126">INDEX('Gain_offset step test'!$F$21:$H$52,MATCH(MIN(ABS('Gain_offset step test'!$F$21:$F$52-O126)),ABS('Gain_offset step test'!$F$21:$F$52-O126),0),3)</f>
        <v>1E</v>
      </c>
      <c r="Z126" s="546" t="str">
        <f t="array" ref="Z126">INDEX('Gain_offset step test'!$H$55:$AL$70,MATCH(MIN(ABS('Gain_offset step test'!$AL$55:$AL$70-R126)),ABS('Gain_offset step test'!$AL$55:$AL$70-R126),0),1)</f>
        <v>80</v>
      </c>
      <c r="AA126" s="596" t="str">
        <f>DEC2HEX(HEX2DEC(W126)+HEX2DEC(Y126))</f>
        <v>BE</v>
      </c>
      <c r="AB126" s="596" t="str">
        <f>DEC2HEX(HEX2DEC(X126)+HEX2DEC(Z126))</f>
        <v>80</v>
      </c>
      <c r="AC126" s="597">
        <f t="array" ref="AC126">INDEX('Gain_offset step test'!$H$55:$AL$70,MATCH(MIN(ABS('Gain_offset step test'!$AL$55:$AL$70-R126)),ABS('Gain_offset step test'!$AL$55:$AL$70-R126),0),2)</f>
        <v>3</v>
      </c>
      <c r="AD126" s="597" t="str">
        <f t="array" ref="AD126">INDEX('Gain_offset step test'!$H$72:$AL$87,MATCH(MIN(ABS('Gain_offset step test'!$AL$72:$AL$87-T126)),ABS('Gain_offset step test'!$AL$72:$AL$87-T126),0),1)</f>
        <v>3C</v>
      </c>
      <c r="AE126" s="546" t="str">
        <f>AD126</f>
        <v>3C</v>
      </c>
      <c r="AF126" s="545">
        <v>3.9940000000000002</v>
      </c>
      <c r="AG126" s="548">
        <v>2.4990000000000001</v>
      </c>
      <c r="AH126" s="534">
        <f>1000*(AF126-2.5-G126*15/1000)</f>
        <v>1119.0000000000002</v>
      </c>
      <c r="AI126" s="534">
        <f>1000*(AG126-2.5)</f>
        <v>-0.99999999999988987</v>
      </c>
      <c r="AJ126" s="534">
        <f>AH126-AI126</f>
        <v>1120.0000000000002</v>
      </c>
      <c r="AK126" s="595">
        <f>S126*U126</f>
        <v>1.0243492221235087</v>
      </c>
    </row>
    <row r="127" spans="1:37" ht="15.75">
      <c r="A127" s="534">
        <v>13</v>
      </c>
      <c r="B127" s="534"/>
      <c r="C127" s="534"/>
      <c r="D127" s="534"/>
      <c r="E127" s="535"/>
      <c r="F127" s="536">
        <f t="shared" si="89"/>
        <v>0</v>
      </c>
      <c r="G127" s="537">
        <v>100</v>
      </c>
      <c r="H127" s="538" t="e">
        <f t="shared" si="90"/>
        <v>#DIV/0!</v>
      </c>
      <c r="I127" s="539" t="e">
        <f t="array" ref="I127">INDEX('Gain_offset step test'!$AG$4:$AG$19,MATCH(MIN(IF('Gain_offset step test'!$AG$4:$AG$19&gt;H127,'Gain_offset step test'!$AG$4:$AG$19)),IF('Gain_offset step test'!$AG$4:$AG$19&gt;H127,'Gain_offset step test'!$AG$4:$AG$19),0))</f>
        <v>#DIV/0!</v>
      </c>
      <c r="J127" s="535"/>
      <c r="K127" s="535"/>
      <c r="L127" s="535"/>
      <c r="M127" s="535"/>
      <c r="N127" s="536"/>
      <c r="O127" s="538" t="e">
        <f t="shared" si="91"/>
        <v>#DIV/0!</v>
      </c>
      <c r="P127" s="540" t="e">
        <f t="array" ref="P127">INDEX('Gain_offset step test'!$F$21:$F$52,MATCH(MIN(ABS('Gain_offset step test'!$F$21:$F$52-O127)),ABS('Gain_offset step test'!$F$21:$F$52-O127),0))</f>
        <v>#DIV/0!</v>
      </c>
      <c r="Q127" s="541" t="e">
        <f t="shared" si="92"/>
        <v>#DIV/0!</v>
      </c>
      <c r="R127" s="538" t="e">
        <f t="shared" si="93"/>
        <v>#DIV/0!</v>
      </c>
      <c r="S127" s="542" t="e">
        <f t="array" ref="S127">INDEX('Gain_offset step test'!$AL$55:$AL$70,MATCH(MIN(ABS('Gain_offset step test'!$AL$55:$AL$70-R127)),ABS('Gain_offset step test'!$AL$55:$AL$70-R127),0))</f>
        <v>#DIV/0!</v>
      </c>
      <c r="T127" s="543" t="e">
        <f t="shared" si="94"/>
        <v>#DIV/0!</v>
      </c>
      <c r="U127" s="544" t="e">
        <f t="array" ref="U127">INDEX('Gain_offset step test'!$AL$72:$AL$87,MATCH(MIN(ABS('Gain_offset step test'!$AL$72:$AL$87-T127)),ABS('Gain_offset step test'!$AL$72:$AL$87-T127),0))</f>
        <v>#DIV/0!</v>
      </c>
      <c r="V127" s="544" t="e">
        <f t="shared" si="102"/>
        <v>#DIV/0!</v>
      </c>
      <c r="W127" s="546" t="e">
        <f t="array" ref="W127">INDEX('Gain_offset step test'!$H$4:$AG$19,MATCH(MIN(IF('Gain_offset step test'!$AG$4:$AG$19&gt;H127,'Gain_offset step test'!$AG$4:$AG$19)),IF('Gain_offset step test'!$AG$4:$AG$19&gt;H127,'Gain_offset step test'!$AG$4:$AG$19),0),1)</f>
        <v>#DIV/0!</v>
      </c>
      <c r="X127" s="546" t="e">
        <f t="array" ref="X127">INDEX('Gain_offset step test'!$H$4:$AG$19,MATCH(MIN(IF('Gain_offset step test'!$AG$4:$AG$19&gt;H127,'Gain_offset step test'!$AG$4:$AG$19)),IF('Gain_offset step test'!$AG$4:$AG$19&gt;H127,'Gain_offset step test'!$AG$4:$AG$19),0),2)</f>
        <v>#DIV/0!</v>
      </c>
      <c r="Y127" s="546" t="e">
        <f t="array" ref="Y127">INDEX('Gain_offset step test'!$F$21:$H$52,MATCH(MIN(ABS('Gain_offset step test'!$F$21:$F$52-O127)),ABS('Gain_offset step test'!$F$21:$F$52-O127),0),3)</f>
        <v>#DIV/0!</v>
      </c>
      <c r="Z127" s="546" t="e">
        <f t="array" ref="Z127">INDEX('Gain_offset step test'!$H$55:$AL$70,MATCH(MIN(ABS('Gain_offset step test'!$AL$55:$AL$70-R127)),ABS('Gain_offset step test'!$AL$55:$AL$70-R127),0),1)</f>
        <v>#DIV/0!</v>
      </c>
      <c r="AA127" s="596" t="e">
        <f t="shared" si="95"/>
        <v>#DIV/0!</v>
      </c>
      <c r="AB127" s="596" t="e">
        <f t="shared" si="96"/>
        <v>#DIV/0!</v>
      </c>
      <c r="AC127" s="597" t="e">
        <f t="array" ref="AC127">INDEX('Gain_offset step test'!$H$55:$AL$70,MATCH(MIN(ABS('Gain_offset step test'!$AL$55:$AL$70-R127)),ABS('Gain_offset step test'!$AL$55:$AL$70-R127),0),2)</f>
        <v>#DIV/0!</v>
      </c>
      <c r="AD127" s="597" t="e">
        <f t="array" ref="AD127">INDEX('Gain_offset step test'!$H$72:$AL$87,MATCH(MIN(ABS('Gain_offset step test'!$AL$72:$AL$87-T127)),ABS('Gain_offset step test'!$AL$72:$AL$87-T127),0),1)</f>
        <v>#DIV/0!</v>
      </c>
      <c r="AE127" s="546" t="e">
        <f t="shared" si="97"/>
        <v>#DIV/0!</v>
      </c>
      <c r="AF127" s="545"/>
      <c r="AG127" s="548"/>
      <c r="AH127" s="534">
        <f t="shared" si="98"/>
        <v>-4000</v>
      </c>
      <c r="AI127" s="534">
        <f t="shared" si="99"/>
        <v>-2500</v>
      </c>
      <c r="AJ127" s="534">
        <f t="shared" si="100"/>
        <v>-1500</v>
      </c>
      <c r="AK127" s="595" t="e">
        <f t="shared" si="101"/>
        <v>#DIV/0!</v>
      </c>
    </row>
    <row r="128" spans="1:37" ht="15.75">
      <c r="A128" s="534">
        <v>14</v>
      </c>
      <c r="B128" s="534"/>
      <c r="C128" s="534"/>
      <c r="D128" s="534"/>
      <c r="E128" s="535"/>
      <c r="F128" s="536">
        <f t="shared" si="89"/>
        <v>0</v>
      </c>
      <c r="G128" s="537">
        <v>100</v>
      </c>
      <c r="H128" s="538" t="e">
        <f t="shared" si="90"/>
        <v>#DIV/0!</v>
      </c>
      <c r="I128" s="539" t="e">
        <f t="array" ref="I128">INDEX('Gain_offset step test'!$AG$4:$AG$19,MATCH(MIN(IF('Gain_offset step test'!$AG$4:$AG$19&gt;H128,'Gain_offset step test'!$AG$4:$AG$19)),IF('Gain_offset step test'!$AG$4:$AG$19&gt;H128,'Gain_offset step test'!$AG$4:$AG$19),0))</f>
        <v>#DIV/0!</v>
      </c>
      <c r="J128" s="535"/>
      <c r="K128" s="535"/>
      <c r="L128" s="535"/>
      <c r="M128" s="535"/>
      <c r="N128" s="536"/>
      <c r="O128" s="538" t="e">
        <f t="shared" si="91"/>
        <v>#DIV/0!</v>
      </c>
      <c r="P128" s="540" t="e">
        <f t="array" ref="P128">INDEX('Gain_offset step test'!$F$21:$F$52,MATCH(MIN(ABS('Gain_offset step test'!$F$21:$F$52-O128)),ABS('Gain_offset step test'!$F$21:$F$52-O128),0))</f>
        <v>#DIV/0!</v>
      </c>
      <c r="Q128" s="541" t="e">
        <f t="shared" si="92"/>
        <v>#DIV/0!</v>
      </c>
      <c r="R128" s="538" t="e">
        <f t="shared" si="93"/>
        <v>#DIV/0!</v>
      </c>
      <c r="S128" s="542" t="e">
        <f t="array" ref="S128">INDEX('Gain_offset step test'!$AL$55:$AL$70,MATCH(MIN(ABS('Gain_offset step test'!$AL$55:$AL$70-R128)),ABS('Gain_offset step test'!$AL$55:$AL$70-R128),0))</f>
        <v>#DIV/0!</v>
      </c>
      <c r="T128" s="543" t="e">
        <f t="shared" si="94"/>
        <v>#DIV/0!</v>
      </c>
      <c r="U128" s="544" t="e">
        <f t="array" ref="U128">INDEX('Gain_offset step test'!$AL$72:$AL$87,MATCH(MIN(ABS('Gain_offset step test'!$AL$72:$AL$87-T128)),ABS('Gain_offset step test'!$AL$72:$AL$87-T128),0))</f>
        <v>#DIV/0!</v>
      </c>
      <c r="V128" s="544" t="e">
        <f t="shared" si="102"/>
        <v>#DIV/0!</v>
      </c>
      <c r="W128" s="546" t="e">
        <f t="array" ref="W128">INDEX('Gain_offset step test'!$H$4:$AG$19,MATCH(MIN(IF('Gain_offset step test'!$AG$4:$AG$19&gt;H128,'Gain_offset step test'!$AG$4:$AG$19)),IF('Gain_offset step test'!$AG$4:$AG$19&gt;H128,'Gain_offset step test'!$AG$4:$AG$19),0),1)</f>
        <v>#DIV/0!</v>
      </c>
      <c r="X128" s="546" t="e">
        <f t="array" ref="X128">INDEX('Gain_offset step test'!$H$4:$AG$19,MATCH(MIN(IF('Gain_offset step test'!$AG$4:$AG$19&gt;H128,'Gain_offset step test'!$AG$4:$AG$19)),IF('Gain_offset step test'!$AG$4:$AG$19&gt;H128,'Gain_offset step test'!$AG$4:$AG$19),0),2)</f>
        <v>#DIV/0!</v>
      </c>
      <c r="Y128" s="546" t="e">
        <f t="array" ref="Y128">INDEX('Gain_offset step test'!$F$21:$H$52,MATCH(MIN(ABS('Gain_offset step test'!$F$21:$F$52-O128)),ABS('Gain_offset step test'!$F$21:$F$52-O128),0),3)</f>
        <v>#DIV/0!</v>
      </c>
      <c r="Z128" s="546" t="e">
        <f t="array" ref="Z128">INDEX('Gain_offset step test'!$H$55:$AL$70,MATCH(MIN(ABS('Gain_offset step test'!$AL$55:$AL$70-R128)),ABS('Gain_offset step test'!$AL$55:$AL$70-R128),0),1)</f>
        <v>#DIV/0!</v>
      </c>
      <c r="AA128" s="596" t="e">
        <f t="shared" si="95"/>
        <v>#DIV/0!</v>
      </c>
      <c r="AB128" s="596" t="e">
        <f t="shared" si="96"/>
        <v>#DIV/0!</v>
      </c>
      <c r="AC128" s="597" t="e">
        <f t="array" ref="AC128">INDEX('Gain_offset step test'!$H$55:$AL$70,MATCH(MIN(ABS('Gain_offset step test'!$AL$55:$AL$70-R128)),ABS('Gain_offset step test'!$AL$55:$AL$70-R128),0),2)</f>
        <v>#DIV/0!</v>
      </c>
      <c r="AD128" s="597" t="e">
        <f t="array" ref="AD128">INDEX('Gain_offset step test'!$H$72:$AL$87,MATCH(MIN(ABS('Gain_offset step test'!$AL$72:$AL$87-T128)),ABS('Gain_offset step test'!$AL$72:$AL$87-T128),0),1)</f>
        <v>#DIV/0!</v>
      </c>
      <c r="AE128" s="546" t="e">
        <f t="shared" si="97"/>
        <v>#DIV/0!</v>
      </c>
      <c r="AF128" s="545"/>
      <c r="AG128" s="548"/>
      <c r="AH128" s="534">
        <f t="shared" si="98"/>
        <v>-4000</v>
      </c>
      <c r="AI128" s="534">
        <f t="shared" si="99"/>
        <v>-2500</v>
      </c>
      <c r="AJ128" s="534">
        <f t="shared" si="100"/>
        <v>-1500</v>
      </c>
      <c r="AK128" s="595" t="e">
        <f t="shared" si="101"/>
        <v>#DIV/0!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7"/>
  <sheetViews>
    <sheetView tabSelected="1" topLeftCell="A10" zoomScale="80" zoomScaleNormal="80" workbookViewId="0">
      <pane xSplit="9" topLeftCell="AD1" activePane="topRight" state="frozen"/>
      <selection pane="topRight" activeCell="I21" sqref="I21:I52"/>
    </sheetView>
  </sheetViews>
  <sheetFormatPr defaultColWidth="9.140625" defaultRowHeight="15"/>
  <cols>
    <col min="1" max="5" width="9.140625" style="214"/>
    <col min="6" max="6" width="10.85546875" style="214" bestFit="1" customWidth="1"/>
    <col min="7" max="7" width="26.140625" style="214" bestFit="1" customWidth="1"/>
    <col min="8" max="13" width="9.140625" style="214"/>
    <col min="14" max="14" width="11.28515625" style="214" bestFit="1" customWidth="1"/>
    <col min="15" max="15" width="11.28515625" style="214" customWidth="1"/>
    <col min="16" max="16" width="9.140625" style="214"/>
    <col min="17" max="17" width="11.28515625" style="214" bestFit="1" customWidth="1"/>
    <col min="18" max="18" width="11.28515625" style="214" customWidth="1"/>
    <col min="19" max="19" width="9.140625" style="214"/>
    <col min="20" max="20" width="11.28515625" style="214" bestFit="1" customWidth="1"/>
    <col min="21" max="21" width="11.28515625" style="214" customWidth="1"/>
    <col min="22" max="22" width="9.140625" style="214"/>
    <col min="23" max="23" width="11.28515625" style="214" bestFit="1" customWidth="1"/>
    <col min="24" max="24" width="11.28515625" style="214" customWidth="1"/>
    <col min="25" max="25" width="9.140625" style="214"/>
    <col min="26" max="26" width="11.28515625" style="214" bestFit="1" customWidth="1"/>
    <col min="27" max="27" width="11.28515625" style="214" customWidth="1"/>
    <col min="28" max="28" width="9.140625" style="214"/>
    <col min="29" max="29" width="11.28515625" style="214" bestFit="1" customWidth="1"/>
    <col min="30" max="30" width="11.28515625" style="214" customWidth="1"/>
    <col min="31" max="31" width="9.140625" style="214"/>
    <col min="32" max="32" width="8.7109375" style="371" bestFit="1" customWidth="1"/>
    <col min="33" max="33" width="10.7109375" style="214" customWidth="1"/>
    <col min="34" max="37" width="9.140625" style="214"/>
    <col min="38" max="38" width="11.140625" style="214" customWidth="1"/>
    <col min="39" max="16384" width="9.140625" style="214"/>
  </cols>
  <sheetData>
    <row r="1" spans="1:38" ht="15.75" thickBot="1">
      <c r="A1" s="214" t="s">
        <v>250</v>
      </c>
    </row>
    <row r="2" spans="1:38" ht="15.75" thickBot="1">
      <c r="M2" s="357" t="s">
        <v>271</v>
      </c>
      <c r="N2" s="356"/>
      <c r="O2" s="367"/>
      <c r="P2" s="357" t="s">
        <v>272</v>
      </c>
      <c r="Q2" s="356"/>
      <c r="R2" s="367"/>
      <c r="S2" s="357" t="s">
        <v>273</v>
      </c>
      <c r="T2" s="356"/>
      <c r="U2" s="367"/>
      <c r="V2" s="366" t="s">
        <v>274</v>
      </c>
      <c r="W2" s="356"/>
      <c r="X2" s="367"/>
      <c r="Y2" s="357" t="s">
        <v>275</v>
      </c>
      <c r="Z2" s="356"/>
      <c r="AA2" s="305"/>
      <c r="AB2" s="357" t="s">
        <v>282</v>
      </c>
      <c r="AC2" s="356"/>
      <c r="AD2" s="367"/>
      <c r="AG2" s="305"/>
    </row>
    <row r="3" spans="1:38" ht="15.75">
      <c r="A3" s="297" t="s">
        <v>251</v>
      </c>
      <c r="B3" s="298" t="s">
        <v>252</v>
      </c>
      <c r="C3" s="298" t="s">
        <v>253</v>
      </c>
      <c r="D3" s="298" t="s">
        <v>254</v>
      </c>
      <c r="E3" s="299" t="s">
        <v>255</v>
      </c>
      <c r="F3" s="299"/>
      <c r="G3" s="299"/>
      <c r="H3" s="300" t="s">
        <v>21</v>
      </c>
      <c r="I3" s="301" t="s">
        <v>24</v>
      </c>
      <c r="J3" s="302"/>
      <c r="K3" s="302"/>
      <c r="L3" s="302"/>
      <c r="M3" s="280" t="s">
        <v>269</v>
      </c>
      <c r="N3" s="358" t="s">
        <v>270</v>
      </c>
      <c r="O3" s="368"/>
      <c r="P3" s="363" t="s">
        <v>269</v>
      </c>
      <c r="Q3" s="364" t="s">
        <v>270</v>
      </c>
      <c r="R3" s="368"/>
      <c r="S3" s="363" t="s">
        <v>269</v>
      </c>
      <c r="T3" s="364" t="s">
        <v>270</v>
      </c>
      <c r="U3" s="368"/>
      <c r="V3" s="280" t="s">
        <v>269</v>
      </c>
      <c r="W3" s="358" t="s">
        <v>270</v>
      </c>
      <c r="X3" s="368"/>
      <c r="Y3" s="363" t="s">
        <v>269</v>
      </c>
      <c r="Z3" s="364" t="s">
        <v>270</v>
      </c>
      <c r="AA3" s="368"/>
      <c r="AB3" s="280" t="s">
        <v>269</v>
      </c>
      <c r="AC3" s="358" t="s">
        <v>270</v>
      </c>
      <c r="AD3" s="368"/>
      <c r="AG3" s="373" t="s">
        <v>276</v>
      </c>
      <c r="AH3" s="215"/>
      <c r="AI3" s="380" t="s">
        <v>277</v>
      </c>
      <c r="AL3" s="377" t="s">
        <v>279</v>
      </c>
    </row>
    <row r="4" spans="1:38">
      <c r="A4" s="303">
        <v>1</v>
      </c>
      <c r="B4" s="304">
        <v>1</v>
      </c>
      <c r="C4" s="304">
        <v>1</v>
      </c>
      <c r="D4" s="304">
        <v>1</v>
      </c>
      <c r="E4" s="305">
        <v>1</v>
      </c>
      <c r="F4" s="306">
        <v>-0.88207547169811318</v>
      </c>
      <c r="G4" s="610">
        <f t="shared" ref="G4:G17" si="0">F4*1.5</f>
        <v>-1.3231132075471699</v>
      </c>
      <c r="H4" s="307" t="s">
        <v>39</v>
      </c>
      <c r="I4" s="308">
        <v>1</v>
      </c>
      <c r="J4" s="691" t="s">
        <v>256</v>
      </c>
      <c r="K4" s="354">
        <v>0.01</v>
      </c>
      <c r="L4" s="354"/>
      <c r="M4" s="359">
        <v>2.4596</v>
      </c>
      <c r="N4" s="360">
        <v>2.6878000000000002</v>
      </c>
      <c r="O4" s="372">
        <f t="shared" ref="O4:O17" si="1">(N4-M4)/(N$19-M$19)</f>
        <v>0.12797936178565428</v>
      </c>
      <c r="P4" s="359">
        <v>2.5015999999999998</v>
      </c>
      <c r="Q4" s="360">
        <v>2.718</v>
      </c>
      <c r="R4" s="372">
        <f t="shared" ref="R4:R17" si="2">(Q4-P4)/(Q$19-P$19)</f>
        <v>0.12250905797101455</v>
      </c>
      <c r="S4" s="359">
        <v>2.5190999999999999</v>
      </c>
      <c r="T4" s="360">
        <v>2.7366999999999999</v>
      </c>
      <c r="U4" s="372">
        <f t="shared" ref="U4:U17" si="3">(T4-S4)/(T$19-S$19)</f>
        <v>0.12281989050064909</v>
      </c>
      <c r="V4" s="359">
        <v>2.5468000000000002</v>
      </c>
      <c r="W4" s="360">
        <v>2.7765</v>
      </c>
      <c r="X4" s="372">
        <f t="shared" ref="X4:X17" si="4">(W4-V4)/(W$19-V$19)</f>
        <v>0.122814521734481</v>
      </c>
      <c r="Y4" s="359">
        <v>2.4506999999999999</v>
      </c>
      <c r="Z4" s="360">
        <v>2.673</v>
      </c>
      <c r="AA4" s="372">
        <f t="shared" ref="AA4:AA17" si="5">(Z4-Y4)/(Z$19-Y$19)</f>
        <v>0.12297394479172438</v>
      </c>
      <c r="AB4" s="359">
        <v>2.4817999999999998</v>
      </c>
      <c r="AC4" s="360">
        <v>2.7014</v>
      </c>
      <c r="AD4" s="372">
        <f t="shared" ref="AD4:AD17" si="6">(AC4-AB4)/(AC$19-AB$19)</f>
        <v>0.12229214234003469</v>
      </c>
      <c r="AF4" s="371">
        <f>AG4*1.5</f>
        <v>0.18534722978088949</v>
      </c>
      <c r="AG4" s="370">
        <f>AVERAGE(O4,R4,U4,X4,AA4,AD4)</f>
        <v>0.12356481985392632</v>
      </c>
      <c r="AH4" s="214">
        <v>0</v>
      </c>
      <c r="AI4" s="306">
        <v>-0.88207547169811318</v>
      </c>
      <c r="AJ4" s="371">
        <f>AG4-AI4</f>
        <v>1.0056402915520395</v>
      </c>
      <c r="AL4" s="371"/>
    </row>
    <row r="5" spans="1:38">
      <c r="A5" s="303">
        <v>1</v>
      </c>
      <c r="B5" s="304">
        <v>1</v>
      </c>
      <c r="C5" s="304">
        <v>1</v>
      </c>
      <c r="D5" s="304">
        <v>0</v>
      </c>
      <c r="E5" s="5">
        <v>1.1499999999999999</v>
      </c>
      <c r="F5" s="306">
        <v>-0.86438679245283012</v>
      </c>
      <c r="G5" s="610">
        <f t="shared" si="0"/>
        <v>-1.2965801886792452</v>
      </c>
      <c r="H5" s="307" t="s">
        <v>39</v>
      </c>
      <c r="I5" s="308">
        <v>0</v>
      </c>
      <c r="J5" s="691"/>
      <c r="K5" s="354">
        <v>0.02</v>
      </c>
      <c r="L5" s="354"/>
      <c r="M5" s="359">
        <v>2.4615999999999998</v>
      </c>
      <c r="N5" s="360">
        <v>2.7132999999999998</v>
      </c>
      <c r="O5" s="372">
        <f t="shared" si="1"/>
        <v>0.14115865627278337</v>
      </c>
      <c r="P5" s="359">
        <v>2.5024000000000002</v>
      </c>
      <c r="Q5" s="360">
        <v>2.7523</v>
      </c>
      <c r="R5" s="372">
        <f t="shared" si="2"/>
        <v>0.14147418478260854</v>
      </c>
      <c r="S5" s="359">
        <v>2.5202</v>
      </c>
      <c r="T5" s="360">
        <v>2.7706</v>
      </c>
      <c r="U5" s="372">
        <f t="shared" si="3"/>
        <v>0.14133318281876162</v>
      </c>
      <c r="V5" s="359">
        <v>2.5476000000000001</v>
      </c>
      <c r="W5" s="360">
        <v>2.8121</v>
      </c>
      <c r="X5" s="372">
        <f t="shared" si="4"/>
        <v>0.14142116238036678</v>
      </c>
      <c r="Y5" s="359">
        <v>2.4510000000000001</v>
      </c>
      <c r="Z5" s="360">
        <v>2.7067999999999999</v>
      </c>
      <c r="AA5" s="372">
        <f t="shared" si="5"/>
        <v>0.14150578082646445</v>
      </c>
      <c r="AB5" s="359">
        <v>2.4832000000000001</v>
      </c>
      <c r="AC5" s="360">
        <v>2.7364000000000002</v>
      </c>
      <c r="AD5" s="372">
        <f t="shared" si="6"/>
        <v>0.14100350838113279</v>
      </c>
      <c r="AF5" s="371">
        <f t="shared" ref="AF5:AF18" si="7">AG5*1.5</f>
        <v>0.21197411886552942</v>
      </c>
      <c r="AG5" s="370">
        <f t="shared" ref="AG5:AG18" si="8">AVERAGE(O5,R5,U5,X5,AA5,AD5)</f>
        <v>0.14131607924368628</v>
      </c>
      <c r="AH5" s="214">
        <v>1</v>
      </c>
      <c r="AI5" s="306">
        <v>-0.86438679245283012</v>
      </c>
      <c r="AJ5" s="371">
        <f t="shared" ref="AJ5:AJ19" si="9">AG5-AI5</f>
        <v>1.0057028716965164</v>
      </c>
    </row>
    <row r="6" spans="1:38">
      <c r="A6" s="303">
        <v>1</v>
      </c>
      <c r="B6" s="304">
        <v>1</v>
      </c>
      <c r="C6" s="304">
        <v>0</v>
      </c>
      <c r="D6" s="304">
        <v>1</v>
      </c>
      <c r="E6" s="5">
        <v>1.32</v>
      </c>
      <c r="F6" s="306">
        <v>-0.84433962264150941</v>
      </c>
      <c r="G6" s="610">
        <f t="shared" si="0"/>
        <v>-1.266509433962264</v>
      </c>
      <c r="H6" s="307" t="s">
        <v>40</v>
      </c>
      <c r="I6" s="308">
        <v>1</v>
      </c>
      <c r="J6" s="691"/>
      <c r="K6" s="354">
        <v>0.03</v>
      </c>
      <c r="L6" s="354"/>
      <c r="M6" s="359">
        <v>2.4609999999999999</v>
      </c>
      <c r="N6" s="360">
        <v>2.7509999999999999</v>
      </c>
      <c r="O6" s="372">
        <f t="shared" si="1"/>
        <v>0.16263810218159386</v>
      </c>
      <c r="P6" s="359">
        <v>2.5032000000000001</v>
      </c>
      <c r="Q6" s="360">
        <v>2.7907000000000002</v>
      </c>
      <c r="R6" s="372">
        <f t="shared" si="2"/>
        <v>0.16276041666666669</v>
      </c>
      <c r="S6" s="359">
        <v>2.5207999999999999</v>
      </c>
      <c r="T6" s="360">
        <v>2.8089</v>
      </c>
      <c r="U6" s="372">
        <f t="shared" si="3"/>
        <v>0.16261218039171418</v>
      </c>
      <c r="V6" s="359">
        <v>2.5482999999999998</v>
      </c>
      <c r="W6" s="360">
        <v>2.8521999999999998</v>
      </c>
      <c r="X6" s="372">
        <f t="shared" si="4"/>
        <v>0.16248730150243282</v>
      </c>
      <c r="Y6" s="359">
        <v>2.4516</v>
      </c>
      <c r="Z6" s="360">
        <v>2.7452000000000001</v>
      </c>
      <c r="AA6" s="372">
        <f t="shared" si="5"/>
        <v>0.16241633014327603</v>
      </c>
      <c r="AB6" s="359">
        <v>2.4832999999999998</v>
      </c>
      <c r="AC6" s="360">
        <v>2.7755999999999998</v>
      </c>
      <c r="AD6" s="372">
        <f t="shared" si="6"/>
        <v>0.16277774683967258</v>
      </c>
      <c r="AF6" s="371">
        <f t="shared" si="7"/>
        <v>0.24392301943133909</v>
      </c>
      <c r="AG6" s="370">
        <f t="shared" si="8"/>
        <v>0.16261534628755939</v>
      </c>
      <c r="AH6" s="214">
        <v>2</v>
      </c>
      <c r="AI6" s="306">
        <v>-0.84433962264150941</v>
      </c>
      <c r="AJ6" s="371">
        <f t="shared" si="9"/>
        <v>1.0069549689290689</v>
      </c>
    </row>
    <row r="7" spans="1:38">
      <c r="A7" s="303">
        <v>1</v>
      </c>
      <c r="B7" s="304">
        <v>1</v>
      </c>
      <c r="C7" s="304">
        <v>0</v>
      </c>
      <c r="D7" s="304">
        <v>0</v>
      </c>
      <c r="E7" s="5">
        <v>1.52</v>
      </c>
      <c r="F7" s="306">
        <v>-0.82075471698113212</v>
      </c>
      <c r="G7" s="610">
        <f t="shared" si="0"/>
        <v>-1.2311320754716981</v>
      </c>
      <c r="H7" s="307" t="s">
        <v>40</v>
      </c>
      <c r="I7" s="308">
        <v>0</v>
      </c>
      <c r="J7" s="691"/>
      <c r="K7" s="354">
        <v>0.04</v>
      </c>
      <c r="L7" s="354"/>
      <c r="M7" s="359">
        <v>2.4615999999999998</v>
      </c>
      <c r="N7" s="360">
        <v>2.7955000000000001</v>
      </c>
      <c r="O7" s="372">
        <f t="shared" si="1"/>
        <v>0.18725814592563528</v>
      </c>
      <c r="P7" s="359">
        <v>2.5036</v>
      </c>
      <c r="Q7" s="360">
        <v>2.8347000000000002</v>
      </c>
      <c r="R7" s="372">
        <f t="shared" si="2"/>
        <v>0.18744338768115948</v>
      </c>
      <c r="S7" s="359">
        <v>2.5209999999999999</v>
      </c>
      <c r="T7" s="360">
        <v>2.8530000000000002</v>
      </c>
      <c r="U7" s="372">
        <f t="shared" si="3"/>
        <v>0.18739064175650522</v>
      </c>
      <c r="V7" s="359">
        <v>2.5488</v>
      </c>
      <c r="W7" s="360">
        <v>2.899</v>
      </c>
      <c r="X7" s="372">
        <f t="shared" si="4"/>
        <v>0.18724268833876923</v>
      </c>
      <c r="Y7" s="359">
        <v>2.4523999999999999</v>
      </c>
      <c r="Z7" s="360">
        <v>2.7913999999999999</v>
      </c>
      <c r="AA7" s="372">
        <f t="shared" si="5"/>
        <v>0.18753111688886429</v>
      </c>
      <c r="AB7" s="359">
        <v>2.4839000000000002</v>
      </c>
      <c r="AC7" s="360">
        <v>2.82</v>
      </c>
      <c r="AD7" s="372">
        <f t="shared" si="6"/>
        <v>0.18716934900038965</v>
      </c>
      <c r="AF7" s="371">
        <f t="shared" si="7"/>
        <v>0.28100883239783075</v>
      </c>
      <c r="AG7" s="370">
        <f t="shared" si="8"/>
        <v>0.18733922159855385</v>
      </c>
      <c r="AH7" s="214">
        <v>3</v>
      </c>
      <c r="AI7" s="306">
        <v>-0.82075471698113212</v>
      </c>
      <c r="AJ7" s="371">
        <f t="shared" si="9"/>
        <v>1.0080939385796859</v>
      </c>
    </row>
    <row r="8" spans="1:38">
      <c r="A8" s="303">
        <v>1</v>
      </c>
      <c r="B8" s="304">
        <v>0</v>
      </c>
      <c r="C8" s="304">
        <v>1</v>
      </c>
      <c r="D8" s="304">
        <v>1</v>
      </c>
      <c r="E8" s="5">
        <v>1.75</v>
      </c>
      <c r="F8" s="306">
        <v>-0.79363207547169812</v>
      </c>
      <c r="G8" s="610">
        <f t="shared" si="0"/>
        <v>-1.1904481132075473</v>
      </c>
      <c r="H8" s="307" t="s">
        <v>41</v>
      </c>
      <c r="I8" s="308">
        <v>1</v>
      </c>
      <c r="J8" s="691"/>
      <c r="K8" s="354">
        <v>0.05</v>
      </c>
      <c r="L8" s="354"/>
      <c r="M8" s="359">
        <v>2.4615999999999998</v>
      </c>
      <c r="N8" s="360">
        <v>2.8447</v>
      </c>
      <c r="O8" s="372">
        <f t="shared" si="1"/>
        <v>0.21485054119230565</v>
      </c>
      <c r="P8" s="359">
        <v>2.5049999999999999</v>
      </c>
      <c r="Q8" s="360">
        <v>2.8856999999999999</v>
      </c>
      <c r="R8" s="372">
        <f t="shared" si="2"/>
        <v>0.21552309782608692</v>
      </c>
      <c r="S8" s="359">
        <v>2.5219999999999998</v>
      </c>
      <c r="T8" s="360">
        <v>2.9032</v>
      </c>
      <c r="U8" s="372">
        <f t="shared" si="3"/>
        <v>0.21516058023367399</v>
      </c>
      <c r="V8" s="359">
        <v>2.5493000000000001</v>
      </c>
      <c r="W8" s="360">
        <v>2.9521999999999999</v>
      </c>
      <c r="X8" s="372">
        <f t="shared" si="4"/>
        <v>0.21541998609848678</v>
      </c>
      <c r="Y8" s="359">
        <v>2.4521000000000002</v>
      </c>
      <c r="Z8" s="360">
        <v>2.8420000000000001</v>
      </c>
      <c r="AA8" s="372">
        <f t="shared" si="5"/>
        <v>0.21568844387896216</v>
      </c>
      <c r="AB8" s="359">
        <v>2.4845000000000002</v>
      </c>
      <c r="AC8" s="360">
        <v>2.8702999999999999</v>
      </c>
      <c r="AD8" s="372">
        <f t="shared" si="6"/>
        <v>0.21484657793618075</v>
      </c>
      <c r="AF8" s="371">
        <f t="shared" si="7"/>
        <v>0.32287230679142409</v>
      </c>
      <c r="AG8" s="370">
        <f t="shared" si="8"/>
        <v>0.21524820452761606</v>
      </c>
      <c r="AH8" s="214">
        <v>4</v>
      </c>
      <c r="AI8" s="306">
        <v>-0.79363207547169812</v>
      </c>
      <c r="AJ8" s="371">
        <f t="shared" si="9"/>
        <v>1.0088802799993142</v>
      </c>
    </row>
    <row r="9" spans="1:38">
      <c r="A9" s="303">
        <v>1</v>
      </c>
      <c r="B9" s="304">
        <v>0</v>
      </c>
      <c r="C9" s="304">
        <v>1</v>
      </c>
      <c r="D9" s="304">
        <v>0</v>
      </c>
      <c r="E9" s="5">
        <v>2.02</v>
      </c>
      <c r="F9" s="306">
        <v>-0.7617924528301887</v>
      </c>
      <c r="G9" s="610">
        <f t="shared" si="0"/>
        <v>-1.1426886792452831</v>
      </c>
      <c r="H9" s="307" t="s">
        <v>41</v>
      </c>
      <c r="I9" s="308">
        <v>0</v>
      </c>
      <c r="J9" s="691"/>
      <c r="K9" s="354">
        <v>0.06</v>
      </c>
      <c r="L9" s="354"/>
      <c r="M9" s="359">
        <v>2.4621</v>
      </c>
      <c r="N9" s="360">
        <v>2.9034</v>
      </c>
      <c r="O9" s="372">
        <f t="shared" si="1"/>
        <v>0.2474903258370254</v>
      </c>
      <c r="P9" s="359">
        <v>2.5057999999999998</v>
      </c>
      <c r="Q9" s="360">
        <v>2.944</v>
      </c>
      <c r="R9" s="372">
        <f t="shared" si="2"/>
        <v>0.24807518115942032</v>
      </c>
      <c r="S9" s="359">
        <v>2.5226000000000002</v>
      </c>
      <c r="T9" s="360">
        <v>2.9609999999999999</v>
      </c>
      <c r="U9" s="372">
        <f t="shared" si="3"/>
        <v>0.24744595586160167</v>
      </c>
      <c r="V9" s="359">
        <v>2.5499999999999998</v>
      </c>
      <c r="W9" s="360">
        <v>3.0129999999999999</v>
      </c>
      <c r="X9" s="372">
        <f t="shared" si="4"/>
        <v>0.24755386836336424</v>
      </c>
      <c r="Y9" s="359">
        <v>2.4523000000000001</v>
      </c>
      <c r="Z9" s="360">
        <v>2.899</v>
      </c>
      <c r="AA9" s="372">
        <f t="shared" si="5"/>
        <v>0.2471095867677158</v>
      </c>
      <c r="AB9" s="359">
        <v>2.4849000000000001</v>
      </c>
      <c r="AC9" s="360">
        <v>2.9283000000000001</v>
      </c>
      <c r="AD9" s="372">
        <f t="shared" si="6"/>
        <v>0.24692320543520638</v>
      </c>
      <c r="AF9" s="371">
        <f t="shared" si="7"/>
        <v>0.37114953085608349</v>
      </c>
      <c r="AG9" s="370">
        <f t="shared" si="8"/>
        <v>0.24743302057072233</v>
      </c>
      <c r="AH9" s="214">
        <v>5</v>
      </c>
      <c r="AI9" s="306">
        <v>-0.7617924528301887</v>
      </c>
      <c r="AJ9" s="371">
        <f t="shared" si="9"/>
        <v>1.009225473400911</v>
      </c>
    </row>
    <row r="10" spans="1:38">
      <c r="A10" s="303">
        <v>1</v>
      </c>
      <c r="B10" s="304">
        <v>0</v>
      </c>
      <c r="C10" s="304">
        <v>0</v>
      </c>
      <c r="D10" s="304">
        <v>1</v>
      </c>
      <c r="E10" s="5">
        <v>2.3199999999999998</v>
      </c>
      <c r="F10" s="306">
        <v>-0.72641509433962259</v>
      </c>
      <c r="G10" s="610">
        <f t="shared" si="0"/>
        <v>-1.0896226415094339</v>
      </c>
      <c r="H10" s="307" t="s">
        <v>42</v>
      </c>
      <c r="I10" s="308">
        <v>1</v>
      </c>
      <c r="J10" s="691"/>
      <c r="K10" s="354">
        <v>7.0000000000000007E-2</v>
      </c>
      <c r="L10" s="354"/>
      <c r="M10" s="359">
        <v>2.4626000000000001</v>
      </c>
      <c r="N10" s="360">
        <v>2.9695</v>
      </c>
      <c r="O10" s="372">
        <f t="shared" si="1"/>
        <v>0.28428018619258588</v>
      </c>
      <c r="P10" s="359">
        <v>2.5070999999999999</v>
      </c>
      <c r="Q10" s="360">
        <v>3.01</v>
      </c>
      <c r="R10" s="372">
        <f t="shared" si="2"/>
        <v>0.28470335144927522</v>
      </c>
      <c r="S10" s="359">
        <v>2.5224000000000002</v>
      </c>
      <c r="T10" s="360">
        <v>3.0257999999999998</v>
      </c>
      <c r="U10" s="372">
        <f t="shared" si="3"/>
        <v>0.28413388271151979</v>
      </c>
      <c r="V10" s="359">
        <v>2.5499999999999998</v>
      </c>
      <c r="W10" s="360">
        <v>3.0819999999999999</v>
      </c>
      <c r="X10" s="372">
        <f t="shared" si="4"/>
        <v>0.28444634550606857</v>
      </c>
      <c r="Y10" s="359">
        <v>2.4531000000000001</v>
      </c>
      <c r="Z10" s="360">
        <v>2.9903</v>
      </c>
      <c r="AA10" s="372">
        <f t="shared" si="5"/>
        <v>0.29717320351828286</v>
      </c>
      <c r="AB10" s="359">
        <v>2.4853000000000001</v>
      </c>
      <c r="AC10" s="360">
        <v>2.9950000000000001</v>
      </c>
      <c r="AD10" s="372">
        <f t="shared" si="6"/>
        <v>0.28384474021273048</v>
      </c>
      <c r="AF10" s="371">
        <f t="shared" si="7"/>
        <v>0.42964542739761569</v>
      </c>
      <c r="AG10" s="370">
        <f t="shared" si="8"/>
        <v>0.28643028493174377</v>
      </c>
      <c r="AH10" s="214">
        <v>6</v>
      </c>
      <c r="AI10" s="306">
        <v>-0.72641509433962259</v>
      </c>
      <c r="AJ10" s="371">
        <f t="shared" si="9"/>
        <v>1.0128453792713663</v>
      </c>
    </row>
    <row r="11" spans="1:38" s="619" customFormat="1">
      <c r="A11" s="609">
        <v>1</v>
      </c>
      <c r="B11" s="610">
        <v>0</v>
      </c>
      <c r="C11" s="610">
        <v>0</v>
      </c>
      <c r="D11" s="610">
        <v>0</v>
      </c>
      <c r="E11" s="611">
        <v>2.6669999999999998</v>
      </c>
      <c r="F11" s="612">
        <v>-0.68549528301886797</v>
      </c>
      <c r="G11" s="610">
        <f t="shared" si="0"/>
        <v>-1.028242924528302</v>
      </c>
      <c r="H11" s="613" t="s">
        <v>42</v>
      </c>
      <c r="I11" s="614">
        <v>0</v>
      </c>
      <c r="J11" s="691"/>
      <c r="K11" s="354">
        <v>0.08</v>
      </c>
      <c r="L11" s="615"/>
      <c r="M11" s="616">
        <v>2.4628000000000001</v>
      </c>
      <c r="N11" s="617">
        <v>3.0466000000000002</v>
      </c>
      <c r="O11" s="618">
        <f t="shared" si="1"/>
        <v>0.32740732432280861</v>
      </c>
      <c r="P11" s="616">
        <v>2.5078999999999998</v>
      </c>
      <c r="Q11" s="617">
        <v>3.0872000000000002</v>
      </c>
      <c r="R11" s="618">
        <f t="shared" si="2"/>
        <v>0.32795516304347838</v>
      </c>
      <c r="S11" s="616">
        <v>2.5225</v>
      </c>
      <c r="T11" s="617">
        <v>3.1019999999999999</v>
      </c>
      <c r="U11" s="618">
        <f t="shared" si="3"/>
        <v>0.32708697860811642</v>
      </c>
      <c r="V11" s="616">
        <v>2.5499999999999998</v>
      </c>
      <c r="W11" s="617">
        <v>3.1623000000000001</v>
      </c>
      <c r="X11" s="618">
        <f t="shared" si="4"/>
        <v>0.32738063412286816</v>
      </c>
      <c r="Y11" s="616">
        <v>2.4533999999999998</v>
      </c>
      <c r="Z11" s="617">
        <v>3.0459999999999998</v>
      </c>
      <c r="AA11" s="618">
        <f t="shared" si="5"/>
        <v>0.32781988161752501</v>
      </c>
      <c r="AB11" s="616">
        <v>2.4845000000000002</v>
      </c>
      <c r="AC11" s="617">
        <v>3.0716000000000001</v>
      </c>
      <c r="AD11" s="618">
        <f t="shared" si="6"/>
        <v>0.3269477084145459</v>
      </c>
      <c r="AF11" s="371">
        <f t="shared" si="7"/>
        <v>0.49114942253233562</v>
      </c>
      <c r="AG11" s="618">
        <f t="shared" si="8"/>
        <v>0.3274329483548904</v>
      </c>
      <c r="AH11" s="214">
        <v>7</v>
      </c>
      <c r="AI11" s="612">
        <v>-0.68549528301886797</v>
      </c>
      <c r="AJ11" s="620">
        <f t="shared" si="9"/>
        <v>1.0129282313737584</v>
      </c>
    </row>
    <row r="12" spans="1:38">
      <c r="A12" s="303">
        <v>0</v>
      </c>
      <c r="B12" s="304">
        <v>1</v>
      </c>
      <c r="C12" s="304">
        <v>1</v>
      </c>
      <c r="D12" s="304">
        <v>1</v>
      </c>
      <c r="E12" s="5">
        <v>3.0659999999999998</v>
      </c>
      <c r="F12" s="306">
        <v>-0.63844339622641511</v>
      </c>
      <c r="G12" s="610">
        <f t="shared" si="0"/>
        <v>-0.95766509433962266</v>
      </c>
      <c r="H12" s="307" t="s">
        <v>43</v>
      </c>
      <c r="I12" s="308">
        <v>1</v>
      </c>
      <c r="J12" s="691"/>
      <c r="K12" s="354">
        <v>0.09</v>
      </c>
      <c r="L12" s="354"/>
      <c r="M12" s="359">
        <v>2.4601000000000002</v>
      </c>
      <c r="N12" s="360">
        <v>3.1313</v>
      </c>
      <c r="O12" s="372">
        <f t="shared" si="1"/>
        <v>0.37642308339408881</v>
      </c>
      <c r="P12" s="359">
        <v>2.5049999999999999</v>
      </c>
      <c r="Q12" s="360">
        <v>3.1734</v>
      </c>
      <c r="R12" s="372">
        <f t="shared" si="2"/>
        <v>0.37839673913043476</v>
      </c>
      <c r="S12" s="359">
        <v>2.52</v>
      </c>
      <c r="T12" s="360">
        <v>3.1896</v>
      </c>
      <c r="U12" s="372">
        <f t="shared" si="3"/>
        <v>0.37794208951854147</v>
      </c>
      <c r="V12" s="359">
        <v>2.5480999999999998</v>
      </c>
      <c r="W12" s="360">
        <v>3.2551000000000001</v>
      </c>
      <c r="X12" s="372">
        <f t="shared" si="4"/>
        <v>0.37801422231727549</v>
      </c>
      <c r="Y12" s="359">
        <v>2.4508999999999999</v>
      </c>
      <c r="Z12" s="360">
        <v>3.1334</v>
      </c>
      <c r="AA12" s="372">
        <f t="shared" si="5"/>
        <v>0.37755158488687285</v>
      </c>
      <c r="AB12" s="359">
        <v>2.4821</v>
      </c>
      <c r="AC12" s="360">
        <v>3.1595</v>
      </c>
      <c r="AD12" s="372">
        <f t="shared" si="6"/>
        <v>0.3772345046499973</v>
      </c>
      <c r="AF12" s="371">
        <f t="shared" si="7"/>
        <v>0.56639055597430266</v>
      </c>
      <c r="AG12" s="370">
        <f t="shared" si="8"/>
        <v>0.37759370398286846</v>
      </c>
      <c r="AH12" s="214">
        <v>8</v>
      </c>
      <c r="AI12" s="306">
        <v>-0.63844339622641511</v>
      </c>
      <c r="AJ12" s="371">
        <f t="shared" si="9"/>
        <v>1.0160371002092836</v>
      </c>
    </row>
    <row r="13" spans="1:38">
      <c r="A13" s="303">
        <v>0</v>
      </c>
      <c r="B13" s="304">
        <v>1</v>
      </c>
      <c r="C13" s="304">
        <v>1</v>
      </c>
      <c r="D13" s="304">
        <v>0</v>
      </c>
      <c r="E13" s="5">
        <v>3.53</v>
      </c>
      <c r="F13" s="306">
        <v>-0.58372641509433976</v>
      </c>
      <c r="G13" s="610">
        <f t="shared" si="0"/>
        <v>-0.87558962264150964</v>
      </c>
      <c r="H13" s="307" t="s">
        <v>43</v>
      </c>
      <c r="I13" s="308">
        <v>0</v>
      </c>
      <c r="J13" s="691"/>
      <c r="K13" s="354">
        <v>0.1</v>
      </c>
      <c r="L13" s="354"/>
      <c r="M13" s="359">
        <v>2.4603999999999999</v>
      </c>
      <c r="N13" s="360">
        <v>3.2363</v>
      </c>
      <c r="O13" s="372">
        <f t="shared" si="1"/>
        <v>0.43514104649206437</v>
      </c>
      <c r="P13" s="359">
        <v>2.5053000000000001</v>
      </c>
      <c r="Q13" s="360">
        <v>3.2744</v>
      </c>
      <c r="R13" s="372">
        <f t="shared" si="2"/>
        <v>0.43540534420289839</v>
      </c>
      <c r="S13" s="359">
        <v>2.5207999999999999</v>
      </c>
      <c r="T13" s="360">
        <v>3.2924000000000002</v>
      </c>
      <c r="U13" s="372">
        <f t="shared" si="3"/>
        <v>0.43551391319072091</v>
      </c>
      <c r="V13" s="359">
        <v>2.5482999999999998</v>
      </c>
      <c r="W13" s="360">
        <v>3.363</v>
      </c>
      <c r="X13" s="372">
        <f t="shared" si="4"/>
        <v>0.43559856707480099</v>
      </c>
      <c r="Y13" s="359">
        <v>2.4506999999999999</v>
      </c>
      <c r="Z13" s="360">
        <v>3.2360000000000002</v>
      </c>
      <c r="AA13" s="372">
        <f t="shared" si="5"/>
        <v>0.43441942800243422</v>
      </c>
      <c r="AB13" s="359">
        <v>2.4817</v>
      </c>
      <c r="AC13" s="360">
        <v>3.262</v>
      </c>
      <c r="AD13" s="372">
        <f t="shared" si="6"/>
        <v>0.43453806315086047</v>
      </c>
      <c r="AF13" s="371">
        <f t="shared" si="7"/>
        <v>0.65265409052844481</v>
      </c>
      <c r="AG13" s="370">
        <f t="shared" si="8"/>
        <v>0.43510272701896319</v>
      </c>
      <c r="AH13" s="214">
        <v>9</v>
      </c>
      <c r="AI13" s="306">
        <v>-0.58372641509433976</v>
      </c>
      <c r="AJ13" s="371">
        <f t="shared" si="9"/>
        <v>1.0188291421133029</v>
      </c>
    </row>
    <row r="14" spans="1:38">
      <c r="A14" s="303">
        <v>0</v>
      </c>
      <c r="B14" s="304">
        <v>1</v>
      </c>
      <c r="C14" s="304">
        <v>0</v>
      </c>
      <c r="D14" s="304">
        <v>1</v>
      </c>
      <c r="E14" s="5">
        <v>4.0599999999999996</v>
      </c>
      <c r="F14" s="306">
        <v>-0.52122641509433965</v>
      </c>
      <c r="G14" s="610">
        <f t="shared" si="0"/>
        <v>-0.78183962264150941</v>
      </c>
      <c r="H14" s="307" t="s">
        <v>44</v>
      </c>
      <c r="I14" s="308">
        <v>1</v>
      </c>
      <c r="J14" s="691"/>
      <c r="K14" s="354">
        <v>0.11</v>
      </c>
      <c r="L14" s="354"/>
      <c r="M14" s="359">
        <v>2.4598</v>
      </c>
      <c r="N14" s="360">
        <v>3.3519999999999999</v>
      </c>
      <c r="O14" s="372">
        <f t="shared" si="1"/>
        <v>0.50036453367730349</v>
      </c>
      <c r="P14" s="359">
        <v>2.5078</v>
      </c>
      <c r="Q14" s="360">
        <v>3.3913000000000002</v>
      </c>
      <c r="R14" s="372">
        <f t="shared" si="2"/>
        <v>0.50016983695652173</v>
      </c>
      <c r="S14" s="359">
        <v>2.5211999999999999</v>
      </c>
      <c r="T14" s="374">
        <v>3.407</v>
      </c>
      <c r="U14" s="372">
        <f t="shared" si="3"/>
        <v>0.49997177851780783</v>
      </c>
      <c r="V14" s="359">
        <v>2.5485000000000002</v>
      </c>
      <c r="W14" s="360">
        <v>3.4834000000000001</v>
      </c>
      <c r="X14" s="372">
        <f t="shared" si="4"/>
        <v>0.49986633160455535</v>
      </c>
      <c r="Y14" s="359">
        <v>2.4508000000000001</v>
      </c>
      <c r="Z14" s="360">
        <v>3.3530000000000002</v>
      </c>
      <c r="AA14" s="372">
        <f t="shared" si="5"/>
        <v>0.49908723792664716</v>
      </c>
      <c r="AB14" s="359">
        <v>2.4811999999999999</v>
      </c>
      <c r="AC14" s="360">
        <v>3.3763000000000001</v>
      </c>
      <c r="AD14" s="372">
        <f t="shared" si="6"/>
        <v>0.49846856379127941</v>
      </c>
      <c r="AF14" s="371">
        <f t="shared" si="7"/>
        <v>0.74948207061852867</v>
      </c>
      <c r="AG14" s="370">
        <f t="shared" si="8"/>
        <v>0.49965471374568576</v>
      </c>
      <c r="AH14" s="214">
        <v>10</v>
      </c>
      <c r="AI14" s="306">
        <v>-0.52122641509433965</v>
      </c>
      <c r="AJ14" s="371">
        <f t="shared" si="9"/>
        <v>1.0208811288400255</v>
      </c>
    </row>
    <row r="15" spans="1:38" s="619" customFormat="1">
      <c r="A15" s="609">
        <v>0</v>
      </c>
      <c r="B15" s="610">
        <v>1</v>
      </c>
      <c r="C15" s="610">
        <v>0</v>
      </c>
      <c r="D15" s="610">
        <v>0</v>
      </c>
      <c r="E15" s="611">
        <v>4.68</v>
      </c>
      <c r="F15" s="612">
        <v>-0.44811320754716988</v>
      </c>
      <c r="G15" s="610">
        <f t="shared" si="0"/>
        <v>-0.67216981132075482</v>
      </c>
      <c r="H15" s="613" t="s">
        <v>44</v>
      </c>
      <c r="I15" s="614">
        <v>0</v>
      </c>
      <c r="J15" s="691"/>
      <c r="K15" s="354">
        <v>0.12</v>
      </c>
      <c r="L15" s="615"/>
      <c r="M15" s="616">
        <v>2.46</v>
      </c>
      <c r="N15" s="617">
        <v>3.4889999999999999</v>
      </c>
      <c r="O15" s="618">
        <f t="shared" si="1"/>
        <v>0.57708485222365535</v>
      </c>
      <c r="P15" s="616">
        <v>2.508</v>
      </c>
      <c r="Q15" s="617">
        <v>3.5259999999999998</v>
      </c>
      <c r="R15" s="618">
        <f t="shared" si="2"/>
        <v>0.57631340579710122</v>
      </c>
      <c r="S15" s="616">
        <v>2.5209999999999999</v>
      </c>
      <c r="T15" s="617">
        <v>3.5394999999999999</v>
      </c>
      <c r="U15" s="618">
        <f t="shared" si="3"/>
        <v>0.57487159225602524</v>
      </c>
      <c r="V15" s="616">
        <v>2.5485000000000002</v>
      </c>
      <c r="W15" s="617">
        <v>3.6263000000000001</v>
      </c>
      <c r="X15" s="618">
        <f t="shared" si="4"/>
        <v>0.57627118644067798</v>
      </c>
      <c r="Y15" s="616">
        <v>2.4506000000000001</v>
      </c>
      <c r="Z15" s="617">
        <v>3.49</v>
      </c>
      <c r="AA15" s="618">
        <f t="shared" si="5"/>
        <v>0.57498478729877744</v>
      </c>
      <c r="AB15" s="616">
        <v>2.4809000000000001</v>
      </c>
      <c r="AC15" s="617">
        <v>3.512</v>
      </c>
      <c r="AD15" s="618">
        <f t="shared" si="6"/>
        <v>0.57420504538620043</v>
      </c>
      <c r="AF15" s="371">
        <f t="shared" si="7"/>
        <v>0.86343271735060934</v>
      </c>
      <c r="AG15" s="618">
        <f t="shared" si="8"/>
        <v>0.57562181156707293</v>
      </c>
      <c r="AH15" s="214">
        <v>11</v>
      </c>
      <c r="AI15" s="612">
        <v>-0.44811320754716988</v>
      </c>
      <c r="AJ15" s="620">
        <f t="shared" si="9"/>
        <v>1.0237350191142429</v>
      </c>
    </row>
    <row r="16" spans="1:38">
      <c r="A16" s="303">
        <v>0</v>
      </c>
      <c r="B16" s="304">
        <v>0</v>
      </c>
      <c r="C16" s="304">
        <v>1</v>
      </c>
      <c r="D16" s="304">
        <v>1</v>
      </c>
      <c r="E16" s="5">
        <v>5.4</v>
      </c>
      <c r="F16" s="306">
        <v>-0.3632075471698113</v>
      </c>
      <c r="G16" s="610">
        <f t="shared" si="0"/>
        <v>-0.54481132075471694</v>
      </c>
      <c r="H16" s="307" t="s">
        <v>26</v>
      </c>
      <c r="I16" s="308">
        <v>1</v>
      </c>
      <c r="J16" s="691"/>
      <c r="K16" s="354">
        <v>0.13</v>
      </c>
      <c r="L16" s="354"/>
      <c r="M16" s="359">
        <v>2.4594</v>
      </c>
      <c r="N16" s="360">
        <v>3.6419999999999999</v>
      </c>
      <c r="O16" s="372">
        <f t="shared" si="1"/>
        <v>0.66322696427569949</v>
      </c>
      <c r="P16" s="359">
        <v>2.5076000000000001</v>
      </c>
      <c r="Q16" s="360">
        <v>3.68</v>
      </c>
      <c r="R16" s="372">
        <f t="shared" si="2"/>
        <v>0.66372282608695643</v>
      </c>
      <c r="S16" s="359">
        <v>2.5207999999999999</v>
      </c>
      <c r="T16" s="360">
        <v>3.6915</v>
      </c>
      <c r="U16" s="372">
        <f t="shared" si="3"/>
        <v>0.66077778404921828</v>
      </c>
      <c r="V16" s="359">
        <v>2.5486</v>
      </c>
      <c r="W16" s="360">
        <v>3.7869999999999999</v>
      </c>
      <c r="X16" s="372">
        <f t="shared" si="4"/>
        <v>0.66213976367427685</v>
      </c>
      <c r="Y16" s="5">
        <v>2.4510000000000001</v>
      </c>
      <c r="Z16" s="5">
        <v>3.6463000000000001</v>
      </c>
      <c r="AA16" s="372">
        <f t="shared" si="5"/>
        <v>0.66122697350224036</v>
      </c>
      <c r="AB16" s="359">
        <v>2.4809000000000001</v>
      </c>
      <c r="AC16" s="360">
        <v>3.6663999999999999</v>
      </c>
      <c r="AD16" s="372">
        <f t="shared" si="6"/>
        <v>0.66018822743219918</v>
      </c>
      <c r="AE16" s="5"/>
      <c r="AF16" s="371">
        <f t="shared" si="7"/>
        <v>0.99282063475514759</v>
      </c>
      <c r="AG16" s="370">
        <f t="shared" si="8"/>
        <v>0.66188042317009843</v>
      </c>
      <c r="AH16" s="214">
        <v>12</v>
      </c>
      <c r="AI16" s="306">
        <v>-0.3632075471698113</v>
      </c>
      <c r="AJ16" s="371">
        <f t="shared" si="9"/>
        <v>1.0250879703399098</v>
      </c>
    </row>
    <row r="17" spans="1:38" s="619" customFormat="1">
      <c r="A17" s="609">
        <v>0</v>
      </c>
      <c r="B17" s="610">
        <v>0</v>
      </c>
      <c r="C17" s="610">
        <v>1</v>
      </c>
      <c r="D17" s="610">
        <v>0</v>
      </c>
      <c r="E17" s="611">
        <v>6.25</v>
      </c>
      <c r="F17" s="612">
        <v>-0.26297169811320759</v>
      </c>
      <c r="G17" s="610">
        <f t="shared" si="0"/>
        <v>-0.39445754716981141</v>
      </c>
      <c r="H17" s="613" t="s">
        <v>26</v>
      </c>
      <c r="I17" s="614">
        <v>0</v>
      </c>
      <c r="J17" s="691"/>
      <c r="K17" s="354">
        <v>0.14000000000000001</v>
      </c>
      <c r="L17" s="615"/>
      <c r="M17" s="616">
        <v>2.4592999999999998</v>
      </c>
      <c r="N17" s="617">
        <v>3.8136000000000001</v>
      </c>
      <c r="O17" s="618">
        <f t="shared" si="1"/>
        <v>0.75951993718804345</v>
      </c>
      <c r="P17" s="616">
        <v>2.5089999999999999</v>
      </c>
      <c r="Q17" s="617">
        <v>3.8540000000000001</v>
      </c>
      <c r="R17" s="618">
        <f t="shared" si="2"/>
        <v>0.76143568840579701</v>
      </c>
      <c r="S17" s="616">
        <v>2.5207999999999999</v>
      </c>
      <c r="T17" s="617">
        <v>3.8675999999999999</v>
      </c>
      <c r="U17" s="618">
        <f t="shared" si="3"/>
        <v>0.76017384433030422</v>
      </c>
      <c r="V17" s="616">
        <v>2.5487000000000002</v>
      </c>
      <c r="W17" s="617">
        <v>3.9712000000000001</v>
      </c>
      <c r="X17" s="618">
        <f t="shared" si="4"/>
        <v>0.76057317007966641</v>
      </c>
      <c r="Y17" s="611">
        <v>2.4510000000000001</v>
      </c>
      <c r="Z17" s="617">
        <v>3.8233999999999999</v>
      </c>
      <c r="AA17" s="618">
        <f t="shared" si="5"/>
        <v>0.75919676937544933</v>
      </c>
      <c r="AB17" s="616">
        <v>2.4805999999999999</v>
      </c>
      <c r="AC17" s="617">
        <v>3.8437000000000001</v>
      </c>
      <c r="AD17" s="618">
        <f t="shared" si="6"/>
        <v>0.75909116222086126</v>
      </c>
      <c r="AF17" s="371">
        <f t="shared" si="7"/>
        <v>1.1399976429000305</v>
      </c>
      <c r="AG17" s="618">
        <f t="shared" si="8"/>
        <v>0.75999842860002031</v>
      </c>
      <c r="AH17" s="214">
        <v>13</v>
      </c>
      <c r="AI17" s="612">
        <v>-0.26297169811320759</v>
      </c>
      <c r="AJ17" s="620">
        <f t="shared" si="9"/>
        <v>1.0229701267132278</v>
      </c>
    </row>
    <row r="18" spans="1:38" s="619" customFormat="1">
      <c r="A18" s="609">
        <v>0</v>
      </c>
      <c r="B18" s="610">
        <v>0</v>
      </c>
      <c r="C18" s="610">
        <v>0</v>
      </c>
      <c r="D18" s="610">
        <v>1</v>
      </c>
      <c r="E18" s="611">
        <v>7.27</v>
      </c>
      <c r="F18" s="612">
        <v>-0.14268867924528311</v>
      </c>
      <c r="G18" s="610">
        <f>F18*1.5</f>
        <v>-0.21403301886792467</v>
      </c>
      <c r="H18" s="613" t="s">
        <v>25</v>
      </c>
      <c r="I18" s="614">
        <v>1</v>
      </c>
      <c r="J18" s="691"/>
      <c r="K18" s="354">
        <v>0.15</v>
      </c>
      <c r="L18" s="615"/>
      <c r="M18" s="616">
        <v>2.4588999999999999</v>
      </c>
      <c r="N18" s="617">
        <v>4.0193000000000003</v>
      </c>
      <c r="O18" s="618">
        <f>(N18-M18)/(N$19-M$19)</f>
        <v>0.87510515394537625</v>
      </c>
      <c r="P18" s="616">
        <v>2.5087999999999999</v>
      </c>
      <c r="Q18" s="617">
        <v>4.0576999999999996</v>
      </c>
      <c r="R18" s="618">
        <f>(Q18-P18)/(Q$19-P$19)</f>
        <v>0.8768682065217388</v>
      </c>
      <c r="S18" s="616">
        <v>2.5215000000000001</v>
      </c>
      <c r="T18" s="617">
        <v>4.0720000000000001</v>
      </c>
      <c r="U18" s="618">
        <f>(T18-S18)/(T$19-S$19)</f>
        <v>0.8751481627815092</v>
      </c>
      <c r="V18" s="616">
        <v>2.5491999999999999</v>
      </c>
      <c r="W18" s="617">
        <v>4.1864999999999997</v>
      </c>
      <c r="X18" s="618">
        <f>(W18-V18)/(W$19-V$19)</f>
        <v>0.87542105544565041</v>
      </c>
      <c r="Y18" s="616">
        <v>2.4512</v>
      </c>
      <c r="Z18" s="617">
        <v>4.0328999999999997</v>
      </c>
      <c r="AA18" s="618">
        <f>(Z18-Y18)/(Z$19-Y$19)</f>
        <v>0.87497925540742361</v>
      </c>
      <c r="AB18" s="616">
        <v>2.4802</v>
      </c>
      <c r="AC18" s="617">
        <v>4.0510000000000002</v>
      </c>
      <c r="AD18" s="618">
        <f>(AC18-AB18)/(AC$19-AB$19)</f>
        <v>0.87475636242134014</v>
      </c>
      <c r="AF18" s="371">
        <f t="shared" si="7"/>
        <v>1.3130695491307596</v>
      </c>
      <c r="AG18" s="618">
        <f t="shared" si="8"/>
        <v>0.87537969942050642</v>
      </c>
      <c r="AH18" s="214">
        <v>14</v>
      </c>
      <c r="AI18" s="612">
        <v>-0.14268867924528311</v>
      </c>
      <c r="AJ18" s="620">
        <f t="shared" si="9"/>
        <v>1.0180683786657896</v>
      </c>
    </row>
    <row r="19" spans="1:38" ht="16.5" thickBot="1">
      <c r="A19" s="303">
        <v>0</v>
      </c>
      <c r="B19" s="304">
        <v>0</v>
      </c>
      <c r="C19" s="304">
        <v>0</v>
      </c>
      <c r="D19" s="304">
        <v>0</v>
      </c>
      <c r="E19" s="309">
        <v>8.48</v>
      </c>
      <c r="F19" s="310">
        <v>0</v>
      </c>
      <c r="G19" s="304"/>
      <c r="H19" s="307" t="s">
        <v>25</v>
      </c>
      <c r="I19" s="308">
        <v>0</v>
      </c>
      <c r="J19" s="691"/>
      <c r="K19" s="354">
        <v>0.16</v>
      </c>
      <c r="L19" s="354"/>
      <c r="M19" s="359">
        <v>2.4588999999999999</v>
      </c>
      <c r="N19" s="360">
        <v>4.242</v>
      </c>
      <c r="O19" s="372">
        <f>(N19-N$19)/(N$19-M$19)</f>
        <v>0</v>
      </c>
      <c r="P19" s="359">
        <v>2.5085999999999999</v>
      </c>
      <c r="Q19" s="360">
        <v>4.2750000000000004</v>
      </c>
      <c r="R19" s="372">
        <f>(Q19-Q$19)/(Q$19-P$19)</f>
        <v>0</v>
      </c>
      <c r="S19" s="359">
        <v>2.5217999999999998</v>
      </c>
      <c r="T19" s="360">
        <v>4.2934999999999999</v>
      </c>
      <c r="U19" s="372">
        <f>(T19-T$19)/(T$19-S$19)</f>
        <v>0</v>
      </c>
      <c r="V19" s="359">
        <v>2.5497000000000001</v>
      </c>
      <c r="W19" s="360">
        <v>4.42</v>
      </c>
      <c r="X19" s="372">
        <f>(W19-W$19)/(W$19-V$19)</f>
        <v>0</v>
      </c>
      <c r="Y19" s="359">
        <v>2.4517000000000002</v>
      </c>
      <c r="Z19" s="360">
        <v>4.2594000000000003</v>
      </c>
      <c r="AA19" s="372">
        <f>(Z19-Z$19)/(Z$19-Y$19)</f>
        <v>0</v>
      </c>
      <c r="AB19" s="359">
        <v>2.4799000000000002</v>
      </c>
      <c r="AC19" s="360">
        <v>4.2755999999999998</v>
      </c>
      <c r="AD19" s="372">
        <f>(AC19-AC$19)/(AC$19-AB$19)</f>
        <v>0</v>
      </c>
      <c r="AG19" s="370">
        <v>1</v>
      </c>
      <c r="AH19" s="214">
        <v>15</v>
      </c>
      <c r="AI19" s="310">
        <v>0</v>
      </c>
      <c r="AJ19" s="371">
        <f t="shared" si="9"/>
        <v>1</v>
      </c>
    </row>
    <row r="20" spans="1:38" ht="31.5">
      <c r="A20" s="311" t="s">
        <v>13</v>
      </c>
      <c r="B20" s="312" t="s">
        <v>14</v>
      </c>
      <c r="C20" s="312" t="s">
        <v>15</v>
      </c>
      <c r="D20" s="312" t="s">
        <v>16</v>
      </c>
      <c r="E20" s="312" t="s">
        <v>12</v>
      </c>
      <c r="F20" s="313"/>
      <c r="G20" s="313"/>
      <c r="H20" s="313" t="s">
        <v>21</v>
      </c>
      <c r="I20" s="314"/>
      <c r="J20" s="700" t="s">
        <v>257</v>
      </c>
      <c r="K20" s="355"/>
      <c r="L20" s="355"/>
      <c r="M20" s="359"/>
      <c r="N20" s="360"/>
      <c r="O20" s="305"/>
      <c r="P20" s="359"/>
      <c r="Q20" s="360"/>
      <c r="R20" s="305"/>
      <c r="S20" s="359"/>
      <c r="T20" s="360"/>
      <c r="U20" s="305"/>
      <c r="V20" s="359"/>
      <c r="W20" s="360"/>
      <c r="X20" s="305"/>
      <c r="Y20" s="359"/>
      <c r="Z20" s="360"/>
      <c r="AA20" s="305"/>
      <c r="AB20" s="359"/>
      <c r="AC20" s="360"/>
      <c r="AD20" s="305"/>
      <c r="AG20" s="305"/>
    </row>
    <row r="21" spans="1:38" ht="15.75">
      <c r="A21" s="315">
        <v>0</v>
      </c>
      <c r="B21" s="316">
        <v>0</v>
      </c>
      <c r="C21" s="316">
        <v>0</v>
      </c>
      <c r="D21" s="316">
        <v>0</v>
      </c>
      <c r="E21" s="316">
        <v>0</v>
      </c>
      <c r="F21" s="370">
        <v>1</v>
      </c>
      <c r="G21" s="318"/>
      <c r="H21" s="307" t="s">
        <v>25</v>
      </c>
      <c r="I21" s="717">
        <f>F21-AF21</f>
        <v>0</v>
      </c>
      <c r="J21" s="700"/>
      <c r="K21" s="355"/>
      <c r="L21" s="355"/>
      <c r="M21" s="359">
        <v>2.4599000000000002</v>
      </c>
      <c r="N21" s="360">
        <v>4.2465999999999999</v>
      </c>
      <c r="O21" s="372">
        <f>(N21-N$21)/(N$21-M$21)</f>
        <v>0</v>
      </c>
      <c r="P21" s="359">
        <v>2.5087000000000002</v>
      </c>
      <c r="Q21" s="360">
        <v>4.2750000000000004</v>
      </c>
      <c r="R21" s="372">
        <f>(Q21-Q$21)/(Q$21-P$21)</f>
        <v>0</v>
      </c>
      <c r="S21" s="359">
        <v>2.5219999999999998</v>
      </c>
      <c r="T21" s="360">
        <v>4.2930999999999999</v>
      </c>
      <c r="U21" s="372">
        <f>(T21-T$21)/(T$21-S$21)</f>
        <v>0</v>
      </c>
      <c r="V21" s="359">
        <v>2.5495999999999999</v>
      </c>
      <c r="W21" s="360">
        <v>4.42</v>
      </c>
      <c r="X21" s="372">
        <f>(W21-W$21)/(W$21-V$21)</f>
        <v>0</v>
      </c>
      <c r="Y21" s="359">
        <v>2.4493</v>
      </c>
      <c r="Z21" s="360">
        <v>4.2557</v>
      </c>
      <c r="AA21" s="372">
        <f>(Z21-Z$21)/(Z$21-Y$21)</f>
        <v>0</v>
      </c>
      <c r="AB21" s="359">
        <v>2.4803999999999999</v>
      </c>
      <c r="AC21" s="360">
        <v>4.2808999999999999</v>
      </c>
      <c r="AD21" s="372">
        <f>(AC21-AC$21)/(AC$21-AB$21)</f>
        <v>0</v>
      </c>
      <c r="AF21" s="716">
        <v>1</v>
      </c>
      <c r="AG21" s="369">
        <f>AVERAGE(O21,R21,U21,X21,AA21,AD21)</f>
        <v>0</v>
      </c>
      <c r="AH21" s="5">
        <v>0</v>
      </c>
      <c r="AI21" s="317">
        <v>0</v>
      </c>
      <c r="AJ21" s="371">
        <f>AG21-AI21</f>
        <v>0</v>
      </c>
      <c r="AL21" s="378" t="s">
        <v>278</v>
      </c>
    </row>
    <row r="22" spans="1:38" s="619" customFormat="1" ht="15.75">
      <c r="A22" s="621">
        <v>0</v>
      </c>
      <c r="B22" s="622">
        <v>0</v>
      </c>
      <c r="C22" s="622">
        <v>0</v>
      </c>
      <c r="D22" s="622">
        <v>0</v>
      </c>
      <c r="E22" s="622">
        <v>1</v>
      </c>
      <c r="F22" s="623">
        <v>0.99510669756161574</v>
      </c>
      <c r="G22" s="622"/>
      <c r="H22" s="613" t="s">
        <v>45</v>
      </c>
      <c r="I22" s="717">
        <f t="shared" ref="I22:I52" si="10">F22-AF22</f>
        <v>-5.1399824966746888E-4</v>
      </c>
      <c r="J22" s="700"/>
      <c r="K22" s="624"/>
      <c r="L22" s="624"/>
      <c r="M22" s="616">
        <v>2.4592000000000001</v>
      </c>
      <c r="N22" s="617">
        <v>4.2350000000000003</v>
      </c>
      <c r="O22" s="618">
        <f>(N22-M22)/(N$21-M$21)</f>
        <v>0.99389936754911323</v>
      </c>
      <c r="P22" s="616">
        <v>2.5087000000000002</v>
      </c>
      <c r="Q22" s="617">
        <v>4.2657999999999996</v>
      </c>
      <c r="R22" s="618">
        <f>(Q22-P22)/(Q$21-P$21)</f>
        <v>0.99479137179414556</v>
      </c>
      <c r="S22" s="616">
        <v>2.5219999999999998</v>
      </c>
      <c r="T22" s="617">
        <v>4.2857000000000003</v>
      </c>
      <c r="U22" s="618">
        <f>(T22-S22)/(T$21-S$21)</f>
        <v>0.99582180565750122</v>
      </c>
      <c r="V22" s="616">
        <v>2.5497999999999998</v>
      </c>
      <c r="W22" s="617">
        <v>4.4122000000000003</v>
      </c>
      <c r="X22" s="618">
        <f>(W22-V22)/(W$21-V$21)</f>
        <v>0.99572284003421752</v>
      </c>
      <c r="Y22" s="616">
        <v>2.4493</v>
      </c>
      <c r="Z22" s="617">
        <v>4.2484000000000002</v>
      </c>
      <c r="AA22" s="618">
        <f>(Z22-Y22)/(Z$21-Y$21)</f>
        <v>0.99595881310894607</v>
      </c>
      <c r="AB22" s="616">
        <v>2.4803999999999999</v>
      </c>
      <c r="AC22" s="617">
        <v>4.2709000000000001</v>
      </c>
      <c r="AD22" s="618">
        <f>(AC22-AB22)/(AC$21-AB$21)</f>
        <v>0.99444598722577071</v>
      </c>
      <c r="AF22" s="716">
        <v>0.99562069581128321</v>
      </c>
      <c r="AG22" s="618">
        <f t="shared" ref="AG22:AG52" si="11">AVERAGE(O22,R22,U22,X22,AA22,AD22)</f>
        <v>0.99510669756161574</v>
      </c>
      <c r="AH22" s="619">
        <v>1</v>
      </c>
      <c r="AI22" s="623">
        <v>-4.5200172191132591E-3</v>
      </c>
      <c r="AJ22" s="620">
        <f t="shared" ref="AJ22:AJ52" si="12">AG22-AI22</f>
        <v>0.99962671478072895</v>
      </c>
    </row>
    <row r="23" spans="1:38" s="619" customFormat="1" ht="15.75">
      <c r="A23" s="621">
        <v>0</v>
      </c>
      <c r="B23" s="622">
        <v>0</v>
      </c>
      <c r="C23" s="622">
        <v>0</v>
      </c>
      <c r="D23" s="622">
        <v>1</v>
      </c>
      <c r="E23" s="622">
        <v>0</v>
      </c>
      <c r="F23" s="623">
        <v>0.9909092169963083</v>
      </c>
      <c r="G23" s="622"/>
      <c r="H23" s="613" t="s">
        <v>46</v>
      </c>
      <c r="I23" s="717">
        <f t="shared" si="10"/>
        <v>2.6618497437902455E-5</v>
      </c>
      <c r="J23" s="700"/>
      <c r="K23" s="624"/>
      <c r="L23" s="624"/>
      <c r="M23" s="616">
        <v>2.4592999999999998</v>
      </c>
      <c r="N23" s="617">
        <v>4.2279999999999998</v>
      </c>
      <c r="O23" s="618">
        <f t="shared" ref="O23:O52" si="13">(N23-M23)/(N$21-M$21)</f>
        <v>0.98992556109027829</v>
      </c>
      <c r="P23" s="616">
        <v>2.5089000000000001</v>
      </c>
      <c r="Q23" s="617">
        <v>4.26</v>
      </c>
      <c r="R23" s="618">
        <f t="shared" ref="R23:R52" si="14">(Q23-P23)/(Q$21-P$21)</f>
        <v>0.99139444035554514</v>
      </c>
      <c r="S23" s="616">
        <v>2.5213999999999999</v>
      </c>
      <c r="T23" s="617">
        <v>4.2785000000000002</v>
      </c>
      <c r="U23" s="618">
        <f t="shared" ref="U23:U52" si="15">(T23-S23)/(T$21-S$21)</f>
        <v>0.99209530800067769</v>
      </c>
      <c r="V23" s="616">
        <v>2.5497999999999998</v>
      </c>
      <c r="W23" s="617">
        <v>4.4039999999999999</v>
      </c>
      <c r="X23" s="618">
        <f t="shared" ref="X23:X52" si="16">(W23-V23)/(W$21-V$21)</f>
        <v>0.99133875106929004</v>
      </c>
      <c r="Y23" s="616">
        <v>2.4493</v>
      </c>
      <c r="Z23" s="617">
        <v>4.2396000000000003</v>
      </c>
      <c r="AA23" s="618">
        <f t="shared" ref="AA23:AA52" si="17">(Z23-Y23)/(Z$21-Y$21)</f>
        <v>0.99108724534986725</v>
      </c>
      <c r="AB23" s="616">
        <v>2.4802</v>
      </c>
      <c r="AC23" s="617">
        <v>4.2619999999999996</v>
      </c>
      <c r="AD23" s="618">
        <f t="shared" ref="AD23:AD52" si="18">(AC23-AB23)/(AC$21-AB$21)</f>
        <v>0.98961399611219081</v>
      </c>
      <c r="AF23" s="716">
        <v>0.99088259849887039</v>
      </c>
      <c r="AG23" s="618">
        <f t="shared" si="11"/>
        <v>0.9909092169963083</v>
      </c>
      <c r="AH23" s="5">
        <v>2</v>
      </c>
      <c r="AI23" s="623">
        <v>-9.0041612856938298E-3</v>
      </c>
      <c r="AJ23" s="620">
        <f t="shared" si="12"/>
        <v>0.99991337828200211</v>
      </c>
    </row>
    <row r="24" spans="1:38" ht="15.75">
      <c r="A24" s="315">
        <v>0</v>
      </c>
      <c r="B24" s="320">
        <v>0</v>
      </c>
      <c r="C24" s="320">
        <v>0</v>
      </c>
      <c r="D24" s="320">
        <v>1</v>
      </c>
      <c r="E24" s="316">
        <v>1</v>
      </c>
      <c r="F24" s="404">
        <v>0.98643639062920563</v>
      </c>
      <c r="G24" s="316"/>
      <c r="H24" s="307" t="s">
        <v>47</v>
      </c>
      <c r="I24" s="717">
        <f t="shared" si="10"/>
        <v>-1.3444598745537828E-4</v>
      </c>
      <c r="J24" s="700"/>
      <c r="K24" s="355"/>
      <c r="L24" s="355"/>
      <c r="M24" s="359">
        <v>2.4597000000000002</v>
      </c>
      <c r="N24" s="360">
        <v>4.2220000000000004</v>
      </c>
      <c r="O24" s="372">
        <f t="shared" si="13"/>
        <v>0.98634353836682176</v>
      </c>
      <c r="P24" s="359">
        <v>2.5085999999999999</v>
      </c>
      <c r="Q24" s="360">
        <v>4.2519999999999998</v>
      </c>
      <c r="R24" s="372">
        <f t="shared" si="14"/>
        <v>0.98703504500934136</v>
      </c>
      <c r="S24" s="359">
        <v>2.5222000000000002</v>
      </c>
      <c r="T24" s="360">
        <v>4.2706</v>
      </c>
      <c r="U24" s="372">
        <f t="shared" si="15"/>
        <v>0.98718310654395547</v>
      </c>
      <c r="V24" s="359">
        <v>2.5497000000000001</v>
      </c>
      <c r="W24" s="360">
        <v>4.3959999999999999</v>
      </c>
      <c r="X24" s="372">
        <f t="shared" si="16"/>
        <v>0.98711505560307944</v>
      </c>
      <c r="Y24" s="359">
        <v>2.4493</v>
      </c>
      <c r="Z24" s="360">
        <v>4.2310999999999996</v>
      </c>
      <c r="AA24" s="372">
        <f t="shared" si="17"/>
        <v>0.98638175376439308</v>
      </c>
      <c r="AB24" s="359">
        <v>2.48</v>
      </c>
      <c r="AC24" s="360">
        <v>4.2526999999999999</v>
      </c>
      <c r="AD24" s="372">
        <f t="shared" si="18"/>
        <v>0.98455984448764233</v>
      </c>
      <c r="AF24" s="716">
        <v>0.98657083661666101</v>
      </c>
      <c r="AG24" s="369">
        <f t="shared" si="11"/>
        <v>0.98643639062920563</v>
      </c>
      <c r="AH24" s="619">
        <v>3</v>
      </c>
      <c r="AI24" s="319">
        <v>-1.3488305352274401E-2</v>
      </c>
      <c r="AJ24" s="371">
        <f t="shared" si="12"/>
        <v>0.99992469598148004</v>
      </c>
    </row>
    <row r="25" spans="1:38" s="619" customFormat="1" ht="15.75">
      <c r="A25" s="621">
        <v>0</v>
      </c>
      <c r="B25" s="622">
        <v>0</v>
      </c>
      <c r="C25" s="622">
        <v>1</v>
      </c>
      <c r="D25" s="622">
        <v>0</v>
      </c>
      <c r="E25" s="622">
        <v>0</v>
      </c>
      <c r="F25" s="623">
        <v>0.98191466783832804</v>
      </c>
      <c r="G25" s="622"/>
      <c r="H25" s="613" t="s">
        <v>48</v>
      </c>
      <c r="I25" s="717">
        <f t="shared" si="10"/>
        <v>-5.0576784536515706E-4</v>
      </c>
      <c r="J25" s="700"/>
      <c r="K25" s="624"/>
      <c r="L25" s="624"/>
      <c r="M25" s="616">
        <v>2.4594999999999998</v>
      </c>
      <c r="N25" s="617">
        <v>4.2126000000000001</v>
      </c>
      <c r="O25" s="618">
        <f t="shared" si="13"/>
        <v>0.98119438070185294</v>
      </c>
      <c r="P25" s="616">
        <v>2.5087000000000002</v>
      </c>
      <c r="Q25" s="617">
        <v>4.2439999999999998</v>
      </c>
      <c r="R25" s="618">
        <f t="shared" si="14"/>
        <v>0.98244918756723065</v>
      </c>
      <c r="S25" s="616">
        <v>2.5213999999999999</v>
      </c>
      <c r="T25" s="617">
        <v>4.2625000000000002</v>
      </c>
      <c r="U25" s="618">
        <f t="shared" si="15"/>
        <v>0.98306137428716633</v>
      </c>
      <c r="V25" s="616">
        <v>2.5499999999999998</v>
      </c>
      <c r="W25" s="617">
        <v>4.3890000000000002</v>
      </c>
      <c r="X25" s="618">
        <f t="shared" si="16"/>
        <v>0.98321214713430305</v>
      </c>
      <c r="Y25" s="616">
        <v>2.4493</v>
      </c>
      <c r="Z25" s="617">
        <v>4.2225000000000001</v>
      </c>
      <c r="AA25" s="618">
        <f t="shared" si="17"/>
        <v>0.98162090345438446</v>
      </c>
      <c r="AB25" s="616">
        <v>2.48</v>
      </c>
      <c r="AC25" s="617">
        <v>4.2443999999999997</v>
      </c>
      <c r="AD25" s="618">
        <f t="shared" si="18"/>
        <v>0.97995001388503178</v>
      </c>
      <c r="AF25" s="716">
        <v>0.98242043568369319</v>
      </c>
      <c r="AG25" s="618">
        <f t="shared" si="11"/>
        <v>0.98191466783832804</v>
      </c>
      <c r="AH25" s="5">
        <v>4</v>
      </c>
      <c r="AI25" s="623">
        <v>-1.7972449418854973E-2</v>
      </c>
      <c r="AJ25" s="620">
        <f t="shared" si="12"/>
        <v>0.99988711725718304</v>
      </c>
    </row>
    <row r="26" spans="1:38" ht="15.75">
      <c r="A26" s="315">
        <v>0</v>
      </c>
      <c r="B26" s="320">
        <v>0</v>
      </c>
      <c r="C26" s="320">
        <v>1</v>
      </c>
      <c r="D26" s="320">
        <v>0</v>
      </c>
      <c r="E26" s="316">
        <v>1</v>
      </c>
      <c r="F26" s="404">
        <v>0.97725834556060198</v>
      </c>
      <c r="G26" s="316"/>
      <c r="H26" s="307" t="s">
        <v>49</v>
      </c>
      <c r="I26" s="717">
        <f t="shared" si="10"/>
        <v>-7.5937057615194092E-4</v>
      </c>
      <c r="J26" s="700"/>
      <c r="K26" s="355"/>
      <c r="L26" s="355"/>
      <c r="M26" s="359">
        <v>2.4609999999999999</v>
      </c>
      <c r="N26" s="360">
        <v>4.2054999999999998</v>
      </c>
      <c r="O26" s="372">
        <f t="shared" si="13"/>
        <v>0.97638103766720785</v>
      </c>
      <c r="P26" s="359">
        <v>2.5089000000000001</v>
      </c>
      <c r="Q26" s="360">
        <v>4.2370000000000001</v>
      </c>
      <c r="R26" s="372">
        <f t="shared" si="14"/>
        <v>0.97837286984091021</v>
      </c>
      <c r="S26" s="359">
        <v>2.5215000000000001</v>
      </c>
      <c r="T26" s="360">
        <v>4.2549999999999999</v>
      </c>
      <c r="U26" s="372">
        <f t="shared" si="15"/>
        <v>0.97877025577324805</v>
      </c>
      <c r="V26" s="359">
        <v>2.5499999999999998</v>
      </c>
      <c r="W26" s="360">
        <v>4.3781999999999996</v>
      </c>
      <c r="X26" s="372">
        <f t="shared" si="16"/>
        <v>0.97743798118049607</v>
      </c>
      <c r="Y26" s="359">
        <v>2.4493</v>
      </c>
      <c r="Z26" s="360">
        <v>4.2145000000000001</v>
      </c>
      <c r="AA26" s="372">
        <f t="shared" si="17"/>
        <v>0.97719220549158547</v>
      </c>
      <c r="AB26" s="359">
        <v>2.48</v>
      </c>
      <c r="AC26" s="360">
        <v>4.2362000000000002</v>
      </c>
      <c r="AD26" s="372">
        <f t="shared" si="18"/>
        <v>0.97539572341016401</v>
      </c>
      <c r="AF26" s="716">
        <v>0.97801771613675392</v>
      </c>
      <c r="AG26" s="369">
        <f t="shared" si="11"/>
        <v>0.97725834556060198</v>
      </c>
      <c r="AH26" s="619">
        <v>5</v>
      </c>
      <c r="AI26" s="319">
        <v>-2.2456593485435671E-2</v>
      </c>
      <c r="AJ26" s="371">
        <f t="shared" si="12"/>
        <v>0.9997149390460377</v>
      </c>
    </row>
    <row r="27" spans="1:38" ht="15.75">
      <c r="A27" s="315">
        <v>0</v>
      </c>
      <c r="B27" s="320">
        <v>0</v>
      </c>
      <c r="C27" s="320">
        <v>1</v>
      </c>
      <c r="D27" s="320">
        <v>1</v>
      </c>
      <c r="E27" s="316">
        <v>0</v>
      </c>
      <c r="F27" s="404">
        <v>0.97223822804304705</v>
      </c>
      <c r="G27" s="316"/>
      <c r="H27" s="307" t="s">
        <v>50</v>
      </c>
      <c r="I27" s="717">
        <f t="shared" si="10"/>
        <v>-1.4952004289141563E-3</v>
      </c>
      <c r="J27" s="700"/>
      <c r="K27" s="355"/>
      <c r="L27" s="355"/>
      <c r="M27" s="359">
        <v>2.4599000000000002</v>
      </c>
      <c r="N27" s="360">
        <v>4.1959999999999997</v>
      </c>
      <c r="O27" s="372">
        <f t="shared" si="13"/>
        <v>0.97167963284267078</v>
      </c>
      <c r="P27" s="359">
        <v>2.5070000000000001</v>
      </c>
      <c r="Q27" s="360">
        <v>4.2220000000000004</v>
      </c>
      <c r="R27" s="372">
        <f t="shared" si="14"/>
        <v>0.97095623619996607</v>
      </c>
      <c r="S27" s="359">
        <v>2.5211999999999999</v>
      </c>
      <c r="T27" s="360">
        <v>4.2460000000000004</v>
      </c>
      <c r="U27" s="372">
        <f t="shared" si="15"/>
        <v>0.97385805431652672</v>
      </c>
      <c r="V27" s="359">
        <v>2.5499999999999998</v>
      </c>
      <c r="W27" s="360">
        <v>4.37</v>
      </c>
      <c r="X27" s="372">
        <f t="shared" si="16"/>
        <v>0.97305389221556893</v>
      </c>
      <c r="Y27" s="359">
        <v>2.4498000000000002</v>
      </c>
      <c r="Z27" s="360">
        <v>4.2076000000000002</v>
      </c>
      <c r="AA27" s="372">
        <f t="shared" si="17"/>
        <v>0.97309565987599644</v>
      </c>
      <c r="AB27" s="359">
        <v>2.48</v>
      </c>
      <c r="AC27" s="360">
        <v>4.2279</v>
      </c>
      <c r="AD27" s="372">
        <f t="shared" si="18"/>
        <v>0.97078589280755345</v>
      </c>
      <c r="AF27" s="716">
        <v>0.9737334284719612</v>
      </c>
      <c r="AG27" s="369">
        <f t="shared" si="11"/>
        <v>0.97223822804304705</v>
      </c>
      <c r="AH27" s="5">
        <v>6</v>
      </c>
      <c r="AI27" s="319">
        <v>-2.6940737552016113E-2</v>
      </c>
      <c r="AJ27" s="371">
        <f t="shared" si="12"/>
        <v>0.99917896559506314</v>
      </c>
    </row>
    <row r="28" spans="1:38" ht="15.75">
      <c r="A28" s="315">
        <v>0</v>
      </c>
      <c r="B28" s="320">
        <v>0</v>
      </c>
      <c r="C28" s="320">
        <v>1</v>
      </c>
      <c r="D28" s="320">
        <v>1</v>
      </c>
      <c r="E28" s="316">
        <v>1</v>
      </c>
      <c r="F28" s="404">
        <v>0.96793265321338906</v>
      </c>
      <c r="G28" s="316"/>
      <c r="H28" s="307" t="s">
        <v>51</v>
      </c>
      <c r="I28" s="717">
        <f t="shared" si="10"/>
        <v>-1.1738102556733132E-3</v>
      </c>
      <c r="J28" s="700"/>
      <c r="K28" s="355"/>
      <c r="L28" s="355"/>
      <c r="M28" s="359">
        <v>2.4598</v>
      </c>
      <c r="N28" s="360">
        <v>4.1879999999999997</v>
      </c>
      <c r="O28" s="372">
        <f t="shared" si="13"/>
        <v>0.96725807354340398</v>
      </c>
      <c r="P28" s="359">
        <v>2.5076000000000001</v>
      </c>
      <c r="Q28" s="360">
        <v>4.2161999999999997</v>
      </c>
      <c r="R28" s="372">
        <f t="shared" si="14"/>
        <v>0.9673328426654586</v>
      </c>
      <c r="S28" s="359">
        <v>2.5213000000000001</v>
      </c>
      <c r="T28" s="360">
        <v>4.2375999999999996</v>
      </c>
      <c r="U28" s="372">
        <f t="shared" si="15"/>
        <v>0.96905877703122323</v>
      </c>
      <c r="V28" s="359">
        <v>2.5497000000000001</v>
      </c>
      <c r="W28" s="360">
        <v>4.3620000000000001</v>
      </c>
      <c r="X28" s="372">
        <f t="shared" si="16"/>
        <v>0.96893712574850299</v>
      </c>
      <c r="Y28" s="359">
        <v>2.4498000000000002</v>
      </c>
      <c r="Z28" s="360">
        <v>4.1999000000000004</v>
      </c>
      <c r="AA28" s="372">
        <f t="shared" si="17"/>
        <v>0.96883303808680254</v>
      </c>
      <c r="AB28" s="359">
        <v>2.4802</v>
      </c>
      <c r="AC28" s="360">
        <v>4.2198000000000002</v>
      </c>
      <c r="AD28" s="372">
        <f t="shared" si="18"/>
        <v>0.96617606220494323</v>
      </c>
      <c r="AF28" s="716">
        <v>0.96910646346906237</v>
      </c>
      <c r="AG28" s="369">
        <f t="shared" si="11"/>
        <v>0.96793265321338906</v>
      </c>
      <c r="AH28" s="619">
        <v>7</v>
      </c>
      <c r="AI28" s="319">
        <v>-3.1424881618596683E-2</v>
      </c>
      <c r="AJ28" s="371">
        <f t="shared" si="12"/>
        <v>0.99935753483198575</v>
      </c>
    </row>
    <row r="29" spans="1:38" s="619" customFormat="1" ht="15.75">
      <c r="A29" s="621">
        <v>0</v>
      </c>
      <c r="B29" s="622">
        <v>1</v>
      </c>
      <c r="C29" s="622">
        <v>0</v>
      </c>
      <c r="D29" s="622">
        <v>0</v>
      </c>
      <c r="E29" s="622">
        <v>0</v>
      </c>
      <c r="F29" s="623">
        <v>0.9632518975567913</v>
      </c>
      <c r="G29" s="622"/>
      <c r="H29" s="613" t="s">
        <v>52</v>
      </c>
      <c r="I29" s="717">
        <f t="shared" si="10"/>
        <v>-1.9524247340800827E-3</v>
      </c>
      <c r="J29" s="700"/>
      <c r="K29" s="624"/>
      <c r="L29" s="624"/>
      <c r="M29" s="616">
        <v>2.4605000000000001</v>
      </c>
      <c r="N29" s="617">
        <v>4.1797000000000004</v>
      </c>
      <c r="O29" s="618">
        <f t="shared" si="13"/>
        <v>0.96222085408854341</v>
      </c>
      <c r="P29" s="616">
        <v>2.5078</v>
      </c>
      <c r="Q29" s="617">
        <v>4.2089999999999996</v>
      </c>
      <c r="R29" s="618">
        <f t="shared" si="14"/>
        <v>0.96314329389118458</v>
      </c>
      <c r="S29" s="616">
        <v>2.5217999999999998</v>
      </c>
      <c r="T29" s="625">
        <v>4.2291999999999996</v>
      </c>
      <c r="U29" s="618">
        <f t="shared" si="15"/>
        <v>0.96403365140308261</v>
      </c>
      <c r="V29" s="616">
        <v>2.5495000000000001</v>
      </c>
      <c r="W29" s="617">
        <v>4.3520000000000003</v>
      </c>
      <c r="X29" s="618">
        <f t="shared" si="16"/>
        <v>0.96369760479041922</v>
      </c>
      <c r="Y29" s="616">
        <v>2.4504999999999999</v>
      </c>
      <c r="Z29" s="617">
        <v>4.1920000000000002</v>
      </c>
      <c r="AA29" s="618">
        <f t="shared" si="17"/>
        <v>0.96407218777679382</v>
      </c>
      <c r="AB29" s="616">
        <v>2.4805000000000001</v>
      </c>
      <c r="AC29" s="617">
        <v>4.2131999999999996</v>
      </c>
      <c r="AD29" s="618">
        <f t="shared" si="18"/>
        <v>0.96234379339072451</v>
      </c>
      <c r="AF29" s="716">
        <v>0.96520432229087139</v>
      </c>
      <c r="AG29" s="618">
        <f t="shared" si="11"/>
        <v>0.9632518975567913</v>
      </c>
      <c r="AH29" s="5">
        <v>8</v>
      </c>
      <c r="AI29" s="623">
        <v>-3.5909025685177252E-2</v>
      </c>
      <c r="AJ29" s="620">
        <f t="shared" si="12"/>
        <v>0.99916092324196859</v>
      </c>
    </row>
    <row r="30" spans="1:38" ht="15.75">
      <c r="A30" s="315">
        <v>0</v>
      </c>
      <c r="B30" s="320">
        <v>1</v>
      </c>
      <c r="C30" s="320">
        <v>0</v>
      </c>
      <c r="D30" s="320">
        <v>0</v>
      </c>
      <c r="E30" s="316">
        <v>1</v>
      </c>
      <c r="F30" s="404">
        <v>0.95905684463379071</v>
      </c>
      <c r="G30" s="316"/>
      <c r="H30" s="307" t="s">
        <v>53</v>
      </c>
      <c r="I30" s="717">
        <f t="shared" si="10"/>
        <v>-1.610871378316836E-3</v>
      </c>
      <c r="J30" s="700"/>
      <c r="K30" s="355"/>
      <c r="L30" s="355"/>
      <c r="M30" s="359">
        <v>2.4596</v>
      </c>
      <c r="N30" s="360">
        <v>4.1711999999999998</v>
      </c>
      <c r="O30" s="372">
        <f t="shared" si="13"/>
        <v>0.95796720210443842</v>
      </c>
      <c r="P30" s="359">
        <v>2.5087000000000002</v>
      </c>
      <c r="Q30" s="360">
        <v>4.2034000000000002</v>
      </c>
      <c r="R30" s="372">
        <f t="shared" si="14"/>
        <v>0.95946328483270105</v>
      </c>
      <c r="S30" s="359">
        <v>2.5213999999999999</v>
      </c>
      <c r="T30" s="360">
        <v>4.2210000000000001</v>
      </c>
      <c r="U30" s="372">
        <f t="shared" si="15"/>
        <v>0.95962960871774605</v>
      </c>
      <c r="V30" s="359">
        <v>2.5495000000000001</v>
      </c>
      <c r="W30" s="360">
        <v>4.3448000000000002</v>
      </c>
      <c r="X30" s="372">
        <f t="shared" si="16"/>
        <v>0.95984816082121471</v>
      </c>
      <c r="Y30" s="359">
        <v>2.4498000000000002</v>
      </c>
      <c r="Z30" s="360">
        <v>4.1833999999999998</v>
      </c>
      <c r="AA30" s="372">
        <f t="shared" si="17"/>
        <v>0.95969884853852949</v>
      </c>
      <c r="AB30" s="359">
        <v>2.4805999999999999</v>
      </c>
      <c r="AC30" s="360">
        <v>4.2050000000000001</v>
      </c>
      <c r="AD30" s="372">
        <f t="shared" si="18"/>
        <v>0.95773396278811451</v>
      </c>
      <c r="AF30" s="716">
        <v>0.96066771601210754</v>
      </c>
      <c r="AG30" s="369">
        <f t="shared" si="11"/>
        <v>0.95905684463379071</v>
      </c>
      <c r="AH30" s="619">
        <v>9</v>
      </c>
      <c r="AI30" s="319">
        <v>-4.0393169751757829E-2</v>
      </c>
      <c r="AJ30" s="371">
        <f t="shared" si="12"/>
        <v>0.99945001438554848</v>
      </c>
    </row>
    <row r="31" spans="1:38" ht="15.75">
      <c r="A31" s="315">
        <v>0</v>
      </c>
      <c r="B31" s="320">
        <v>1</v>
      </c>
      <c r="C31" s="320">
        <v>0</v>
      </c>
      <c r="D31" s="320">
        <v>1</v>
      </c>
      <c r="E31" s="316">
        <v>0</v>
      </c>
      <c r="F31" s="404">
        <v>0.95477402610246942</v>
      </c>
      <c r="G31" s="316"/>
      <c r="H31" s="307" t="s">
        <v>54</v>
      </c>
      <c r="I31" s="717">
        <f t="shared" si="10"/>
        <v>-1.2732673442243936E-3</v>
      </c>
      <c r="J31" s="700"/>
      <c r="K31" s="355"/>
      <c r="L31" s="355"/>
      <c r="M31" s="359">
        <v>2.4597000000000002</v>
      </c>
      <c r="N31" s="360">
        <v>4.1630000000000003</v>
      </c>
      <c r="O31" s="372">
        <f t="shared" si="13"/>
        <v>0.95332176638495569</v>
      </c>
      <c r="P31" s="359">
        <v>2.5078</v>
      </c>
      <c r="Q31" s="360">
        <v>4.1950000000000003</v>
      </c>
      <c r="R31" s="372">
        <f t="shared" si="14"/>
        <v>0.95521712053445063</v>
      </c>
      <c r="S31" s="359">
        <v>2.5213000000000001</v>
      </c>
      <c r="T31" s="360">
        <v>4.2126000000000001</v>
      </c>
      <c r="U31" s="372">
        <f t="shared" si="15"/>
        <v>0.95494325560386195</v>
      </c>
      <c r="V31" s="359">
        <v>2.5493999999999999</v>
      </c>
      <c r="W31" s="360">
        <v>4.335</v>
      </c>
      <c r="X31" s="372">
        <f t="shared" si="16"/>
        <v>0.95466210436270316</v>
      </c>
      <c r="Y31" s="359">
        <v>2.4497</v>
      </c>
      <c r="Z31" s="360">
        <v>4.1779999999999999</v>
      </c>
      <c r="AA31" s="372">
        <f t="shared" si="17"/>
        <v>0.95676483613817531</v>
      </c>
      <c r="AB31" s="359">
        <v>2.4805999999999999</v>
      </c>
      <c r="AC31" s="360">
        <v>4.1978</v>
      </c>
      <c r="AD31" s="372">
        <f t="shared" si="18"/>
        <v>0.95373507359066934</v>
      </c>
      <c r="AF31" s="716">
        <v>0.95604729344669381</v>
      </c>
      <c r="AG31" s="369">
        <f t="shared" si="11"/>
        <v>0.95477402610246942</v>
      </c>
      <c r="AH31" s="5">
        <v>10</v>
      </c>
      <c r="AI31" s="319">
        <v>-4.4877313818338399E-2</v>
      </c>
      <c r="AJ31" s="371">
        <f t="shared" si="12"/>
        <v>0.99965133992080779</v>
      </c>
    </row>
    <row r="32" spans="1:38" ht="15.75">
      <c r="A32" s="315">
        <v>0</v>
      </c>
      <c r="B32" s="320">
        <v>1</v>
      </c>
      <c r="C32" s="320">
        <v>0</v>
      </c>
      <c r="D32" s="320">
        <v>1</v>
      </c>
      <c r="E32" s="316">
        <v>1</v>
      </c>
      <c r="F32" s="404">
        <v>0.94996086680916358</v>
      </c>
      <c r="G32" s="316"/>
      <c r="H32" s="307" t="s">
        <v>55</v>
      </c>
      <c r="I32" s="717">
        <f t="shared" si="10"/>
        <v>-1.7315077096254905E-3</v>
      </c>
      <c r="J32" s="700"/>
      <c r="K32" s="355"/>
      <c r="L32" s="355"/>
      <c r="M32" s="359">
        <v>2.4598</v>
      </c>
      <c r="N32" s="360">
        <v>4.1562000000000001</v>
      </c>
      <c r="O32" s="372">
        <f t="shared" si="13"/>
        <v>0.949459898136229</v>
      </c>
      <c r="P32" s="359">
        <v>2.5083000000000002</v>
      </c>
      <c r="Q32" s="360">
        <v>4.1866000000000003</v>
      </c>
      <c r="R32" s="372">
        <f t="shared" si="14"/>
        <v>0.9501783389005265</v>
      </c>
      <c r="S32" s="359">
        <v>2.5211999999999999</v>
      </c>
      <c r="T32" s="360">
        <v>4.2045000000000003</v>
      </c>
      <c r="U32" s="372">
        <f t="shared" si="15"/>
        <v>0.95042628874710655</v>
      </c>
      <c r="V32" s="359">
        <v>2.5493999999999999</v>
      </c>
      <c r="W32" s="360">
        <v>4.3262</v>
      </c>
      <c r="X32" s="372">
        <f t="shared" si="16"/>
        <v>0.94995722840034225</v>
      </c>
      <c r="Y32" s="359">
        <v>2.4498000000000002</v>
      </c>
      <c r="Z32" s="374">
        <v>4.1680000000000001</v>
      </c>
      <c r="AA32" s="372">
        <f t="shared" si="17"/>
        <v>0.95117360496014169</v>
      </c>
      <c r="AB32" s="359">
        <v>2.4805999999999999</v>
      </c>
      <c r="AC32" s="360">
        <v>4.1885000000000003</v>
      </c>
      <c r="AD32" s="372">
        <f t="shared" si="18"/>
        <v>0.94856984171063619</v>
      </c>
      <c r="AF32" s="716">
        <v>0.95169237451878907</v>
      </c>
      <c r="AG32" s="369">
        <f t="shared" si="11"/>
        <v>0.94996086680916358</v>
      </c>
      <c r="AH32" s="619">
        <v>11</v>
      </c>
      <c r="AI32" s="319">
        <v>-4.9361457884918969E-2</v>
      </c>
      <c r="AJ32" s="371">
        <f t="shared" si="12"/>
        <v>0.99932232469408255</v>
      </c>
    </row>
    <row r="33" spans="1:36" ht="15.75">
      <c r="A33" s="315">
        <v>0</v>
      </c>
      <c r="B33" s="320">
        <v>1</v>
      </c>
      <c r="C33" s="320">
        <v>1</v>
      </c>
      <c r="D33" s="320">
        <v>0</v>
      </c>
      <c r="E33" s="316">
        <v>0</v>
      </c>
      <c r="F33" s="404">
        <v>0.94585707090276638</v>
      </c>
      <c r="G33" s="316"/>
      <c r="H33" s="307" t="s">
        <v>56</v>
      </c>
      <c r="I33" s="717">
        <f t="shared" si="10"/>
        <v>-1.7919761333747841E-3</v>
      </c>
      <c r="J33" s="700"/>
      <c r="K33" s="355"/>
      <c r="L33" s="355"/>
      <c r="M33" s="359">
        <v>2.4597000000000002</v>
      </c>
      <c r="N33" s="360">
        <v>4.1500000000000004</v>
      </c>
      <c r="O33" s="372">
        <f t="shared" si="13"/>
        <v>0.94604578272793438</v>
      </c>
      <c r="P33" s="359">
        <v>2.5087999999999999</v>
      </c>
      <c r="Q33" s="360">
        <v>4.1790000000000003</v>
      </c>
      <c r="R33" s="372">
        <f t="shared" si="14"/>
        <v>0.94559248145841601</v>
      </c>
      <c r="S33" s="359">
        <v>2.5209999999999999</v>
      </c>
      <c r="T33" s="360">
        <v>4.1974999999999998</v>
      </c>
      <c r="U33" s="372">
        <f t="shared" si="15"/>
        <v>0.94658686691886385</v>
      </c>
      <c r="V33" s="359">
        <v>2.5499999999999998</v>
      </c>
      <c r="W33" s="360">
        <v>4.32</v>
      </c>
      <c r="X33" s="372">
        <f t="shared" si="16"/>
        <v>0.94632164242942707</v>
      </c>
      <c r="Y33" s="359">
        <v>2.4495</v>
      </c>
      <c r="Z33" s="360">
        <v>4.1586999999999996</v>
      </c>
      <c r="AA33" s="372">
        <f t="shared" si="17"/>
        <v>0.94619131975199267</v>
      </c>
      <c r="AB33" s="359">
        <v>2.4805999999999999</v>
      </c>
      <c r="AC33" s="360">
        <v>4.181</v>
      </c>
      <c r="AD33" s="372">
        <f t="shared" si="18"/>
        <v>0.944404332129964</v>
      </c>
      <c r="AF33" s="716">
        <v>0.94764904703614117</v>
      </c>
      <c r="AG33" s="369">
        <f t="shared" si="11"/>
        <v>0.94585707090276638</v>
      </c>
      <c r="AH33" s="5">
        <v>12</v>
      </c>
      <c r="AI33" s="319">
        <v>-5.3845601951499539E-2</v>
      </c>
      <c r="AJ33" s="371">
        <f t="shared" si="12"/>
        <v>0.99970267285426595</v>
      </c>
    </row>
    <row r="34" spans="1:36" ht="15.75">
      <c r="A34" s="315">
        <v>0</v>
      </c>
      <c r="B34" s="320">
        <v>1</v>
      </c>
      <c r="C34" s="320">
        <v>1</v>
      </c>
      <c r="D34" s="320">
        <v>0</v>
      </c>
      <c r="E34" s="316">
        <v>1</v>
      </c>
      <c r="F34" s="404">
        <v>0.94222611728094252</v>
      </c>
      <c r="G34" s="316"/>
      <c r="H34" s="307" t="s">
        <v>57</v>
      </c>
      <c r="I34" s="717">
        <f t="shared" si="10"/>
        <v>-9.6377193979113596E-4</v>
      </c>
      <c r="J34" s="700"/>
      <c r="K34" s="355"/>
      <c r="L34" s="355"/>
      <c r="M34" s="359">
        <v>2.4609999999999999</v>
      </c>
      <c r="N34" s="360">
        <v>4.1449999999999996</v>
      </c>
      <c r="O34" s="372">
        <f t="shared" si="13"/>
        <v>0.94251972910953152</v>
      </c>
      <c r="P34" s="359">
        <v>2.508</v>
      </c>
      <c r="Q34" s="360">
        <v>4.1710000000000003</v>
      </c>
      <c r="R34" s="372">
        <f t="shared" si="14"/>
        <v>0.94151616373209535</v>
      </c>
      <c r="S34" s="359">
        <v>2.5211999999999999</v>
      </c>
      <c r="T34" s="360">
        <v>4.1897000000000002</v>
      </c>
      <c r="U34" s="372">
        <f t="shared" si="15"/>
        <v>0.94206990006210845</v>
      </c>
      <c r="V34" s="359">
        <v>2.5499999999999998</v>
      </c>
      <c r="W34" s="360">
        <v>4.3127000000000004</v>
      </c>
      <c r="X34" s="372">
        <f t="shared" si="16"/>
        <v>0.94241873396065046</v>
      </c>
      <c r="Y34" s="359">
        <v>2.4498000000000002</v>
      </c>
      <c r="Z34" s="360">
        <v>4.1520000000000001</v>
      </c>
      <c r="AA34" s="372">
        <f t="shared" si="17"/>
        <v>0.94231620903454383</v>
      </c>
      <c r="AB34" s="359">
        <v>2.4790000000000001</v>
      </c>
      <c r="AC34" s="360">
        <v>4.1760000000000002</v>
      </c>
      <c r="AD34" s="372">
        <f t="shared" si="18"/>
        <v>0.94251596778672597</v>
      </c>
      <c r="AF34" s="716">
        <v>0.94318988922073366</v>
      </c>
      <c r="AG34" s="369">
        <f t="shared" si="11"/>
        <v>0.94222611728094252</v>
      </c>
      <c r="AH34" s="619">
        <v>13</v>
      </c>
      <c r="AI34" s="319">
        <v>-5.8329746018080109E-2</v>
      </c>
      <c r="AJ34" s="371">
        <f t="shared" si="12"/>
        <v>1.0005558632990226</v>
      </c>
    </row>
    <row r="35" spans="1:36" ht="15.75">
      <c r="A35" s="315">
        <v>0</v>
      </c>
      <c r="B35" s="320">
        <v>1</v>
      </c>
      <c r="C35" s="320">
        <v>1</v>
      </c>
      <c r="D35" s="320">
        <v>1</v>
      </c>
      <c r="E35" s="316">
        <v>0</v>
      </c>
      <c r="F35" s="404">
        <v>0.93691735304209101</v>
      </c>
      <c r="G35" s="316"/>
      <c r="H35" s="307" t="s">
        <v>58</v>
      </c>
      <c r="I35" s="717">
        <f t="shared" si="10"/>
        <v>-1.6556290894264025E-3</v>
      </c>
      <c r="J35" s="700"/>
      <c r="K35" s="355"/>
      <c r="L35" s="355"/>
      <c r="M35" s="359">
        <v>2.4597000000000002</v>
      </c>
      <c r="N35" s="360">
        <v>4.1314000000000002</v>
      </c>
      <c r="O35" s="372">
        <f t="shared" si="13"/>
        <v>0.93563552918788839</v>
      </c>
      <c r="P35" s="359">
        <v>2.5085000000000002</v>
      </c>
      <c r="Q35" s="360">
        <v>4.1630000000000003</v>
      </c>
      <c r="R35" s="372">
        <f t="shared" si="14"/>
        <v>0.93670384419407793</v>
      </c>
      <c r="S35" s="359">
        <v>2.5211999999999999</v>
      </c>
      <c r="T35" s="360">
        <v>4.1816000000000004</v>
      </c>
      <c r="U35" s="372">
        <f t="shared" si="15"/>
        <v>0.9374964711196434</v>
      </c>
      <c r="V35" s="359">
        <v>2.5499000000000001</v>
      </c>
      <c r="W35" s="360">
        <v>4.3041</v>
      </c>
      <c r="X35" s="372">
        <f t="shared" si="16"/>
        <v>0.93787425149700598</v>
      </c>
      <c r="Y35" s="359">
        <v>2.4497</v>
      </c>
      <c r="Z35" s="360">
        <v>4.1440000000000001</v>
      </c>
      <c r="AA35" s="372">
        <f t="shared" si="17"/>
        <v>0.93794286979627994</v>
      </c>
      <c r="AB35" s="359">
        <v>2.48</v>
      </c>
      <c r="AC35" s="360">
        <v>4.165</v>
      </c>
      <c r="AD35" s="372">
        <f t="shared" si="18"/>
        <v>0.93585115245765071</v>
      </c>
      <c r="AF35" s="716">
        <v>0.93857298213151741</v>
      </c>
      <c r="AG35" s="369">
        <f t="shared" si="11"/>
        <v>0.93691735304209101</v>
      </c>
      <c r="AH35" s="5">
        <v>14</v>
      </c>
      <c r="AI35" s="319">
        <v>-6.2813890084660678E-2</v>
      </c>
      <c r="AJ35" s="371">
        <f t="shared" si="12"/>
        <v>0.99973124312675166</v>
      </c>
    </row>
    <row r="36" spans="1:36" ht="15.75">
      <c r="A36" s="315">
        <v>0</v>
      </c>
      <c r="B36" s="320">
        <v>1</v>
      </c>
      <c r="C36" s="320">
        <v>1</v>
      </c>
      <c r="D36" s="320">
        <v>1</v>
      </c>
      <c r="E36" s="316">
        <v>1</v>
      </c>
      <c r="F36" s="404">
        <v>0.93252454339438806</v>
      </c>
      <c r="G36" s="316"/>
      <c r="H36" s="307" t="s">
        <v>59</v>
      </c>
      <c r="I36" s="717">
        <f t="shared" si="10"/>
        <v>-1.84796735898618E-3</v>
      </c>
      <c r="J36" s="700"/>
      <c r="K36" s="355"/>
      <c r="L36" s="355"/>
      <c r="M36" s="359">
        <v>2.4601000000000002</v>
      </c>
      <c r="N36" s="360">
        <v>4.1245000000000003</v>
      </c>
      <c r="O36" s="372">
        <f t="shared" si="13"/>
        <v>0.93154978451894577</v>
      </c>
      <c r="P36" s="359">
        <v>2.5093000000000001</v>
      </c>
      <c r="Q36" s="360">
        <v>4.1562000000000001</v>
      </c>
      <c r="R36" s="372">
        <f t="shared" si="14"/>
        <v>0.93240106437185066</v>
      </c>
      <c r="S36" s="359">
        <v>2.5213000000000001</v>
      </c>
      <c r="T36" s="360">
        <v>4.1722999999999999</v>
      </c>
      <c r="U36" s="372">
        <f t="shared" si="15"/>
        <v>0.93218903506295503</v>
      </c>
      <c r="V36" s="359">
        <v>2.5499999999999998</v>
      </c>
      <c r="W36" s="360">
        <v>4.2939999999999996</v>
      </c>
      <c r="X36" s="372">
        <f t="shared" si="16"/>
        <v>0.93242087254063288</v>
      </c>
      <c r="Y36" s="359">
        <v>2.4497</v>
      </c>
      <c r="Z36" s="360">
        <v>4.1369999999999996</v>
      </c>
      <c r="AA36" s="372">
        <f t="shared" si="17"/>
        <v>0.93406775907883055</v>
      </c>
      <c r="AB36" s="359">
        <v>2.48</v>
      </c>
      <c r="AC36" s="360">
        <v>4.1589999999999998</v>
      </c>
      <c r="AD36" s="372">
        <f t="shared" si="18"/>
        <v>0.93251874479311292</v>
      </c>
      <c r="AF36" s="716">
        <v>0.93437251075337424</v>
      </c>
      <c r="AG36" s="369">
        <f t="shared" si="11"/>
        <v>0.93252454339438806</v>
      </c>
      <c r="AH36" s="619">
        <v>15</v>
      </c>
      <c r="AI36" s="319">
        <v>-6.7298034151241248E-2</v>
      </c>
      <c r="AJ36" s="371">
        <f t="shared" si="12"/>
        <v>0.99982257754562931</v>
      </c>
    </row>
    <row r="37" spans="1:36" s="619" customFormat="1" ht="15.75">
      <c r="A37" s="621">
        <v>1</v>
      </c>
      <c r="B37" s="622">
        <v>0</v>
      </c>
      <c r="C37" s="622">
        <v>0</v>
      </c>
      <c r="D37" s="622">
        <v>0</v>
      </c>
      <c r="E37" s="622">
        <v>0</v>
      </c>
      <c r="F37" s="623">
        <v>0.92831171090103737</v>
      </c>
      <c r="G37" s="622"/>
      <c r="H37" s="613" t="s">
        <v>60</v>
      </c>
      <c r="I37" s="717">
        <f t="shared" si="10"/>
        <v>-1.9506252030119242E-3</v>
      </c>
      <c r="J37" s="700"/>
      <c r="K37" s="624"/>
      <c r="L37" s="624"/>
      <c r="M37" s="616">
        <v>2.4598</v>
      </c>
      <c r="N37" s="617">
        <v>4.1158000000000001</v>
      </c>
      <c r="O37" s="618">
        <f t="shared" si="13"/>
        <v>0.92684837969440892</v>
      </c>
      <c r="P37" s="616">
        <v>2.5089999999999999</v>
      </c>
      <c r="Q37" s="617">
        <v>4.1496000000000004</v>
      </c>
      <c r="R37" s="618">
        <f t="shared" si="14"/>
        <v>0.92883428636132048</v>
      </c>
      <c r="S37" s="616">
        <v>2.5213000000000001</v>
      </c>
      <c r="T37" s="617">
        <v>4.1653000000000002</v>
      </c>
      <c r="U37" s="618">
        <f t="shared" si="15"/>
        <v>0.92823668906329404</v>
      </c>
      <c r="V37" s="616">
        <v>2.5499000000000001</v>
      </c>
      <c r="W37" s="617">
        <v>4.2869999999999999</v>
      </c>
      <c r="X37" s="618">
        <f t="shared" si="16"/>
        <v>0.92873182207014537</v>
      </c>
      <c r="Y37" s="616">
        <v>2.4497</v>
      </c>
      <c r="Z37" s="617">
        <v>4.1265999999999998</v>
      </c>
      <c r="AA37" s="618">
        <f t="shared" si="17"/>
        <v>0.92831045172719207</v>
      </c>
      <c r="AB37" s="616">
        <v>2.4805000000000001</v>
      </c>
      <c r="AC37" s="617">
        <v>4.1529999999999996</v>
      </c>
      <c r="AD37" s="618">
        <f t="shared" si="18"/>
        <v>0.92890863648986366</v>
      </c>
      <c r="AF37" s="716">
        <v>0.93026233610404929</v>
      </c>
      <c r="AG37" s="618">
        <f t="shared" si="11"/>
        <v>0.92831171090103737</v>
      </c>
      <c r="AH37" s="5">
        <v>16</v>
      </c>
      <c r="AI37" s="623">
        <v>-7.1782178217821818E-2</v>
      </c>
      <c r="AJ37" s="620">
        <f t="shared" si="12"/>
        <v>1.0000938891188591</v>
      </c>
    </row>
    <row r="38" spans="1:36" ht="15.75">
      <c r="A38" s="315">
        <v>1</v>
      </c>
      <c r="B38" s="316">
        <v>0</v>
      </c>
      <c r="C38" s="316">
        <v>0</v>
      </c>
      <c r="D38" s="316">
        <v>0</v>
      </c>
      <c r="E38" s="316">
        <v>1</v>
      </c>
      <c r="F38" s="404">
        <v>0.92375386722740283</v>
      </c>
      <c r="G38" s="316"/>
      <c r="H38" s="307" t="s">
        <v>61</v>
      </c>
      <c r="I38" s="717">
        <f t="shared" si="10"/>
        <v>-2.1564807107939954E-3</v>
      </c>
      <c r="J38" s="321"/>
      <c r="K38" s="321"/>
      <c r="L38" s="321"/>
      <c r="M38" s="359">
        <v>2.46</v>
      </c>
      <c r="N38" s="360">
        <v>4.1074999999999999</v>
      </c>
      <c r="O38" s="372">
        <f t="shared" si="13"/>
        <v>0.92209100576481795</v>
      </c>
      <c r="P38" s="359">
        <v>2.5084</v>
      </c>
      <c r="Q38" s="360">
        <v>4.1394000000000002</v>
      </c>
      <c r="R38" s="372">
        <f t="shared" si="14"/>
        <v>0.92339919605955956</v>
      </c>
      <c r="S38" s="359">
        <v>2.5209999999999999</v>
      </c>
      <c r="T38" s="360">
        <v>4.1567999999999996</v>
      </c>
      <c r="U38" s="372">
        <f t="shared" si="15"/>
        <v>0.92360679803511914</v>
      </c>
      <c r="V38" s="359">
        <v>2.5497999999999998</v>
      </c>
      <c r="W38" s="360">
        <v>4.2779999999999996</v>
      </c>
      <c r="X38" s="372">
        <f t="shared" si="16"/>
        <v>0.92397348160821202</v>
      </c>
      <c r="Y38" s="359">
        <v>2.4502000000000002</v>
      </c>
      <c r="Z38" s="360">
        <v>4.1219999999999999</v>
      </c>
      <c r="AA38" s="372">
        <f t="shared" si="17"/>
        <v>0.92548715677590776</v>
      </c>
      <c r="AB38" s="359">
        <v>2.4803999999999999</v>
      </c>
      <c r="AC38" s="360">
        <v>4.1440000000000001</v>
      </c>
      <c r="AD38" s="372">
        <f t="shared" si="18"/>
        <v>0.92396556512079986</v>
      </c>
      <c r="AF38" s="716">
        <v>0.92591034793819682</v>
      </c>
      <c r="AG38" s="369">
        <f t="shared" si="11"/>
        <v>0.92375386722740283</v>
      </c>
      <c r="AH38" s="619">
        <v>17</v>
      </c>
      <c r="AI38" s="319">
        <v>-7.6266322284402388E-2</v>
      </c>
      <c r="AJ38" s="371">
        <f t="shared" si="12"/>
        <v>1.0000201895118053</v>
      </c>
    </row>
    <row r="39" spans="1:36" ht="15.75">
      <c r="A39" s="315">
        <v>1</v>
      </c>
      <c r="B39" s="320">
        <v>0</v>
      </c>
      <c r="C39" s="320">
        <v>0</v>
      </c>
      <c r="D39" s="320">
        <v>1</v>
      </c>
      <c r="E39" s="316">
        <v>0</v>
      </c>
      <c r="F39" s="404">
        <v>0.91899574275966678</v>
      </c>
      <c r="G39" s="316"/>
      <c r="H39" s="307" t="s">
        <v>62</v>
      </c>
      <c r="I39" s="717">
        <f t="shared" si="10"/>
        <v>-2.2637776336473792E-3</v>
      </c>
      <c r="J39" s="322"/>
      <c r="K39" s="322"/>
      <c r="L39" s="322"/>
      <c r="M39" s="359">
        <v>2.4597000000000002</v>
      </c>
      <c r="N39" s="360">
        <v>4.0997000000000003</v>
      </c>
      <c r="O39" s="372">
        <f t="shared" si="13"/>
        <v>0.9178933228857673</v>
      </c>
      <c r="P39" s="359">
        <v>2.5085000000000002</v>
      </c>
      <c r="Q39" s="360">
        <v>4.1317000000000004</v>
      </c>
      <c r="R39" s="372">
        <f t="shared" si="14"/>
        <v>0.91898318518937894</v>
      </c>
      <c r="S39" s="359">
        <v>2.5213000000000001</v>
      </c>
      <c r="T39" s="360">
        <v>4.149</v>
      </c>
      <c r="U39" s="372">
        <f t="shared" si="15"/>
        <v>0.91903336909265421</v>
      </c>
      <c r="V39" s="359">
        <v>2.5499999999999998</v>
      </c>
      <c r="W39" s="360">
        <v>4.2699999999999996</v>
      </c>
      <c r="X39" s="372">
        <f t="shared" si="16"/>
        <v>0.91958939264328465</v>
      </c>
      <c r="Y39" s="359">
        <v>2.4497</v>
      </c>
      <c r="Z39" s="360">
        <v>4.1108000000000002</v>
      </c>
      <c r="AA39" s="372">
        <f t="shared" si="17"/>
        <v>0.91956377325066441</v>
      </c>
      <c r="AB39" s="359">
        <v>2.48</v>
      </c>
      <c r="AC39" s="360">
        <v>4.1345000000000001</v>
      </c>
      <c r="AD39" s="372">
        <f t="shared" si="18"/>
        <v>0.91891141349625105</v>
      </c>
      <c r="AF39" s="716">
        <v>0.92125952039331416</v>
      </c>
      <c r="AG39" s="369">
        <f t="shared" si="11"/>
        <v>0.91899574275966678</v>
      </c>
      <c r="AH39" s="5">
        <v>18</v>
      </c>
      <c r="AI39" s="319">
        <v>-8.0750466350982958E-2</v>
      </c>
      <c r="AJ39" s="371">
        <f t="shared" si="12"/>
        <v>0.99974620911064971</v>
      </c>
    </row>
    <row r="40" spans="1:36" ht="15.75">
      <c r="A40" s="315">
        <v>1</v>
      </c>
      <c r="B40" s="320">
        <v>0</v>
      </c>
      <c r="C40" s="320">
        <v>0</v>
      </c>
      <c r="D40" s="320">
        <v>1</v>
      </c>
      <c r="E40" s="316">
        <v>1</v>
      </c>
      <c r="F40" s="404">
        <v>0.91501584234971434</v>
      </c>
      <c r="G40" s="316"/>
      <c r="H40" s="307" t="s">
        <v>63</v>
      </c>
      <c r="I40" s="717">
        <f t="shared" si="10"/>
        <v>-2.1248657448409425E-3</v>
      </c>
      <c r="J40" s="321"/>
      <c r="K40" s="321"/>
      <c r="L40" s="321"/>
      <c r="M40" s="359">
        <v>2.4601999999999999</v>
      </c>
      <c r="N40" s="360">
        <v>4.093</v>
      </c>
      <c r="O40" s="372">
        <f t="shared" si="13"/>
        <v>0.91386354732187847</v>
      </c>
      <c r="P40" s="359">
        <v>2.5085000000000002</v>
      </c>
      <c r="Q40" s="360">
        <v>4.1239999999999997</v>
      </c>
      <c r="R40" s="372">
        <f t="shared" si="14"/>
        <v>0.91462378984317461</v>
      </c>
      <c r="S40" s="359">
        <v>2.5209999999999999</v>
      </c>
      <c r="T40" s="360">
        <v>4.1429999999999998</v>
      </c>
      <c r="U40" s="372">
        <f t="shared" si="15"/>
        <v>0.91581503020721577</v>
      </c>
      <c r="V40" s="359">
        <v>2.5501999999999998</v>
      </c>
      <c r="W40" s="360">
        <v>4.2626999999999997</v>
      </c>
      <c r="X40" s="372">
        <f t="shared" si="16"/>
        <v>0.91557955517536349</v>
      </c>
      <c r="Y40" s="359">
        <v>2.4496000000000002</v>
      </c>
      <c r="Z40" s="360">
        <v>4.1032999999999999</v>
      </c>
      <c r="AA40" s="372">
        <f t="shared" si="17"/>
        <v>0.91546722763507515</v>
      </c>
      <c r="AB40" s="359">
        <v>2.48</v>
      </c>
      <c r="AC40" s="360">
        <v>4.1269999999999998</v>
      </c>
      <c r="AD40" s="372">
        <f t="shared" si="18"/>
        <v>0.91474590391557886</v>
      </c>
      <c r="AF40" s="716">
        <v>0.91714070809455528</v>
      </c>
      <c r="AG40" s="369">
        <f t="shared" si="11"/>
        <v>0.91501584234971434</v>
      </c>
      <c r="AH40" s="619">
        <v>19</v>
      </c>
      <c r="AI40" s="319">
        <v>-8.5234610417563542E-2</v>
      </c>
      <c r="AJ40" s="371">
        <f t="shared" si="12"/>
        <v>1.000250452767278</v>
      </c>
    </row>
    <row r="41" spans="1:36" ht="15.75">
      <c r="A41" s="315">
        <v>1</v>
      </c>
      <c r="B41" s="320">
        <v>0</v>
      </c>
      <c r="C41" s="320">
        <v>1</v>
      </c>
      <c r="D41" s="320">
        <v>0</v>
      </c>
      <c r="E41" s="316">
        <v>0</v>
      </c>
      <c r="F41" s="404">
        <v>0.91028043928727687</v>
      </c>
      <c r="G41" s="316"/>
      <c r="H41" s="307" t="s">
        <v>64</v>
      </c>
      <c r="I41" s="717">
        <f t="shared" si="10"/>
        <v>-2.6185392475860381E-3</v>
      </c>
      <c r="J41" s="322"/>
      <c r="K41" s="322"/>
      <c r="L41" s="322"/>
      <c r="M41" s="359">
        <v>2.46</v>
      </c>
      <c r="N41" s="360">
        <v>4.0839999999999996</v>
      </c>
      <c r="O41" s="372">
        <f t="shared" si="13"/>
        <v>0.90893826607712536</v>
      </c>
      <c r="P41" s="359">
        <v>2.5082</v>
      </c>
      <c r="Q41" s="360">
        <v>4.1180000000000003</v>
      </c>
      <c r="R41" s="372">
        <f t="shared" si="14"/>
        <v>0.9113967049765046</v>
      </c>
      <c r="S41" s="359">
        <v>2.5213000000000001</v>
      </c>
      <c r="T41" s="360">
        <v>4.1340000000000003</v>
      </c>
      <c r="U41" s="372">
        <f t="shared" si="15"/>
        <v>0.91056405623623748</v>
      </c>
      <c r="V41" s="359">
        <v>2.5497999999999998</v>
      </c>
      <c r="W41" s="360">
        <v>4.2530999999999999</v>
      </c>
      <c r="X41" s="372">
        <f t="shared" si="16"/>
        <v>0.91066082121471337</v>
      </c>
      <c r="Y41" s="359">
        <v>2.4499</v>
      </c>
      <c r="Z41" s="360">
        <v>4.0937000000000001</v>
      </c>
      <c r="AA41" s="372">
        <f t="shared" si="17"/>
        <v>0.90998671390611163</v>
      </c>
      <c r="AB41" s="359">
        <v>2.4805000000000001</v>
      </c>
      <c r="AC41" s="360">
        <v>4.1192000000000002</v>
      </c>
      <c r="AD41" s="372">
        <f t="shared" si="18"/>
        <v>0.91013607331296864</v>
      </c>
      <c r="AF41" s="716">
        <v>0.9128989785348629</v>
      </c>
      <c r="AG41" s="369">
        <f t="shared" si="11"/>
        <v>0.91028043928727687</v>
      </c>
      <c r="AH41" s="5">
        <v>20</v>
      </c>
      <c r="AI41" s="319">
        <v>-8.9718754484144111E-2</v>
      </c>
      <c r="AJ41" s="371">
        <f t="shared" si="12"/>
        <v>0.99999919377142099</v>
      </c>
    </row>
    <row r="42" spans="1:36" ht="15.75">
      <c r="A42" s="315">
        <v>1</v>
      </c>
      <c r="B42" s="320">
        <v>0</v>
      </c>
      <c r="C42" s="320">
        <v>1</v>
      </c>
      <c r="D42" s="320">
        <v>0</v>
      </c>
      <c r="E42" s="316">
        <v>1</v>
      </c>
      <c r="F42" s="404">
        <v>0.90552488153490929</v>
      </c>
      <c r="G42" s="316"/>
      <c r="H42" s="307" t="s">
        <v>65</v>
      </c>
      <c r="I42" s="717">
        <f t="shared" si="10"/>
        <v>-2.8175908391646631E-3</v>
      </c>
      <c r="J42" s="322"/>
      <c r="K42" s="322"/>
      <c r="L42" s="322"/>
      <c r="M42" s="359">
        <v>2.46</v>
      </c>
      <c r="N42" s="360">
        <v>4.0759999999999996</v>
      </c>
      <c r="O42" s="372">
        <f t="shared" si="13"/>
        <v>0.90446073767280455</v>
      </c>
      <c r="P42" s="359">
        <v>2.5078999999999998</v>
      </c>
      <c r="Q42" s="360">
        <v>4.109</v>
      </c>
      <c r="R42" s="372">
        <f t="shared" si="14"/>
        <v>0.90647115439053394</v>
      </c>
      <c r="S42" s="359">
        <v>2.5213999999999999</v>
      </c>
      <c r="T42" s="360">
        <v>4.1260000000000003</v>
      </c>
      <c r="U42" s="372">
        <f t="shared" si="15"/>
        <v>0.90599062729377244</v>
      </c>
      <c r="V42" s="359">
        <v>2.5497999999999998</v>
      </c>
      <c r="W42" s="360">
        <v>4.2432999999999996</v>
      </c>
      <c r="X42" s="372">
        <f t="shared" si="16"/>
        <v>0.90542130025662948</v>
      </c>
      <c r="Y42" s="359">
        <v>2.4497</v>
      </c>
      <c r="Z42" s="360">
        <v>4.0861000000000001</v>
      </c>
      <c r="AA42" s="372">
        <f t="shared" si="17"/>
        <v>0.9058901682905226</v>
      </c>
      <c r="AB42" s="359">
        <v>2.48</v>
      </c>
      <c r="AC42" s="360">
        <v>4.1093000000000002</v>
      </c>
      <c r="AD42" s="372">
        <f t="shared" si="18"/>
        <v>0.90491530130519315</v>
      </c>
      <c r="AF42" s="716">
        <v>0.90834247237407395</v>
      </c>
      <c r="AG42" s="369">
        <f t="shared" si="11"/>
        <v>0.90552488153490929</v>
      </c>
      <c r="AH42" s="619">
        <v>21</v>
      </c>
      <c r="AI42" s="319">
        <v>-9.4202898550724681E-2</v>
      </c>
      <c r="AJ42" s="371">
        <f t="shared" si="12"/>
        <v>0.99972778008563401</v>
      </c>
    </row>
    <row r="43" spans="1:36" ht="15.75">
      <c r="A43" s="315">
        <v>1</v>
      </c>
      <c r="B43" s="320">
        <v>0</v>
      </c>
      <c r="C43" s="320">
        <v>1</v>
      </c>
      <c r="D43" s="320">
        <v>1</v>
      </c>
      <c r="E43" s="316">
        <v>0</v>
      </c>
      <c r="F43" s="404">
        <v>0.90094800555146115</v>
      </c>
      <c r="G43" s="316"/>
      <c r="H43" s="307" t="s">
        <v>66</v>
      </c>
      <c r="I43" s="717">
        <f t="shared" si="10"/>
        <v>-3.0623785387856595E-3</v>
      </c>
      <c r="J43" s="322"/>
      <c r="K43" s="322"/>
      <c r="L43" s="322"/>
      <c r="M43" s="359">
        <v>2.46</v>
      </c>
      <c r="N43" s="360">
        <v>4.0670000000000002</v>
      </c>
      <c r="O43" s="372">
        <f t="shared" si="13"/>
        <v>0.89942351821794397</v>
      </c>
      <c r="P43" s="359">
        <v>2.5074999999999998</v>
      </c>
      <c r="Q43" s="360">
        <v>4.1003999999999996</v>
      </c>
      <c r="R43" s="372">
        <f t="shared" si="14"/>
        <v>0.90182868142444639</v>
      </c>
      <c r="S43" s="359">
        <v>2.5213000000000001</v>
      </c>
      <c r="T43" s="360">
        <v>4.1181999999999999</v>
      </c>
      <c r="U43" s="372">
        <f t="shared" si="15"/>
        <v>0.90164304669414463</v>
      </c>
      <c r="V43" s="359">
        <v>2.5499999999999998</v>
      </c>
      <c r="W43" s="360">
        <v>4.2359</v>
      </c>
      <c r="X43" s="372">
        <f t="shared" si="16"/>
        <v>0.9013579982891361</v>
      </c>
      <c r="Y43" s="359">
        <v>2.4498000000000002</v>
      </c>
      <c r="Z43" s="360">
        <v>4.0776000000000003</v>
      </c>
      <c r="AA43" s="372">
        <f t="shared" si="17"/>
        <v>0.90112931798051377</v>
      </c>
      <c r="AB43" s="359">
        <v>2.48</v>
      </c>
      <c r="AC43" s="360">
        <v>4.101</v>
      </c>
      <c r="AD43" s="372">
        <f t="shared" si="18"/>
        <v>0.9003054707025826</v>
      </c>
      <c r="AF43" s="716">
        <v>0.90401038409024681</v>
      </c>
      <c r="AG43" s="369">
        <f t="shared" si="11"/>
        <v>0.90094800555146115</v>
      </c>
      <c r="AH43" s="5">
        <v>22</v>
      </c>
      <c r="AI43" s="319">
        <v>-9.8687042617305251E-2</v>
      </c>
      <c r="AJ43" s="371">
        <f t="shared" si="12"/>
        <v>0.99963504816876636</v>
      </c>
    </row>
    <row r="44" spans="1:36" ht="15.75">
      <c r="A44" s="315">
        <v>1</v>
      </c>
      <c r="B44" s="320">
        <v>0</v>
      </c>
      <c r="C44" s="320">
        <v>1</v>
      </c>
      <c r="D44" s="320">
        <v>1</v>
      </c>
      <c r="E44" s="316">
        <v>1</v>
      </c>
      <c r="F44" s="404">
        <v>0.89656300792062094</v>
      </c>
      <c r="G44" s="316"/>
      <c r="H44" s="307" t="s">
        <v>67</v>
      </c>
      <c r="I44" s="717">
        <f t="shared" si="10"/>
        <v>-2.6893789751877284E-3</v>
      </c>
      <c r="J44" s="322"/>
      <c r="K44" s="322"/>
      <c r="L44" s="322"/>
      <c r="M44" s="359">
        <v>2.46</v>
      </c>
      <c r="N44" s="360">
        <v>4.0595999999999997</v>
      </c>
      <c r="O44" s="372">
        <f t="shared" si="13"/>
        <v>0.89528180444394689</v>
      </c>
      <c r="P44" s="359">
        <v>2.5076000000000001</v>
      </c>
      <c r="Q44" s="360">
        <v>4.093</v>
      </c>
      <c r="R44" s="372">
        <f t="shared" si="14"/>
        <v>0.89758251712619586</v>
      </c>
      <c r="S44" s="359">
        <v>2.5213000000000001</v>
      </c>
      <c r="T44" s="360">
        <v>4.1105</v>
      </c>
      <c r="U44" s="372">
        <f t="shared" si="15"/>
        <v>0.89729546609451749</v>
      </c>
      <c r="V44" s="359">
        <v>2.5497999999999998</v>
      </c>
      <c r="W44" s="360">
        <v>4.2267999999999999</v>
      </c>
      <c r="X44" s="372">
        <f t="shared" si="16"/>
        <v>0.89659965782720275</v>
      </c>
      <c r="Y44" s="359">
        <v>2.4496000000000002</v>
      </c>
      <c r="Z44" s="360">
        <v>4.0693000000000001</v>
      </c>
      <c r="AA44" s="372">
        <f t="shared" si="17"/>
        <v>0.89664526129317978</v>
      </c>
      <c r="AB44" s="359">
        <v>2.4803000000000002</v>
      </c>
      <c r="AC44" s="360">
        <v>4.0934999999999997</v>
      </c>
      <c r="AD44" s="372">
        <f t="shared" si="18"/>
        <v>0.8959733407386834</v>
      </c>
      <c r="AF44" s="716">
        <v>0.89925238689580866</v>
      </c>
      <c r="AG44" s="369">
        <f t="shared" si="11"/>
        <v>0.89656300792062094</v>
      </c>
      <c r="AH44" s="619">
        <v>23</v>
      </c>
      <c r="AI44" s="319">
        <v>-0.10317118668388582</v>
      </c>
      <c r="AJ44" s="371">
        <f t="shared" si="12"/>
        <v>0.99973419460450674</v>
      </c>
    </row>
    <row r="45" spans="1:36" ht="15.75">
      <c r="A45" s="315">
        <v>1</v>
      </c>
      <c r="B45" s="320">
        <v>1</v>
      </c>
      <c r="C45" s="320">
        <v>0</v>
      </c>
      <c r="D45" s="320">
        <v>0</v>
      </c>
      <c r="E45" s="316">
        <v>0</v>
      </c>
      <c r="F45" s="404">
        <v>0.89210216156946043</v>
      </c>
      <c r="G45" s="316"/>
      <c r="H45" s="307" t="s">
        <v>68</v>
      </c>
      <c r="I45" s="717">
        <f t="shared" si="10"/>
        <v>-2.5733927639415288E-3</v>
      </c>
      <c r="J45" s="321"/>
      <c r="K45" s="321"/>
      <c r="L45" s="321"/>
      <c r="M45" s="359">
        <v>2.4599000000000002</v>
      </c>
      <c r="N45" s="360">
        <v>4.0510999999999999</v>
      </c>
      <c r="O45" s="372">
        <f t="shared" si="13"/>
        <v>0.89058039961941005</v>
      </c>
      <c r="P45" s="359">
        <v>2.5081000000000002</v>
      </c>
      <c r="Q45" s="360">
        <v>4.0854999999999997</v>
      </c>
      <c r="R45" s="372">
        <f t="shared" si="14"/>
        <v>0.89305327520806166</v>
      </c>
      <c r="S45" s="359">
        <v>2.5213999999999999</v>
      </c>
      <c r="T45" s="360">
        <v>4.1020000000000003</v>
      </c>
      <c r="U45" s="372">
        <f t="shared" si="15"/>
        <v>0.89243972672350536</v>
      </c>
      <c r="V45" s="359">
        <v>2.5505</v>
      </c>
      <c r="W45" s="360">
        <v>4.218</v>
      </c>
      <c r="X45" s="372">
        <f t="shared" si="16"/>
        <v>0.89152053036783574</v>
      </c>
      <c r="Y45" s="359">
        <v>2.4500999999999999</v>
      </c>
      <c r="Z45" s="360">
        <v>4.0646000000000004</v>
      </c>
      <c r="AA45" s="372">
        <f t="shared" si="17"/>
        <v>0.89376660761736082</v>
      </c>
      <c r="AB45" s="359">
        <v>2.4803000000000002</v>
      </c>
      <c r="AC45" s="360">
        <v>4.085</v>
      </c>
      <c r="AD45" s="372">
        <f t="shared" si="18"/>
        <v>0.89125242988058861</v>
      </c>
      <c r="AF45" s="716">
        <v>0.89467555433340196</v>
      </c>
      <c r="AG45" s="369">
        <f t="shared" si="11"/>
        <v>0.89210216156946043</v>
      </c>
      <c r="AH45" s="5">
        <v>24</v>
      </c>
      <c r="AI45" s="319">
        <v>-0.10765533075046639</v>
      </c>
      <c r="AJ45" s="371">
        <f t="shared" si="12"/>
        <v>0.99975749231992683</v>
      </c>
    </row>
    <row r="46" spans="1:36" ht="15.75">
      <c r="A46" s="315">
        <v>1</v>
      </c>
      <c r="B46" s="320">
        <v>1</v>
      </c>
      <c r="C46" s="320">
        <v>0</v>
      </c>
      <c r="D46" s="320">
        <v>0</v>
      </c>
      <c r="E46" s="316">
        <v>1</v>
      </c>
      <c r="F46" s="404">
        <v>0.88755766787337997</v>
      </c>
      <c r="G46" s="316"/>
      <c r="H46" s="307" t="s">
        <v>69</v>
      </c>
      <c r="I46" s="717">
        <f t="shared" si="10"/>
        <v>-2.765898294169733E-3</v>
      </c>
      <c r="J46" s="321"/>
      <c r="K46" s="321"/>
      <c r="L46" s="321"/>
      <c r="M46" s="359">
        <v>2.4599000000000002</v>
      </c>
      <c r="N46" s="360">
        <v>4.0434999999999999</v>
      </c>
      <c r="O46" s="372">
        <f t="shared" si="13"/>
        <v>0.88632674763530528</v>
      </c>
      <c r="P46" s="359">
        <v>2.5076999999999998</v>
      </c>
      <c r="Q46" s="360">
        <v>4.077</v>
      </c>
      <c r="R46" s="372">
        <f t="shared" si="14"/>
        <v>0.88846741776595139</v>
      </c>
      <c r="S46" s="359">
        <v>2.5211999999999999</v>
      </c>
      <c r="T46" s="360">
        <v>4.093</v>
      </c>
      <c r="U46" s="372">
        <f t="shared" si="15"/>
        <v>0.88747106318107394</v>
      </c>
      <c r="V46" s="359">
        <v>2.5499999999999998</v>
      </c>
      <c r="W46" s="360">
        <v>4.2111999999999998</v>
      </c>
      <c r="X46" s="372">
        <f t="shared" si="16"/>
        <v>0.88815226689478188</v>
      </c>
      <c r="Y46" s="359">
        <v>2.4500000000000002</v>
      </c>
      <c r="Z46" s="360">
        <v>4.0547000000000004</v>
      </c>
      <c r="AA46" s="372">
        <f t="shared" si="17"/>
        <v>0.88834145261293196</v>
      </c>
      <c r="AB46" s="359">
        <v>2.4802</v>
      </c>
      <c r="AC46" s="360">
        <v>4.0765000000000002</v>
      </c>
      <c r="AD46" s="372">
        <f t="shared" si="18"/>
        <v>0.88658705915023617</v>
      </c>
      <c r="AF46" s="716">
        <v>0.89032356616754971</v>
      </c>
      <c r="AG46" s="369">
        <f t="shared" si="11"/>
        <v>0.88755766787337997</v>
      </c>
      <c r="AH46" s="619">
        <v>25</v>
      </c>
      <c r="AI46" s="319">
        <v>-0.11213947481704696</v>
      </c>
      <c r="AJ46" s="371">
        <f t="shared" si="12"/>
        <v>0.99969714269042698</v>
      </c>
    </row>
    <row r="47" spans="1:36" ht="15.75">
      <c r="A47" s="315">
        <v>1</v>
      </c>
      <c r="B47" s="320">
        <v>1</v>
      </c>
      <c r="C47" s="320">
        <v>0</v>
      </c>
      <c r="D47" s="320">
        <v>1</v>
      </c>
      <c r="E47" s="316">
        <v>0</v>
      </c>
      <c r="F47" s="404">
        <v>0.88289112265716352</v>
      </c>
      <c r="G47" s="316"/>
      <c r="H47" s="307" t="s">
        <v>70</v>
      </c>
      <c r="I47" s="717">
        <f t="shared" si="10"/>
        <v>-3.0577971214587052E-3</v>
      </c>
      <c r="J47" s="321"/>
      <c r="K47" s="321"/>
      <c r="L47" s="321"/>
      <c r="M47" s="359">
        <v>2.4598</v>
      </c>
      <c r="N47" s="360">
        <v>4.0350000000000001</v>
      </c>
      <c r="O47" s="372">
        <f t="shared" si="13"/>
        <v>0.88162534281076865</v>
      </c>
      <c r="P47" s="359">
        <v>2.5078</v>
      </c>
      <c r="Q47" s="360">
        <v>4.0685000000000002</v>
      </c>
      <c r="R47" s="372">
        <f t="shared" si="14"/>
        <v>0.88359848270395747</v>
      </c>
      <c r="S47" s="359">
        <v>2.5219999999999998</v>
      </c>
      <c r="T47" s="360">
        <v>4.0850999999999997</v>
      </c>
      <c r="U47" s="372">
        <f t="shared" si="15"/>
        <v>0.88255886172435205</v>
      </c>
      <c r="V47" s="359">
        <v>2.5499999999999998</v>
      </c>
      <c r="W47" s="360">
        <v>4.2022000000000004</v>
      </c>
      <c r="X47" s="372">
        <f t="shared" si="16"/>
        <v>0.88334046193327653</v>
      </c>
      <c r="Y47" s="359">
        <v>2.4500000000000002</v>
      </c>
      <c r="Z47" s="360">
        <v>4.0465</v>
      </c>
      <c r="AA47" s="372">
        <f t="shared" si="17"/>
        <v>0.88380203720106276</v>
      </c>
      <c r="AB47" s="359">
        <v>2.4803000000000002</v>
      </c>
      <c r="AC47" s="360">
        <v>4.0690999999999997</v>
      </c>
      <c r="AD47" s="372">
        <f t="shared" si="18"/>
        <v>0.88242154956956376</v>
      </c>
      <c r="AF47" s="716">
        <v>0.88594891977862222</v>
      </c>
      <c r="AG47" s="369">
        <f t="shared" si="11"/>
        <v>0.88289112265716352</v>
      </c>
      <c r="AH47" s="5">
        <v>26</v>
      </c>
      <c r="AI47" s="319">
        <v>-0.11662361888362753</v>
      </c>
      <c r="AJ47" s="371">
        <f t="shared" si="12"/>
        <v>0.99951474154079101</v>
      </c>
    </row>
    <row r="48" spans="1:36" ht="15.75">
      <c r="A48" s="315">
        <v>1</v>
      </c>
      <c r="B48" s="320">
        <v>1</v>
      </c>
      <c r="C48" s="320">
        <v>0</v>
      </c>
      <c r="D48" s="320">
        <v>1</v>
      </c>
      <c r="E48" s="316">
        <v>1</v>
      </c>
      <c r="F48" s="404">
        <v>0.8785194141233722</v>
      </c>
      <c r="G48" s="316"/>
      <c r="H48" s="307" t="s">
        <v>71</v>
      </c>
      <c r="I48" s="717">
        <f t="shared" si="10"/>
        <v>-3.0478696450755294E-3</v>
      </c>
      <c r="J48" s="321"/>
      <c r="K48" s="321"/>
      <c r="L48" s="321"/>
      <c r="M48" s="359">
        <v>2.46</v>
      </c>
      <c r="N48" s="360">
        <v>4.0270000000000001</v>
      </c>
      <c r="O48" s="372">
        <f t="shared" si="13"/>
        <v>0.87703587619633983</v>
      </c>
      <c r="P48" s="359">
        <v>2.5083000000000002</v>
      </c>
      <c r="Q48" s="360">
        <v>4.0620000000000003</v>
      </c>
      <c r="R48" s="372">
        <f t="shared" si="14"/>
        <v>0.87963539602559015</v>
      </c>
      <c r="S48" s="359">
        <v>2.5209999999999999</v>
      </c>
      <c r="T48" s="360">
        <v>4.0759999999999996</v>
      </c>
      <c r="U48" s="372">
        <f t="shared" si="15"/>
        <v>0.87798543278188679</v>
      </c>
      <c r="V48" s="359">
        <v>2.5503999999999998</v>
      </c>
      <c r="W48" s="360">
        <v>4.1951000000000001</v>
      </c>
      <c r="X48" s="372">
        <f t="shared" si="16"/>
        <v>0.87933062446535515</v>
      </c>
      <c r="Y48" s="359">
        <v>2.4499</v>
      </c>
      <c r="Z48" s="360">
        <v>4.0385999999999997</v>
      </c>
      <c r="AA48" s="372">
        <f t="shared" si="17"/>
        <v>0.87948405668733376</v>
      </c>
      <c r="AB48" s="359">
        <v>2.4803000000000002</v>
      </c>
      <c r="AC48" s="360">
        <v>4.0605000000000002</v>
      </c>
      <c r="AD48" s="372">
        <f t="shared" si="18"/>
        <v>0.87764509858372675</v>
      </c>
      <c r="AF48" s="716">
        <v>0.88156728376844773</v>
      </c>
      <c r="AG48" s="369">
        <f t="shared" si="11"/>
        <v>0.8785194141233722</v>
      </c>
      <c r="AH48" s="619">
        <v>27</v>
      </c>
      <c r="AI48" s="319">
        <v>-0.1211077629502081</v>
      </c>
      <c r="AJ48" s="371">
        <f t="shared" si="12"/>
        <v>0.99962717707358029</v>
      </c>
    </row>
    <row r="49" spans="1:44" ht="15.75">
      <c r="A49" s="315">
        <v>1</v>
      </c>
      <c r="B49" s="320">
        <v>1</v>
      </c>
      <c r="C49" s="320">
        <v>1</v>
      </c>
      <c r="D49" s="320">
        <v>0</v>
      </c>
      <c r="E49" s="316">
        <v>0</v>
      </c>
      <c r="F49" s="404">
        <v>0.87396033934527007</v>
      </c>
      <c r="G49" s="316"/>
      <c r="H49" s="307" t="s">
        <v>72</v>
      </c>
      <c r="I49" s="717">
        <f t="shared" si="10"/>
        <v>-3.0366542982562805E-3</v>
      </c>
      <c r="J49" s="322"/>
      <c r="K49" s="322"/>
      <c r="L49" s="322"/>
      <c r="M49" s="359">
        <v>2.4601999999999999</v>
      </c>
      <c r="N49" s="360">
        <v>4.0186999999999999</v>
      </c>
      <c r="O49" s="372">
        <f t="shared" si="13"/>
        <v>0.87227850226674886</v>
      </c>
      <c r="P49" s="359">
        <v>2.5070000000000001</v>
      </c>
      <c r="Q49" s="360">
        <v>4.0496999999999996</v>
      </c>
      <c r="R49" s="372">
        <f t="shared" si="14"/>
        <v>0.87340768838815563</v>
      </c>
      <c r="S49" s="359">
        <v>2.5209999999999999</v>
      </c>
      <c r="T49" s="360">
        <v>4.07</v>
      </c>
      <c r="U49" s="372">
        <f t="shared" si="15"/>
        <v>0.87459770763932032</v>
      </c>
      <c r="V49" s="359">
        <v>2.5497999999999998</v>
      </c>
      <c r="W49" s="360">
        <v>4.1863999999999999</v>
      </c>
      <c r="X49" s="372">
        <f t="shared" si="16"/>
        <v>0.875</v>
      </c>
      <c r="Y49" s="359">
        <v>2.4499</v>
      </c>
      <c r="Z49" s="360">
        <v>4.0312999999999999</v>
      </c>
      <c r="AA49" s="372">
        <f t="shared" si="17"/>
        <v>0.87544286979627983</v>
      </c>
      <c r="AB49" s="359">
        <v>2.4805999999999999</v>
      </c>
      <c r="AC49" s="360">
        <v>4.0525000000000002</v>
      </c>
      <c r="AD49" s="372">
        <f t="shared" si="18"/>
        <v>0.87303526798111653</v>
      </c>
      <c r="AF49" s="716">
        <v>0.87699699364352635</v>
      </c>
      <c r="AG49" s="369">
        <f t="shared" si="11"/>
        <v>0.87396033934527007</v>
      </c>
      <c r="AH49" s="5">
        <v>28</v>
      </c>
      <c r="AI49" s="319">
        <v>-0.12559190701678868</v>
      </c>
      <c r="AJ49" s="371">
        <f t="shared" si="12"/>
        <v>0.99955224636205875</v>
      </c>
    </row>
    <row r="50" spans="1:44" ht="15.75">
      <c r="A50" s="315">
        <v>1</v>
      </c>
      <c r="B50" s="320">
        <v>1</v>
      </c>
      <c r="C50" s="320">
        <v>1</v>
      </c>
      <c r="D50" s="320">
        <v>0</v>
      </c>
      <c r="E50" s="316">
        <v>1</v>
      </c>
      <c r="F50" s="404">
        <v>0.86963469734511234</v>
      </c>
      <c r="G50" s="316"/>
      <c r="H50" s="307" t="s">
        <v>73</v>
      </c>
      <c r="I50" s="717">
        <f t="shared" si="10"/>
        <v>-3.0400293187605731E-3</v>
      </c>
      <c r="J50" s="322"/>
      <c r="K50" s="322"/>
      <c r="L50" s="322"/>
      <c r="M50" s="359">
        <v>2.4601999999999999</v>
      </c>
      <c r="N50" s="360">
        <v>4.0119999999999996</v>
      </c>
      <c r="O50" s="372">
        <f t="shared" si="13"/>
        <v>0.86852857222812996</v>
      </c>
      <c r="P50" s="359">
        <v>2.5072000000000001</v>
      </c>
      <c r="Q50" s="360">
        <v>4.0431999999999997</v>
      </c>
      <c r="R50" s="372">
        <f t="shared" si="14"/>
        <v>0.86961444828171852</v>
      </c>
      <c r="S50" s="359">
        <v>2.5213000000000001</v>
      </c>
      <c r="T50" s="360">
        <v>4.0609999999999999</v>
      </c>
      <c r="U50" s="372">
        <f t="shared" si="15"/>
        <v>0.86934673366834159</v>
      </c>
      <c r="V50" s="359">
        <v>2.5501</v>
      </c>
      <c r="W50" s="360">
        <v>4.1792999999999996</v>
      </c>
      <c r="X50" s="372">
        <f t="shared" si="16"/>
        <v>0.87104362703165072</v>
      </c>
      <c r="Y50" s="359">
        <v>2.4499</v>
      </c>
      <c r="Z50" s="360">
        <v>4.0223000000000004</v>
      </c>
      <c r="AA50" s="372">
        <f t="shared" si="17"/>
        <v>0.87046058458813136</v>
      </c>
      <c r="AB50" s="359">
        <v>2.4807000000000001</v>
      </c>
      <c r="AC50" s="360">
        <v>4.0449999999999999</v>
      </c>
      <c r="AD50" s="372">
        <f t="shared" si="18"/>
        <v>0.86881421827270189</v>
      </c>
      <c r="AF50" s="716">
        <v>0.87267472666387291</v>
      </c>
      <c r="AG50" s="369">
        <f t="shared" si="11"/>
        <v>0.86963469734511234</v>
      </c>
      <c r="AH50" s="619">
        <v>29</v>
      </c>
      <c r="AI50" s="319">
        <v>-0.13007605108336925</v>
      </c>
      <c r="AJ50" s="371">
        <f t="shared" si="12"/>
        <v>0.99971074842848162</v>
      </c>
    </row>
    <row r="51" spans="1:44" ht="15.75">
      <c r="A51" s="315">
        <v>1</v>
      </c>
      <c r="B51" s="320">
        <v>1</v>
      </c>
      <c r="C51" s="320">
        <v>1</v>
      </c>
      <c r="D51" s="320">
        <v>1</v>
      </c>
      <c r="E51" s="316">
        <v>0</v>
      </c>
      <c r="F51" s="404">
        <v>0.86491925835692751</v>
      </c>
      <c r="G51" s="316"/>
      <c r="H51" s="307" t="s">
        <v>74</v>
      </c>
      <c r="I51" s="717">
        <f t="shared" si="10"/>
        <v>-3.4034801410931514E-3</v>
      </c>
      <c r="J51" s="322"/>
      <c r="K51" s="322"/>
      <c r="L51" s="322"/>
      <c r="M51" s="359">
        <v>2.4603999999999999</v>
      </c>
      <c r="N51" s="360">
        <v>4.0039999999999996</v>
      </c>
      <c r="O51" s="372">
        <f t="shared" si="13"/>
        <v>0.86393910561370113</v>
      </c>
      <c r="P51" s="359">
        <v>2.5074999999999998</v>
      </c>
      <c r="Q51" s="360">
        <v>4.0353000000000003</v>
      </c>
      <c r="R51" s="372">
        <f t="shared" si="14"/>
        <v>0.86497197531563175</v>
      </c>
      <c r="S51" s="359">
        <v>2.5211000000000001</v>
      </c>
      <c r="T51" s="360">
        <v>4.0522</v>
      </c>
      <c r="U51" s="372">
        <f t="shared" si="15"/>
        <v>0.86449099429732923</v>
      </c>
      <c r="V51" s="359">
        <v>2.5503</v>
      </c>
      <c r="W51" s="360">
        <v>4.1715999999999998</v>
      </c>
      <c r="X51" s="372">
        <f t="shared" si="16"/>
        <v>0.86681993156544035</v>
      </c>
      <c r="Y51" s="359">
        <v>2.4500999999999999</v>
      </c>
      <c r="Z51" s="360">
        <v>4.0137</v>
      </c>
      <c r="AA51" s="372">
        <f t="shared" si="17"/>
        <v>0.86558901682905232</v>
      </c>
      <c r="AB51" s="359">
        <v>2.4805000000000001</v>
      </c>
      <c r="AC51" s="360">
        <v>4.0355999999999996</v>
      </c>
      <c r="AD51" s="372">
        <f t="shared" si="18"/>
        <v>0.86370452652041074</v>
      </c>
      <c r="AF51" s="716">
        <v>0.86832273849802066</v>
      </c>
      <c r="AG51" s="369">
        <f t="shared" si="11"/>
        <v>0.86491925835692751</v>
      </c>
      <c r="AH51" s="5">
        <v>30</v>
      </c>
      <c r="AI51" s="319">
        <v>-0.13456019514994982</v>
      </c>
      <c r="AJ51" s="371">
        <f t="shared" si="12"/>
        <v>0.99947945350687739</v>
      </c>
    </row>
    <row r="52" spans="1:44" ht="16.5" thickBot="1">
      <c r="A52" s="323">
        <v>1</v>
      </c>
      <c r="B52" s="324">
        <v>1</v>
      </c>
      <c r="C52" s="324">
        <v>1</v>
      </c>
      <c r="D52" s="324">
        <v>1</v>
      </c>
      <c r="E52" s="325">
        <v>1</v>
      </c>
      <c r="F52" s="405">
        <v>0.86066911118590772</v>
      </c>
      <c r="G52" s="325"/>
      <c r="H52" s="327" t="s">
        <v>75</v>
      </c>
      <c r="I52" s="717">
        <f t="shared" si="10"/>
        <v>-3.1519113916049779E-3</v>
      </c>
      <c r="J52" s="322"/>
      <c r="K52" s="322"/>
      <c r="L52" s="322"/>
      <c r="M52" s="361">
        <v>2.4601999999999999</v>
      </c>
      <c r="N52" s="362">
        <v>3.9956</v>
      </c>
      <c r="O52" s="372">
        <f t="shared" si="13"/>
        <v>0.85934963899927264</v>
      </c>
      <c r="P52" s="361">
        <v>2.5074000000000001</v>
      </c>
      <c r="Q52" s="362">
        <v>4.0275999999999996</v>
      </c>
      <c r="R52" s="372">
        <f t="shared" si="14"/>
        <v>0.86066919549340393</v>
      </c>
      <c r="S52" s="361">
        <v>2.5211000000000001</v>
      </c>
      <c r="T52" s="362">
        <v>4.0449999999999999</v>
      </c>
      <c r="U52" s="372">
        <f t="shared" si="15"/>
        <v>0.86042572412624907</v>
      </c>
      <c r="V52" s="361">
        <v>2.5505</v>
      </c>
      <c r="W52" s="362">
        <v>4.1639999999999997</v>
      </c>
      <c r="X52" s="372">
        <f t="shared" si="16"/>
        <v>0.86264970059880219</v>
      </c>
      <c r="Y52" s="361">
        <v>2.4498000000000002</v>
      </c>
      <c r="Z52" s="362">
        <v>4.0060000000000002</v>
      </c>
      <c r="AA52" s="372">
        <f t="shared" si="17"/>
        <v>0.86149247121346328</v>
      </c>
      <c r="AB52" s="361">
        <v>2.4803999999999999</v>
      </c>
      <c r="AC52" s="362">
        <v>4.0278</v>
      </c>
      <c r="AD52" s="372">
        <f t="shared" si="18"/>
        <v>0.85942793668425443</v>
      </c>
      <c r="AF52" s="716">
        <v>0.8638210225775127</v>
      </c>
      <c r="AG52" s="369">
        <f t="shared" si="11"/>
        <v>0.86066911118590772</v>
      </c>
      <c r="AH52" s="619">
        <v>31</v>
      </c>
      <c r="AI52" s="326">
        <v>-0.13904433921653039</v>
      </c>
      <c r="AJ52" s="371">
        <f t="shared" si="12"/>
        <v>0.99971345040243809</v>
      </c>
    </row>
    <row r="53" spans="1:44" ht="15.75" thickBot="1"/>
    <row r="54" spans="1:44" ht="16.5" thickBot="1">
      <c r="A54" s="701" t="s">
        <v>258</v>
      </c>
      <c r="B54" s="329" t="s">
        <v>259</v>
      </c>
      <c r="C54" s="329" t="s">
        <v>260</v>
      </c>
      <c r="D54" s="329" t="s">
        <v>261</v>
      </c>
      <c r="E54" s="219" t="s">
        <v>262</v>
      </c>
      <c r="F54" s="330"/>
      <c r="G54" s="331"/>
      <c r="H54" s="332" t="s">
        <v>24</v>
      </c>
      <c r="I54" s="333" t="s">
        <v>88</v>
      </c>
      <c r="J54" s="334" t="s">
        <v>263</v>
      </c>
      <c r="K54" s="334"/>
      <c r="L54" s="334"/>
      <c r="M54" s="365" t="s">
        <v>271</v>
      </c>
      <c r="P54" s="365" t="s">
        <v>272</v>
      </c>
      <c r="S54" s="365" t="s">
        <v>273</v>
      </c>
      <c r="V54" s="365" t="s">
        <v>274</v>
      </c>
      <c r="Y54" s="365" t="s">
        <v>275</v>
      </c>
      <c r="AB54" s="365" t="s">
        <v>282</v>
      </c>
      <c r="AL54" s="376" t="s">
        <v>281</v>
      </c>
      <c r="AM54" s="377"/>
      <c r="AN54" s="377"/>
      <c r="AO54" s="377"/>
      <c r="AP54" s="377"/>
      <c r="AQ54" s="377"/>
      <c r="AR54" s="377"/>
    </row>
    <row r="55" spans="1:44" ht="15.75">
      <c r="A55" s="702"/>
      <c r="B55" s="304">
        <v>0</v>
      </c>
      <c r="C55" s="304">
        <v>0</v>
      </c>
      <c r="D55" s="304">
        <v>0</v>
      </c>
      <c r="E55" s="304">
        <v>0</v>
      </c>
      <c r="F55" s="335">
        <v>0</v>
      </c>
      <c r="G55" s="304">
        <v>0</v>
      </c>
      <c r="H55" s="336" t="s">
        <v>25</v>
      </c>
      <c r="I55" s="337">
        <v>0</v>
      </c>
      <c r="J55" s="338"/>
      <c r="K55" s="338"/>
      <c r="L55" s="338"/>
      <c r="M55" s="230">
        <v>2.46</v>
      </c>
      <c r="N55" s="372">
        <f>M55/M$55</f>
        <v>1</v>
      </c>
      <c r="P55" s="230">
        <v>2.5070000000000001</v>
      </c>
      <c r="Q55" s="372">
        <f>P55/P$55</f>
        <v>1</v>
      </c>
      <c r="S55" s="230">
        <v>2.5215000000000001</v>
      </c>
      <c r="T55" s="372">
        <f>S55/S$55</f>
        <v>1</v>
      </c>
      <c r="V55" s="230">
        <v>2.5506000000000002</v>
      </c>
      <c r="W55" s="372">
        <f>V55/V$55</f>
        <v>1</v>
      </c>
      <c r="Y55" s="230">
        <v>2.4516</v>
      </c>
      <c r="Z55" s="372">
        <f>Y55/Y$55</f>
        <v>1</v>
      </c>
      <c r="AB55" s="230">
        <v>2.4815</v>
      </c>
      <c r="AC55" s="372">
        <f>AB55/AB$55</f>
        <v>1</v>
      </c>
      <c r="AF55" s="371">
        <f>AG55-AG63</f>
        <v>-8.2718630268681537E-2</v>
      </c>
      <c r="AG55" s="594">
        <f>AVERAGE(N55,Q55,T55,W55,Z55,AC55)</f>
        <v>1</v>
      </c>
      <c r="AH55" s="5">
        <v>0</v>
      </c>
      <c r="AI55" s="335">
        <v>0</v>
      </c>
      <c r="AJ55" s="371">
        <f>AG55-AI55</f>
        <v>1</v>
      </c>
      <c r="AL55" s="594">
        <v>1</v>
      </c>
      <c r="AM55" s="371">
        <f>AJ55-AL55</f>
        <v>0</v>
      </c>
      <c r="AN55" s="379">
        <f>ABS(AL55/1.05%)</f>
        <v>95.238095238095227</v>
      </c>
      <c r="AO55" s="371"/>
    </row>
    <row r="56" spans="1:44" s="605" customFormat="1" ht="15.75">
      <c r="A56" s="702"/>
      <c r="B56" s="598">
        <v>0</v>
      </c>
      <c r="C56" s="598">
        <v>0</v>
      </c>
      <c r="D56" s="598">
        <v>0</v>
      </c>
      <c r="E56" s="598">
        <v>1</v>
      </c>
      <c r="F56" s="599">
        <v>-1.0524209683873544E-2</v>
      </c>
      <c r="G56" s="600">
        <f>G55+1.05%</f>
        <v>1.0500000000000001E-2</v>
      </c>
      <c r="H56" s="601" t="s">
        <v>25</v>
      </c>
      <c r="I56" s="602">
        <v>4</v>
      </c>
      <c r="J56" s="603"/>
      <c r="K56" s="603"/>
      <c r="L56" s="603"/>
      <c r="M56" s="604">
        <v>2.4350000000000001</v>
      </c>
      <c r="N56" s="603">
        <f t="shared" ref="N56:N70" si="19">M56/M$55</f>
        <v>0.98983739837398377</v>
      </c>
      <c r="P56" s="604">
        <v>2.4813999999999998</v>
      </c>
      <c r="Q56" s="603">
        <f t="shared" ref="Q56:Q70" si="20">P56/P$55</f>
        <v>0.98978859194256075</v>
      </c>
      <c r="S56" s="604">
        <v>2.4944999999999999</v>
      </c>
      <c r="T56" s="603">
        <f t="shared" ref="T56:T70" si="21">S56/S$55</f>
        <v>0.98929208804283164</v>
      </c>
      <c r="V56" s="604">
        <v>2.5232000000000001</v>
      </c>
      <c r="W56" s="603">
        <f t="shared" ref="W56:W70" si="22">V56/V$55</f>
        <v>0.98925742962440211</v>
      </c>
      <c r="Y56" s="604">
        <v>2.4239999999999999</v>
      </c>
      <c r="Z56" s="603">
        <f t="shared" ref="Z56:Z70" si="23">Y56/Y$55</f>
        <v>0.98874204601076843</v>
      </c>
      <c r="AB56" s="604">
        <v>2.4554</v>
      </c>
      <c r="AC56" s="603">
        <f t="shared" ref="AC56:AC70" si="24">AB56/AB$55</f>
        <v>0.98948216804352207</v>
      </c>
      <c r="AF56" s="371">
        <f t="shared" ref="AF56:AF62" si="25">AG56-AG64</f>
        <v>-8.3259627916457801E-2</v>
      </c>
      <c r="AG56" s="606">
        <f t="shared" ref="AG56:AG70" si="26">AVERAGE(N56,Q56,T56,W56,Z56,AC56)</f>
        <v>0.98939995367301148</v>
      </c>
      <c r="AH56" s="605">
        <v>1</v>
      </c>
      <c r="AI56" s="599">
        <v>-1.0524209683873544E-2</v>
      </c>
      <c r="AJ56" s="606">
        <f t="shared" ref="AJ56:AJ70" si="27">AG56-AI56</f>
        <v>0.99992416335688505</v>
      </c>
      <c r="AL56" s="606">
        <v>0.98939995367301148</v>
      </c>
      <c r="AM56" s="606">
        <f>AG56-AL56</f>
        <v>0</v>
      </c>
      <c r="AN56" s="607">
        <f>ABS(AL56/1.05%)</f>
        <v>94.228567016477271</v>
      </c>
      <c r="AO56" s="606"/>
    </row>
    <row r="57" spans="1:44" s="605" customFormat="1" ht="15.75">
      <c r="A57" s="702"/>
      <c r="B57" s="598">
        <v>0</v>
      </c>
      <c r="C57" s="598">
        <v>0</v>
      </c>
      <c r="D57" s="598">
        <v>1</v>
      </c>
      <c r="E57" s="598">
        <v>0</v>
      </c>
      <c r="F57" s="599">
        <v>-2.1128451380552204E-2</v>
      </c>
      <c r="G57" s="600">
        <f t="shared" ref="G57:G62" si="28">G56+1.05%</f>
        <v>2.1000000000000001E-2</v>
      </c>
      <c r="H57" s="601" t="s">
        <v>25</v>
      </c>
      <c r="I57" s="602">
        <v>2</v>
      </c>
      <c r="J57" s="603"/>
      <c r="K57" s="603"/>
      <c r="L57" s="603"/>
      <c r="M57" s="604">
        <v>2.407</v>
      </c>
      <c r="N57" s="603">
        <f t="shared" si="19"/>
        <v>0.97845528455284558</v>
      </c>
      <c r="P57" s="604">
        <v>2.4557000000000002</v>
      </c>
      <c r="Q57" s="603">
        <f t="shared" si="20"/>
        <v>0.97953729557239733</v>
      </c>
      <c r="S57" s="604">
        <v>2.4676999999999998</v>
      </c>
      <c r="T57" s="603">
        <f t="shared" si="21"/>
        <v>0.97866349395201258</v>
      </c>
      <c r="V57" s="604">
        <v>2.4954999999999998</v>
      </c>
      <c r="W57" s="603">
        <f t="shared" si="22"/>
        <v>0.97839723986512961</v>
      </c>
      <c r="Y57" s="604">
        <v>2.3992</v>
      </c>
      <c r="Z57" s="603">
        <f t="shared" si="23"/>
        <v>0.97862620329580685</v>
      </c>
      <c r="AB57" s="604">
        <v>2.4281999999999999</v>
      </c>
      <c r="AC57" s="603">
        <f t="shared" si="24"/>
        <v>0.97852105581301629</v>
      </c>
      <c r="AF57" s="371">
        <f t="shared" si="25"/>
        <v>-8.3914712336133901E-2</v>
      </c>
      <c r="AG57" s="606">
        <f t="shared" si="26"/>
        <v>0.97870009550853476</v>
      </c>
      <c r="AH57" s="605">
        <v>2</v>
      </c>
      <c r="AI57" s="599">
        <v>-2.1128451380552204E-2</v>
      </c>
      <c r="AJ57" s="606">
        <f t="shared" si="27"/>
        <v>0.99982854688908696</v>
      </c>
      <c r="AL57" s="606">
        <v>0.97870009550853476</v>
      </c>
      <c r="AM57" s="606">
        <f t="shared" ref="AM57:AM70" si="29">AG57-AL57</f>
        <v>0</v>
      </c>
      <c r="AN57" s="607">
        <f t="shared" ref="AN57:AN62" si="30">ABS(AL57/1.05%)</f>
        <v>93.209532905574733</v>
      </c>
      <c r="AO57" s="606"/>
    </row>
    <row r="58" spans="1:44" ht="15.75">
      <c r="A58" s="702"/>
      <c r="B58" s="304">
        <v>0</v>
      </c>
      <c r="C58" s="304">
        <v>0</v>
      </c>
      <c r="D58" s="304">
        <v>1</v>
      </c>
      <c r="E58" s="304">
        <v>1</v>
      </c>
      <c r="F58" s="339">
        <v>-3.1772709083633506E-2</v>
      </c>
      <c r="G58" s="375">
        <f t="shared" si="28"/>
        <v>3.15E-2</v>
      </c>
      <c r="H58" s="341" t="s">
        <v>25</v>
      </c>
      <c r="I58" s="337">
        <v>6</v>
      </c>
      <c r="J58" s="342"/>
      <c r="K58" s="342"/>
      <c r="L58" s="342"/>
      <c r="M58" s="230">
        <v>2.3807999999999998</v>
      </c>
      <c r="N58" s="372">
        <f t="shared" si="19"/>
        <v>0.96780487804878046</v>
      </c>
      <c r="P58" s="230">
        <v>2.4272</v>
      </c>
      <c r="Q58" s="372">
        <f t="shared" si="20"/>
        <v>0.96816912644595132</v>
      </c>
      <c r="S58" s="230">
        <v>2.4405999999999999</v>
      </c>
      <c r="T58" s="372">
        <f t="shared" si="21"/>
        <v>0.96791592306166951</v>
      </c>
      <c r="V58" s="230">
        <v>2.468</v>
      </c>
      <c r="W58" s="372">
        <f t="shared" si="22"/>
        <v>0.96761546302830703</v>
      </c>
      <c r="Y58" s="230">
        <v>2.3719000000000001</v>
      </c>
      <c r="Z58" s="372">
        <f t="shared" si="23"/>
        <v>0.96749061837167571</v>
      </c>
      <c r="AB58" s="230">
        <v>2.4016000000000002</v>
      </c>
      <c r="AC58" s="372">
        <f t="shared" si="24"/>
        <v>0.96780173282288939</v>
      </c>
      <c r="AF58" s="371">
        <f t="shared" si="25"/>
        <v>-8.4516465719214007E-2</v>
      </c>
      <c r="AG58" s="594">
        <f t="shared" si="26"/>
        <v>0.96779962362987881</v>
      </c>
      <c r="AH58" s="5">
        <v>3</v>
      </c>
      <c r="AI58" s="339">
        <v>-3.1772709083633506E-2</v>
      </c>
      <c r="AJ58" s="371">
        <f t="shared" si="27"/>
        <v>0.99957233271351231</v>
      </c>
      <c r="AL58" s="594">
        <v>0.96779962362987881</v>
      </c>
      <c r="AM58" s="371">
        <f t="shared" si="29"/>
        <v>0</v>
      </c>
      <c r="AN58" s="379">
        <f t="shared" si="30"/>
        <v>92.171392726655114</v>
      </c>
      <c r="AO58" s="371"/>
    </row>
    <row r="59" spans="1:44" s="605" customFormat="1" ht="15.75">
      <c r="A59" s="702"/>
      <c r="B59" s="598">
        <v>0</v>
      </c>
      <c r="C59" s="598">
        <v>1</v>
      </c>
      <c r="D59" s="598">
        <v>0</v>
      </c>
      <c r="E59" s="598">
        <v>0</v>
      </c>
      <c r="F59" s="599">
        <v>-4.2416966786714812E-2</v>
      </c>
      <c r="G59" s="600">
        <f t="shared" si="28"/>
        <v>4.2000000000000003E-2</v>
      </c>
      <c r="H59" s="601" t="s">
        <v>25</v>
      </c>
      <c r="I59" s="602">
        <v>1</v>
      </c>
      <c r="J59" s="603"/>
      <c r="K59" s="603"/>
      <c r="L59" s="603"/>
      <c r="M59" s="604">
        <v>2.3546</v>
      </c>
      <c r="N59" s="603">
        <f t="shared" si="19"/>
        <v>0.95715447154471545</v>
      </c>
      <c r="P59" s="604">
        <v>2.4</v>
      </c>
      <c r="Q59" s="603">
        <f t="shared" si="20"/>
        <v>0.95731950538492216</v>
      </c>
      <c r="S59" s="604">
        <v>2.4125999999999999</v>
      </c>
      <c r="T59" s="603">
        <f t="shared" si="21"/>
        <v>0.95681142177275424</v>
      </c>
      <c r="V59" s="604">
        <v>2.4403999999999999</v>
      </c>
      <c r="W59" s="603">
        <f t="shared" si="22"/>
        <v>0.95679447973025944</v>
      </c>
      <c r="Y59" s="604">
        <v>2.3441999999999998</v>
      </c>
      <c r="Z59" s="603">
        <f t="shared" si="23"/>
        <v>0.95619187469407729</v>
      </c>
      <c r="AB59" s="604">
        <v>2.3740000000000001</v>
      </c>
      <c r="AC59" s="603">
        <f t="shared" si="24"/>
        <v>0.95667942776546444</v>
      </c>
      <c r="AF59" s="371">
        <f t="shared" si="25"/>
        <v>-8.5190512985997002E-2</v>
      </c>
      <c r="AG59" s="606">
        <f t="shared" si="26"/>
        <v>0.95682519681536549</v>
      </c>
      <c r="AH59" s="605">
        <v>4</v>
      </c>
      <c r="AI59" s="599">
        <v>-4.2416966786714812E-2</v>
      </c>
      <c r="AJ59" s="606">
        <f t="shared" si="27"/>
        <v>0.99924216360208029</v>
      </c>
      <c r="AL59" s="606">
        <v>0.95682519681536549</v>
      </c>
      <c r="AM59" s="606">
        <f t="shared" si="29"/>
        <v>0</v>
      </c>
      <c r="AN59" s="607">
        <f t="shared" si="30"/>
        <v>91.126209220510987</v>
      </c>
      <c r="AO59" s="606"/>
    </row>
    <row r="60" spans="1:44" ht="15.75">
      <c r="A60" s="702"/>
      <c r="B60" s="304">
        <v>0</v>
      </c>
      <c r="C60" s="304">
        <v>1</v>
      </c>
      <c r="D60" s="304">
        <v>0</v>
      </c>
      <c r="E60" s="304">
        <v>1</v>
      </c>
      <c r="F60" s="339">
        <v>-5.3021208483393471E-2</v>
      </c>
      <c r="G60" s="375">
        <f t="shared" si="28"/>
        <v>5.2500000000000005E-2</v>
      </c>
      <c r="H60" s="341" t="s">
        <v>25</v>
      </c>
      <c r="I60" s="337">
        <v>5</v>
      </c>
      <c r="J60" s="342"/>
      <c r="K60" s="342"/>
      <c r="L60" s="342"/>
      <c r="M60" s="230">
        <v>2.3285999999999998</v>
      </c>
      <c r="N60" s="372">
        <f t="shared" si="19"/>
        <v>0.94658536585365849</v>
      </c>
      <c r="P60" s="230">
        <v>2.3723999999999998</v>
      </c>
      <c r="Q60" s="372">
        <f t="shared" si="20"/>
        <v>0.94631033107299556</v>
      </c>
      <c r="S60" s="230">
        <v>2.3851</v>
      </c>
      <c r="T60" s="372">
        <f t="shared" si="21"/>
        <v>0.94590521514971249</v>
      </c>
      <c r="V60" s="230">
        <v>2.4127000000000001</v>
      </c>
      <c r="W60" s="372">
        <f t="shared" si="22"/>
        <v>0.94593428997098716</v>
      </c>
      <c r="Y60" s="230">
        <v>2.3180000000000001</v>
      </c>
      <c r="Z60" s="372">
        <f t="shared" si="23"/>
        <v>0.94550497634198072</v>
      </c>
      <c r="AB60" s="230">
        <v>2.3472</v>
      </c>
      <c r="AC60" s="372">
        <f t="shared" si="24"/>
        <v>0.94587950836187784</v>
      </c>
      <c r="AF60" s="371">
        <f t="shared" si="25"/>
        <v>-8.5602719817211459E-2</v>
      </c>
      <c r="AG60" s="594">
        <f t="shared" si="26"/>
        <v>0.9460199477918686</v>
      </c>
      <c r="AH60" s="605">
        <v>5</v>
      </c>
      <c r="AI60" s="339">
        <v>-5.3021208483393471E-2</v>
      </c>
      <c r="AJ60" s="371">
        <f t="shared" si="27"/>
        <v>0.99904115627526202</v>
      </c>
      <c r="AL60" s="594">
        <v>0.9460199477918686</v>
      </c>
      <c r="AM60" s="371">
        <f t="shared" si="29"/>
        <v>0</v>
      </c>
      <c r="AN60" s="379">
        <f t="shared" si="30"/>
        <v>90.097137884939855</v>
      </c>
      <c r="AO60" s="371"/>
    </row>
    <row r="61" spans="1:44" ht="15.75">
      <c r="A61" s="702"/>
      <c r="B61" s="304">
        <v>0</v>
      </c>
      <c r="C61" s="304">
        <v>1</v>
      </c>
      <c r="D61" s="304">
        <v>1</v>
      </c>
      <c r="E61" s="304">
        <v>0</v>
      </c>
      <c r="F61" s="339">
        <v>-6.3625450180072124E-2</v>
      </c>
      <c r="G61" s="375">
        <f t="shared" si="28"/>
        <v>6.3E-2</v>
      </c>
      <c r="H61" s="341" t="s">
        <v>25</v>
      </c>
      <c r="I61" s="337">
        <v>3</v>
      </c>
      <c r="J61" s="342"/>
      <c r="K61" s="342"/>
      <c r="L61" s="342"/>
      <c r="M61" s="230">
        <v>2.3006000000000002</v>
      </c>
      <c r="N61" s="372">
        <f t="shared" si="19"/>
        <v>0.93520325203252042</v>
      </c>
      <c r="P61" s="230">
        <v>2.3452000000000002</v>
      </c>
      <c r="Q61" s="372">
        <f t="shared" si="20"/>
        <v>0.93546071001196651</v>
      </c>
      <c r="S61" s="230">
        <v>2.3576000000000001</v>
      </c>
      <c r="T61" s="372">
        <f t="shared" si="21"/>
        <v>0.93499900852667062</v>
      </c>
      <c r="V61" s="230">
        <v>2.3841999999999999</v>
      </c>
      <c r="W61" s="372">
        <f t="shared" si="22"/>
        <v>0.93476044852191631</v>
      </c>
      <c r="Y61" s="230">
        <v>2.2911999999999999</v>
      </c>
      <c r="Z61" s="372">
        <f t="shared" si="23"/>
        <v>0.93457333985968338</v>
      </c>
      <c r="AB61" s="230">
        <v>2.3195999999999999</v>
      </c>
      <c r="AC61" s="372">
        <f t="shared" si="24"/>
        <v>0.93475720330445289</v>
      </c>
      <c r="AF61" s="371">
        <f t="shared" si="25"/>
        <v>-8.625834942112609E-2</v>
      </c>
      <c r="AG61" s="594">
        <f t="shared" si="26"/>
        <v>0.93495899370953495</v>
      </c>
      <c r="AH61" s="5">
        <v>6</v>
      </c>
      <c r="AI61" s="339">
        <v>-6.3625450180072124E-2</v>
      </c>
      <c r="AJ61" s="371">
        <f t="shared" si="27"/>
        <v>0.9985844438896071</v>
      </c>
      <c r="AL61" s="594">
        <v>0.93495899370953495</v>
      </c>
      <c r="AM61" s="371">
        <f t="shared" si="29"/>
        <v>0</v>
      </c>
      <c r="AN61" s="379">
        <f t="shared" si="30"/>
        <v>89.043713686622368</v>
      </c>
      <c r="AO61" s="371"/>
    </row>
    <row r="62" spans="1:44" ht="15.75">
      <c r="A62" s="702"/>
      <c r="B62" s="304">
        <v>0</v>
      </c>
      <c r="C62" s="304">
        <v>1</v>
      </c>
      <c r="D62" s="304">
        <v>1</v>
      </c>
      <c r="E62" s="304">
        <v>1</v>
      </c>
      <c r="F62" s="339">
        <v>-7.4029611844737914E-2</v>
      </c>
      <c r="G62" s="375">
        <f t="shared" si="28"/>
        <v>7.3499999999999996E-2</v>
      </c>
      <c r="H62" s="341" t="s">
        <v>25</v>
      </c>
      <c r="I62" s="337">
        <v>7</v>
      </c>
      <c r="J62" s="342"/>
      <c r="K62" s="342"/>
      <c r="L62" s="342"/>
      <c r="M62" s="230">
        <v>2.274</v>
      </c>
      <c r="N62" s="372">
        <f t="shared" si="19"/>
        <v>0.92439024390243907</v>
      </c>
      <c r="P62" s="230">
        <v>2.3168000000000002</v>
      </c>
      <c r="Q62" s="372">
        <f t="shared" si="20"/>
        <v>0.9241324291982449</v>
      </c>
      <c r="S62" s="230">
        <v>2.3296000000000001</v>
      </c>
      <c r="T62" s="372">
        <f t="shared" si="21"/>
        <v>0.92389450723775535</v>
      </c>
      <c r="V62" s="230">
        <v>2.3561999999999999</v>
      </c>
      <c r="W62" s="372">
        <f t="shared" si="22"/>
        <v>0.92378263937896954</v>
      </c>
      <c r="Y62" s="230">
        <v>2.2631999999999999</v>
      </c>
      <c r="Z62" s="372">
        <f t="shared" si="23"/>
        <v>0.92315222711698475</v>
      </c>
      <c r="AB62" s="230">
        <v>2.2923</v>
      </c>
      <c r="AC62" s="372">
        <f t="shared" si="24"/>
        <v>0.92375579286721743</v>
      </c>
      <c r="AF62" s="371">
        <f t="shared" si="25"/>
        <v>-8.6820194240607385E-2</v>
      </c>
      <c r="AG62" s="594">
        <f t="shared" si="26"/>
        <v>0.92385130661693504</v>
      </c>
      <c r="AH62" s="605">
        <v>7</v>
      </c>
      <c r="AI62" s="339">
        <v>-7.4029611844737914E-2</v>
      </c>
      <c r="AJ62" s="371">
        <f t="shared" si="27"/>
        <v>0.99788091846167293</v>
      </c>
      <c r="AL62" s="594">
        <v>0.92385130661693504</v>
      </c>
      <c r="AM62" s="371">
        <f t="shared" si="29"/>
        <v>0</v>
      </c>
      <c r="AN62" s="379">
        <f t="shared" si="30"/>
        <v>87.985838725422383</v>
      </c>
      <c r="AO62" s="371"/>
    </row>
    <row r="63" spans="1:44" s="605" customFormat="1" ht="15.75">
      <c r="A63" s="702"/>
      <c r="B63" s="598">
        <v>1</v>
      </c>
      <c r="C63" s="598">
        <v>0</v>
      </c>
      <c r="D63" s="598">
        <v>0</v>
      </c>
      <c r="E63" s="598">
        <v>0</v>
      </c>
      <c r="F63" s="599">
        <v>8.2032813125250126E-2</v>
      </c>
      <c r="G63" s="600">
        <f>F63-8.4%</f>
        <v>-1.9671868747498794E-3</v>
      </c>
      <c r="H63" s="601" t="s">
        <v>26</v>
      </c>
      <c r="I63" s="602">
        <v>0</v>
      </c>
      <c r="J63" s="608">
        <v>13.6</v>
      </c>
      <c r="K63" s="608"/>
      <c r="L63" s="608"/>
      <c r="M63" s="604">
        <v>2.6616</v>
      </c>
      <c r="N63" s="603">
        <f t="shared" si="19"/>
        <v>1.0819512195121952</v>
      </c>
      <c r="P63" s="604">
        <v>2.7149999999999999</v>
      </c>
      <c r="Q63" s="603">
        <f t="shared" si="20"/>
        <v>1.0829676904666932</v>
      </c>
      <c r="S63" s="604">
        <v>2.7307999999999999</v>
      </c>
      <c r="T63" s="603">
        <f t="shared" si="21"/>
        <v>1.0830061471346419</v>
      </c>
      <c r="V63" s="604">
        <v>2.7606999999999999</v>
      </c>
      <c r="W63" s="603">
        <f t="shared" si="22"/>
        <v>1.0823727750333254</v>
      </c>
      <c r="Y63" s="604">
        <v>2.6536</v>
      </c>
      <c r="Z63" s="603">
        <f t="shared" si="23"/>
        <v>1.0823951705008974</v>
      </c>
      <c r="AB63" s="604">
        <v>2.6890000000000001</v>
      </c>
      <c r="AC63" s="603">
        <f t="shared" si="24"/>
        <v>1.0836187789643361</v>
      </c>
      <c r="AF63" s="606"/>
      <c r="AG63" s="606">
        <f t="shared" si="26"/>
        <v>1.0827186302686815</v>
      </c>
      <c r="AH63" s="605">
        <v>8</v>
      </c>
      <c r="AI63" s="599">
        <v>8.2032813125250126E-2</v>
      </c>
      <c r="AJ63" s="606">
        <f t="shared" si="27"/>
        <v>1.0006858171434314</v>
      </c>
      <c r="AL63" s="606">
        <v>1.0827186302686815</v>
      </c>
      <c r="AM63" s="606">
        <f t="shared" si="29"/>
        <v>0</v>
      </c>
      <c r="AN63" s="607">
        <f>16-ABS(AL63/1.05%)</f>
        <v>-87.116060025588709</v>
      </c>
      <c r="AO63" s="606"/>
    </row>
    <row r="64" spans="1:44" ht="15.75">
      <c r="A64" s="702"/>
      <c r="B64" s="304">
        <v>1</v>
      </c>
      <c r="C64" s="304">
        <v>0</v>
      </c>
      <c r="D64" s="304">
        <v>0</v>
      </c>
      <c r="E64" s="304">
        <v>1</v>
      </c>
      <c r="F64" s="339">
        <v>7.2428971588635468E-2</v>
      </c>
      <c r="G64" s="375">
        <f t="shared" ref="G64:G70" si="31">F64-8.4%</f>
        <v>-1.1571028411364537E-2</v>
      </c>
      <c r="H64" s="341" t="s">
        <v>26</v>
      </c>
      <c r="I64" s="337">
        <v>4</v>
      </c>
      <c r="J64" s="342"/>
      <c r="K64" s="342"/>
      <c r="L64" s="342"/>
      <c r="M64" s="230">
        <v>2.6368</v>
      </c>
      <c r="N64" s="372">
        <f t="shared" si="19"/>
        <v>1.0718699186991871</v>
      </c>
      <c r="P64" s="230">
        <v>2.69</v>
      </c>
      <c r="Q64" s="372">
        <f t="shared" si="20"/>
        <v>1.0729956122856001</v>
      </c>
      <c r="S64" s="230">
        <v>2.7056</v>
      </c>
      <c r="T64" s="372">
        <f t="shared" si="21"/>
        <v>1.0730120959746183</v>
      </c>
      <c r="V64" s="230">
        <v>2.7351000000000001</v>
      </c>
      <c r="W64" s="372">
        <f t="shared" si="22"/>
        <v>1.072335920959774</v>
      </c>
      <c r="Y64" s="230">
        <v>2.629</v>
      </c>
      <c r="Z64" s="372">
        <f t="shared" si="23"/>
        <v>1.0723609071626692</v>
      </c>
      <c r="AB64" s="230">
        <v>2.6636000000000002</v>
      </c>
      <c r="AC64" s="372">
        <f t="shared" si="24"/>
        <v>1.0733830344549669</v>
      </c>
      <c r="AG64" s="594">
        <f t="shared" si="26"/>
        <v>1.0726595815894693</v>
      </c>
      <c r="AH64" s="5">
        <v>9</v>
      </c>
      <c r="AI64" s="339">
        <v>7.2428971588635468E-2</v>
      </c>
      <c r="AJ64" s="371">
        <f t="shared" si="27"/>
        <v>1.0002306100008338</v>
      </c>
      <c r="AL64" s="594">
        <v>1.0726595815894693</v>
      </c>
      <c r="AM64" s="371">
        <f t="shared" si="29"/>
        <v>0</v>
      </c>
      <c r="AN64" s="379">
        <f t="shared" ref="AN64:AN70" si="32">16-ABS(AL64/1.05%)</f>
        <v>-86.158055389473262</v>
      </c>
      <c r="AO64" s="371"/>
    </row>
    <row r="65" spans="1:41" ht="15.75">
      <c r="A65" s="702"/>
      <c r="B65" s="304">
        <v>1</v>
      </c>
      <c r="C65" s="304">
        <v>0</v>
      </c>
      <c r="D65" s="304">
        <v>1</v>
      </c>
      <c r="E65" s="304">
        <v>0</v>
      </c>
      <c r="F65" s="339">
        <v>6.2264905962384848E-2</v>
      </c>
      <c r="G65" s="375">
        <f t="shared" si="31"/>
        <v>-2.1735094037615157E-2</v>
      </c>
      <c r="H65" s="341" t="s">
        <v>26</v>
      </c>
      <c r="I65" s="337">
        <v>2</v>
      </c>
      <c r="J65" s="342"/>
      <c r="K65" s="342"/>
      <c r="L65" s="342"/>
      <c r="M65" s="230">
        <v>2.6122000000000001</v>
      </c>
      <c r="N65" s="372">
        <f t="shared" si="19"/>
        <v>1.0618699186991871</v>
      </c>
      <c r="P65" s="230">
        <v>2.6654</v>
      </c>
      <c r="Q65" s="372">
        <f t="shared" si="20"/>
        <v>1.0631830873554049</v>
      </c>
      <c r="S65" s="230">
        <v>2.6796000000000002</v>
      </c>
      <c r="T65" s="372">
        <f t="shared" si="21"/>
        <v>1.0627007733491969</v>
      </c>
      <c r="V65" s="230">
        <v>2.7096</v>
      </c>
      <c r="W65" s="372">
        <f t="shared" si="22"/>
        <v>1.0623382733474476</v>
      </c>
      <c r="Y65" s="230">
        <v>2.6048</v>
      </c>
      <c r="Z65" s="372">
        <f t="shared" si="23"/>
        <v>1.0624898025779084</v>
      </c>
      <c r="AB65" s="230">
        <v>2.6381000000000001</v>
      </c>
      <c r="AC65" s="372">
        <f t="shared" si="24"/>
        <v>1.0631069917388676</v>
      </c>
      <c r="AG65" s="594">
        <f t="shared" si="26"/>
        <v>1.0626148078446687</v>
      </c>
      <c r="AH65" s="605">
        <v>10</v>
      </c>
      <c r="AI65" s="339">
        <v>6.2264905962384848E-2</v>
      </c>
      <c r="AJ65" s="371">
        <f t="shared" si="27"/>
        <v>1.0003499018822839</v>
      </c>
      <c r="AL65" s="594">
        <v>1.0626148078446687</v>
      </c>
      <c r="AM65" s="371">
        <f t="shared" si="29"/>
        <v>0</v>
      </c>
      <c r="AN65" s="379">
        <f t="shared" si="32"/>
        <v>-85.201410270920817</v>
      </c>
      <c r="AO65" s="371"/>
    </row>
    <row r="66" spans="1:41" ht="15.75">
      <c r="A66" s="702"/>
      <c r="B66" s="304">
        <v>1</v>
      </c>
      <c r="C66" s="304">
        <v>0</v>
      </c>
      <c r="D66" s="304">
        <v>1</v>
      </c>
      <c r="E66" s="304">
        <v>1</v>
      </c>
      <c r="F66" s="339">
        <v>5.2020808323329289E-2</v>
      </c>
      <c r="G66" s="375">
        <f t="shared" si="31"/>
        <v>-3.1979191676670717E-2</v>
      </c>
      <c r="H66" s="341" t="s">
        <v>26</v>
      </c>
      <c r="I66" s="337">
        <v>6</v>
      </c>
      <c r="J66" s="342"/>
      <c r="K66" s="342"/>
      <c r="L66" s="342"/>
      <c r="M66" s="230">
        <v>2.5874000000000001</v>
      </c>
      <c r="N66" s="372">
        <f t="shared" si="19"/>
        <v>1.0517886178861788</v>
      </c>
      <c r="P66" s="230">
        <v>2.64</v>
      </c>
      <c r="Q66" s="372">
        <f t="shared" si="20"/>
        <v>1.0530514559234145</v>
      </c>
      <c r="S66" s="230">
        <v>2.653</v>
      </c>
      <c r="T66" s="372">
        <f t="shared" si="21"/>
        <v>1.0521514971247272</v>
      </c>
      <c r="V66" s="230">
        <v>2.6833999999999998</v>
      </c>
      <c r="W66" s="372">
        <f t="shared" si="22"/>
        <v>1.0520661805065472</v>
      </c>
      <c r="Y66" s="230">
        <v>2.5792999999999999</v>
      </c>
      <c r="Z66" s="372">
        <f t="shared" si="23"/>
        <v>1.0520884320443791</v>
      </c>
      <c r="AB66" s="230">
        <v>2.6124000000000001</v>
      </c>
      <c r="AC66" s="372">
        <f t="shared" si="24"/>
        <v>1.0527503526093089</v>
      </c>
      <c r="AG66" s="594">
        <f t="shared" si="26"/>
        <v>1.0523160893490928</v>
      </c>
      <c r="AH66" s="605">
        <v>11</v>
      </c>
      <c r="AI66" s="339">
        <v>5.2020808323329289E-2</v>
      </c>
      <c r="AJ66" s="371">
        <f t="shared" si="27"/>
        <v>1.0002952810257635</v>
      </c>
      <c r="AL66" s="594">
        <v>1.0523160893490928</v>
      </c>
      <c r="AM66" s="371">
        <f t="shared" si="29"/>
        <v>0</v>
      </c>
      <c r="AN66" s="379">
        <f t="shared" si="32"/>
        <v>-84.220579938008839</v>
      </c>
      <c r="AO66" s="371"/>
    </row>
    <row r="67" spans="1:41" ht="15.75">
      <c r="A67" s="702"/>
      <c r="B67" s="304">
        <v>1</v>
      </c>
      <c r="C67" s="304">
        <v>1</v>
      </c>
      <c r="D67" s="304">
        <v>0</v>
      </c>
      <c r="E67" s="304">
        <v>0</v>
      </c>
      <c r="F67" s="339">
        <v>4.1816726690676195E-2</v>
      </c>
      <c r="G67" s="375">
        <f t="shared" si="31"/>
        <v>-4.218327330932381E-2</v>
      </c>
      <c r="H67" s="341" t="s">
        <v>26</v>
      </c>
      <c r="I67" s="337">
        <v>1</v>
      </c>
      <c r="J67" s="342"/>
      <c r="K67" s="342"/>
      <c r="L67" s="342"/>
      <c r="M67" s="230">
        <v>2.5623</v>
      </c>
      <c r="N67" s="372">
        <f t="shared" si="19"/>
        <v>1.0415853658536585</v>
      </c>
      <c r="P67" s="230">
        <v>2.6139999999999999</v>
      </c>
      <c r="Q67" s="372">
        <f t="shared" si="20"/>
        <v>1.0426804946150776</v>
      </c>
      <c r="S67" s="230">
        <v>2.6269999999999998</v>
      </c>
      <c r="T67" s="372">
        <f t="shared" si="21"/>
        <v>1.0418401744993058</v>
      </c>
      <c r="V67" s="230">
        <v>2.6577999999999999</v>
      </c>
      <c r="W67" s="372">
        <f t="shared" si="22"/>
        <v>1.0420293264329961</v>
      </c>
      <c r="Y67" s="230">
        <v>2.5535999999999999</v>
      </c>
      <c r="Z67" s="372">
        <f t="shared" si="23"/>
        <v>1.0416054821341165</v>
      </c>
      <c r="AB67" s="230">
        <v>2.5865999999999998</v>
      </c>
      <c r="AC67" s="372">
        <f t="shared" si="24"/>
        <v>1.0423534152730203</v>
      </c>
      <c r="AG67" s="594">
        <f t="shared" si="26"/>
        <v>1.0420157098013625</v>
      </c>
      <c r="AH67" s="5">
        <v>12</v>
      </c>
      <c r="AI67" s="339">
        <v>4.1816726690676195E-2</v>
      </c>
      <c r="AJ67" s="371">
        <f t="shared" si="27"/>
        <v>1.0001989831106863</v>
      </c>
      <c r="AL67" s="594">
        <v>1.0420157098013625</v>
      </c>
      <c r="AM67" s="371">
        <f t="shared" si="29"/>
        <v>0</v>
      </c>
      <c r="AN67" s="379">
        <f t="shared" si="32"/>
        <v>-83.239591409653571</v>
      </c>
      <c r="AO67" s="371"/>
    </row>
    <row r="68" spans="1:41" ht="15.75">
      <c r="A68" s="702"/>
      <c r="B68" s="304">
        <v>1</v>
      </c>
      <c r="C68" s="304">
        <v>1</v>
      </c>
      <c r="D68" s="304">
        <v>0</v>
      </c>
      <c r="E68" s="304">
        <v>1</v>
      </c>
      <c r="F68" s="339">
        <v>3.1452581032412878E-2</v>
      </c>
      <c r="G68" s="375">
        <f t="shared" si="31"/>
        <v>-5.2547418967587127E-2</v>
      </c>
      <c r="H68" s="341" t="s">
        <v>26</v>
      </c>
      <c r="I68" s="337">
        <v>5</v>
      </c>
      <c r="J68" s="342"/>
      <c r="K68" s="342"/>
      <c r="L68" s="342"/>
      <c r="M68" s="230">
        <v>2.5369999999999999</v>
      </c>
      <c r="N68" s="372">
        <f t="shared" si="19"/>
        <v>1.03130081300813</v>
      </c>
      <c r="P68" s="230">
        <v>2.5884</v>
      </c>
      <c r="Q68" s="372">
        <f t="shared" si="20"/>
        <v>1.0324690865576385</v>
      </c>
      <c r="S68" s="230">
        <v>2.6006999999999998</v>
      </c>
      <c r="T68" s="372">
        <f t="shared" si="21"/>
        <v>1.0314098750743603</v>
      </c>
      <c r="V68" s="230">
        <v>2.6315</v>
      </c>
      <c r="W68" s="372">
        <f t="shared" si="22"/>
        <v>1.031718027130871</v>
      </c>
      <c r="Y68" s="230">
        <v>2.5280999999999998</v>
      </c>
      <c r="Z68" s="372">
        <f t="shared" si="23"/>
        <v>1.0312041116005872</v>
      </c>
      <c r="AB68" s="230">
        <v>2.56</v>
      </c>
      <c r="AC68" s="372">
        <f t="shared" si="24"/>
        <v>1.0316340922828935</v>
      </c>
      <c r="AG68" s="594">
        <f t="shared" si="26"/>
        <v>1.0316226676090801</v>
      </c>
      <c r="AH68" s="605">
        <v>13</v>
      </c>
      <c r="AI68" s="339">
        <v>3.1452581032412878E-2</v>
      </c>
      <c r="AJ68" s="371">
        <f t="shared" si="27"/>
        <v>1.0001700865766672</v>
      </c>
      <c r="AL68" s="594">
        <v>1.0316226676090801</v>
      </c>
      <c r="AM68" s="371">
        <f t="shared" si="29"/>
        <v>0</v>
      </c>
      <c r="AN68" s="379">
        <f t="shared" si="32"/>
        <v>-82.249777867531421</v>
      </c>
      <c r="AO68" s="371"/>
    </row>
    <row r="69" spans="1:41" ht="15.75">
      <c r="A69" s="702"/>
      <c r="B69" s="304">
        <v>1</v>
      </c>
      <c r="C69" s="304">
        <v>1</v>
      </c>
      <c r="D69" s="304">
        <v>1</v>
      </c>
      <c r="E69" s="304">
        <v>0</v>
      </c>
      <c r="F69" s="339">
        <v>2.1048419367747088E-2</v>
      </c>
      <c r="G69" s="375">
        <f t="shared" si="31"/>
        <v>-6.2951580632252924E-2</v>
      </c>
      <c r="H69" s="341" t="s">
        <v>26</v>
      </c>
      <c r="I69" s="337">
        <v>3</v>
      </c>
      <c r="J69" s="342"/>
      <c r="K69" s="342"/>
      <c r="L69" s="342"/>
      <c r="M69" s="230">
        <v>2.5112999999999999</v>
      </c>
      <c r="N69" s="372">
        <f t="shared" si="19"/>
        <v>1.0208536585365853</v>
      </c>
      <c r="P69" s="230">
        <v>2.5625</v>
      </c>
      <c r="Q69" s="372">
        <f t="shared" si="20"/>
        <v>1.0221380135620264</v>
      </c>
      <c r="S69" s="230">
        <v>2.5750000000000002</v>
      </c>
      <c r="T69" s="372">
        <f t="shared" si="21"/>
        <v>1.0212175292484633</v>
      </c>
      <c r="V69" s="230">
        <v>2.6042000000000001</v>
      </c>
      <c r="W69" s="372">
        <f t="shared" si="22"/>
        <v>1.021014663216498</v>
      </c>
      <c r="Y69" s="230">
        <v>2.5026000000000002</v>
      </c>
      <c r="Z69" s="372">
        <f t="shared" si="23"/>
        <v>1.0208027410670584</v>
      </c>
      <c r="AB69" s="230">
        <v>2.5343</v>
      </c>
      <c r="AC69" s="372">
        <f t="shared" si="24"/>
        <v>1.0212774531533346</v>
      </c>
      <c r="AG69" s="594">
        <f t="shared" si="26"/>
        <v>1.021217343130661</v>
      </c>
      <c r="AH69" s="605">
        <v>14</v>
      </c>
      <c r="AI69" s="339">
        <v>2.1048419367747088E-2</v>
      </c>
      <c r="AJ69" s="371">
        <f t="shared" si="27"/>
        <v>1.0001689237629139</v>
      </c>
      <c r="AL69" s="594">
        <v>1.021217343130661</v>
      </c>
      <c r="AM69" s="371">
        <f t="shared" si="29"/>
        <v>0</v>
      </c>
      <c r="AN69" s="379">
        <f t="shared" si="32"/>
        <v>-81.258794583872472</v>
      </c>
      <c r="AO69" s="371"/>
    </row>
    <row r="70" spans="1:41" ht="15.75">
      <c r="A70" s="702"/>
      <c r="B70" s="304">
        <v>1</v>
      </c>
      <c r="C70" s="304">
        <v>1</v>
      </c>
      <c r="D70" s="304">
        <v>1</v>
      </c>
      <c r="E70" s="304">
        <v>1</v>
      </c>
      <c r="F70" s="339">
        <v>1.0564225690276013E-2</v>
      </c>
      <c r="G70" s="375">
        <f t="shared" si="31"/>
        <v>-7.3435774309723992E-2</v>
      </c>
      <c r="H70" s="341" t="s">
        <v>26</v>
      </c>
      <c r="I70" s="337">
        <v>7</v>
      </c>
      <c r="J70" s="342"/>
      <c r="K70" s="342"/>
      <c r="L70" s="342"/>
      <c r="M70" s="230">
        <v>2.4862000000000002</v>
      </c>
      <c r="N70" s="372">
        <f t="shared" si="19"/>
        <v>1.0106504065040651</v>
      </c>
      <c r="P70" s="230">
        <v>2.5350000000000001</v>
      </c>
      <c r="Q70" s="372">
        <f t="shared" si="20"/>
        <v>1.0111687275628241</v>
      </c>
      <c r="S70" s="230">
        <v>2.5486</v>
      </c>
      <c r="T70" s="372">
        <f t="shared" si="21"/>
        <v>1.0107475708903431</v>
      </c>
      <c r="V70" s="230">
        <v>2.5775000000000001</v>
      </c>
      <c r="W70" s="372">
        <f t="shared" si="22"/>
        <v>1.0105465380694738</v>
      </c>
      <c r="Y70" s="230">
        <v>2.4763999999999999</v>
      </c>
      <c r="Z70" s="372">
        <f t="shared" si="23"/>
        <v>1.0101158427149617</v>
      </c>
      <c r="AB70" s="230">
        <v>2.5083000000000002</v>
      </c>
      <c r="AC70" s="372">
        <f t="shared" si="24"/>
        <v>1.0107999194035866</v>
      </c>
      <c r="AG70" s="594">
        <f t="shared" si="26"/>
        <v>1.0106715008575424</v>
      </c>
      <c r="AH70" s="5">
        <v>15</v>
      </c>
      <c r="AI70" s="339">
        <v>1.0564225690276013E-2</v>
      </c>
      <c r="AJ70" s="371">
        <f t="shared" si="27"/>
        <v>1.0001072751672664</v>
      </c>
      <c r="AL70" s="594">
        <v>1.0106715008575424</v>
      </c>
      <c r="AM70" s="371">
        <f t="shared" si="29"/>
        <v>0</v>
      </c>
      <c r="AN70" s="379">
        <f t="shared" si="32"/>
        <v>-80.254428653099268</v>
      </c>
      <c r="AO70" s="371"/>
    </row>
    <row r="71" spans="1:41" ht="31.5">
      <c r="A71" s="702"/>
      <c r="B71" s="258" t="s">
        <v>264</v>
      </c>
      <c r="C71" s="258" t="s">
        <v>265</v>
      </c>
      <c r="D71" s="258" t="s">
        <v>266</v>
      </c>
      <c r="E71" s="258" t="s">
        <v>267</v>
      </c>
      <c r="F71" s="343"/>
      <c r="G71" s="344"/>
      <c r="H71" s="345" t="s">
        <v>268</v>
      </c>
      <c r="I71" s="346"/>
      <c r="J71" s="302"/>
      <c r="K71" s="302"/>
      <c r="L71" s="302"/>
      <c r="M71" s="230"/>
      <c r="P71" s="230"/>
      <c r="S71" s="230"/>
      <c r="V71" s="230"/>
      <c r="Y71" s="230"/>
      <c r="AB71" s="230"/>
      <c r="AL71" s="376" t="s">
        <v>280</v>
      </c>
    </row>
    <row r="72" spans="1:41" ht="15.75">
      <c r="A72" s="702"/>
      <c r="B72" s="304">
        <v>0</v>
      </c>
      <c r="C72" s="304">
        <v>0</v>
      </c>
      <c r="D72" s="304">
        <v>0</v>
      </c>
      <c r="E72" s="304">
        <v>0</v>
      </c>
      <c r="F72" s="335">
        <v>0</v>
      </c>
      <c r="G72" s="340"/>
      <c r="H72" s="307" t="s">
        <v>25</v>
      </c>
      <c r="I72" s="347"/>
      <c r="J72" s="348">
        <v>1</v>
      </c>
      <c r="K72" s="348"/>
      <c r="L72" s="348"/>
      <c r="M72" s="230">
        <v>2.46</v>
      </c>
      <c r="N72" s="372">
        <f>M72/M$72</f>
        <v>1</v>
      </c>
      <c r="P72" s="230">
        <v>2.5089999999999999</v>
      </c>
      <c r="Q72" s="372">
        <f>P72/P$72</f>
        <v>1</v>
      </c>
      <c r="S72" s="230">
        <v>2.52</v>
      </c>
      <c r="T72" s="372">
        <f>S72/S$72</f>
        <v>1</v>
      </c>
      <c r="V72" s="230">
        <v>2.5508000000000002</v>
      </c>
      <c r="W72" s="372">
        <f>V72/V$72</f>
        <v>1</v>
      </c>
      <c r="Y72" s="230">
        <v>2.4498000000000002</v>
      </c>
      <c r="Z72" s="372">
        <f>Y72/Y$72</f>
        <v>1</v>
      </c>
      <c r="AB72" s="230">
        <v>2.4821</v>
      </c>
      <c r="AC72" s="372">
        <f>AB72/AB$72</f>
        <v>1</v>
      </c>
      <c r="AG72" s="594">
        <f>AVERAGE(N72,Q72,T72,W72,Z72,AC72)</f>
        <v>1</v>
      </c>
      <c r="AH72" s="5">
        <v>0</v>
      </c>
      <c r="AI72" s="335">
        <v>0</v>
      </c>
      <c r="AJ72" s="371">
        <f>AG72-AI72</f>
        <v>1</v>
      </c>
      <c r="AL72" s="594">
        <v>1</v>
      </c>
      <c r="AM72" s="371">
        <f>AJ72-AL72</f>
        <v>0</v>
      </c>
      <c r="AN72" s="379">
        <f>ABS(AL72/0.29%)</f>
        <v>344.82758620689657</v>
      </c>
    </row>
    <row r="73" spans="1:41" s="619" customFormat="1" ht="15.75">
      <c r="A73" s="702"/>
      <c r="B73" s="610">
        <v>0</v>
      </c>
      <c r="C73" s="610">
        <v>0</v>
      </c>
      <c r="D73" s="610">
        <v>0</v>
      </c>
      <c r="E73" s="610">
        <v>1</v>
      </c>
      <c r="F73" s="612">
        <v>-2.8000000000000247E-3</v>
      </c>
      <c r="G73" s="626">
        <f>F73-F72</f>
        <v>-2.8000000000000247E-3</v>
      </c>
      <c r="H73" s="613" t="s">
        <v>42</v>
      </c>
      <c r="I73" s="614"/>
      <c r="J73" s="627">
        <v>0.99719999999999998</v>
      </c>
      <c r="K73" s="627"/>
      <c r="L73" s="627"/>
      <c r="M73" s="628">
        <v>2.4527999999999999</v>
      </c>
      <c r="N73" s="618">
        <f t="shared" ref="N73:N87" si="33">M73/M$72</f>
        <v>0.99707317073170731</v>
      </c>
      <c r="P73" s="628">
        <v>2.5024999999999999</v>
      </c>
      <c r="Q73" s="618">
        <f t="shared" ref="Q73:Q87" si="34">P73/P$72</f>
        <v>0.99740932642487046</v>
      </c>
      <c r="S73" s="628">
        <v>2.5129999999999999</v>
      </c>
      <c r="T73" s="618">
        <f t="shared" ref="T73:T87" si="35">S73/S$72</f>
        <v>0.99722222222222212</v>
      </c>
      <c r="V73" s="628">
        <v>2.5432999999999999</v>
      </c>
      <c r="W73" s="618">
        <f t="shared" ref="W73:W87" si="36">V73/V$72</f>
        <v>0.99705974596205105</v>
      </c>
      <c r="Y73" s="628">
        <v>2.4430000000000001</v>
      </c>
      <c r="Z73" s="618">
        <f t="shared" ref="Z73:Z87" si="37">Y73/Y$72</f>
        <v>0.99722426320515956</v>
      </c>
      <c r="AB73" s="628">
        <v>2.4748000000000001</v>
      </c>
      <c r="AC73" s="618">
        <f t="shared" ref="AC73:AC87" si="38">AB73/AB$72</f>
        <v>0.99705894202489831</v>
      </c>
      <c r="AF73" s="620"/>
      <c r="AG73" s="620">
        <f t="shared" ref="AG73:AG87" si="39">AVERAGE(N73,Q73,T73,W73,Z73,AC73)</f>
        <v>0.99717461176181799</v>
      </c>
      <c r="AH73" s="619">
        <v>1</v>
      </c>
      <c r="AI73" s="612">
        <v>-2.8000000000000247E-3</v>
      </c>
      <c r="AJ73" s="620">
        <f t="shared" ref="AJ73:AJ87" si="40">AG73-AI73</f>
        <v>0.99997461176181801</v>
      </c>
      <c r="AL73" s="620">
        <v>0.99717461176181799</v>
      </c>
      <c r="AM73" s="620">
        <f>AG73-AL73</f>
        <v>0</v>
      </c>
      <c r="AN73" s="629">
        <f t="shared" ref="AN73:AN79" si="41">ABS(AL73/0.29%)</f>
        <v>343.85331440062691</v>
      </c>
    </row>
    <row r="74" spans="1:41" s="619" customFormat="1" ht="15.75">
      <c r="A74" s="702"/>
      <c r="B74" s="610">
        <v>0</v>
      </c>
      <c r="C74" s="610">
        <v>0</v>
      </c>
      <c r="D74" s="610">
        <v>1</v>
      </c>
      <c r="E74" s="610">
        <v>0</v>
      </c>
      <c r="F74" s="612">
        <v>-5.7000000000000384E-3</v>
      </c>
      <c r="G74" s="626">
        <f t="shared" ref="G74:G80" si="42">F74-F73</f>
        <v>-2.9000000000000137E-3</v>
      </c>
      <c r="H74" s="613" t="s">
        <v>60</v>
      </c>
      <c r="I74" s="614"/>
      <c r="J74" s="627">
        <v>0.99429999999999996</v>
      </c>
      <c r="K74" s="627"/>
      <c r="L74" s="627"/>
      <c r="M74" s="628">
        <v>2.4462000000000002</v>
      </c>
      <c r="N74" s="618">
        <f t="shared" si="33"/>
        <v>0.99439024390243913</v>
      </c>
      <c r="P74" s="628">
        <v>2.4950999999999999</v>
      </c>
      <c r="Q74" s="618">
        <f t="shared" si="34"/>
        <v>0.9944599442008768</v>
      </c>
      <c r="S74" s="628">
        <v>2.5055999999999998</v>
      </c>
      <c r="T74" s="618">
        <f t="shared" si="35"/>
        <v>0.99428571428571422</v>
      </c>
      <c r="V74" s="628">
        <v>2.5360999999999998</v>
      </c>
      <c r="W74" s="618">
        <f t="shared" si="36"/>
        <v>0.99423710208561999</v>
      </c>
      <c r="Y74" s="628">
        <v>2.4359999999999999</v>
      </c>
      <c r="Z74" s="618">
        <f t="shared" si="37"/>
        <v>0.99436688709282384</v>
      </c>
      <c r="AB74" s="628">
        <v>2.4676999999999998</v>
      </c>
      <c r="AC74" s="618">
        <f t="shared" si="38"/>
        <v>0.99419846098062115</v>
      </c>
      <c r="AF74" s="620"/>
      <c r="AG74" s="620">
        <f t="shared" si="39"/>
        <v>0.99432305875801585</v>
      </c>
      <c r="AH74" s="5">
        <v>2</v>
      </c>
      <c r="AI74" s="612">
        <v>-5.7000000000000384E-3</v>
      </c>
      <c r="AJ74" s="620">
        <f t="shared" si="40"/>
        <v>1.0000230587580159</v>
      </c>
      <c r="AL74" s="620">
        <v>0.99432305875801585</v>
      </c>
      <c r="AM74" s="620">
        <f t="shared" ref="AM74:AM87" si="43">AG74-AL74</f>
        <v>0</v>
      </c>
      <c r="AN74" s="629">
        <f t="shared" si="41"/>
        <v>342.87002026138481</v>
      </c>
    </row>
    <row r="75" spans="1:41" ht="15.75">
      <c r="A75" s="702"/>
      <c r="B75" s="304">
        <v>0</v>
      </c>
      <c r="C75" s="304">
        <v>0</v>
      </c>
      <c r="D75" s="304">
        <v>1</v>
      </c>
      <c r="E75" s="304">
        <v>1</v>
      </c>
      <c r="F75" s="339">
        <v>-8.600000000000052E-3</v>
      </c>
      <c r="G75" s="375">
        <f t="shared" si="42"/>
        <v>-2.9000000000000137E-3</v>
      </c>
      <c r="H75" s="307" t="s">
        <v>89</v>
      </c>
      <c r="I75" s="347"/>
      <c r="J75" s="349">
        <v>0.99139999999999995</v>
      </c>
      <c r="K75" s="349"/>
      <c r="L75" s="349"/>
      <c r="M75" s="230">
        <v>2.4382000000000001</v>
      </c>
      <c r="N75" s="372">
        <f t="shared" si="33"/>
        <v>0.99113821138211389</v>
      </c>
      <c r="P75" s="230">
        <v>2.4874999999999998</v>
      </c>
      <c r="Q75" s="372">
        <f t="shared" si="34"/>
        <v>0.99143084894380229</v>
      </c>
      <c r="S75" s="230">
        <v>2.4996</v>
      </c>
      <c r="T75" s="372">
        <f t="shared" si="35"/>
        <v>0.99190476190476196</v>
      </c>
      <c r="V75" s="230">
        <v>2.5287999999999999</v>
      </c>
      <c r="W75" s="372">
        <f t="shared" si="36"/>
        <v>0.99137525482201649</v>
      </c>
      <c r="Y75" s="230">
        <v>2.4287000000000001</v>
      </c>
      <c r="Z75" s="372">
        <f t="shared" si="37"/>
        <v>0.99138705200424515</v>
      </c>
      <c r="AB75" s="230">
        <v>2.4601999999999999</v>
      </c>
      <c r="AC75" s="372">
        <f t="shared" si="38"/>
        <v>0.99117682607469482</v>
      </c>
      <c r="AG75" s="594">
        <f t="shared" si="39"/>
        <v>0.99140215918860575</v>
      </c>
      <c r="AH75" s="619">
        <v>3</v>
      </c>
      <c r="AI75" s="339">
        <v>-8.600000000000052E-3</v>
      </c>
      <c r="AJ75" s="371">
        <f t="shared" si="40"/>
        <v>1.0000021591886057</v>
      </c>
      <c r="AL75" s="594">
        <v>0.99140215918860575</v>
      </c>
      <c r="AM75" s="371">
        <f t="shared" si="43"/>
        <v>0</v>
      </c>
      <c r="AN75" s="379">
        <f t="shared" si="41"/>
        <v>341.86281351331235</v>
      </c>
    </row>
    <row r="76" spans="1:41" s="619" customFormat="1" ht="15.75">
      <c r="A76" s="702"/>
      <c r="B76" s="610">
        <v>0</v>
      </c>
      <c r="C76" s="610">
        <v>1</v>
      </c>
      <c r="D76" s="610">
        <v>0</v>
      </c>
      <c r="E76" s="610">
        <v>0</v>
      </c>
      <c r="F76" s="612">
        <v>-1.1499999999999955E-2</v>
      </c>
      <c r="G76" s="626">
        <f t="shared" si="42"/>
        <v>-2.8999999999999027E-3</v>
      </c>
      <c r="H76" s="613" t="s">
        <v>45</v>
      </c>
      <c r="I76" s="614"/>
      <c r="J76" s="627">
        <v>0.98850000000000005</v>
      </c>
      <c r="K76" s="627"/>
      <c r="L76" s="627"/>
      <c r="M76" s="628">
        <v>2.4319999999999999</v>
      </c>
      <c r="N76" s="618">
        <f t="shared" si="33"/>
        <v>0.98861788617886182</v>
      </c>
      <c r="P76" s="628">
        <v>2.4794</v>
      </c>
      <c r="Q76" s="618">
        <f t="shared" si="34"/>
        <v>0.98820247110402559</v>
      </c>
      <c r="S76" s="628">
        <v>2.4906000000000001</v>
      </c>
      <c r="T76" s="618">
        <f t="shared" si="35"/>
        <v>0.9883333333333334</v>
      </c>
      <c r="V76" s="628">
        <v>2.5215999999999998</v>
      </c>
      <c r="W76" s="618">
        <f t="shared" si="36"/>
        <v>0.98855261094558555</v>
      </c>
      <c r="Y76" s="628">
        <v>2.4222000000000001</v>
      </c>
      <c r="Z76" s="618">
        <f t="shared" si="37"/>
        <v>0.98873377418564778</v>
      </c>
      <c r="AB76" s="628">
        <v>2.4529999999999998</v>
      </c>
      <c r="AC76" s="618">
        <f t="shared" si="38"/>
        <v>0.98827605656500539</v>
      </c>
      <c r="AF76" s="620"/>
      <c r="AG76" s="620">
        <f t="shared" si="39"/>
        <v>0.98845268871874314</v>
      </c>
      <c r="AH76" s="5">
        <v>4</v>
      </c>
      <c r="AI76" s="612">
        <v>-1.1499999999999955E-2</v>
      </c>
      <c r="AJ76" s="620">
        <f t="shared" si="40"/>
        <v>0.9999526887187431</v>
      </c>
      <c r="AL76" s="620">
        <v>0.98845268871874314</v>
      </c>
      <c r="AM76" s="620">
        <f t="shared" si="43"/>
        <v>0</v>
      </c>
      <c r="AN76" s="629">
        <f t="shared" si="41"/>
        <v>340.84575473060113</v>
      </c>
    </row>
    <row r="77" spans="1:41" ht="15.75">
      <c r="A77" s="702"/>
      <c r="B77" s="304">
        <v>0</v>
      </c>
      <c r="C77" s="304">
        <v>1</v>
      </c>
      <c r="D77" s="304">
        <v>0</v>
      </c>
      <c r="E77" s="304">
        <v>1</v>
      </c>
      <c r="F77" s="339">
        <v>-1.4399999999999968E-2</v>
      </c>
      <c r="G77" s="375">
        <f t="shared" si="42"/>
        <v>-2.9000000000000137E-3</v>
      </c>
      <c r="H77" s="307" t="s">
        <v>90</v>
      </c>
      <c r="I77" s="347"/>
      <c r="J77" s="349">
        <v>0.98560000000000003</v>
      </c>
      <c r="K77" s="349"/>
      <c r="L77" s="349"/>
      <c r="M77" s="230">
        <v>2.4249999999999998</v>
      </c>
      <c r="N77" s="372">
        <f t="shared" si="33"/>
        <v>0.98577235772357719</v>
      </c>
      <c r="P77" s="230">
        <v>2.4729999999999999</v>
      </c>
      <c r="Q77" s="372">
        <f t="shared" si="34"/>
        <v>0.98565165404543642</v>
      </c>
      <c r="S77" s="230">
        <v>2.484</v>
      </c>
      <c r="T77" s="372">
        <f t="shared" si="35"/>
        <v>0.98571428571428565</v>
      </c>
      <c r="V77" s="230">
        <v>2.5135999999999998</v>
      </c>
      <c r="W77" s="372">
        <f t="shared" si="36"/>
        <v>0.98541633997177347</v>
      </c>
      <c r="Y77" s="230">
        <v>2.4152999999999998</v>
      </c>
      <c r="Z77" s="372">
        <f t="shared" si="37"/>
        <v>0.98591721773205954</v>
      </c>
      <c r="AB77" s="230">
        <v>2.4456000000000002</v>
      </c>
      <c r="AC77" s="372">
        <f t="shared" si="38"/>
        <v>0.98529471012449144</v>
      </c>
      <c r="AG77" s="594">
        <f t="shared" si="39"/>
        <v>0.98562776088527071</v>
      </c>
      <c r="AH77" s="619">
        <v>5</v>
      </c>
      <c r="AI77" s="339">
        <v>-1.4399999999999968E-2</v>
      </c>
      <c r="AJ77" s="371">
        <f t="shared" si="40"/>
        <v>1.0000277608852706</v>
      </c>
      <c r="AL77" s="594">
        <v>0.98562776088527071</v>
      </c>
      <c r="AM77" s="371">
        <f t="shared" si="43"/>
        <v>0</v>
      </c>
      <c r="AN77" s="379">
        <f t="shared" si="41"/>
        <v>339.8716416845761</v>
      </c>
    </row>
    <row r="78" spans="1:41" ht="15.75">
      <c r="A78" s="702"/>
      <c r="B78" s="304">
        <v>0</v>
      </c>
      <c r="C78" s="304">
        <v>1</v>
      </c>
      <c r="D78" s="304">
        <v>1</v>
      </c>
      <c r="E78" s="304">
        <v>0</v>
      </c>
      <c r="F78" s="339">
        <v>-1.7399999999999971E-2</v>
      </c>
      <c r="G78" s="375">
        <f t="shared" si="42"/>
        <v>-3.0000000000000027E-3</v>
      </c>
      <c r="H78" s="307" t="s">
        <v>61</v>
      </c>
      <c r="I78" s="347"/>
      <c r="J78" s="349">
        <v>0.98260000000000003</v>
      </c>
      <c r="K78" s="349"/>
      <c r="L78" s="349"/>
      <c r="M78" s="230">
        <v>2.4180000000000001</v>
      </c>
      <c r="N78" s="372">
        <f t="shared" si="33"/>
        <v>0.98292682926829278</v>
      </c>
      <c r="P78" s="230">
        <v>2.4662000000000002</v>
      </c>
      <c r="Q78" s="372">
        <f t="shared" si="34"/>
        <v>0.98294141092068565</v>
      </c>
      <c r="S78" s="230">
        <v>2.4769999999999999</v>
      </c>
      <c r="T78" s="372">
        <f t="shared" si="35"/>
        <v>0.98293650793650789</v>
      </c>
      <c r="V78" s="230">
        <v>2.5063</v>
      </c>
      <c r="W78" s="372">
        <f t="shared" si="36"/>
        <v>0.98255449270816986</v>
      </c>
      <c r="Y78" s="230">
        <v>2.4079999999999999</v>
      </c>
      <c r="Z78" s="372">
        <f t="shared" si="37"/>
        <v>0.98293738264348096</v>
      </c>
      <c r="AB78" s="230">
        <v>2.4388000000000001</v>
      </c>
      <c r="AC78" s="372">
        <f t="shared" si="38"/>
        <v>0.9825550944764514</v>
      </c>
      <c r="AG78" s="594">
        <f t="shared" si="39"/>
        <v>0.98280861965893129</v>
      </c>
      <c r="AH78" s="5">
        <v>6</v>
      </c>
      <c r="AI78" s="339">
        <v>-1.7399999999999971E-2</v>
      </c>
      <c r="AJ78" s="371">
        <f t="shared" si="40"/>
        <v>1.0002086196589313</v>
      </c>
      <c r="AL78" s="594">
        <v>0.98280861965893129</v>
      </c>
      <c r="AM78" s="371">
        <f t="shared" si="43"/>
        <v>0</v>
      </c>
      <c r="AN78" s="379">
        <f t="shared" si="41"/>
        <v>338.89952402032117</v>
      </c>
    </row>
    <row r="79" spans="1:41" ht="15.75">
      <c r="A79" s="702"/>
      <c r="B79" s="304">
        <v>0</v>
      </c>
      <c r="C79" s="304">
        <v>1</v>
      </c>
      <c r="D79" s="304">
        <v>1</v>
      </c>
      <c r="E79" s="304">
        <v>1</v>
      </c>
      <c r="F79" s="339">
        <v>-2.0199999999999996E-2</v>
      </c>
      <c r="G79" s="375">
        <f t="shared" si="42"/>
        <v>-2.8000000000000247E-3</v>
      </c>
      <c r="H79" s="307" t="s">
        <v>91</v>
      </c>
      <c r="I79" s="347"/>
      <c r="J79" s="350">
        <v>0.9798</v>
      </c>
      <c r="K79" s="350"/>
      <c r="L79" s="350"/>
      <c r="M79" s="230">
        <v>2.4117000000000002</v>
      </c>
      <c r="N79" s="372">
        <f t="shared" si="33"/>
        <v>0.98036585365853668</v>
      </c>
      <c r="P79" s="230">
        <v>2.4584999999999999</v>
      </c>
      <c r="Q79" s="372">
        <f t="shared" si="34"/>
        <v>0.97987245914707055</v>
      </c>
      <c r="S79" s="230">
        <v>2.4695</v>
      </c>
      <c r="T79" s="372">
        <f t="shared" si="35"/>
        <v>0.97996031746031742</v>
      </c>
      <c r="V79" s="230">
        <v>2.4996</v>
      </c>
      <c r="W79" s="372">
        <f t="shared" si="36"/>
        <v>0.97992786576760227</v>
      </c>
      <c r="Y79" s="230">
        <v>2.4018000000000002</v>
      </c>
      <c r="Z79" s="372">
        <f t="shared" si="37"/>
        <v>0.98040656380112656</v>
      </c>
      <c r="AB79" s="230">
        <v>2.4316</v>
      </c>
      <c r="AC79" s="372">
        <f t="shared" si="38"/>
        <v>0.97965432496676197</v>
      </c>
      <c r="AG79" s="594">
        <f t="shared" si="39"/>
        <v>0.98003123080023602</v>
      </c>
      <c r="AH79" s="619">
        <v>7</v>
      </c>
      <c r="AI79" s="339">
        <v>-2.0199999999999996E-2</v>
      </c>
      <c r="AJ79" s="371">
        <f t="shared" si="40"/>
        <v>1.0002312308002361</v>
      </c>
      <c r="AL79" s="594">
        <v>0.98003123080023602</v>
      </c>
      <c r="AM79" s="371">
        <f t="shared" si="43"/>
        <v>0</v>
      </c>
      <c r="AN79" s="379">
        <f t="shared" si="41"/>
        <v>337.94180372421931</v>
      </c>
    </row>
    <row r="80" spans="1:41" s="619" customFormat="1" ht="15.75">
      <c r="A80" s="702"/>
      <c r="B80" s="610">
        <v>1</v>
      </c>
      <c r="C80" s="610">
        <v>0</v>
      </c>
      <c r="D80" s="610">
        <v>0</v>
      </c>
      <c r="E80" s="610">
        <v>0</v>
      </c>
      <c r="F80" s="612">
        <v>2.3300000000000098E-2</v>
      </c>
      <c r="G80" s="626">
        <f t="shared" si="42"/>
        <v>4.3500000000000094E-2</v>
      </c>
      <c r="H80" s="613" t="s">
        <v>46</v>
      </c>
      <c r="I80" s="614"/>
      <c r="J80" s="627">
        <v>1.0233000000000001</v>
      </c>
      <c r="K80" s="627"/>
      <c r="L80" s="627"/>
      <c r="M80" s="628">
        <v>2.52</v>
      </c>
      <c r="N80" s="618">
        <f t="shared" si="33"/>
        <v>1.024390243902439</v>
      </c>
      <c r="P80" s="628">
        <v>2.5687000000000002</v>
      </c>
      <c r="Q80" s="618">
        <f t="shared" si="34"/>
        <v>1.0237943403746514</v>
      </c>
      <c r="S80" s="628">
        <v>2.58</v>
      </c>
      <c r="T80" s="618">
        <f t="shared" si="35"/>
        <v>1.0238095238095237</v>
      </c>
      <c r="V80" s="628">
        <v>2.6110000000000002</v>
      </c>
      <c r="W80" s="618">
        <f t="shared" si="36"/>
        <v>1.0236004390779363</v>
      </c>
      <c r="Y80" s="628">
        <v>2.5085999999999999</v>
      </c>
      <c r="Z80" s="618">
        <f t="shared" si="37"/>
        <v>1.0240019593436198</v>
      </c>
      <c r="AB80" s="628">
        <v>2.5415999999999999</v>
      </c>
      <c r="AC80" s="618">
        <f t="shared" si="38"/>
        <v>1.0239716369203498</v>
      </c>
      <c r="AF80" s="620"/>
      <c r="AG80" s="620">
        <f t="shared" si="39"/>
        <v>1.0239280239047532</v>
      </c>
      <c r="AH80" s="5">
        <v>8</v>
      </c>
      <c r="AI80" s="612">
        <v>2.3300000000000098E-2</v>
      </c>
      <c r="AJ80" s="620">
        <f t="shared" si="40"/>
        <v>1.0006280239047531</v>
      </c>
      <c r="AL80" s="620">
        <v>1.0239280239047532</v>
      </c>
      <c r="AM80" s="620">
        <f t="shared" si="43"/>
        <v>0</v>
      </c>
      <c r="AN80" s="629">
        <f>16-ABS(AL80/0.29%)</f>
        <v>-337.07862893267355</v>
      </c>
    </row>
    <row r="81" spans="1:40" ht="15.75">
      <c r="A81" s="702"/>
      <c r="B81" s="304">
        <v>1</v>
      </c>
      <c r="C81" s="304">
        <v>0</v>
      </c>
      <c r="D81" s="304">
        <v>0</v>
      </c>
      <c r="E81" s="304">
        <v>1</v>
      </c>
      <c r="F81" s="339">
        <v>2.0399999999999974E-2</v>
      </c>
      <c r="G81" s="375">
        <f>F81-F80</f>
        <v>-2.9000000000001247E-3</v>
      </c>
      <c r="H81" s="307" t="s">
        <v>92</v>
      </c>
      <c r="I81" s="347"/>
      <c r="J81" s="349">
        <v>1.0204</v>
      </c>
      <c r="K81" s="349"/>
      <c r="L81" s="349"/>
      <c r="M81" s="230">
        <v>2.5118</v>
      </c>
      <c r="N81" s="372">
        <f t="shared" si="33"/>
        <v>1.0210569105691056</v>
      </c>
      <c r="P81" s="230">
        <v>2.5617000000000001</v>
      </c>
      <c r="Q81" s="372">
        <f t="shared" si="34"/>
        <v>1.0210043842168195</v>
      </c>
      <c r="S81" s="230">
        <v>2.5743</v>
      </c>
      <c r="T81" s="372">
        <f t="shared" si="35"/>
        <v>1.0215476190476191</v>
      </c>
      <c r="V81" s="230">
        <v>2.6030000000000002</v>
      </c>
      <c r="W81" s="372">
        <f t="shared" si="36"/>
        <v>1.0204641681041242</v>
      </c>
      <c r="Y81" s="230">
        <v>2.5011999999999999</v>
      </c>
      <c r="Z81" s="372">
        <f t="shared" si="37"/>
        <v>1.0209813045962934</v>
      </c>
      <c r="AB81" s="230">
        <v>2.5339999999999998</v>
      </c>
      <c r="AC81" s="372">
        <f t="shared" si="38"/>
        <v>1.0209097135490108</v>
      </c>
      <c r="AG81" s="594">
        <f t="shared" si="39"/>
        <v>1.0209940166804954</v>
      </c>
      <c r="AH81" s="619">
        <v>9</v>
      </c>
      <c r="AI81" s="339">
        <v>2.0399999999999974E-2</v>
      </c>
      <c r="AJ81" s="371">
        <f t="shared" si="40"/>
        <v>1.0005940166804954</v>
      </c>
      <c r="AL81" s="594">
        <v>1.0209940166804954</v>
      </c>
      <c r="AM81" s="371">
        <f t="shared" si="43"/>
        <v>0</v>
      </c>
      <c r="AN81" s="379">
        <f t="shared" ref="AN81:AN87" si="44">16-ABS(AL81/0.29%)</f>
        <v>-336.06690230361914</v>
      </c>
    </row>
    <row r="82" spans="1:40" ht="15.75">
      <c r="A82" s="702"/>
      <c r="B82" s="304">
        <v>1</v>
      </c>
      <c r="C82" s="304">
        <v>0</v>
      </c>
      <c r="D82" s="304">
        <v>1</v>
      </c>
      <c r="E82" s="304">
        <v>0</v>
      </c>
      <c r="F82" s="339">
        <v>1.7500000000000071E-2</v>
      </c>
      <c r="G82" s="375">
        <f t="shared" ref="G82:G87" si="45">F82-F81</f>
        <v>-2.8999999999999027E-3</v>
      </c>
      <c r="H82" s="307" t="s">
        <v>62</v>
      </c>
      <c r="I82" s="347"/>
      <c r="J82" s="349">
        <v>1.0175000000000001</v>
      </c>
      <c r="K82" s="349"/>
      <c r="L82" s="349"/>
      <c r="M82" s="230">
        <v>2.5045999999999999</v>
      </c>
      <c r="N82" s="372">
        <f t="shared" si="33"/>
        <v>1.018130081300813</v>
      </c>
      <c r="P82" s="230">
        <v>2.5539999999999998</v>
      </c>
      <c r="Q82" s="372">
        <f t="shared" si="34"/>
        <v>1.0179354324432044</v>
      </c>
      <c r="S82" s="230">
        <v>2.5672999999999999</v>
      </c>
      <c r="T82" s="372">
        <f t="shared" si="35"/>
        <v>1.0187698412698412</v>
      </c>
      <c r="V82" s="230">
        <v>2.5949</v>
      </c>
      <c r="W82" s="372">
        <f t="shared" si="36"/>
        <v>1.0172886937431393</v>
      </c>
      <c r="Y82" s="230">
        <v>2.4935999999999998</v>
      </c>
      <c r="Z82" s="372">
        <f t="shared" si="37"/>
        <v>1.0178790105314719</v>
      </c>
      <c r="AB82" s="230">
        <v>2.5264000000000002</v>
      </c>
      <c r="AC82" s="372">
        <f t="shared" si="38"/>
        <v>1.0178477901776721</v>
      </c>
      <c r="AG82" s="594">
        <f t="shared" si="39"/>
        <v>1.0179751415776905</v>
      </c>
      <c r="AH82" s="5">
        <v>10</v>
      </c>
      <c r="AI82" s="339">
        <v>1.7500000000000071E-2</v>
      </c>
      <c r="AJ82" s="371">
        <f t="shared" si="40"/>
        <v>1.0004751415776905</v>
      </c>
      <c r="AL82" s="594">
        <v>1.0179751415776905</v>
      </c>
      <c r="AM82" s="371">
        <f t="shared" si="43"/>
        <v>0</v>
      </c>
      <c r="AN82" s="379">
        <f t="shared" si="44"/>
        <v>-335.02591088885885</v>
      </c>
    </row>
    <row r="83" spans="1:40" ht="15.75">
      <c r="A83" s="702"/>
      <c r="B83" s="304">
        <v>1</v>
      </c>
      <c r="C83" s="304">
        <v>0</v>
      </c>
      <c r="D83" s="304">
        <v>1</v>
      </c>
      <c r="E83" s="304">
        <v>1</v>
      </c>
      <c r="F83" s="339">
        <v>1.4599999999999946E-2</v>
      </c>
      <c r="G83" s="375">
        <f t="shared" si="45"/>
        <v>-2.9000000000001247E-3</v>
      </c>
      <c r="H83" s="307" t="s">
        <v>93</v>
      </c>
      <c r="I83" s="347"/>
      <c r="J83" s="349">
        <v>1.0145999999999999</v>
      </c>
      <c r="K83" s="349"/>
      <c r="L83" s="349"/>
      <c r="M83" s="230">
        <v>2.4971000000000001</v>
      </c>
      <c r="N83" s="372">
        <f t="shared" si="33"/>
        <v>1.0150813008130082</v>
      </c>
      <c r="P83" s="230">
        <v>2.5459999999999998</v>
      </c>
      <c r="Q83" s="372">
        <f t="shared" si="34"/>
        <v>1.0147469111199681</v>
      </c>
      <c r="S83" s="230">
        <v>2.5579999999999998</v>
      </c>
      <c r="T83" s="372">
        <f t="shared" si="35"/>
        <v>1.015079365079365</v>
      </c>
      <c r="V83" s="230">
        <v>2.5878000000000001</v>
      </c>
      <c r="W83" s="372">
        <f t="shared" si="36"/>
        <v>1.0145052532538812</v>
      </c>
      <c r="Y83" s="230">
        <v>2.4860000000000002</v>
      </c>
      <c r="Z83" s="372">
        <f t="shared" si="37"/>
        <v>1.0147767164666504</v>
      </c>
      <c r="AB83" s="230">
        <v>2.5182000000000002</v>
      </c>
      <c r="AC83" s="372">
        <f t="shared" si="38"/>
        <v>1.0145441360138594</v>
      </c>
      <c r="AG83" s="594">
        <f t="shared" si="39"/>
        <v>1.0147889471244553</v>
      </c>
      <c r="AH83" s="619">
        <v>11</v>
      </c>
      <c r="AI83" s="339">
        <v>1.4599999999999946E-2</v>
      </c>
      <c r="AJ83" s="371">
        <f t="shared" si="40"/>
        <v>1.0001889471244554</v>
      </c>
      <c r="AL83" s="594">
        <v>1.0147889471244553</v>
      </c>
      <c r="AM83" s="371">
        <f t="shared" si="43"/>
        <v>0</v>
      </c>
      <c r="AN83" s="379">
        <f t="shared" si="44"/>
        <v>-333.92722314636393</v>
      </c>
    </row>
    <row r="84" spans="1:40" ht="15.75">
      <c r="A84" s="702"/>
      <c r="B84" s="304">
        <v>1</v>
      </c>
      <c r="C84" s="304">
        <v>1</v>
      </c>
      <c r="D84" s="304">
        <v>0</v>
      </c>
      <c r="E84" s="304">
        <v>0</v>
      </c>
      <c r="F84" s="339">
        <v>1.1700000000000044E-2</v>
      </c>
      <c r="G84" s="375">
        <f t="shared" si="45"/>
        <v>-2.8999999999999027E-3</v>
      </c>
      <c r="H84" s="307" t="s">
        <v>47</v>
      </c>
      <c r="I84" s="347"/>
      <c r="J84" s="349">
        <v>1.0117</v>
      </c>
      <c r="K84" s="349"/>
      <c r="L84" s="349"/>
      <c r="M84" s="230">
        <v>2.4901</v>
      </c>
      <c r="N84" s="372">
        <f t="shared" si="33"/>
        <v>1.0122357723577236</v>
      </c>
      <c r="P84" s="230">
        <v>2.5396000000000001</v>
      </c>
      <c r="Q84" s="372">
        <f t="shared" si="34"/>
        <v>1.012196094061379</v>
      </c>
      <c r="S84" s="230">
        <v>2.5503</v>
      </c>
      <c r="T84" s="372">
        <f t="shared" si="35"/>
        <v>1.0120238095238094</v>
      </c>
      <c r="V84" s="230">
        <v>2.5804</v>
      </c>
      <c r="W84" s="372">
        <f t="shared" si="36"/>
        <v>1.0116042026031049</v>
      </c>
      <c r="Y84" s="230">
        <v>2.4786999999999999</v>
      </c>
      <c r="Z84" s="372">
        <f t="shared" si="37"/>
        <v>1.0117968813780716</v>
      </c>
      <c r="AB84" s="230">
        <v>2.5110000000000001</v>
      </c>
      <c r="AC84" s="372">
        <f t="shared" si="38"/>
        <v>1.01164336650417</v>
      </c>
      <c r="AG84" s="594">
        <f t="shared" si="39"/>
        <v>1.011916687738043</v>
      </c>
      <c r="AH84" s="5">
        <v>12</v>
      </c>
      <c r="AI84" s="339">
        <v>1.1700000000000044E-2</v>
      </c>
      <c r="AJ84" s="371">
        <f t="shared" si="40"/>
        <v>1.000216687738043</v>
      </c>
      <c r="AL84" s="594">
        <v>1.011916687738043</v>
      </c>
      <c r="AM84" s="371">
        <f t="shared" si="43"/>
        <v>0</v>
      </c>
      <c r="AN84" s="379">
        <f t="shared" si="44"/>
        <v>-332.93678887518729</v>
      </c>
    </row>
    <row r="85" spans="1:40" ht="15.75">
      <c r="A85" s="702"/>
      <c r="B85" s="304">
        <v>1</v>
      </c>
      <c r="C85" s="304">
        <v>1</v>
      </c>
      <c r="D85" s="304">
        <v>0</v>
      </c>
      <c r="E85" s="304">
        <v>1</v>
      </c>
      <c r="F85" s="339">
        <v>8.799999999999919E-3</v>
      </c>
      <c r="G85" s="375">
        <f t="shared" si="45"/>
        <v>-2.9000000000001247E-3</v>
      </c>
      <c r="H85" s="307" t="s">
        <v>94</v>
      </c>
      <c r="I85" s="347"/>
      <c r="J85" s="349">
        <v>1.0087999999999999</v>
      </c>
      <c r="K85" s="349"/>
      <c r="L85" s="349"/>
      <c r="M85" s="230">
        <v>2.4826999999999999</v>
      </c>
      <c r="N85" s="372">
        <f t="shared" si="33"/>
        <v>1.0092276422764228</v>
      </c>
      <c r="P85" s="230">
        <v>2.5310999999999999</v>
      </c>
      <c r="Q85" s="372">
        <f t="shared" si="34"/>
        <v>1.0088082901554405</v>
      </c>
      <c r="S85" s="230">
        <v>2.5432000000000001</v>
      </c>
      <c r="T85" s="372">
        <f t="shared" si="35"/>
        <v>1.0092063492063492</v>
      </c>
      <c r="V85" s="230">
        <v>2.5724999999999998</v>
      </c>
      <c r="W85" s="372">
        <f t="shared" si="36"/>
        <v>1.0085071350164652</v>
      </c>
      <c r="Y85" s="230">
        <v>2.4716</v>
      </c>
      <c r="Z85" s="372">
        <f t="shared" si="37"/>
        <v>1.0088986856069881</v>
      </c>
      <c r="AB85" s="230">
        <v>2.5036999999999998</v>
      </c>
      <c r="AC85" s="372">
        <f t="shared" si="38"/>
        <v>1.0087023085290681</v>
      </c>
      <c r="AG85" s="594">
        <f t="shared" si="39"/>
        <v>1.0088917351317892</v>
      </c>
      <c r="AH85" s="619">
        <v>13</v>
      </c>
      <c r="AI85" s="339">
        <v>8.799999999999919E-3</v>
      </c>
      <c r="AJ85" s="371">
        <f t="shared" si="40"/>
        <v>1.0000917351317893</v>
      </c>
      <c r="AL85" s="594">
        <v>1.0088917351317892</v>
      </c>
      <c r="AM85" s="371">
        <f t="shared" si="43"/>
        <v>0</v>
      </c>
      <c r="AN85" s="379">
        <f t="shared" si="44"/>
        <v>-331.89370176958249</v>
      </c>
    </row>
    <row r="86" spans="1:40" ht="15.75">
      <c r="A86" s="702"/>
      <c r="B86" s="304">
        <v>1</v>
      </c>
      <c r="C86" s="304">
        <v>1</v>
      </c>
      <c r="D86" s="304">
        <v>1</v>
      </c>
      <c r="E86" s="304">
        <v>0</v>
      </c>
      <c r="F86" s="339">
        <v>5.9000000000000163E-3</v>
      </c>
      <c r="G86" s="375">
        <f t="shared" si="45"/>
        <v>-2.8999999999999027E-3</v>
      </c>
      <c r="H86" s="307" t="s">
        <v>63</v>
      </c>
      <c r="I86" s="347"/>
      <c r="J86" s="349">
        <v>1.0059</v>
      </c>
      <c r="K86" s="349"/>
      <c r="L86" s="349"/>
      <c r="M86" s="230">
        <v>2.4752999999999998</v>
      </c>
      <c r="N86" s="372">
        <f t="shared" si="33"/>
        <v>1.0062195121951218</v>
      </c>
      <c r="P86" s="230">
        <v>2.5230000000000001</v>
      </c>
      <c r="Q86" s="372">
        <f t="shared" si="34"/>
        <v>1.0055799123156637</v>
      </c>
      <c r="S86" s="230">
        <v>2.5364</v>
      </c>
      <c r="T86" s="372">
        <f t="shared" si="35"/>
        <v>1.0065079365079366</v>
      </c>
      <c r="V86" s="230">
        <v>2.5653000000000001</v>
      </c>
      <c r="W86" s="372">
        <f t="shared" si="36"/>
        <v>1.0056844911400344</v>
      </c>
      <c r="Y86" s="230">
        <v>2.4645999999999999</v>
      </c>
      <c r="Z86" s="372">
        <f t="shared" si="37"/>
        <v>1.0060413094946525</v>
      </c>
      <c r="AB86" s="230">
        <v>2.4965000000000002</v>
      </c>
      <c r="AC86" s="372">
        <f t="shared" si="38"/>
        <v>1.0058015390193789</v>
      </c>
      <c r="AG86" s="594">
        <f t="shared" si="39"/>
        <v>1.0059724501121314</v>
      </c>
      <c r="AH86" s="5">
        <v>14</v>
      </c>
      <c r="AI86" s="339">
        <v>5.9000000000000163E-3</v>
      </c>
      <c r="AJ86" s="371">
        <f t="shared" si="40"/>
        <v>1.0000724501121314</v>
      </c>
      <c r="AL86" s="594">
        <v>1.0059724501121314</v>
      </c>
      <c r="AM86" s="371">
        <f t="shared" si="43"/>
        <v>0</v>
      </c>
      <c r="AN86" s="379">
        <f t="shared" si="44"/>
        <v>-330.88705176280399</v>
      </c>
    </row>
    <row r="87" spans="1:40" ht="16.5" thickBot="1">
      <c r="A87" s="703"/>
      <c r="B87" s="351">
        <v>1</v>
      </c>
      <c r="C87" s="351">
        <v>1</v>
      </c>
      <c r="D87" s="351">
        <v>1</v>
      </c>
      <c r="E87" s="351">
        <v>1</v>
      </c>
      <c r="F87" s="352">
        <v>2.9999999999998916E-3</v>
      </c>
      <c r="G87" s="375">
        <f t="shared" si="45"/>
        <v>-2.9000000000001247E-3</v>
      </c>
      <c r="H87" s="327" t="s">
        <v>95</v>
      </c>
      <c r="I87" s="353"/>
      <c r="J87" s="309">
        <v>1.0029999999999999</v>
      </c>
      <c r="K87" s="348"/>
      <c r="L87" s="348"/>
      <c r="M87" s="235">
        <v>2.468</v>
      </c>
      <c r="N87" s="372">
        <f t="shared" si="33"/>
        <v>1.0032520325203251</v>
      </c>
      <c r="P87" s="235">
        <v>2.5167999999999999</v>
      </c>
      <c r="Q87" s="372">
        <f t="shared" si="34"/>
        <v>1.0031088082901554</v>
      </c>
      <c r="S87" s="235">
        <v>2.5280999999999998</v>
      </c>
      <c r="T87" s="372">
        <f t="shared" si="35"/>
        <v>1.0032142857142856</v>
      </c>
      <c r="V87" s="235">
        <v>2.5579000000000001</v>
      </c>
      <c r="W87" s="372">
        <f t="shared" si="36"/>
        <v>1.0027834404892582</v>
      </c>
      <c r="Y87" s="235">
        <v>2.4571999999999998</v>
      </c>
      <c r="Z87" s="372">
        <f t="shared" si="37"/>
        <v>1.0030206547473262</v>
      </c>
      <c r="AB87" s="235">
        <v>2.4895999999999998</v>
      </c>
      <c r="AC87" s="372">
        <f t="shared" si="38"/>
        <v>1.0030216349059264</v>
      </c>
      <c r="AG87" s="594">
        <f t="shared" si="39"/>
        <v>1.0030668094445463</v>
      </c>
      <c r="AH87" s="619">
        <v>15</v>
      </c>
      <c r="AI87" s="352">
        <v>2.9999999999998916E-3</v>
      </c>
      <c r="AJ87" s="371">
        <f t="shared" si="40"/>
        <v>1.0000668094445464</v>
      </c>
      <c r="AL87" s="594">
        <v>1.0030668094445463</v>
      </c>
      <c r="AM87" s="371">
        <f t="shared" si="43"/>
        <v>0</v>
      </c>
      <c r="AN87" s="379">
        <f t="shared" si="44"/>
        <v>-329.88510670501597</v>
      </c>
    </row>
  </sheetData>
  <mergeCells count="3">
    <mergeCell ref="J4:J19"/>
    <mergeCell ref="J20:J37"/>
    <mergeCell ref="A54:A87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Sheet4!F11:F11</xm:f>
              <xm:sqref>BE22</xm:sqref>
            </x14:sparkline>
            <x14:sparkline>
              <xm:f>Sheet4!F12:F12</xm:f>
              <xm:sqref>BE23</xm:sqref>
            </x14:sparkline>
          </x14:sparklines>
        </x14:sparklineGroup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Sheet4!F11:F12</xm:f>
              <xm:sqref>BA39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AB97"/>
  <sheetViews>
    <sheetView topLeftCell="A5" zoomScale="70" zoomScaleNormal="70" workbookViewId="0">
      <selection activeCell="AE42" sqref="AE42"/>
    </sheetView>
  </sheetViews>
  <sheetFormatPr defaultRowHeight="15"/>
  <cols>
    <col min="14" max="14" width="9.140625" style="11"/>
  </cols>
  <sheetData>
    <row r="7" spans="4:28" ht="15.75" thickBot="1"/>
    <row r="8" spans="4:28" ht="15.75">
      <c r="D8" s="329" t="s">
        <v>259</v>
      </c>
      <c r="E8" s="329" t="s">
        <v>260</v>
      </c>
      <c r="F8" s="329" t="s">
        <v>261</v>
      </c>
      <c r="G8" s="219" t="s">
        <v>262</v>
      </c>
      <c r="H8" s="330"/>
      <c r="I8" s="331"/>
      <c r="J8" s="332" t="s">
        <v>24</v>
      </c>
      <c r="K8" s="333" t="s">
        <v>88</v>
      </c>
      <c r="P8" s="19" t="s">
        <v>259</v>
      </c>
      <c r="Q8" s="19" t="s">
        <v>260</v>
      </c>
      <c r="R8" s="19" t="s">
        <v>261</v>
      </c>
      <c r="S8" s="19" t="s">
        <v>262</v>
      </c>
    </row>
    <row r="9" spans="4:28" ht="15.75">
      <c r="D9" s="304">
        <v>0</v>
      </c>
      <c r="E9" s="304">
        <v>0</v>
      </c>
      <c r="F9" s="304">
        <v>0</v>
      </c>
      <c r="G9" s="304">
        <v>0</v>
      </c>
      <c r="H9" s="335">
        <v>0</v>
      </c>
      <c r="I9" s="304">
        <v>0</v>
      </c>
      <c r="J9" s="336" t="s">
        <v>25</v>
      </c>
      <c r="K9" s="337">
        <v>0</v>
      </c>
      <c r="M9" s="630"/>
      <c r="N9" s="417">
        <v>1</v>
      </c>
      <c r="P9" s="632">
        <f>N9-N17</f>
        <v>-8.2718630268681537E-2</v>
      </c>
      <c r="X9" s="634" t="s">
        <v>301</v>
      </c>
      <c r="Y9" s="634"/>
      <c r="Z9" s="634"/>
      <c r="AA9" s="634"/>
      <c r="AB9" s="634"/>
    </row>
    <row r="10" spans="4:28" ht="15.75">
      <c r="D10" s="598">
        <v>0</v>
      </c>
      <c r="E10" s="598">
        <v>0</v>
      </c>
      <c r="F10" s="598">
        <v>0</v>
      </c>
      <c r="G10" s="598">
        <v>1</v>
      </c>
      <c r="H10" s="599">
        <v>-1.0524209683873544E-2</v>
      </c>
      <c r="I10" s="600">
        <f>I9+1.05%</f>
        <v>1.0500000000000001E-2</v>
      </c>
      <c r="J10" s="601" t="s">
        <v>25</v>
      </c>
      <c r="K10" s="602">
        <v>4</v>
      </c>
      <c r="M10" s="630"/>
      <c r="N10" s="417">
        <v>0.98939995367301148</v>
      </c>
      <c r="P10" s="632">
        <f t="shared" ref="P10:P16" si="0">N10-N18</f>
        <v>-8.3259627916457801E-2</v>
      </c>
      <c r="S10" s="11">
        <f>N10-N9</f>
        <v>-1.0600046326988521E-2</v>
      </c>
    </row>
    <row r="11" spans="4:28" ht="15.75">
      <c r="D11" s="598">
        <v>0</v>
      </c>
      <c r="E11" s="598">
        <v>0</v>
      </c>
      <c r="F11" s="598">
        <v>1</v>
      </c>
      <c r="G11" s="598">
        <v>0</v>
      </c>
      <c r="H11" s="599">
        <v>-2.1128451380552204E-2</v>
      </c>
      <c r="I11" s="600">
        <f t="shared" ref="I11:I16" si="1">I10+1.05%</f>
        <v>2.1000000000000001E-2</v>
      </c>
      <c r="J11" s="601" t="s">
        <v>25</v>
      </c>
      <c r="K11" s="602">
        <v>2</v>
      </c>
      <c r="M11" s="630"/>
      <c r="N11" s="417">
        <v>0.97870009550853476</v>
      </c>
      <c r="P11" s="632">
        <f t="shared" si="0"/>
        <v>-8.3914712336133901E-2</v>
      </c>
      <c r="R11" s="11">
        <f>N11-N9</f>
        <v>-2.1299904491465238E-2</v>
      </c>
      <c r="V11">
        <f t="shared" ref="V11:V24" si="2">R11*2500</f>
        <v>-53.249761228663097</v>
      </c>
    </row>
    <row r="12" spans="4:28" ht="15.75">
      <c r="D12" s="304">
        <v>0</v>
      </c>
      <c r="E12" s="304">
        <v>0</v>
      </c>
      <c r="F12" s="304">
        <v>1</v>
      </c>
      <c r="G12" s="304">
        <v>1</v>
      </c>
      <c r="H12" s="339">
        <v>-3.1772709083633506E-2</v>
      </c>
      <c r="I12" s="375">
        <f t="shared" si="1"/>
        <v>3.15E-2</v>
      </c>
      <c r="J12" s="341" t="s">
        <v>25</v>
      </c>
      <c r="K12" s="337">
        <v>6</v>
      </c>
      <c r="M12" s="630"/>
      <c r="N12" s="417">
        <v>0.96779962362987881</v>
      </c>
      <c r="P12" s="632">
        <f t="shared" si="0"/>
        <v>-8.4516465719214007E-2</v>
      </c>
      <c r="R12" s="11">
        <f>N12-N10</f>
        <v>-2.1600330043132665E-2</v>
      </c>
      <c r="S12" s="11">
        <f>N12-N11</f>
        <v>-1.0900471878655948E-2</v>
      </c>
      <c r="V12">
        <f t="shared" si="2"/>
        <v>-54.000825107831659</v>
      </c>
    </row>
    <row r="13" spans="4:28" ht="15.75">
      <c r="D13" s="598">
        <v>0</v>
      </c>
      <c r="E13" s="598">
        <v>1</v>
      </c>
      <c r="F13" s="598">
        <v>0</v>
      </c>
      <c r="G13" s="598">
        <v>0</v>
      </c>
      <c r="H13" s="599">
        <v>-4.2416966786714812E-2</v>
      </c>
      <c r="I13" s="600">
        <f t="shared" si="1"/>
        <v>4.2000000000000003E-2</v>
      </c>
      <c r="J13" s="601" t="s">
        <v>25</v>
      </c>
      <c r="K13" s="602">
        <v>1</v>
      </c>
      <c r="M13" s="630"/>
      <c r="N13" s="417">
        <v>0.95682519681536549</v>
      </c>
      <c r="P13" s="632">
        <f t="shared" si="0"/>
        <v>-8.5190512985997002E-2</v>
      </c>
      <c r="Q13" s="632">
        <f>N13-N9</f>
        <v>-4.3174803184634514E-2</v>
      </c>
      <c r="S13" s="11"/>
    </row>
    <row r="14" spans="4:28" ht="15.75">
      <c r="D14" s="304">
        <v>0</v>
      </c>
      <c r="E14" s="304">
        <v>1</v>
      </c>
      <c r="F14" s="304">
        <v>0</v>
      </c>
      <c r="G14" s="304">
        <v>1</v>
      </c>
      <c r="H14" s="339">
        <v>-5.3021208483393471E-2</v>
      </c>
      <c r="I14" s="375">
        <f t="shared" si="1"/>
        <v>5.2500000000000005E-2</v>
      </c>
      <c r="J14" s="341" t="s">
        <v>25</v>
      </c>
      <c r="K14" s="337">
        <v>5</v>
      </c>
      <c r="M14" s="630"/>
      <c r="N14" s="417">
        <v>0.9460199477918686</v>
      </c>
      <c r="P14" s="632">
        <f t="shared" si="0"/>
        <v>-8.5602719817211459E-2</v>
      </c>
      <c r="Q14" s="632">
        <f>N14-N10</f>
        <v>-4.338000588114288E-2</v>
      </c>
      <c r="S14" s="11">
        <f>N14-N13</f>
        <v>-1.0805249023496888E-2</v>
      </c>
    </row>
    <row r="15" spans="4:28" ht="15.75">
      <c r="D15" s="304">
        <v>0</v>
      </c>
      <c r="E15" s="304">
        <v>1</v>
      </c>
      <c r="F15" s="304">
        <v>1</v>
      </c>
      <c r="G15" s="304">
        <v>0</v>
      </c>
      <c r="H15" s="339">
        <v>-6.3625450180072124E-2</v>
      </c>
      <c r="I15" s="375">
        <f t="shared" si="1"/>
        <v>6.3E-2</v>
      </c>
      <c r="J15" s="341" t="s">
        <v>25</v>
      </c>
      <c r="K15" s="337">
        <v>3</v>
      </c>
      <c r="M15" s="630"/>
      <c r="N15" s="417">
        <v>0.93495899370953495</v>
      </c>
      <c r="P15" s="632">
        <f t="shared" si="0"/>
        <v>-8.625834942112609E-2</v>
      </c>
      <c r="Q15" s="632">
        <f>N15-N11</f>
        <v>-4.3741101798999815E-2</v>
      </c>
      <c r="R15" s="11">
        <f>N15-N13</f>
        <v>-2.1866203105830539E-2</v>
      </c>
      <c r="S15" s="11"/>
      <c r="V15">
        <f t="shared" si="2"/>
        <v>-54.665507764576347</v>
      </c>
    </row>
    <row r="16" spans="4:28" ht="15.75">
      <c r="D16" s="304">
        <v>0</v>
      </c>
      <c r="E16" s="304">
        <v>1</v>
      </c>
      <c r="F16" s="304">
        <v>1</v>
      </c>
      <c r="G16" s="304">
        <v>1</v>
      </c>
      <c r="H16" s="339">
        <v>-7.4029611844737914E-2</v>
      </c>
      <c r="I16" s="375">
        <f t="shared" si="1"/>
        <v>7.3499999999999996E-2</v>
      </c>
      <c r="J16" s="341" t="s">
        <v>25</v>
      </c>
      <c r="K16" s="337">
        <v>7</v>
      </c>
      <c r="M16" s="630"/>
      <c r="N16" s="417">
        <v>0.92385130661693504</v>
      </c>
      <c r="P16" s="632">
        <f t="shared" si="0"/>
        <v>-8.6820194240607385E-2</v>
      </c>
      <c r="Q16" s="632">
        <f>N16-N12</f>
        <v>-4.3948317012943772E-2</v>
      </c>
      <c r="R16" s="11">
        <f>N16-N14</f>
        <v>-2.2168641174933557E-2</v>
      </c>
      <c r="S16" s="11">
        <f>N16-N15</f>
        <v>-1.1107687092599905E-2</v>
      </c>
      <c r="V16">
        <f>R16*2500</f>
        <v>-55.421602937333894</v>
      </c>
    </row>
    <row r="17" spans="4:22" ht="15.75">
      <c r="D17" s="598">
        <v>1</v>
      </c>
      <c r="E17" s="598">
        <v>0</v>
      </c>
      <c r="F17" s="598">
        <v>0</v>
      </c>
      <c r="G17" s="598">
        <v>0</v>
      </c>
      <c r="H17" s="599">
        <v>8.2032813125250126E-2</v>
      </c>
      <c r="I17" s="600">
        <f>H17-8.4%</f>
        <v>-1.9671868747498794E-3</v>
      </c>
      <c r="J17" s="601" t="s">
        <v>26</v>
      </c>
      <c r="K17" s="602">
        <v>0</v>
      </c>
      <c r="M17" s="630"/>
      <c r="N17" s="417">
        <v>1.0827186302686815</v>
      </c>
      <c r="R17" s="11"/>
      <c r="S17" s="11"/>
    </row>
    <row r="18" spans="4:22" ht="15.75">
      <c r="D18" s="304">
        <v>1</v>
      </c>
      <c r="E18" s="304">
        <v>0</v>
      </c>
      <c r="F18" s="304">
        <v>0</v>
      </c>
      <c r="G18" s="304">
        <v>1</v>
      </c>
      <c r="H18" s="339">
        <v>7.2428971588635468E-2</v>
      </c>
      <c r="I18" s="375">
        <f t="shared" ref="I18:I24" si="3">H18-8.4%</f>
        <v>-1.1571028411364537E-2</v>
      </c>
      <c r="J18" s="341" t="s">
        <v>26</v>
      </c>
      <c r="K18" s="337">
        <v>4</v>
      </c>
      <c r="M18" s="630"/>
      <c r="N18" s="417">
        <v>1.0726595815894693</v>
      </c>
      <c r="R18" s="11"/>
      <c r="S18" s="11">
        <f>N18-N17</f>
        <v>-1.0059048679212257E-2</v>
      </c>
    </row>
    <row r="19" spans="4:22" ht="15.75">
      <c r="D19" s="304">
        <v>1</v>
      </c>
      <c r="E19" s="304">
        <v>0</v>
      </c>
      <c r="F19" s="304">
        <v>1</v>
      </c>
      <c r="G19" s="304">
        <v>0</v>
      </c>
      <c r="H19" s="339">
        <v>6.2264905962384848E-2</v>
      </c>
      <c r="I19" s="375">
        <f t="shared" si="3"/>
        <v>-2.1735094037615157E-2</v>
      </c>
      <c r="J19" s="341" t="s">
        <v>26</v>
      </c>
      <c r="K19" s="337">
        <v>2</v>
      </c>
      <c r="M19" s="630"/>
      <c r="N19" s="417">
        <v>1.0626148078446687</v>
      </c>
      <c r="R19" s="11">
        <f>N19-N17</f>
        <v>-2.0103822424012874E-2</v>
      </c>
      <c r="S19" s="11"/>
      <c r="V19">
        <f t="shared" si="2"/>
        <v>-50.259556060032182</v>
      </c>
    </row>
    <row r="20" spans="4:22" ht="15.75">
      <c r="D20" s="304">
        <v>1</v>
      </c>
      <c r="E20" s="304">
        <v>0</v>
      </c>
      <c r="F20" s="304">
        <v>1</v>
      </c>
      <c r="G20" s="304">
        <v>1</v>
      </c>
      <c r="H20" s="339">
        <v>5.2020808323329289E-2</v>
      </c>
      <c r="I20" s="375">
        <f t="shared" si="3"/>
        <v>-3.1979191676670717E-2</v>
      </c>
      <c r="J20" s="341" t="s">
        <v>26</v>
      </c>
      <c r="K20" s="337">
        <v>6</v>
      </c>
      <c r="M20" s="630"/>
      <c r="N20" s="417">
        <v>1.0523160893490928</v>
      </c>
      <c r="R20" s="11">
        <f>N20-N18</f>
        <v>-2.034349224037646E-2</v>
      </c>
      <c r="S20" s="11">
        <f>N20-N19</f>
        <v>-1.0298718495575843E-2</v>
      </c>
      <c r="V20">
        <f t="shared" si="2"/>
        <v>-50.858730600941151</v>
      </c>
    </row>
    <row r="21" spans="4:22" ht="15.75">
      <c r="D21" s="304">
        <v>1</v>
      </c>
      <c r="E21" s="304">
        <v>1</v>
      </c>
      <c r="F21" s="304">
        <v>0</v>
      </c>
      <c r="G21" s="304">
        <v>0</v>
      </c>
      <c r="H21" s="339">
        <v>4.1816726690676195E-2</v>
      </c>
      <c r="I21" s="375">
        <f t="shared" si="3"/>
        <v>-4.218327330932381E-2</v>
      </c>
      <c r="J21" s="341" t="s">
        <v>26</v>
      </c>
      <c r="K21" s="337">
        <v>1</v>
      </c>
      <c r="M21" s="630"/>
      <c r="N21" s="417">
        <v>1.0420157098013625</v>
      </c>
      <c r="Q21" s="632">
        <f>N21-N17</f>
        <v>-4.0702920467319048E-2</v>
      </c>
      <c r="R21" s="11"/>
      <c r="S21" s="11"/>
    </row>
    <row r="22" spans="4:22" ht="15.75">
      <c r="D22" s="304">
        <v>1</v>
      </c>
      <c r="E22" s="304">
        <v>1</v>
      </c>
      <c r="F22" s="304">
        <v>0</v>
      </c>
      <c r="G22" s="304">
        <v>1</v>
      </c>
      <c r="H22" s="339">
        <v>3.1452581032412878E-2</v>
      </c>
      <c r="I22" s="375">
        <f t="shared" si="3"/>
        <v>-5.2547418967587127E-2</v>
      </c>
      <c r="J22" s="341" t="s">
        <v>26</v>
      </c>
      <c r="K22" s="337">
        <v>5</v>
      </c>
      <c r="M22" s="630"/>
      <c r="N22" s="417">
        <v>1.0316226676090801</v>
      </c>
      <c r="Q22" s="632">
        <f t="shared" ref="Q22:Q24" si="4">N22-N18</f>
        <v>-4.1036913980389222E-2</v>
      </c>
      <c r="R22" s="11"/>
      <c r="S22" s="11">
        <f>N22-N21</f>
        <v>-1.0393042192282431E-2</v>
      </c>
    </row>
    <row r="23" spans="4:22" ht="15.75">
      <c r="D23" s="304">
        <v>1</v>
      </c>
      <c r="E23" s="304">
        <v>1</v>
      </c>
      <c r="F23" s="304">
        <v>1</v>
      </c>
      <c r="G23" s="304">
        <v>0</v>
      </c>
      <c r="H23" s="339">
        <v>2.1048419367747088E-2</v>
      </c>
      <c r="I23" s="375">
        <f t="shared" si="3"/>
        <v>-6.2951580632252924E-2</v>
      </c>
      <c r="J23" s="341" t="s">
        <v>26</v>
      </c>
      <c r="K23" s="337">
        <v>3</v>
      </c>
      <c r="M23" s="630"/>
      <c r="N23" s="417">
        <v>1.021217343130661</v>
      </c>
      <c r="Q23" s="632">
        <f t="shared" si="4"/>
        <v>-4.1397464714007626E-2</v>
      </c>
      <c r="R23" s="11">
        <f>N23-N21</f>
        <v>-2.0798366670701451E-2</v>
      </c>
      <c r="S23" s="11"/>
      <c r="V23">
        <f t="shared" si="2"/>
        <v>-51.99591667675363</v>
      </c>
    </row>
    <row r="24" spans="4:22" ht="15.75">
      <c r="D24" s="304">
        <v>1</v>
      </c>
      <c r="E24" s="304">
        <v>1</v>
      </c>
      <c r="F24" s="304">
        <v>1</v>
      </c>
      <c r="G24" s="304">
        <v>1</v>
      </c>
      <c r="H24" s="339">
        <v>1.0564225690276013E-2</v>
      </c>
      <c r="I24" s="375">
        <f t="shared" si="3"/>
        <v>-7.3435774309723992E-2</v>
      </c>
      <c r="J24" s="341" t="s">
        <v>26</v>
      </c>
      <c r="K24" s="337">
        <v>7</v>
      </c>
      <c r="M24" s="630"/>
      <c r="N24" s="417">
        <v>1.0106715008575424</v>
      </c>
      <c r="Q24" s="632">
        <f t="shared" si="4"/>
        <v>-4.1644588491550394E-2</v>
      </c>
      <c r="R24" s="11">
        <f>N24-N22</f>
        <v>-2.0951166751537631E-2</v>
      </c>
      <c r="S24" s="11">
        <f>N24-N23</f>
        <v>-1.0545842273118611E-2</v>
      </c>
      <c r="V24">
        <f t="shared" si="2"/>
        <v>-52.377916878844076</v>
      </c>
    </row>
    <row r="25" spans="4:22" ht="31.5">
      <c r="D25" s="258" t="s">
        <v>264</v>
      </c>
      <c r="E25" s="258" t="s">
        <v>265</v>
      </c>
      <c r="F25" s="258" t="s">
        <v>266</v>
      </c>
      <c r="G25" s="258" t="s">
        <v>267</v>
      </c>
      <c r="H25" s="343"/>
      <c r="I25" s="344"/>
      <c r="J25" s="345" t="s">
        <v>268</v>
      </c>
      <c r="K25" s="346"/>
      <c r="M25" s="631"/>
      <c r="N25" s="417"/>
      <c r="P25" s="19" t="s">
        <v>264</v>
      </c>
      <c r="Q25" s="258" t="s">
        <v>265</v>
      </c>
      <c r="R25" s="258" t="s">
        <v>266</v>
      </c>
      <c r="S25" s="258" t="s">
        <v>267</v>
      </c>
    </row>
    <row r="26" spans="4:22" ht="15.75">
      <c r="D26" s="304">
        <v>0</v>
      </c>
      <c r="E26" s="304">
        <v>0</v>
      </c>
      <c r="F26" s="304">
        <v>0</v>
      </c>
      <c r="G26" s="304">
        <v>0</v>
      </c>
      <c r="H26" s="335">
        <v>0</v>
      </c>
      <c r="I26" s="340"/>
      <c r="J26" s="307" t="s">
        <v>25</v>
      </c>
      <c r="K26" s="347"/>
      <c r="M26" s="630"/>
      <c r="N26" s="417">
        <v>1</v>
      </c>
    </row>
    <row r="27" spans="4:22" ht="15.75">
      <c r="D27" s="610">
        <v>0</v>
      </c>
      <c r="E27" s="610">
        <v>0</v>
      </c>
      <c r="F27" s="610">
        <v>0</v>
      </c>
      <c r="G27" s="610">
        <v>1</v>
      </c>
      <c r="H27" s="612">
        <v>-2.8000000000000247E-3</v>
      </c>
      <c r="I27" s="626">
        <f>H27-H26</f>
        <v>-2.8000000000000247E-3</v>
      </c>
      <c r="J27" s="613" t="s">
        <v>42</v>
      </c>
      <c r="K27" s="614"/>
      <c r="M27" s="630"/>
      <c r="N27" s="417">
        <v>0.99717461176181799</v>
      </c>
      <c r="S27" s="11">
        <f>N27-N26</f>
        <v>-2.8253882381820139E-3</v>
      </c>
    </row>
    <row r="28" spans="4:22" ht="15.75">
      <c r="D28" s="610">
        <v>0</v>
      </c>
      <c r="E28" s="610">
        <v>0</v>
      </c>
      <c r="F28" s="610">
        <v>1</v>
      </c>
      <c r="G28" s="610">
        <v>0</v>
      </c>
      <c r="H28" s="612">
        <v>-5.7000000000000384E-3</v>
      </c>
      <c r="I28" s="626">
        <f t="shared" ref="I28:I34" si="5">H28-H27</f>
        <v>-2.9000000000000137E-3</v>
      </c>
      <c r="J28" s="613" t="s">
        <v>60</v>
      </c>
      <c r="K28" s="614"/>
      <c r="M28" s="630"/>
      <c r="N28" s="417">
        <v>0.99432305875801585</v>
      </c>
      <c r="R28" s="11">
        <f>N28-N26</f>
        <v>-5.6769412419841458E-3</v>
      </c>
      <c r="S28" s="11"/>
    </row>
    <row r="29" spans="4:22" ht="15.75">
      <c r="D29" s="304">
        <v>0</v>
      </c>
      <c r="E29" s="304">
        <v>0</v>
      </c>
      <c r="F29" s="304">
        <v>1</v>
      </c>
      <c r="G29" s="304">
        <v>1</v>
      </c>
      <c r="H29" s="339">
        <v>-8.600000000000052E-3</v>
      </c>
      <c r="I29" s="375">
        <f t="shared" si="5"/>
        <v>-2.9000000000000137E-3</v>
      </c>
      <c r="J29" s="307" t="s">
        <v>89</v>
      </c>
      <c r="K29" s="347"/>
      <c r="M29" s="630"/>
      <c r="N29" s="417">
        <v>0.99140215918860575</v>
      </c>
      <c r="R29" s="11">
        <f>N29-N27</f>
        <v>-5.7724525732122389E-3</v>
      </c>
      <c r="S29" s="11">
        <f>N29-N28</f>
        <v>-2.920899569410107E-3</v>
      </c>
    </row>
    <row r="30" spans="4:22" ht="15.75">
      <c r="D30" s="610">
        <v>0</v>
      </c>
      <c r="E30" s="610">
        <v>1</v>
      </c>
      <c r="F30" s="610">
        <v>0</v>
      </c>
      <c r="G30" s="610">
        <v>0</v>
      </c>
      <c r="H30" s="612">
        <v>-1.1499999999999955E-2</v>
      </c>
      <c r="I30" s="626">
        <f t="shared" si="5"/>
        <v>-2.8999999999999027E-3</v>
      </c>
      <c r="J30" s="613" t="s">
        <v>45</v>
      </c>
      <c r="K30" s="614"/>
      <c r="M30" s="630"/>
      <c r="N30" s="417">
        <v>0.98845268871874314</v>
      </c>
      <c r="Q30" s="11">
        <f>N30-N26</f>
        <v>-1.1547311281256856E-2</v>
      </c>
      <c r="R30" s="11"/>
      <c r="S30" s="11"/>
    </row>
    <row r="31" spans="4:22" ht="15.75">
      <c r="D31" s="304">
        <v>0</v>
      </c>
      <c r="E31" s="304">
        <v>1</v>
      </c>
      <c r="F31" s="304">
        <v>0</v>
      </c>
      <c r="G31" s="304">
        <v>1</v>
      </c>
      <c r="H31" s="339">
        <v>-1.4399999999999968E-2</v>
      </c>
      <c r="I31" s="375">
        <f t="shared" si="5"/>
        <v>-2.9000000000000137E-3</v>
      </c>
      <c r="J31" s="307" t="s">
        <v>90</v>
      </c>
      <c r="K31" s="347"/>
      <c r="M31" s="630"/>
      <c r="N31" s="417">
        <v>0.98562776088527071</v>
      </c>
      <c r="Q31" s="11">
        <f>N31-N27</f>
        <v>-1.1546850876547277E-2</v>
      </c>
      <c r="R31" s="11"/>
      <c r="S31" s="11">
        <f>N31-N30</f>
        <v>-2.8249278334724348E-3</v>
      </c>
    </row>
    <row r="32" spans="4:22" ht="15.75">
      <c r="D32" s="304">
        <v>0</v>
      </c>
      <c r="E32" s="304">
        <v>1</v>
      </c>
      <c r="F32" s="304">
        <v>1</v>
      </c>
      <c r="G32" s="304">
        <v>0</v>
      </c>
      <c r="H32" s="339">
        <v>-1.7399999999999971E-2</v>
      </c>
      <c r="I32" s="375">
        <f t="shared" si="5"/>
        <v>-3.0000000000000027E-3</v>
      </c>
      <c r="J32" s="307" t="s">
        <v>61</v>
      </c>
      <c r="K32" s="347"/>
      <c r="M32" s="630"/>
      <c r="N32" s="417">
        <v>0.98280861965893129</v>
      </c>
      <c r="Q32" s="11">
        <f>N32-N28</f>
        <v>-1.1514439099084561E-2</v>
      </c>
      <c r="R32" s="11">
        <f>N32-N30</f>
        <v>-5.6440690598118515E-3</v>
      </c>
      <c r="S32" s="11"/>
    </row>
    <row r="33" spans="4:22" ht="15.75">
      <c r="D33" s="304">
        <v>0</v>
      </c>
      <c r="E33" s="304">
        <v>1</v>
      </c>
      <c r="F33" s="304">
        <v>1</v>
      </c>
      <c r="G33" s="304">
        <v>1</v>
      </c>
      <c r="H33" s="339">
        <v>-2.0199999999999996E-2</v>
      </c>
      <c r="I33" s="375">
        <f t="shared" si="5"/>
        <v>-2.8000000000000247E-3</v>
      </c>
      <c r="J33" s="307" t="s">
        <v>91</v>
      </c>
      <c r="K33" s="347"/>
      <c r="M33" s="630"/>
      <c r="N33" s="417">
        <v>0.98003123080023602</v>
      </c>
      <c r="Q33" s="11">
        <f>N33-N29</f>
        <v>-1.1370928388369728E-2</v>
      </c>
      <c r="R33" s="11">
        <f>N33-N31</f>
        <v>-5.59653008503469E-3</v>
      </c>
      <c r="S33" s="11">
        <f>N33-N32</f>
        <v>-2.7773888586952733E-3</v>
      </c>
    </row>
    <row r="34" spans="4:22" ht="15.75">
      <c r="D34" s="610">
        <v>1</v>
      </c>
      <c r="E34" s="610">
        <v>0</v>
      </c>
      <c r="F34" s="610">
        <v>0</v>
      </c>
      <c r="G34" s="610">
        <v>0</v>
      </c>
      <c r="H34" s="612">
        <v>2.3300000000000098E-2</v>
      </c>
      <c r="I34" s="626">
        <f t="shared" si="5"/>
        <v>4.3500000000000094E-2</v>
      </c>
      <c r="J34" s="613" t="s">
        <v>46</v>
      </c>
      <c r="K34" s="614"/>
      <c r="M34" s="630"/>
      <c r="N34" s="417">
        <v>1.0239280239047532</v>
      </c>
      <c r="P34" s="11">
        <f>N34-N26</f>
        <v>2.3928023904753237E-2</v>
      </c>
      <c r="Q34" s="11"/>
      <c r="R34" s="11"/>
      <c r="S34" s="11"/>
      <c r="V34" s="582">
        <f>P34*2500</f>
        <v>59.820059761883094</v>
      </c>
    </row>
    <row r="35" spans="4:22" ht="15.75">
      <c r="D35" s="304">
        <v>1</v>
      </c>
      <c r="E35" s="304">
        <v>0</v>
      </c>
      <c r="F35" s="304">
        <v>0</v>
      </c>
      <c r="G35" s="304">
        <v>1</v>
      </c>
      <c r="H35" s="339">
        <v>2.0399999999999974E-2</v>
      </c>
      <c r="I35" s="375">
        <f>H35-H34</f>
        <v>-2.9000000000001247E-3</v>
      </c>
      <c r="J35" s="307" t="s">
        <v>92</v>
      </c>
      <c r="K35" s="347"/>
      <c r="M35" s="630"/>
      <c r="N35" s="417">
        <v>1.0209940166804954</v>
      </c>
      <c r="P35" s="11">
        <f t="shared" ref="P35:P41" si="6">N35-N27</f>
        <v>2.38194049186774E-2</v>
      </c>
      <c r="Q35" s="11"/>
      <c r="R35" s="11"/>
      <c r="S35" s="11">
        <f>N35-N34</f>
        <v>-2.9340072242578508E-3</v>
      </c>
      <c r="V35">
        <f t="shared" ref="V35:V41" si="7">P35*2500</f>
        <v>59.548512296693502</v>
      </c>
    </row>
    <row r="36" spans="4:22" ht="15.75">
      <c r="D36" s="304">
        <v>1</v>
      </c>
      <c r="E36" s="304">
        <v>0</v>
      </c>
      <c r="F36" s="304">
        <v>1</v>
      </c>
      <c r="G36" s="304">
        <v>0</v>
      </c>
      <c r="H36" s="339">
        <v>1.7500000000000071E-2</v>
      </c>
      <c r="I36" s="375">
        <f t="shared" ref="I36:I41" si="8">H36-H35</f>
        <v>-2.8999999999999027E-3</v>
      </c>
      <c r="J36" s="307" t="s">
        <v>62</v>
      </c>
      <c r="K36" s="347"/>
      <c r="M36" s="630"/>
      <c r="N36" s="417">
        <v>1.0179751415776905</v>
      </c>
      <c r="P36" s="11">
        <f t="shared" si="6"/>
        <v>2.365208281967468E-2</v>
      </c>
      <c r="Q36" s="11"/>
      <c r="R36" s="11">
        <f>N36-N34</f>
        <v>-5.9528823270627029E-3</v>
      </c>
      <c r="S36" s="11"/>
      <c r="V36">
        <f t="shared" si="7"/>
        <v>59.130207049186701</v>
      </c>
    </row>
    <row r="37" spans="4:22" ht="15.75">
      <c r="D37" s="304">
        <v>1</v>
      </c>
      <c r="E37" s="304">
        <v>0</v>
      </c>
      <c r="F37" s="304">
        <v>1</v>
      </c>
      <c r="G37" s="304">
        <v>1</v>
      </c>
      <c r="H37" s="339">
        <v>1.4599999999999946E-2</v>
      </c>
      <c r="I37" s="375">
        <f t="shared" si="8"/>
        <v>-2.9000000000001247E-3</v>
      </c>
      <c r="J37" s="307" t="s">
        <v>93</v>
      </c>
      <c r="K37" s="347"/>
      <c r="M37" s="630"/>
      <c r="N37" s="417">
        <v>1.0147889471244553</v>
      </c>
      <c r="P37" s="11">
        <f t="shared" si="6"/>
        <v>2.3386787935849584E-2</v>
      </c>
      <c r="Q37" s="11"/>
      <c r="R37" s="11">
        <f>N37-N35</f>
        <v>-6.2050695560400548E-3</v>
      </c>
      <c r="S37" s="11">
        <f>N37-N36</f>
        <v>-3.1861944532352027E-3</v>
      </c>
      <c r="V37">
        <f t="shared" si="7"/>
        <v>58.466969839623964</v>
      </c>
    </row>
    <row r="38" spans="4:22" ht="15.75">
      <c r="D38" s="304">
        <v>1</v>
      </c>
      <c r="E38" s="304">
        <v>1</v>
      </c>
      <c r="F38" s="304">
        <v>0</v>
      </c>
      <c r="G38" s="304">
        <v>0</v>
      </c>
      <c r="H38" s="339">
        <v>1.1700000000000044E-2</v>
      </c>
      <c r="I38" s="375">
        <f t="shared" si="8"/>
        <v>-2.8999999999999027E-3</v>
      </c>
      <c r="J38" s="307" t="s">
        <v>47</v>
      </c>
      <c r="K38" s="347"/>
      <c r="M38" s="630"/>
      <c r="N38" s="417">
        <v>1.011916687738043</v>
      </c>
      <c r="P38" s="11">
        <f t="shared" si="6"/>
        <v>2.3463999019299853E-2</v>
      </c>
      <c r="Q38" s="11">
        <f>N38-N34</f>
        <v>-1.201133616671024E-2</v>
      </c>
      <c r="R38" s="11"/>
      <c r="S38" s="11"/>
      <c r="V38">
        <f t="shared" si="7"/>
        <v>58.659997548249635</v>
      </c>
    </row>
    <row r="39" spans="4:22" ht="15.75">
      <c r="D39" s="304">
        <v>1</v>
      </c>
      <c r="E39" s="304">
        <v>1</v>
      </c>
      <c r="F39" s="304">
        <v>0</v>
      </c>
      <c r="G39" s="304">
        <v>1</v>
      </c>
      <c r="H39" s="339">
        <v>8.799999999999919E-3</v>
      </c>
      <c r="I39" s="375">
        <f t="shared" si="8"/>
        <v>-2.9000000000001247E-3</v>
      </c>
      <c r="J39" s="307" t="s">
        <v>94</v>
      </c>
      <c r="K39" s="347"/>
      <c r="M39" s="630"/>
      <c r="N39" s="417">
        <v>1.0088917351317892</v>
      </c>
      <c r="P39" s="11">
        <f t="shared" si="6"/>
        <v>2.3263974246518493E-2</v>
      </c>
      <c r="Q39" s="11">
        <f>N39-N35</f>
        <v>-1.2102281548706184E-2</v>
      </c>
      <c r="R39" s="11"/>
      <c r="S39" s="11">
        <f>N39-N38</f>
        <v>-3.0249526062537946E-3</v>
      </c>
      <c r="V39">
        <f t="shared" si="7"/>
        <v>58.159935616296231</v>
      </c>
    </row>
    <row r="40" spans="4:22" ht="15.75">
      <c r="D40" s="304">
        <v>1</v>
      </c>
      <c r="E40" s="304">
        <v>1</v>
      </c>
      <c r="F40" s="304">
        <v>1</v>
      </c>
      <c r="G40" s="304">
        <v>0</v>
      </c>
      <c r="H40" s="339">
        <v>5.9000000000000163E-3</v>
      </c>
      <c r="I40" s="375">
        <f t="shared" si="8"/>
        <v>-2.8999999999999027E-3</v>
      </c>
      <c r="J40" s="307" t="s">
        <v>63</v>
      </c>
      <c r="K40" s="347"/>
      <c r="M40" s="630"/>
      <c r="N40" s="417">
        <v>1.0059724501121314</v>
      </c>
      <c r="P40" s="11">
        <f t="shared" si="6"/>
        <v>2.316383045320014E-2</v>
      </c>
      <c r="Q40" s="11">
        <f>N40-N36</f>
        <v>-1.2002691465559101E-2</v>
      </c>
      <c r="R40" s="11">
        <f>N40-N38</f>
        <v>-5.9442376259115637E-3</v>
      </c>
      <c r="S40" s="11"/>
      <c r="V40">
        <f t="shared" si="7"/>
        <v>57.90957613300035</v>
      </c>
    </row>
    <row r="41" spans="4:22" ht="16.5" thickBot="1">
      <c r="D41" s="351">
        <v>1</v>
      </c>
      <c r="E41" s="351">
        <v>1</v>
      </c>
      <c r="F41" s="351">
        <v>1</v>
      </c>
      <c r="G41" s="351">
        <v>1</v>
      </c>
      <c r="H41" s="352">
        <v>2.9999999999998916E-3</v>
      </c>
      <c r="I41" s="375">
        <f t="shared" si="8"/>
        <v>-2.9000000000001247E-3</v>
      </c>
      <c r="J41" s="327" t="s">
        <v>95</v>
      </c>
      <c r="K41" s="353"/>
      <c r="M41" s="630"/>
      <c r="N41" s="417">
        <v>1.0030668094445463</v>
      </c>
      <c r="P41" s="11">
        <f t="shared" si="6"/>
        <v>2.3035578644310273E-2</v>
      </c>
      <c r="Q41" s="11">
        <f>N41-N37</f>
        <v>-1.1722137679909039E-2</v>
      </c>
      <c r="R41" s="11">
        <f>N41-N39</f>
        <v>-5.82492568724291E-3</v>
      </c>
      <c r="S41" s="11">
        <f>N41-N40</f>
        <v>-2.9056406675851409E-3</v>
      </c>
      <c r="V41">
        <f t="shared" si="7"/>
        <v>57.588946610775679</v>
      </c>
    </row>
    <row r="47" spans="4:22" ht="15.75" thickBot="1"/>
    <row r="48" spans="4:22" ht="15.75">
      <c r="D48" s="297" t="s">
        <v>251</v>
      </c>
      <c r="E48" s="298" t="s">
        <v>252</v>
      </c>
      <c r="F48" s="298" t="s">
        <v>253</v>
      </c>
      <c r="G48" s="298" t="s">
        <v>254</v>
      </c>
      <c r="H48" s="299" t="s">
        <v>255</v>
      </c>
      <c r="I48" s="299"/>
      <c r="J48" s="299"/>
      <c r="K48" s="300" t="s">
        <v>21</v>
      </c>
      <c r="L48" s="301" t="s">
        <v>24</v>
      </c>
      <c r="P48" s="297" t="s">
        <v>251</v>
      </c>
      <c r="Q48" s="298" t="s">
        <v>252</v>
      </c>
      <c r="R48" s="298" t="s">
        <v>253</v>
      </c>
      <c r="S48" s="298" t="s">
        <v>254</v>
      </c>
    </row>
    <row r="49" spans="4:23">
      <c r="D49" s="303">
        <v>1</v>
      </c>
      <c r="E49" s="304">
        <v>1</v>
      </c>
      <c r="F49" s="304">
        <v>1</v>
      </c>
      <c r="G49" s="304">
        <v>1</v>
      </c>
      <c r="H49" s="305">
        <v>1</v>
      </c>
      <c r="I49" s="417">
        <v>0.12356481985392632</v>
      </c>
      <c r="J49" s="304"/>
      <c r="K49" s="307" t="s">
        <v>39</v>
      </c>
      <c r="L49" s="308">
        <v>1</v>
      </c>
      <c r="U49">
        <f t="shared" ref="U49:U52" si="9">2000*Q49</f>
        <v>0</v>
      </c>
      <c r="V49">
        <f t="shared" ref="V49:W64" si="10">R49*2000</f>
        <v>0</v>
      </c>
      <c r="W49">
        <f t="shared" si="10"/>
        <v>0</v>
      </c>
    </row>
    <row r="50" spans="4:23">
      <c r="D50" s="303">
        <v>1</v>
      </c>
      <c r="E50" s="304">
        <v>1</v>
      </c>
      <c r="F50" s="304">
        <v>1</v>
      </c>
      <c r="G50" s="304">
        <v>0</v>
      </c>
      <c r="H50" s="5">
        <v>1.1499999999999999</v>
      </c>
      <c r="I50" s="417">
        <v>0.14131607924368628</v>
      </c>
      <c r="J50" s="304"/>
      <c r="K50" s="307" t="s">
        <v>39</v>
      </c>
      <c r="L50" s="308">
        <v>0</v>
      </c>
      <c r="S50" s="11">
        <f>I50-I49</f>
        <v>1.7751259389759952E-2</v>
      </c>
      <c r="U50">
        <f t="shared" si="9"/>
        <v>0</v>
      </c>
      <c r="V50">
        <f t="shared" si="10"/>
        <v>0</v>
      </c>
      <c r="W50">
        <f t="shared" si="10"/>
        <v>35.502518779519903</v>
      </c>
    </row>
    <row r="51" spans="4:23">
      <c r="D51" s="303">
        <v>1</v>
      </c>
      <c r="E51" s="304">
        <v>1</v>
      </c>
      <c r="F51" s="304">
        <v>0</v>
      </c>
      <c r="G51" s="304">
        <v>1</v>
      </c>
      <c r="H51" s="5">
        <v>1.32</v>
      </c>
      <c r="I51" s="417">
        <v>0.16261534628755939</v>
      </c>
      <c r="J51" s="304"/>
      <c r="K51" s="307" t="s">
        <v>40</v>
      </c>
      <c r="L51" s="308">
        <v>1</v>
      </c>
      <c r="R51" s="11">
        <f>I51-I49</f>
        <v>3.9050526433633062E-2</v>
      </c>
      <c r="S51" s="11"/>
      <c r="U51">
        <f t="shared" si="9"/>
        <v>0</v>
      </c>
      <c r="V51">
        <f t="shared" si="10"/>
        <v>78.10105286726612</v>
      </c>
      <c r="W51">
        <f t="shared" si="10"/>
        <v>0</v>
      </c>
    </row>
    <row r="52" spans="4:23">
      <c r="D52" s="303">
        <v>1</v>
      </c>
      <c r="E52" s="304">
        <v>1</v>
      </c>
      <c r="F52" s="304">
        <v>0</v>
      </c>
      <c r="G52" s="304">
        <v>0</v>
      </c>
      <c r="H52" s="5">
        <v>1.52</v>
      </c>
      <c r="I52" s="417">
        <v>0.18733922159855385</v>
      </c>
      <c r="J52" s="304"/>
      <c r="K52" s="307" t="s">
        <v>40</v>
      </c>
      <c r="L52" s="308">
        <v>0</v>
      </c>
      <c r="R52" s="11">
        <f>I52-I50</f>
        <v>4.6023142354867569E-2</v>
      </c>
      <c r="S52" s="11">
        <f t="shared" ref="S52:S64" si="11">I52-I51</f>
        <v>2.4723875310994459E-2</v>
      </c>
      <c r="U52">
        <f t="shared" si="9"/>
        <v>0</v>
      </c>
      <c r="V52">
        <f t="shared" si="10"/>
        <v>92.046284709735133</v>
      </c>
      <c r="W52">
        <f t="shared" si="10"/>
        <v>49.447750621988916</v>
      </c>
    </row>
    <row r="53" spans="4:23">
      <c r="D53" s="303">
        <v>1</v>
      </c>
      <c r="E53" s="304">
        <v>0</v>
      </c>
      <c r="F53" s="304">
        <v>1</v>
      </c>
      <c r="G53" s="304">
        <v>1</v>
      </c>
      <c r="H53" s="5">
        <v>1.75</v>
      </c>
      <c r="I53" s="417">
        <v>0.21524820452761606</v>
      </c>
      <c r="J53" s="304"/>
      <c r="K53" s="307" t="s">
        <v>41</v>
      </c>
      <c r="L53" s="308">
        <v>1</v>
      </c>
      <c r="Q53" s="11">
        <f>I53-I49</f>
        <v>9.1683384673689736E-2</v>
      </c>
      <c r="R53" s="11"/>
      <c r="S53" s="11"/>
      <c r="U53">
        <f>2000*Q53</f>
        <v>183.36676934737946</v>
      </c>
      <c r="V53">
        <f t="shared" si="10"/>
        <v>0</v>
      </c>
      <c r="W53">
        <f t="shared" si="10"/>
        <v>0</v>
      </c>
    </row>
    <row r="54" spans="4:23">
      <c r="D54" s="303">
        <v>1</v>
      </c>
      <c r="E54" s="304">
        <v>0</v>
      </c>
      <c r="F54" s="304">
        <v>1</v>
      </c>
      <c r="G54" s="304">
        <v>0</v>
      </c>
      <c r="H54" s="5">
        <v>2.02</v>
      </c>
      <c r="I54" s="417">
        <v>0.24743302057072233</v>
      </c>
      <c r="J54" s="304"/>
      <c r="K54" s="307" t="s">
        <v>41</v>
      </c>
      <c r="L54" s="308">
        <v>0</v>
      </c>
      <c r="Q54" s="11">
        <f t="shared" ref="Q54:Q64" si="12">I54-I50</f>
        <v>0.10611694132703606</v>
      </c>
      <c r="R54" s="11"/>
      <c r="S54" s="11">
        <f t="shared" si="11"/>
        <v>3.2184816043106274E-2</v>
      </c>
      <c r="U54">
        <f t="shared" ref="U54:U64" si="13">2000*Q54</f>
        <v>212.23388265407212</v>
      </c>
      <c r="V54">
        <f t="shared" si="10"/>
        <v>0</v>
      </c>
      <c r="W54">
        <f t="shared" si="10"/>
        <v>64.369632086212548</v>
      </c>
    </row>
    <row r="55" spans="4:23">
      <c r="D55" s="303">
        <v>1</v>
      </c>
      <c r="E55" s="304">
        <v>0</v>
      </c>
      <c r="F55" s="304">
        <v>0</v>
      </c>
      <c r="G55" s="304">
        <v>1</v>
      </c>
      <c r="H55" s="5">
        <v>2.3199999999999998</v>
      </c>
      <c r="I55" s="417">
        <v>0.28643028493174377</v>
      </c>
      <c r="J55" s="304"/>
      <c r="K55" s="307" t="s">
        <v>42</v>
      </c>
      <c r="L55" s="308">
        <v>1</v>
      </c>
      <c r="Q55" s="11">
        <f t="shared" si="12"/>
        <v>0.12381493864418439</v>
      </c>
      <c r="R55" s="11">
        <f t="shared" ref="R55:R64" si="14">I55-I53</f>
        <v>7.1182080404127712E-2</v>
      </c>
      <c r="S55" s="11"/>
      <c r="U55">
        <f t="shared" si="13"/>
        <v>247.62987728836876</v>
      </c>
      <c r="V55">
        <f>R55*2000</f>
        <v>142.36416080825543</v>
      </c>
      <c r="W55">
        <f t="shared" si="10"/>
        <v>0</v>
      </c>
    </row>
    <row r="56" spans="4:23">
      <c r="D56" s="609">
        <v>1</v>
      </c>
      <c r="E56" s="610">
        <v>0</v>
      </c>
      <c r="F56" s="610">
        <v>0</v>
      </c>
      <c r="G56" s="610">
        <v>0</v>
      </c>
      <c r="H56" s="611">
        <v>2.6669999999999998</v>
      </c>
      <c r="I56" s="417">
        <v>0.3274329483548904</v>
      </c>
      <c r="J56" s="610"/>
      <c r="K56" s="613" t="s">
        <v>42</v>
      </c>
      <c r="L56" s="614">
        <v>0</v>
      </c>
      <c r="Q56" s="11">
        <f t="shared" si="12"/>
        <v>0.14009372675633655</v>
      </c>
      <c r="R56" s="11">
        <f t="shared" si="14"/>
        <v>7.9999927784168062E-2</v>
      </c>
      <c r="S56" s="11">
        <f t="shared" si="11"/>
        <v>4.1002663423146624E-2</v>
      </c>
      <c r="U56">
        <f t="shared" si="13"/>
        <v>280.18745351267307</v>
      </c>
      <c r="V56">
        <f t="shared" ref="V56:V64" si="15">R56*2000</f>
        <v>159.99985556833613</v>
      </c>
      <c r="W56">
        <f t="shared" si="10"/>
        <v>82.005326846293244</v>
      </c>
    </row>
    <row r="57" spans="4:23">
      <c r="D57" s="303">
        <v>0</v>
      </c>
      <c r="E57" s="304">
        <v>1</v>
      </c>
      <c r="F57" s="304">
        <v>1</v>
      </c>
      <c r="G57" s="304">
        <v>1</v>
      </c>
      <c r="H57" s="5">
        <v>3.0659999999999998</v>
      </c>
      <c r="I57" s="417">
        <v>0.37759370398286846</v>
      </c>
      <c r="J57" s="121"/>
      <c r="K57" s="307" t="s">
        <v>43</v>
      </c>
      <c r="L57" s="308">
        <v>1</v>
      </c>
      <c r="P57" s="632">
        <f>I57-I49</f>
        <v>0.25402888412894215</v>
      </c>
      <c r="Q57" s="11"/>
      <c r="R57" s="11"/>
      <c r="S57" s="11"/>
      <c r="U57">
        <f t="shared" si="13"/>
        <v>0</v>
      </c>
      <c r="V57">
        <v>0</v>
      </c>
      <c r="W57">
        <f t="shared" si="10"/>
        <v>0</v>
      </c>
    </row>
    <row r="58" spans="4:23">
      <c r="D58" s="303">
        <v>0</v>
      </c>
      <c r="E58" s="304">
        <v>1</v>
      </c>
      <c r="F58" s="304">
        <v>1</v>
      </c>
      <c r="G58" s="304">
        <v>0</v>
      </c>
      <c r="H58" s="5">
        <v>3.53</v>
      </c>
      <c r="I58" s="417">
        <v>0.43510272701896319</v>
      </c>
      <c r="J58" s="304"/>
      <c r="K58" s="307" t="s">
        <v>43</v>
      </c>
      <c r="L58" s="308">
        <v>0</v>
      </c>
      <c r="P58" s="632">
        <f t="shared" ref="P58:P64" si="16">I58-I50</f>
        <v>0.29378664777527691</v>
      </c>
      <c r="Q58" s="11"/>
      <c r="R58" s="11"/>
      <c r="S58" s="11">
        <f t="shared" si="11"/>
        <v>5.7509023036094731E-2</v>
      </c>
      <c r="U58">
        <f t="shared" si="13"/>
        <v>0</v>
      </c>
      <c r="V58">
        <v>0</v>
      </c>
      <c r="W58">
        <f t="shared" si="10"/>
        <v>115.01804607218946</v>
      </c>
    </row>
    <row r="59" spans="4:23">
      <c r="D59" s="303">
        <v>0</v>
      </c>
      <c r="E59" s="304">
        <v>1</v>
      </c>
      <c r="F59" s="304">
        <v>0</v>
      </c>
      <c r="G59" s="304">
        <v>1</v>
      </c>
      <c r="H59" s="5">
        <v>4.0599999999999996</v>
      </c>
      <c r="I59" s="417">
        <v>0.49965471374568576</v>
      </c>
      <c r="J59" s="304"/>
      <c r="K59" s="307" t="s">
        <v>44</v>
      </c>
      <c r="L59" s="308">
        <v>1</v>
      </c>
      <c r="P59" s="632">
        <f t="shared" si="16"/>
        <v>0.33703936745812635</v>
      </c>
      <c r="Q59" s="11"/>
      <c r="R59" s="11">
        <f t="shared" si="14"/>
        <v>0.12206100976281731</v>
      </c>
      <c r="S59" s="11"/>
      <c r="U59">
        <f t="shared" si="13"/>
        <v>0</v>
      </c>
      <c r="V59">
        <f t="shared" si="15"/>
        <v>244.12201952563461</v>
      </c>
      <c r="W59">
        <f t="shared" si="10"/>
        <v>0</v>
      </c>
    </row>
    <row r="60" spans="4:23">
      <c r="D60" s="609">
        <v>0</v>
      </c>
      <c r="E60" s="610">
        <v>1</v>
      </c>
      <c r="F60" s="610">
        <v>0</v>
      </c>
      <c r="G60" s="610">
        <v>0</v>
      </c>
      <c r="H60" s="611">
        <v>4.68</v>
      </c>
      <c r="I60" s="417">
        <v>0.57562181156707293</v>
      </c>
      <c r="J60" s="610"/>
      <c r="K60" s="613" t="s">
        <v>44</v>
      </c>
      <c r="L60" s="614">
        <v>0</v>
      </c>
      <c r="P60" s="632">
        <f t="shared" si="16"/>
        <v>0.38828258996851905</v>
      </c>
      <c r="Q60" s="11"/>
      <c r="R60" s="11">
        <f t="shared" si="14"/>
        <v>0.14051908454810974</v>
      </c>
      <c r="S60" s="11">
        <f t="shared" si="11"/>
        <v>7.5967097821387164E-2</v>
      </c>
      <c r="U60">
        <f t="shared" si="13"/>
        <v>0</v>
      </c>
      <c r="V60">
        <f t="shared" si="15"/>
        <v>281.03816909621946</v>
      </c>
      <c r="W60">
        <f t="shared" si="10"/>
        <v>151.93419564277434</v>
      </c>
    </row>
    <row r="61" spans="4:23">
      <c r="D61" s="303">
        <v>0</v>
      </c>
      <c r="E61" s="304">
        <v>0</v>
      </c>
      <c r="F61" s="304">
        <v>1</v>
      </c>
      <c r="G61" s="304">
        <v>1</v>
      </c>
      <c r="H61" s="5">
        <v>5.4</v>
      </c>
      <c r="I61" s="417">
        <v>0.66188042317009843</v>
      </c>
      <c r="J61" s="304"/>
      <c r="K61" s="307" t="s">
        <v>26</v>
      </c>
      <c r="L61" s="308">
        <v>1</v>
      </c>
      <c r="P61" s="632">
        <f t="shared" si="16"/>
        <v>0.44663221864248237</v>
      </c>
      <c r="Q61" s="632">
        <f t="shared" si="12"/>
        <v>0.28428671918722997</v>
      </c>
      <c r="R61" s="11"/>
      <c r="S61" s="11"/>
      <c r="U61" s="633">
        <f t="shared" si="13"/>
        <v>568.5734383744599</v>
      </c>
      <c r="V61">
        <f t="shared" si="15"/>
        <v>0</v>
      </c>
      <c r="W61">
        <f t="shared" si="10"/>
        <v>0</v>
      </c>
    </row>
    <row r="62" spans="4:23">
      <c r="D62" s="609">
        <v>0</v>
      </c>
      <c r="E62" s="610">
        <v>0</v>
      </c>
      <c r="F62" s="610">
        <v>1</v>
      </c>
      <c r="G62" s="610">
        <v>0</v>
      </c>
      <c r="H62" s="611">
        <v>6.25</v>
      </c>
      <c r="I62" s="417">
        <v>0.75999842860002031</v>
      </c>
      <c r="J62" s="610"/>
      <c r="K62" s="613" t="s">
        <v>26</v>
      </c>
      <c r="L62" s="614">
        <v>0</v>
      </c>
      <c r="P62" s="632">
        <f t="shared" si="16"/>
        <v>0.51256540802929795</v>
      </c>
      <c r="Q62" s="632">
        <f t="shared" si="12"/>
        <v>0.32489570158105713</v>
      </c>
      <c r="R62" s="11"/>
      <c r="S62" s="11">
        <f t="shared" si="11"/>
        <v>9.8118005429921884E-2</v>
      </c>
      <c r="U62" s="633">
        <f t="shared" si="13"/>
        <v>649.79140316211431</v>
      </c>
      <c r="V62">
        <f t="shared" si="15"/>
        <v>0</v>
      </c>
      <c r="W62">
        <f t="shared" si="10"/>
        <v>196.23601085984376</v>
      </c>
    </row>
    <row r="63" spans="4:23">
      <c r="D63" s="609">
        <v>0</v>
      </c>
      <c r="E63" s="610">
        <v>0</v>
      </c>
      <c r="F63" s="610">
        <v>0</v>
      </c>
      <c r="G63" s="610">
        <v>1</v>
      </c>
      <c r="H63" s="611">
        <v>7.27</v>
      </c>
      <c r="I63" s="417">
        <v>0.87537969942050642</v>
      </c>
      <c r="J63" s="610"/>
      <c r="K63" s="613" t="s">
        <v>25</v>
      </c>
      <c r="L63" s="614">
        <v>1</v>
      </c>
      <c r="P63" s="632">
        <f t="shared" si="16"/>
        <v>0.58894941448876259</v>
      </c>
      <c r="Q63" s="632">
        <f t="shared" si="12"/>
        <v>0.37572498567482066</v>
      </c>
      <c r="R63" s="632">
        <f t="shared" si="14"/>
        <v>0.21349927625040799</v>
      </c>
      <c r="S63" s="11"/>
      <c r="U63" s="633">
        <f t="shared" si="13"/>
        <v>751.44997134964126</v>
      </c>
      <c r="V63" s="633">
        <f t="shared" si="15"/>
        <v>426.998552500816</v>
      </c>
      <c r="W63">
        <f t="shared" si="10"/>
        <v>0</v>
      </c>
    </row>
    <row r="64" spans="4:23" ht="16.5" thickBot="1">
      <c r="D64" s="303">
        <v>0</v>
      </c>
      <c r="E64" s="304">
        <v>0</v>
      </c>
      <c r="F64" s="304">
        <v>0</v>
      </c>
      <c r="G64" s="304">
        <v>0</v>
      </c>
      <c r="H64" s="309">
        <v>8.48</v>
      </c>
      <c r="I64" s="417">
        <v>1</v>
      </c>
      <c r="J64" s="304"/>
      <c r="K64" s="307" t="s">
        <v>25</v>
      </c>
      <c r="L64" s="308">
        <v>0</v>
      </c>
      <c r="P64" s="632">
        <f t="shared" si="16"/>
        <v>0.67256705164510966</v>
      </c>
      <c r="Q64" s="632">
        <f t="shared" si="12"/>
        <v>0.42437818843292707</v>
      </c>
      <c r="R64" s="632">
        <f t="shared" si="14"/>
        <v>0.24000157139997969</v>
      </c>
      <c r="S64" s="11">
        <f t="shared" si="11"/>
        <v>0.12462030057949358</v>
      </c>
      <c r="U64" s="633">
        <f t="shared" si="13"/>
        <v>848.75637686585412</v>
      </c>
      <c r="V64" s="633">
        <f t="shared" si="15"/>
        <v>480.00314279995939</v>
      </c>
      <c r="W64">
        <f t="shared" si="10"/>
        <v>249.24060115898718</v>
      </c>
    </row>
    <row r="65" spans="4:19" ht="31.5">
      <c r="D65" s="311" t="s">
        <v>13</v>
      </c>
      <c r="E65" s="312" t="s">
        <v>14</v>
      </c>
      <c r="F65" s="312" t="s">
        <v>15</v>
      </c>
      <c r="G65" s="312" t="s">
        <v>16</v>
      </c>
      <c r="H65" s="312" t="s">
        <v>12</v>
      </c>
      <c r="I65" s="313"/>
      <c r="J65" s="313"/>
      <c r="K65" s="313" t="s">
        <v>21</v>
      </c>
      <c r="L65" s="314"/>
      <c r="O65" s="311" t="s">
        <v>13</v>
      </c>
      <c r="P65" s="312" t="s">
        <v>14</v>
      </c>
      <c r="Q65" s="312" t="s">
        <v>15</v>
      </c>
      <c r="R65" s="312" t="s">
        <v>16</v>
      </c>
      <c r="S65" s="312" t="s">
        <v>12</v>
      </c>
    </row>
    <row r="66" spans="4:19" ht="15.75">
      <c r="D66" s="315">
        <v>0</v>
      </c>
      <c r="E66" s="316">
        <v>0</v>
      </c>
      <c r="F66" s="316">
        <v>0</v>
      </c>
      <c r="G66" s="316">
        <v>0</v>
      </c>
      <c r="H66" s="316">
        <v>0</v>
      </c>
      <c r="I66" s="370">
        <v>1</v>
      </c>
      <c r="J66" s="318"/>
      <c r="K66" s="307" t="s">
        <v>25</v>
      </c>
      <c r="L66" s="308"/>
    </row>
    <row r="67" spans="4:19" ht="15.75">
      <c r="D67" s="621">
        <v>0</v>
      </c>
      <c r="E67" s="622">
        <v>0</v>
      </c>
      <c r="F67" s="622">
        <v>0</v>
      </c>
      <c r="G67" s="622">
        <v>0</v>
      </c>
      <c r="H67" s="622">
        <v>1</v>
      </c>
      <c r="I67" s="623">
        <v>0.99510669756161574</v>
      </c>
      <c r="J67" s="622"/>
      <c r="K67" s="613" t="s">
        <v>45</v>
      </c>
      <c r="L67" s="614"/>
      <c r="S67" s="11">
        <f>I67-I66</f>
        <v>-4.8933024383842616E-3</v>
      </c>
    </row>
    <row r="68" spans="4:19" ht="15.75">
      <c r="D68" s="621">
        <v>0</v>
      </c>
      <c r="E68" s="622">
        <v>0</v>
      </c>
      <c r="F68" s="622">
        <v>0</v>
      </c>
      <c r="G68" s="622">
        <v>1</v>
      </c>
      <c r="H68" s="622">
        <v>0</v>
      </c>
      <c r="I68" s="623">
        <v>0.9909092169963083</v>
      </c>
      <c r="J68" s="622"/>
      <c r="K68" s="613" t="s">
        <v>46</v>
      </c>
      <c r="L68" s="614"/>
      <c r="R68" s="11">
        <f>I68-I66</f>
        <v>-9.0907830036917048E-3</v>
      </c>
      <c r="S68" s="11"/>
    </row>
    <row r="69" spans="4:19" ht="15.75">
      <c r="D69" s="315">
        <v>0</v>
      </c>
      <c r="E69" s="320">
        <v>0</v>
      </c>
      <c r="F69" s="320">
        <v>0</v>
      </c>
      <c r="G69" s="320">
        <v>1</v>
      </c>
      <c r="H69" s="316">
        <v>1</v>
      </c>
      <c r="I69" s="404">
        <v>0.98643639062920563</v>
      </c>
      <c r="J69" s="316"/>
      <c r="K69" s="307" t="s">
        <v>47</v>
      </c>
      <c r="L69" s="308"/>
      <c r="R69" s="11">
        <f>I69-I67</f>
        <v>-8.6703069324101101E-3</v>
      </c>
      <c r="S69" s="11">
        <f t="shared" ref="S69:S97" si="17">I69-I68</f>
        <v>-4.4728263671026669E-3</v>
      </c>
    </row>
    <row r="70" spans="4:19" ht="15.75">
      <c r="D70" s="621">
        <v>0</v>
      </c>
      <c r="E70" s="622">
        <v>0</v>
      </c>
      <c r="F70" s="622">
        <v>1</v>
      </c>
      <c r="G70" s="622">
        <v>0</v>
      </c>
      <c r="H70" s="622">
        <v>0</v>
      </c>
      <c r="I70" s="623">
        <v>0.98191466783832804</v>
      </c>
      <c r="J70" s="622"/>
      <c r="K70" s="613" t="s">
        <v>48</v>
      </c>
      <c r="L70" s="614"/>
      <c r="Q70" s="11">
        <f>I70-I66</f>
        <v>-1.8085332161671963E-2</v>
      </c>
      <c r="R70" s="11"/>
      <c r="S70" s="11"/>
    </row>
    <row r="71" spans="4:19" ht="15.75">
      <c r="D71" s="315">
        <v>0</v>
      </c>
      <c r="E71" s="320">
        <v>0</v>
      </c>
      <c r="F71" s="320">
        <v>1</v>
      </c>
      <c r="G71" s="320">
        <v>0</v>
      </c>
      <c r="H71" s="316">
        <v>1</v>
      </c>
      <c r="I71" s="404">
        <v>0.97725834556060198</v>
      </c>
      <c r="J71" s="316"/>
      <c r="K71" s="307" t="s">
        <v>49</v>
      </c>
      <c r="L71" s="308"/>
      <c r="Q71" s="11">
        <f t="shared" ref="Q71:Q97" si="18">I71-I67</f>
        <v>-1.7848352001013756E-2</v>
      </c>
      <c r="R71" s="11"/>
      <c r="S71" s="11">
        <f t="shared" si="17"/>
        <v>-4.6563222777260549E-3</v>
      </c>
    </row>
    <row r="72" spans="4:19" ht="15.75">
      <c r="D72" s="315">
        <v>0</v>
      </c>
      <c r="E72" s="320">
        <v>0</v>
      </c>
      <c r="F72" s="320">
        <v>1</v>
      </c>
      <c r="G72" s="320">
        <v>1</v>
      </c>
      <c r="H72" s="316">
        <v>0</v>
      </c>
      <c r="I72" s="404">
        <v>0.97223822804304705</v>
      </c>
      <c r="J72" s="316"/>
      <c r="K72" s="307" t="s">
        <v>50</v>
      </c>
      <c r="L72" s="308"/>
      <c r="Q72" s="11">
        <f t="shared" si="18"/>
        <v>-1.8670988953261247E-2</v>
      </c>
      <c r="R72" s="11">
        <f t="shared" ref="R72:R97" si="19">I72-I70</f>
        <v>-9.6764397952809889E-3</v>
      </c>
      <c r="S72" s="11"/>
    </row>
    <row r="73" spans="4:19" ht="15.75">
      <c r="D73" s="315">
        <v>0</v>
      </c>
      <c r="E73" s="320">
        <v>0</v>
      </c>
      <c r="F73" s="320">
        <v>1</v>
      </c>
      <c r="G73" s="320">
        <v>1</v>
      </c>
      <c r="H73" s="316">
        <v>1</v>
      </c>
      <c r="I73" s="404">
        <v>0.96793265321338906</v>
      </c>
      <c r="J73" s="316"/>
      <c r="K73" s="307" t="s">
        <v>51</v>
      </c>
      <c r="L73" s="308"/>
      <c r="Q73" s="11">
        <f t="shared" si="18"/>
        <v>-1.8503737415816568E-2</v>
      </c>
      <c r="R73" s="11">
        <f t="shared" si="19"/>
        <v>-9.3256923472129216E-3</v>
      </c>
      <c r="S73" s="11">
        <f t="shared" si="17"/>
        <v>-4.3055748296579877E-3</v>
      </c>
    </row>
    <row r="74" spans="4:19" ht="15.75">
      <c r="D74" s="621">
        <v>0</v>
      </c>
      <c r="E74" s="622">
        <v>1</v>
      </c>
      <c r="F74" s="622">
        <v>0</v>
      </c>
      <c r="G74" s="622">
        <v>0</v>
      </c>
      <c r="H74" s="622">
        <v>0</v>
      </c>
      <c r="I74" s="623">
        <v>0.9632518975567913</v>
      </c>
      <c r="J74" s="622"/>
      <c r="K74" s="613" t="s">
        <v>52</v>
      </c>
      <c r="L74" s="614"/>
      <c r="P74" s="11">
        <f>I74-I66</f>
        <v>-3.6748102443208697E-2</v>
      </c>
      <c r="Q74" s="11"/>
      <c r="R74" s="11"/>
      <c r="S74" s="11"/>
    </row>
    <row r="75" spans="4:19" ht="15.75">
      <c r="D75" s="315">
        <v>0</v>
      </c>
      <c r="E75" s="320">
        <v>1</v>
      </c>
      <c r="F75" s="320">
        <v>0</v>
      </c>
      <c r="G75" s="320">
        <v>0</v>
      </c>
      <c r="H75" s="316">
        <v>1</v>
      </c>
      <c r="I75" s="404">
        <v>0.95905684463379071</v>
      </c>
      <c r="J75" s="316"/>
      <c r="K75" s="307" t="s">
        <v>53</v>
      </c>
      <c r="L75" s="308"/>
      <c r="P75" s="11">
        <f t="shared" ref="P75:P97" si="20">I75-I67</f>
        <v>-3.6049852927825032E-2</v>
      </c>
      <c r="Q75" s="11"/>
      <c r="R75" s="11"/>
      <c r="S75" s="11">
        <f t="shared" si="17"/>
        <v>-4.1950529230005973E-3</v>
      </c>
    </row>
    <row r="76" spans="4:19" ht="15.75">
      <c r="D76" s="315">
        <v>0</v>
      </c>
      <c r="E76" s="320">
        <v>1</v>
      </c>
      <c r="F76" s="320">
        <v>0</v>
      </c>
      <c r="G76" s="320">
        <v>1</v>
      </c>
      <c r="H76" s="316">
        <v>0</v>
      </c>
      <c r="I76" s="404">
        <v>0.95477402610246942</v>
      </c>
      <c r="J76" s="316"/>
      <c r="K76" s="307" t="s">
        <v>54</v>
      </c>
      <c r="L76" s="308"/>
      <c r="P76" s="11">
        <f t="shared" si="20"/>
        <v>-3.6135190893838876E-2</v>
      </c>
      <c r="Q76" s="11"/>
      <c r="R76" s="11">
        <f t="shared" si="19"/>
        <v>-8.4778714543218836E-3</v>
      </c>
      <c r="S76" s="11"/>
    </row>
    <row r="77" spans="4:19" ht="15.75">
      <c r="D77" s="315">
        <v>0</v>
      </c>
      <c r="E77" s="320">
        <v>1</v>
      </c>
      <c r="F77" s="320">
        <v>0</v>
      </c>
      <c r="G77" s="320">
        <v>1</v>
      </c>
      <c r="H77" s="316">
        <v>1</v>
      </c>
      <c r="I77" s="404">
        <v>0.94996086680916358</v>
      </c>
      <c r="J77" s="316"/>
      <c r="K77" s="307" t="s">
        <v>55</v>
      </c>
      <c r="L77" s="308"/>
      <c r="P77" s="11">
        <f t="shared" si="20"/>
        <v>-3.6475523820042044E-2</v>
      </c>
      <c r="Q77" s="11"/>
      <c r="R77" s="11">
        <f t="shared" si="19"/>
        <v>-9.0959778246271217E-3</v>
      </c>
      <c r="S77" s="11">
        <f t="shared" si="17"/>
        <v>-4.8131592933058354E-3</v>
      </c>
    </row>
    <row r="78" spans="4:19" ht="15.75">
      <c r="D78" s="315">
        <v>0</v>
      </c>
      <c r="E78" s="320">
        <v>1</v>
      </c>
      <c r="F78" s="320">
        <v>1</v>
      </c>
      <c r="G78" s="320">
        <v>0</v>
      </c>
      <c r="H78" s="316">
        <v>0</v>
      </c>
      <c r="I78" s="404">
        <v>0.94585707090276638</v>
      </c>
      <c r="J78" s="316"/>
      <c r="K78" s="307" t="s">
        <v>56</v>
      </c>
      <c r="L78" s="308"/>
      <c r="P78" s="11">
        <f t="shared" si="20"/>
        <v>-3.6057596935561653E-2</v>
      </c>
      <c r="Q78" s="11">
        <f t="shared" si="18"/>
        <v>-1.739482665402492E-2</v>
      </c>
      <c r="R78" s="11"/>
      <c r="S78" s="11"/>
    </row>
    <row r="79" spans="4:19" ht="15.75">
      <c r="D79" s="315">
        <v>0</v>
      </c>
      <c r="E79" s="320">
        <v>1</v>
      </c>
      <c r="F79" s="320">
        <v>1</v>
      </c>
      <c r="G79" s="320">
        <v>0</v>
      </c>
      <c r="H79" s="316">
        <v>1</v>
      </c>
      <c r="I79" s="404">
        <v>0.94222611728094252</v>
      </c>
      <c r="J79" s="316"/>
      <c r="K79" s="307" t="s">
        <v>57</v>
      </c>
      <c r="L79" s="308"/>
      <c r="P79" s="11">
        <f t="shared" si="20"/>
        <v>-3.5032228279659461E-2</v>
      </c>
      <c r="Q79" s="11">
        <f t="shared" si="18"/>
        <v>-1.6830727352848185E-2</v>
      </c>
      <c r="R79" s="11"/>
      <c r="S79" s="11">
        <f t="shared" si="17"/>
        <v>-3.6309536218238625E-3</v>
      </c>
    </row>
    <row r="80" spans="4:19" ht="15.75">
      <c r="D80" s="315">
        <v>0</v>
      </c>
      <c r="E80" s="320">
        <v>1</v>
      </c>
      <c r="F80" s="320">
        <v>1</v>
      </c>
      <c r="G80" s="320">
        <v>1</v>
      </c>
      <c r="H80" s="316">
        <v>0</v>
      </c>
      <c r="I80" s="404">
        <v>0.93691735304209101</v>
      </c>
      <c r="J80" s="316"/>
      <c r="K80" s="307" t="s">
        <v>58</v>
      </c>
      <c r="L80" s="308"/>
      <c r="P80" s="11">
        <f t="shared" si="20"/>
        <v>-3.5320875000956042E-2</v>
      </c>
      <c r="Q80" s="11">
        <f t="shared" si="18"/>
        <v>-1.7856673060378414E-2</v>
      </c>
      <c r="R80" s="11">
        <f t="shared" si="19"/>
        <v>-8.939717860675378E-3</v>
      </c>
      <c r="S80" s="11"/>
    </row>
    <row r="81" spans="4:19" ht="15.75">
      <c r="D81" s="315">
        <v>0</v>
      </c>
      <c r="E81" s="320">
        <v>1</v>
      </c>
      <c r="F81" s="320">
        <v>1</v>
      </c>
      <c r="G81" s="320">
        <v>1</v>
      </c>
      <c r="H81" s="316">
        <v>1</v>
      </c>
      <c r="I81" s="404">
        <v>0.93252454339438806</v>
      </c>
      <c r="J81" s="316"/>
      <c r="K81" s="307" t="s">
        <v>59</v>
      </c>
      <c r="L81" s="308"/>
      <c r="P81" s="11">
        <f t="shared" si="20"/>
        <v>-3.5408109819000999E-2</v>
      </c>
      <c r="Q81" s="11">
        <f t="shared" si="18"/>
        <v>-1.7436323414775523E-2</v>
      </c>
      <c r="R81" s="11">
        <f t="shared" si="19"/>
        <v>-9.7015738865544598E-3</v>
      </c>
      <c r="S81" s="11">
        <f t="shared" si="17"/>
        <v>-4.3928096477029444E-3</v>
      </c>
    </row>
    <row r="82" spans="4:19" ht="15.75">
      <c r="D82" s="621">
        <v>1</v>
      </c>
      <c r="E82" s="622">
        <v>0</v>
      </c>
      <c r="F82" s="622">
        <v>0</v>
      </c>
      <c r="G82" s="622">
        <v>0</v>
      </c>
      <c r="H82" s="622">
        <v>0</v>
      </c>
      <c r="I82" s="623">
        <v>0.92831171090103737</v>
      </c>
      <c r="J82" s="622"/>
      <c r="K82" s="613" t="s">
        <v>60</v>
      </c>
      <c r="L82" s="614"/>
      <c r="O82" s="11">
        <f>I82-I66</f>
        <v>-7.1688289098962632E-2</v>
      </c>
      <c r="P82" s="11"/>
      <c r="Q82" s="11"/>
      <c r="R82" s="11"/>
      <c r="S82" s="11"/>
    </row>
    <row r="83" spans="4:19" ht="15.75">
      <c r="D83" s="315">
        <v>1</v>
      </c>
      <c r="E83" s="316">
        <v>0</v>
      </c>
      <c r="F83" s="316">
        <v>0</v>
      </c>
      <c r="G83" s="316">
        <v>0</v>
      </c>
      <c r="H83" s="316">
        <v>1</v>
      </c>
      <c r="I83" s="404">
        <v>0.92375386722740283</v>
      </c>
      <c r="J83" s="316"/>
      <c r="K83" s="307" t="s">
        <v>61</v>
      </c>
      <c r="L83" s="308"/>
      <c r="O83" s="11">
        <f t="shared" ref="O83:O97" si="21">I83-I67</f>
        <v>-7.1352830334212913E-2</v>
      </c>
      <c r="P83" s="11"/>
      <c r="Q83" s="11"/>
      <c r="R83" s="11"/>
      <c r="S83" s="11">
        <f t="shared" si="17"/>
        <v>-4.5578436736345429E-3</v>
      </c>
    </row>
    <row r="84" spans="4:19" ht="15.75">
      <c r="D84" s="315">
        <v>1</v>
      </c>
      <c r="E84" s="320">
        <v>0</v>
      </c>
      <c r="F84" s="320">
        <v>0</v>
      </c>
      <c r="G84" s="320">
        <v>1</v>
      </c>
      <c r="H84" s="316">
        <v>0</v>
      </c>
      <c r="I84" s="404">
        <v>0.91899574275966678</v>
      </c>
      <c r="J84" s="316"/>
      <c r="K84" s="307" t="s">
        <v>62</v>
      </c>
      <c r="L84" s="308"/>
      <c r="O84" s="11">
        <f t="shared" si="21"/>
        <v>-7.1913474236641517E-2</v>
      </c>
      <c r="P84" s="11"/>
      <c r="Q84" s="11"/>
      <c r="R84" s="11">
        <f t="shared" si="19"/>
        <v>-9.3159681413705897E-3</v>
      </c>
      <c r="S84" s="11"/>
    </row>
    <row r="85" spans="4:19" ht="15.75">
      <c r="D85" s="315">
        <v>1</v>
      </c>
      <c r="E85" s="320">
        <v>0</v>
      </c>
      <c r="F85" s="320">
        <v>0</v>
      </c>
      <c r="G85" s="320">
        <v>1</v>
      </c>
      <c r="H85" s="316">
        <v>1</v>
      </c>
      <c r="I85" s="404">
        <v>0.91501584234971434</v>
      </c>
      <c r="J85" s="316"/>
      <c r="K85" s="307" t="s">
        <v>63</v>
      </c>
      <c r="L85" s="308"/>
      <c r="O85" s="11">
        <f t="shared" si="21"/>
        <v>-7.1420548279491292E-2</v>
      </c>
      <c r="P85" s="11"/>
      <c r="Q85" s="11"/>
      <c r="R85" s="11">
        <f t="shared" si="19"/>
        <v>-8.7380248776884883E-3</v>
      </c>
      <c r="S85" s="11">
        <f t="shared" si="17"/>
        <v>-3.9799004099524415E-3</v>
      </c>
    </row>
    <row r="86" spans="4:19" ht="15.75">
      <c r="D86" s="315">
        <v>1</v>
      </c>
      <c r="E86" s="320">
        <v>0</v>
      </c>
      <c r="F86" s="320">
        <v>1</v>
      </c>
      <c r="G86" s="320">
        <v>0</v>
      </c>
      <c r="H86" s="316">
        <v>0</v>
      </c>
      <c r="I86" s="404">
        <v>0.91028043928727687</v>
      </c>
      <c r="J86" s="316"/>
      <c r="K86" s="307" t="s">
        <v>64</v>
      </c>
      <c r="L86" s="308"/>
      <c r="O86" s="11">
        <f t="shared" si="21"/>
        <v>-7.1634228551051171E-2</v>
      </c>
      <c r="P86" s="11"/>
      <c r="Q86" s="11">
        <f t="shared" si="18"/>
        <v>-1.8031271613760502E-2</v>
      </c>
      <c r="R86" s="11"/>
      <c r="S86" s="11"/>
    </row>
    <row r="87" spans="4:19" ht="15.75">
      <c r="D87" s="315">
        <v>1</v>
      </c>
      <c r="E87" s="320">
        <v>0</v>
      </c>
      <c r="F87" s="320">
        <v>1</v>
      </c>
      <c r="G87" s="320">
        <v>0</v>
      </c>
      <c r="H87" s="316">
        <v>1</v>
      </c>
      <c r="I87" s="404">
        <v>0.90552488153490929</v>
      </c>
      <c r="J87" s="316"/>
      <c r="K87" s="307" t="s">
        <v>65</v>
      </c>
      <c r="L87" s="308"/>
      <c r="O87" s="11">
        <f t="shared" si="21"/>
        <v>-7.1733464025692695E-2</v>
      </c>
      <c r="P87" s="11"/>
      <c r="Q87" s="11">
        <f t="shared" si="18"/>
        <v>-1.8228985692493538E-2</v>
      </c>
      <c r="R87" s="11"/>
      <c r="S87" s="11">
        <f t="shared" si="17"/>
        <v>-4.7555577523675785E-3</v>
      </c>
    </row>
    <row r="88" spans="4:19" ht="15.75">
      <c r="D88" s="315">
        <v>1</v>
      </c>
      <c r="E88" s="320">
        <v>0</v>
      </c>
      <c r="F88" s="320">
        <v>1</v>
      </c>
      <c r="G88" s="320">
        <v>1</v>
      </c>
      <c r="H88" s="316">
        <v>0</v>
      </c>
      <c r="I88" s="404">
        <v>0.90094800555146115</v>
      </c>
      <c r="J88" s="316"/>
      <c r="K88" s="307" t="s">
        <v>66</v>
      </c>
      <c r="L88" s="308"/>
      <c r="O88" s="11">
        <f t="shared" si="21"/>
        <v>-7.1290222491585897E-2</v>
      </c>
      <c r="P88" s="11"/>
      <c r="Q88" s="11">
        <f t="shared" si="18"/>
        <v>-1.8047737208205628E-2</v>
      </c>
      <c r="R88" s="11">
        <f t="shared" si="19"/>
        <v>-9.332433735815715E-3</v>
      </c>
      <c r="S88" s="11"/>
    </row>
    <row r="89" spans="4:19" ht="15.75">
      <c r="D89" s="315">
        <v>1</v>
      </c>
      <c r="E89" s="320">
        <v>0</v>
      </c>
      <c r="F89" s="320">
        <v>1</v>
      </c>
      <c r="G89" s="320">
        <v>1</v>
      </c>
      <c r="H89" s="316">
        <v>1</v>
      </c>
      <c r="I89" s="404">
        <v>0.89656300792062094</v>
      </c>
      <c r="J89" s="316"/>
      <c r="K89" s="307" t="s">
        <v>67</v>
      </c>
      <c r="L89" s="308"/>
      <c r="O89" s="11">
        <f t="shared" si="21"/>
        <v>-7.1369645292768125E-2</v>
      </c>
      <c r="P89" s="11"/>
      <c r="Q89" s="11">
        <f t="shared" si="18"/>
        <v>-1.8452834429093401E-2</v>
      </c>
      <c r="R89" s="11">
        <f t="shared" si="19"/>
        <v>-8.9618736142883515E-3</v>
      </c>
      <c r="S89" s="11">
        <f t="shared" si="17"/>
        <v>-4.384997630840215E-3</v>
      </c>
    </row>
    <row r="90" spans="4:19" ht="15.75">
      <c r="D90" s="315">
        <v>1</v>
      </c>
      <c r="E90" s="320">
        <v>1</v>
      </c>
      <c r="F90" s="320">
        <v>0</v>
      </c>
      <c r="G90" s="320">
        <v>0</v>
      </c>
      <c r="H90" s="316">
        <v>0</v>
      </c>
      <c r="I90" s="404">
        <v>0.89210216156946043</v>
      </c>
      <c r="J90" s="316"/>
      <c r="K90" s="307" t="s">
        <v>68</v>
      </c>
      <c r="L90" s="308"/>
      <c r="O90" s="11">
        <f t="shared" si="21"/>
        <v>-7.1149735987330875E-2</v>
      </c>
      <c r="P90" s="11">
        <f t="shared" si="20"/>
        <v>-3.620954933157694E-2</v>
      </c>
      <c r="Q90" s="11"/>
      <c r="R90" s="11"/>
      <c r="S90" s="11"/>
    </row>
    <row r="91" spans="4:19" ht="15.75">
      <c r="D91" s="315">
        <v>1</v>
      </c>
      <c r="E91" s="320">
        <v>1</v>
      </c>
      <c r="F91" s="320">
        <v>0</v>
      </c>
      <c r="G91" s="320">
        <v>0</v>
      </c>
      <c r="H91" s="316">
        <v>1</v>
      </c>
      <c r="I91" s="404">
        <v>0.88755766787337997</v>
      </c>
      <c r="J91" s="316"/>
      <c r="K91" s="307" t="s">
        <v>69</v>
      </c>
      <c r="L91" s="308"/>
      <c r="O91" s="11">
        <f t="shared" si="21"/>
        <v>-7.1499176760410732E-2</v>
      </c>
      <c r="P91" s="11">
        <f t="shared" si="20"/>
        <v>-3.6196199354022851E-2</v>
      </c>
      <c r="Q91" s="11"/>
      <c r="R91" s="11"/>
      <c r="S91" s="11">
        <f t="shared" si="17"/>
        <v>-4.5444936960804538E-3</v>
      </c>
    </row>
    <row r="92" spans="4:19" ht="15.75">
      <c r="D92" s="315">
        <v>1</v>
      </c>
      <c r="E92" s="320">
        <v>1</v>
      </c>
      <c r="F92" s="320">
        <v>0</v>
      </c>
      <c r="G92" s="320">
        <v>1</v>
      </c>
      <c r="H92" s="316">
        <v>0</v>
      </c>
      <c r="I92" s="404">
        <v>0.88289112265716352</v>
      </c>
      <c r="J92" s="316"/>
      <c r="K92" s="307" t="s">
        <v>70</v>
      </c>
      <c r="L92" s="308"/>
      <c r="O92" s="11">
        <f t="shared" si="21"/>
        <v>-7.1882903445305901E-2</v>
      </c>
      <c r="P92" s="11">
        <f t="shared" si="20"/>
        <v>-3.610462010250326E-2</v>
      </c>
      <c r="Q92" s="11"/>
      <c r="R92" s="11">
        <f t="shared" si="19"/>
        <v>-9.2110389122969094E-3</v>
      </c>
      <c r="S92" s="11"/>
    </row>
    <row r="93" spans="4:19" ht="15.75">
      <c r="D93" s="315">
        <v>1</v>
      </c>
      <c r="E93" s="320">
        <v>1</v>
      </c>
      <c r="F93" s="320">
        <v>0</v>
      </c>
      <c r="G93" s="320">
        <v>1</v>
      </c>
      <c r="H93" s="316">
        <v>1</v>
      </c>
      <c r="I93" s="404">
        <v>0.8785194141233722</v>
      </c>
      <c r="J93" s="316"/>
      <c r="K93" s="307" t="s">
        <v>71</v>
      </c>
      <c r="L93" s="308"/>
      <c r="O93" s="11">
        <f t="shared" si="21"/>
        <v>-7.1441452685791385E-2</v>
      </c>
      <c r="P93" s="11">
        <f t="shared" si="20"/>
        <v>-3.6496428226342137E-2</v>
      </c>
      <c r="Q93" s="11"/>
      <c r="R93" s="11">
        <f t="shared" si="19"/>
        <v>-9.0382537500077742E-3</v>
      </c>
      <c r="S93" s="11">
        <f t="shared" si="17"/>
        <v>-4.3717085337913186E-3</v>
      </c>
    </row>
    <row r="94" spans="4:19" ht="15.75">
      <c r="D94" s="315">
        <v>1</v>
      </c>
      <c r="E94" s="320">
        <v>1</v>
      </c>
      <c r="F94" s="320">
        <v>1</v>
      </c>
      <c r="G94" s="320">
        <v>0</v>
      </c>
      <c r="H94" s="316">
        <v>0</v>
      </c>
      <c r="I94" s="404">
        <v>0.87396033934527007</v>
      </c>
      <c r="J94" s="316"/>
      <c r="K94" s="307" t="s">
        <v>72</v>
      </c>
      <c r="L94" s="308"/>
      <c r="O94" s="11">
        <f t="shared" si="21"/>
        <v>-7.1896731557496318E-2</v>
      </c>
      <c r="P94" s="11">
        <f t="shared" si="20"/>
        <v>-3.63200999420068E-2</v>
      </c>
      <c r="Q94" s="11">
        <f t="shared" si="18"/>
        <v>-1.8141822224190363E-2</v>
      </c>
      <c r="R94" s="11"/>
      <c r="S94" s="11"/>
    </row>
    <row r="95" spans="4:19" ht="15.75">
      <c r="D95" s="315">
        <v>1</v>
      </c>
      <c r="E95" s="320">
        <v>1</v>
      </c>
      <c r="F95" s="320">
        <v>1</v>
      </c>
      <c r="G95" s="320">
        <v>0</v>
      </c>
      <c r="H95" s="316">
        <v>1</v>
      </c>
      <c r="I95" s="404">
        <v>0.86963469734511234</v>
      </c>
      <c r="J95" s="316"/>
      <c r="K95" s="307" t="s">
        <v>73</v>
      </c>
      <c r="L95" s="308"/>
      <c r="O95" s="11">
        <f t="shared" si="21"/>
        <v>-7.2591419935830181E-2</v>
      </c>
      <c r="P95" s="11">
        <f t="shared" si="20"/>
        <v>-3.5890184189796948E-2</v>
      </c>
      <c r="Q95" s="11">
        <f t="shared" si="18"/>
        <v>-1.7922970528267634E-2</v>
      </c>
      <c r="R95" s="11"/>
      <c r="S95" s="11">
        <f t="shared" si="17"/>
        <v>-4.3256420001577256E-3</v>
      </c>
    </row>
    <row r="96" spans="4:19" ht="15.75">
      <c r="D96" s="315">
        <v>1</v>
      </c>
      <c r="E96" s="320">
        <v>1</v>
      </c>
      <c r="F96" s="320">
        <v>1</v>
      </c>
      <c r="G96" s="320">
        <v>1</v>
      </c>
      <c r="H96" s="316">
        <v>0</v>
      </c>
      <c r="I96" s="404">
        <v>0.86491925835692751</v>
      </c>
      <c r="J96" s="316"/>
      <c r="K96" s="307" t="s">
        <v>74</v>
      </c>
      <c r="L96" s="308"/>
      <c r="O96" s="11">
        <f t="shared" si="21"/>
        <v>-7.1998094685163494E-2</v>
      </c>
      <c r="P96" s="11">
        <f t="shared" si="20"/>
        <v>-3.6028747194533639E-2</v>
      </c>
      <c r="Q96" s="11">
        <f t="shared" si="18"/>
        <v>-1.7971864300236007E-2</v>
      </c>
      <c r="R96" s="11">
        <f t="shared" si="19"/>
        <v>-9.0410809883425536E-3</v>
      </c>
      <c r="S96" s="11"/>
    </row>
    <row r="97" spans="4:19" ht="16.5" thickBot="1">
      <c r="D97" s="323">
        <v>1</v>
      </c>
      <c r="E97" s="324">
        <v>1</v>
      </c>
      <c r="F97" s="324">
        <v>1</v>
      </c>
      <c r="G97" s="324">
        <v>1</v>
      </c>
      <c r="H97" s="325">
        <v>1</v>
      </c>
      <c r="I97" s="405">
        <v>0.86066911118590772</v>
      </c>
      <c r="J97" s="325"/>
      <c r="K97" s="327" t="s">
        <v>75</v>
      </c>
      <c r="L97" s="328"/>
      <c r="O97" s="11">
        <f t="shared" si="21"/>
        <v>-7.1855432208480341E-2</v>
      </c>
      <c r="P97" s="11">
        <f t="shared" si="20"/>
        <v>-3.5893896734713215E-2</v>
      </c>
      <c r="Q97" s="11">
        <f t="shared" si="18"/>
        <v>-1.7850302937464479E-2</v>
      </c>
      <c r="R97" s="11">
        <f t="shared" si="19"/>
        <v>-8.9655861592046193E-3</v>
      </c>
      <c r="S97" s="11">
        <f t="shared" si="17"/>
        <v>-4.2501471710197913E-3</v>
      </c>
    </row>
  </sheetData>
  <conditionalFormatting sqref="M9:M4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{04199D81-3784-446F-B153-12DE8213C6A5}</x14:id>
        </ext>
      </extLst>
    </cfRule>
  </conditionalFormatting>
  <conditionalFormatting sqref="V11:V24">
    <cfRule type="top10" dxfId="3" priority="4" rank="1"/>
    <cfRule type="top10" dxfId="2" priority="3" percent="1" rank="10"/>
    <cfRule type="top10" dxfId="1" priority="2" bottom="1" rank="1"/>
  </conditionalFormatting>
  <conditionalFormatting sqref="V34:V41">
    <cfRule type="top10" dxfId="0" priority="1" rank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199D81-3784-446F-B153-12DE8213C6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M9:M41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G12"/>
  <sheetViews>
    <sheetView workbookViewId="0">
      <selection activeCell="N11" sqref="N11"/>
    </sheetView>
  </sheetViews>
  <sheetFormatPr defaultRowHeight="15"/>
  <sheetData>
    <row r="11" spans="5:7">
      <c r="E11" s="214" t="s">
        <v>299</v>
      </c>
      <c r="F11" s="214">
        <v>2.4940000000000002</v>
      </c>
      <c r="G11" s="214">
        <v>2.524</v>
      </c>
    </row>
    <row r="12" spans="5:7">
      <c r="E12" s="214" t="s">
        <v>300</v>
      </c>
      <c r="F12" s="214">
        <v>4.133</v>
      </c>
      <c r="G12" s="214">
        <v>2.7250000000000001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1" zoomScale="80" zoomScaleNormal="80" workbookViewId="0">
      <selection activeCell="Y1" sqref="Y1:AD22"/>
    </sheetView>
  </sheetViews>
  <sheetFormatPr defaultColWidth="9.140625" defaultRowHeight="15"/>
  <cols>
    <col min="1" max="3" width="9.140625" style="214"/>
    <col min="4" max="8" width="9.140625" style="215"/>
    <col min="9" max="15" width="9.140625" style="214"/>
    <col min="16" max="16" width="12.42578125" style="214" bestFit="1" customWidth="1"/>
    <col min="17" max="27" width="9.140625" style="214"/>
    <col min="28" max="28" width="9" style="214" bestFit="1" customWidth="1"/>
    <col min="29" max="29" width="10.42578125" style="214" bestFit="1" customWidth="1"/>
    <col min="30" max="16384" width="9.140625" style="214"/>
  </cols>
  <sheetData>
    <row r="1" spans="1:8" ht="15.75" thickBot="1">
      <c r="A1" s="214" t="s">
        <v>210</v>
      </c>
    </row>
    <row r="2" spans="1:8" ht="15.75">
      <c r="B2" s="216" t="s">
        <v>201</v>
      </c>
      <c r="C2" s="210" t="s">
        <v>211</v>
      </c>
      <c r="D2" s="211">
        <v>4.5</v>
      </c>
      <c r="E2" s="211">
        <v>4.75</v>
      </c>
      <c r="F2" s="211">
        <v>5</v>
      </c>
      <c r="G2" s="211">
        <v>5.25</v>
      </c>
      <c r="H2" s="212">
        <v>5.5</v>
      </c>
    </row>
    <row r="3" spans="1:8" ht="15.75">
      <c r="B3" s="221">
        <v>1</v>
      </c>
      <c r="C3" s="222" t="s">
        <v>220</v>
      </c>
      <c r="D3" s="223">
        <v>13</v>
      </c>
      <c r="E3" s="224">
        <v>14</v>
      </c>
      <c r="F3" s="224">
        <v>15</v>
      </c>
      <c r="G3" s="223">
        <v>15</v>
      </c>
      <c r="H3" s="225">
        <v>15</v>
      </c>
    </row>
    <row r="4" spans="1:8" ht="15.75">
      <c r="B4" s="221"/>
      <c r="C4" s="222" t="s">
        <v>222</v>
      </c>
      <c r="D4" s="223">
        <v>2.4525000000000001</v>
      </c>
      <c r="E4" s="224">
        <v>2.4529999999999998</v>
      </c>
      <c r="F4" s="224">
        <v>2.4535999999999998</v>
      </c>
      <c r="G4" s="223">
        <v>2.4539</v>
      </c>
      <c r="H4" s="225">
        <v>2.4542000000000002</v>
      </c>
    </row>
    <row r="5" spans="1:8" ht="16.5" thickBot="1">
      <c r="B5" s="231"/>
      <c r="C5" s="232" t="s">
        <v>224</v>
      </c>
      <c r="D5" s="233">
        <v>2.4550000000000001</v>
      </c>
      <c r="E5" s="233">
        <v>2.4569999999999999</v>
      </c>
      <c r="F5" s="233">
        <v>2.456</v>
      </c>
      <c r="G5" s="233">
        <v>2.4546000000000001</v>
      </c>
      <c r="H5" s="234">
        <v>2.4529999999999998</v>
      </c>
    </row>
    <row r="6" spans="1:8" ht="15.75">
      <c r="B6" s="221">
        <f>1+B3</f>
        <v>2</v>
      </c>
      <c r="C6" s="222" t="s">
        <v>220</v>
      </c>
      <c r="D6" s="223">
        <v>13</v>
      </c>
      <c r="E6" s="224">
        <v>13</v>
      </c>
      <c r="F6" s="224">
        <v>14</v>
      </c>
      <c r="G6" s="223">
        <v>14</v>
      </c>
      <c r="H6" s="225">
        <v>15</v>
      </c>
    </row>
    <row r="7" spans="1:8" ht="15.75">
      <c r="B7" s="221"/>
      <c r="C7" s="222" t="s">
        <v>222</v>
      </c>
      <c r="D7" s="223">
        <v>2.4962</v>
      </c>
      <c r="E7" s="224">
        <v>2.4967999999999999</v>
      </c>
      <c r="F7" s="224">
        <v>2.4967999999999999</v>
      </c>
      <c r="G7" s="223">
        <v>2.4973999999999998</v>
      </c>
      <c r="H7" s="225">
        <v>2.4977</v>
      </c>
    </row>
    <row r="8" spans="1:8" ht="16.5" thickBot="1">
      <c r="B8" s="231"/>
      <c r="C8" s="232" t="s">
        <v>224</v>
      </c>
      <c r="D8" s="233">
        <v>2.5076000000000001</v>
      </c>
      <c r="E8" s="233">
        <v>2.5093000000000001</v>
      </c>
      <c r="F8" s="233">
        <v>2.5074999999999998</v>
      </c>
      <c r="G8" s="233">
        <v>2.5066999999999999</v>
      </c>
      <c r="H8" s="234">
        <v>2.5055999999999998</v>
      </c>
    </row>
    <row r="9" spans="1:8" ht="15.75">
      <c r="B9" s="221">
        <f>1+B6</f>
        <v>3</v>
      </c>
      <c r="C9" s="222" t="s">
        <v>220</v>
      </c>
      <c r="D9" s="223">
        <v>13</v>
      </c>
      <c r="E9" s="224">
        <v>14</v>
      </c>
      <c r="F9" s="224">
        <v>14</v>
      </c>
      <c r="G9" s="223">
        <v>15</v>
      </c>
      <c r="H9" s="225">
        <v>14</v>
      </c>
    </row>
    <row r="10" spans="1:8" ht="15.75">
      <c r="B10" s="221"/>
      <c r="C10" s="222" t="s">
        <v>222</v>
      </c>
      <c r="D10" s="223">
        <v>2.508</v>
      </c>
      <c r="E10" s="224">
        <v>2.5087999999999999</v>
      </c>
      <c r="F10" s="224">
        <v>2.5093999999999999</v>
      </c>
      <c r="G10" s="223">
        <v>2.5097</v>
      </c>
      <c r="H10" s="225">
        <v>2.5099999999999998</v>
      </c>
    </row>
    <row r="11" spans="1:8" ht="16.5" thickBot="1">
      <c r="B11" s="231"/>
      <c r="C11" s="232" t="s">
        <v>224</v>
      </c>
      <c r="D11" s="233">
        <v>2.5179999999999998</v>
      </c>
      <c r="E11" s="233">
        <v>2.5209999999999999</v>
      </c>
      <c r="F11" s="233">
        <v>2.52</v>
      </c>
      <c r="G11" s="233">
        <v>2.5188000000000001</v>
      </c>
      <c r="H11" s="234">
        <v>2.5173000000000001</v>
      </c>
    </row>
    <row r="12" spans="1:8" ht="15.75">
      <c r="B12" s="221">
        <f>1+B9</f>
        <v>4</v>
      </c>
      <c r="C12" s="222" t="s">
        <v>220</v>
      </c>
      <c r="D12" s="223">
        <v>13</v>
      </c>
      <c r="E12" s="224">
        <v>14</v>
      </c>
      <c r="F12" s="224">
        <v>14</v>
      </c>
      <c r="G12" s="223">
        <v>15</v>
      </c>
      <c r="H12" s="225">
        <v>15</v>
      </c>
    </row>
    <row r="13" spans="1:8" ht="15.75">
      <c r="B13" s="221"/>
      <c r="C13" s="222" t="s">
        <v>222</v>
      </c>
      <c r="D13" s="223">
        <v>2.5461999999999998</v>
      </c>
      <c r="E13" s="224">
        <v>2.5474999999999999</v>
      </c>
      <c r="F13" s="224">
        <v>2.5476999999999999</v>
      </c>
      <c r="G13" s="223">
        <v>2.548</v>
      </c>
      <c r="H13" s="225">
        <v>2.5482</v>
      </c>
    </row>
    <row r="14" spans="1:8" ht="16.5" thickBot="1">
      <c r="B14" s="231"/>
      <c r="C14" s="232" t="s">
        <v>224</v>
      </c>
      <c r="D14" s="233">
        <v>2.5423</v>
      </c>
      <c r="E14" s="233">
        <v>2.5478000000000001</v>
      </c>
      <c r="F14" s="233">
        <v>2.5459999999999998</v>
      </c>
      <c r="G14" s="233">
        <v>2.5444</v>
      </c>
      <c r="H14" s="234">
        <v>2.5430000000000001</v>
      </c>
    </row>
    <row r="15" spans="1:8" ht="15.75">
      <c r="B15" s="221">
        <f>1+B12</f>
        <v>5</v>
      </c>
      <c r="C15" s="222" t="s">
        <v>220</v>
      </c>
      <c r="D15" s="223">
        <v>13</v>
      </c>
      <c r="E15" s="224">
        <v>14</v>
      </c>
      <c r="F15" s="224">
        <v>14</v>
      </c>
      <c r="G15" s="223">
        <v>14</v>
      </c>
      <c r="H15" s="225">
        <v>15</v>
      </c>
    </row>
    <row r="16" spans="1:8" ht="15.75">
      <c r="B16" s="221"/>
      <c r="C16" s="222" t="s">
        <v>222</v>
      </c>
      <c r="D16" s="223">
        <v>2.4539</v>
      </c>
      <c r="E16" s="224">
        <v>2.4542999999999999</v>
      </c>
      <c r="F16" s="224">
        <v>2.4548000000000001</v>
      </c>
      <c r="G16" s="223">
        <v>2.4548000000000001</v>
      </c>
      <c r="H16" s="225">
        <v>2.4550999999999998</v>
      </c>
    </row>
    <row r="17" spans="2:8" ht="16.5" thickBot="1">
      <c r="B17" s="231"/>
      <c r="C17" s="232" t="s">
        <v>224</v>
      </c>
      <c r="D17" s="233">
        <v>2.4489999999999998</v>
      </c>
      <c r="E17" s="233">
        <v>2.4497</v>
      </c>
      <c r="F17" s="233">
        <v>2.4481999999999999</v>
      </c>
      <c r="G17" s="233">
        <v>2.4464999999999999</v>
      </c>
      <c r="H17" s="234">
        <v>2.4449999999999998</v>
      </c>
    </row>
    <row r="18" spans="2:8" ht="15.75">
      <c r="B18" s="221">
        <f>1+B15</f>
        <v>6</v>
      </c>
      <c r="C18" s="222" t="s">
        <v>220</v>
      </c>
      <c r="D18" s="223">
        <v>13</v>
      </c>
      <c r="E18" s="224">
        <v>14</v>
      </c>
      <c r="F18" s="224">
        <v>14</v>
      </c>
      <c r="G18" s="223">
        <v>14</v>
      </c>
      <c r="H18" s="225">
        <v>15</v>
      </c>
    </row>
    <row r="19" spans="2:8" ht="15.75">
      <c r="B19" s="221"/>
      <c r="C19" s="222" t="s">
        <v>222</v>
      </c>
      <c r="D19" s="223">
        <v>2.4853000000000001</v>
      </c>
      <c r="E19" s="224">
        <v>2.4860000000000002</v>
      </c>
      <c r="F19" s="224">
        <v>2.4864999999999999</v>
      </c>
      <c r="G19" s="223">
        <v>2.4868000000000001</v>
      </c>
      <c r="H19" s="225">
        <v>2.4870999999999999</v>
      </c>
    </row>
    <row r="20" spans="2:8" ht="16.5" thickBot="1">
      <c r="B20" s="231"/>
      <c r="C20" s="232" t="s">
        <v>224</v>
      </c>
      <c r="D20" s="233">
        <v>2.4752000000000001</v>
      </c>
      <c r="E20" s="233">
        <v>2.4771999999999998</v>
      </c>
      <c r="F20" s="233">
        <v>2.4754</v>
      </c>
      <c r="G20" s="233">
        <v>2.4738000000000002</v>
      </c>
      <c r="H20" s="234">
        <v>2.4723000000000002</v>
      </c>
    </row>
    <row r="21" spans="2:8" ht="15.75">
      <c r="B21" s="221">
        <f>1+B18</f>
        <v>7</v>
      </c>
      <c r="C21" s="222" t="s">
        <v>220</v>
      </c>
      <c r="D21" s="223">
        <v>12</v>
      </c>
      <c r="E21" s="224">
        <v>13</v>
      </c>
      <c r="F21" s="224">
        <v>13</v>
      </c>
      <c r="G21" s="223">
        <v>14</v>
      </c>
      <c r="H21" s="225">
        <v>14</v>
      </c>
    </row>
    <row r="22" spans="2:8" ht="15.75">
      <c r="B22" s="221"/>
      <c r="C22" s="222" t="s">
        <v>222</v>
      </c>
      <c r="D22" s="223">
        <v>2.4725999999999999</v>
      </c>
      <c r="E22" s="224">
        <v>2.4731999999999998</v>
      </c>
      <c r="F22" s="224">
        <v>2.4733000000000001</v>
      </c>
      <c r="G22" s="223">
        <v>2.4738000000000002</v>
      </c>
      <c r="H22" s="225">
        <v>2.4744000000000002</v>
      </c>
    </row>
    <row r="23" spans="2:8" ht="16.5" thickBot="1">
      <c r="B23" s="231"/>
      <c r="C23" s="232" t="s">
        <v>224</v>
      </c>
      <c r="D23" s="233">
        <v>2.4738000000000002</v>
      </c>
      <c r="E23" s="233">
        <v>2.4737</v>
      </c>
      <c r="F23" s="233">
        <v>2.4716</v>
      </c>
      <c r="G23" s="233">
        <v>2.4700000000000002</v>
      </c>
      <c r="H23" s="234">
        <v>2.4687999999999999</v>
      </c>
    </row>
    <row r="24" spans="2:8" ht="15.75">
      <c r="B24" s="221">
        <f>1+B21</f>
        <v>8</v>
      </c>
      <c r="C24" s="222" t="s">
        <v>220</v>
      </c>
      <c r="D24" s="223">
        <v>13</v>
      </c>
      <c r="E24" s="224">
        <v>14</v>
      </c>
      <c r="F24" s="224">
        <v>14</v>
      </c>
      <c r="G24" s="223">
        <v>15</v>
      </c>
      <c r="H24" s="225">
        <v>15</v>
      </c>
    </row>
    <row r="25" spans="2:8" ht="15.75">
      <c r="B25" s="221"/>
      <c r="C25" s="222" t="s">
        <v>222</v>
      </c>
      <c r="D25" s="223">
        <v>2.5125999999999999</v>
      </c>
      <c r="E25" s="224">
        <v>2.5135999999999998</v>
      </c>
      <c r="F25" s="224">
        <v>2.5141</v>
      </c>
      <c r="G25" s="223">
        <v>2.5143</v>
      </c>
      <c r="H25" s="225">
        <v>2.5146000000000002</v>
      </c>
    </row>
    <row r="26" spans="2:8" ht="16.5" thickBot="1">
      <c r="B26" s="231"/>
      <c r="C26" s="232" t="s">
        <v>224</v>
      </c>
      <c r="D26" s="233">
        <v>2.5232999999999999</v>
      </c>
      <c r="E26" s="233">
        <v>2.5268999999999999</v>
      </c>
      <c r="F26" s="233">
        <v>2.5249999999999999</v>
      </c>
      <c r="G26" s="233">
        <v>2.5232999999999999</v>
      </c>
      <c r="H26" s="234">
        <v>2.5211999999999999</v>
      </c>
    </row>
    <row r="27" spans="2:8" ht="15.75">
      <c r="B27" s="221">
        <f>1+B24</f>
        <v>9</v>
      </c>
      <c r="C27" s="222" t="s">
        <v>220</v>
      </c>
      <c r="D27" s="223">
        <v>13</v>
      </c>
      <c r="E27" s="224">
        <v>14</v>
      </c>
      <c r="F27" s="224">
        <v>14</v>
      </c>
      <c r="G27" s="223">
        <v>15</v>
      </c>
      <c r="H27" s="225">
        <v>15</v>
      </c>
    </row>
    <row r="28" spans="2:8" ht="15.75">
      <c r="B28" s="221"/>
      <c r="C28" s="222" t="s">
        <v>222</v>
      </c>
      <c r="D28" s="223">
        <v>2.5228999999999999</v>
      </c>
      <c r="E28" s="224">
        <v>2.5236999999999998</v>
      </c>
      <c r="F28" s="224">
        <v>2.524</v>
      </c>
      <c r="G28" s="223">
        <v>2.5245000000000002</v>
      </c>
      <c r="H28" s="225">
        <v>2.5247999999999999</v>
      </c>
    </row>
    <row r="29" spans="2:8" ht="16.5" thickBot="1">
      <c r="B29" s="231"/>
      <c r="C29" s="232" t="s">
        <v>224</v>
      </c>
      <c r="D29" s="233">
        <v>2.5478000000000001</v>
      </c>
      <c r="E29" s="233">
        <v>2.552</v>
      </c>
      <c r="F29" s="233">
        <v>2.5514000000000001</v>
      </c>
      <c r="G29" s="233">
        <v>2.5499999999999998</v>
      </c>
      <c r="H29" s="234">
        <v>2.5484</v>
      </c>
    </row>
    <row r="30" spans="2:8" ht="15.75">
      <c r="B30" s="221">
        <f>1+B27</f>
        <v>10</v>
      </c>
      <c r="C30" s="222" t="s">
        <v>220</v>
      </c>
      <c r="D30" s="223">
        <v>13</v>
      </c>
      <c r="E30" s="224">
        <v>14</v>
      </c>
      <c r="F30" s="224">
        <v>15</v>
      </c>
      <c r="G30" s="223">
        <v>15</v>
      </c>
      <c r="H30" s="225">
        <v>16</v>
      </c>
    </row>
    <row r="31" spans="2:8" ht="15.75">
      <c r="B31" s="221"/>
      <c r="C31" s="222" t="s">
        <v>222</v>
      </c>
      <c r="D31" s="223">
        <v>2.4443999999999999</v>
      </c>
      <c r="E31" s="224">
        <v>2.4453</v>
      </c>
      <c r="F31" s="224">
        <v>2.4457</v>
      </c>
      <c r="G31" s="223">
        <v>2.4460000000000002</v>
      </c>
      <c r="H31" s="225">
        <v>2.4464999999999999</v>
      </c>
    </row>
    <row r="32" spans="2:8" ht="16.5" thickBot="1">
      <c r="B32" s="231"/>
      <c r="C32" s="232" t="s">
        <v>224</v>
      </c>
      <c r="D32" s="233">
        <v>2.4487999999999999</v>
      </c>
      <c r="E32" s="233">
        <v>2.4487999999999999</v>
      </c>
      <c r="F32" s="233">
        <v>2.4476</v>
      </c>
      <c r="G32" s="233">
        <v>2.4466000000000001</v>
      </c>
      <c r="H32" s="234">
        <v>2.4453</v>
      </c>
    </row>
    <row r="48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K12" sqref="K12"/>
    </sheetView>
  </sheetViews>
  <sheetFormatPr defaultRowHeight="15"/>
  <sheetData>
    <row r="1" spans="1:9">
      <c r="A1" s="214" t="s">
        <v>212</v>
      </c>
      <c r="B1" s="214"/>
      <c r="C1" s="214"/>
      <c r="D1" s="215"/>
      <c r="E1" s="215"/>
      <c r="F1" s="215"/>
      <c r="G1" s="215"/>
      <c r="H1" s="215"/>
      <c r="I1" s="214"/>
    </row>
    <row r="2" spans="1:9" ht="15.75" thickBot="1">
      <c r="A2" s="214"/>
      <c r="B2" t="s">
        <v>237</v>
      </c>
      <c r="C2" s="214">
        <v>83</v>
      </c>
      <c r="D2" s="209" t="s">
        <v>243</v>
      </c>
      <c r="E2" s="209" t="s">
        <v>244</v>
      </c>
      <c r="F2" s="209" t="s">
        <v>245</v>
      </c>
      <c r="G2" s="209" t="s">
        <v>241</v>
      </c>
      <c r="H2" s="215"/>
      <c r="I2" s="214"/>
    </row>
    <row r="3" spans="1:9" ht="78.75">
      <c r="A3" s="214"/>
      <c r="B3" s="239" t="s">
        <v>201</v>
      </c>
      <c r="C3" s="218" t="s">
        <v>227</v>
      </c>
      <c r="D3" s="240" t="s">
        <v>228</v>
      </c>
      <c r="E3" s="241" t="s">
        <v>230</v>
      </c>
      <c r="F3" s="241" t="s">
        <v>229</v>
      </c>
      <c r="G3" s="241" t="s">
        <v>231</v>
      </c>
      <c r="H3" s="241" t="s">
        <v>242</v>
      </c>
      <c r="I3" s="242"/>
    </row>
    <row r="4" spans="1:9" ht="15.75">
      <c r="A4" s="214"/>
      <c r="B4" s="230">
        <v>1</v>
      </c>
      <c r="C4" s="704">
        <v>1</v>
      </c>
      <c r="D4" s="706">
        <v>1</v>
      </c>
      <c r="E4" s="248">
        <v>0</v>
      </c>
      <c r="F4" s="249">
        <v>0</v>
      </c>
      <c r="G4" s="228">
        <v>3.3738000000000001</v>
      </c>
      <c r="H4" s="228">
        <f t="shared" ref="H4:H43" si="0">G4/20</f>
        <v>0.16869000000000001</v>
      </c>
      <c r="I4" s="229"/>
    </row>
    <row r="5" spans="1:9" ht="15.75">
      <c r="A5" s="214"/>
      <c r="B5" s="230"/>
      <c r="C5" s="704"/>
      <c r="D5" s="706"/>
      <c r="E5" s="248">
        <v>0</v>
      </c>
      <c r="F5" s="248">
        <v>1</v>
      </c>
      <c r="G5" s="255">
        <v>3.6920000000000002</v>
      </c>
      <c r="H5" s="228">
        <f t="shared" si="0"/>
        <v>0.18460000000000001</v>
      </c>
      <c r="I5" s="256"/>
    </row>
    <row r="6" spans="1:9" ht="15.75">
      <c r="A6" s="214"/>
      <c r="B6" s="230"/>
      <c r="C6" s="704"/>
      <c r="D6" s="706"/>
      <c r="E6" s="248">
        <v>1</v>
      </c>
      <c r="F6" s="248">
        <v>0</v>
      </c>
      <c r="G6" s="255">
        <v>2.63</v>
      </c>
      <c r="H6" s="228">
        <f t="shared" si="0"/>
        <v>0.13150000000000001</v>
      </c>
      <c r="I6" s="256"/>
    </row>
    <row r="7" spans="1:9" ht="16.5" thickBot="1">
      <c r="A7" s="214"/>
      <c r="B7" s="230"/>
      <c r="C7" s="705"/>
      <c r="D7" s="707"/>
      <c r="E7" s="287">
        <v>1</v>
      </c>
      <c r="F7" s="271">
        <v>1</v>
      </c>
      <c r="G7" s="288">
        <v>2.9731999999999998</v>
      </c>
      <c r="H7" s="274">
        <f t="shared" si="0"/>
        <v>0.14865999999999999</v>
      </c>
      <c r="I7" s="289"/>
    </row>
    <row r="8" spans="1:9" ht="15.75">
      <c r="A8" s="214"/>
      <c r="B8" s="226">
        <v>2</v>
      </c>
      <c r="C8" s="708">
        <v>1</v>
      </c>
      <c r="D8" s="710">
        <v>1</v>
      </c>
      <c r="E8" s="240">
        <v>0</v>
      </c>
      <c r="F8" s="251">
        <v>0</v>
      </c>
      <c r="G8" s="253">
        <v>3.4209999999999998</v>
      </c>
      <c r="H8" s="253">
        <f t="shared" si="0"/>
        <v>0.17104999999999998</v>
      </c>
      <c r="I8" s="254"/>
    </row>
    <row r="9" spans="1:9" ht="15.75">
      <c r="A9" s="214"/>
      <c r="B9" s="230"/>
      <c r="C9" s="704"/>
      <c r="D9" s="706"/>
      <c r="E9" s="248">
        <v>0</v>
      </c>
      <c r="F9" s="248">
        <v>1</v>
      </c>
      <c r="G9" s="255">
        <v>3.6922999999999999</v>
      </c>
      <c r="H9" s="228">
        <f t="shared" si="0"/>
        <v>0.184615</v>
      </c>
      <c r="I9" s="256"/>
    </row>
    <row r="10" spans="1:9" ht="15.75">
      <c r="A10" s="214"/>
      <c r="B10" s="230"/>
      <c r="C10" s="704"/>
      <c r="D10" s="706"/>
      <c r="E10" s="248">
        <v>1</v>
      </c>
      <c r="F10" s="248">
        <v>0</v>
      </c>
      <c r="G10" s="255">
        <v>2.7136999999999998</v>
      </c>
      <c r="H10" s="228">
        <f t="shared" si="0"/>
        <v>0.135685</v>
      </c>
      <c r="I10" s="256"/>
    </row>
    <row r="11" spans="1:9" ht="16.5" thickBot="1">
      <c r="A11" s="214"/>
      <c r="B11" s="235"/>
      <c r="C11" s="709"/>
      <c r="D11" s="711"/>
      <c r="E11" s="259">
        <v>1</v>
      </c>
      <c r="F11" s="260">
        <v>1</v>
      </c>
      <c r="G11" s="261">
        <v>3.0472000000000001</v>
      </c>
      <c r="H11" s="264">
        <f t="shared" si="0"/>
        <v>0.15236</v>
      </c>
      <c r="I11" s="262"/>
    </row>
    <row r="12" spans="1:9" ht="15.75">
      <c r="A12" s="214"/>
      <c r="B12" s="226">
        <v>3</v>
      </c>
      <c r="C12" s="293">
        <v>1</v>
      </c>
      <c r="D12" s="294">
        <v>1</v>
      </c>
      <c r="E12" s="240">
        <v>0</v>
      </c>
      <c r="F12" s="251">
        <v>0</v>
      </c>
      <c r="G12" s="253">
        <v>3.4557000000000002</v>
      </c>
      <c r="H12" s="253">
        <f t="shared" si="0"/>
        <v>0.17278500000000002</v>
      </c>
      <c r="I12" s="254"/>
    </row>
    <row r="13" spans="1:9" ht="15.75">
      <c r="A13" s="214"/>
      <c r="B13" s="230"/>
      <c r="C13" s="276"/>
      <c r="D13" s="277"/>
      <c r="E13" s="248">
        <v>0</v>
      </c>
      <c r="F13" s="248">
        <v>1</v>
      </c>
      <c r="G13" s="255">
        <v>3.7048000000000001</v>
      </c>
      <c r="H13" s="228">
        <f t="shared" si="0"/>
        <v>0.18524000000000002</v>
      </c>
      <c r="I13" s="256"/>
    </row>
    <row r="14" spans="1:9" ht="15.75">
      <c r="A14" s="214"/>
      <c r="B14" s="230"/>
      <c r="C14" s="276"/>
      <c r="D14" s="277"/>
      <c r="E14" s="248">
        <v>1</v>
      </c>
      <c r="F14" s="248">
        <v>0</v>
      </c>
      <c r="G14" s="255">
        <v>2.7425999999999999</v>
      </c>
      <c r="H14" s="228">
        <f t="shared" si="0"/>
        <v>0.13713</v>
      </c>
      <c r="I14" s="256"/>
    </row>
    <row r="15" spans="1:9" ht="16.5" thickBot="1">
      <c r="A15" s="214"/>
      <c r="B15" s="235"/>
      <c r="C15" s="278"/>
      <c r="D15" s="279"/>
      <c r="E15" s="259">
        <v>1</v>
      </c>
      <c r="F15" s="260">
        <v>1</v>
      </c>
      <c r="G15" s="261">
        <v>3.0758000000000001</v>
      </c>
      <c r="H15" s="264">
        <f t="shared" si="0"/>
        <v>0.15379000000000001</v>
      </c>
      <c r="I15" s="262"/>
    </row>
    <row r="16" spans="1:9" ht="15.75">
      <c r="A16" s="214"/>
      <c r="B16" s="226">
        <v>4</v>
      </c>
      <c r="C16" s="293">
        <v>1</v>
      </c>
      <c r="D16" s="294">
        <v>1</v>
      </c>
      <c r="E16" s="240">
        <v>0</v>
      </c>
      <c r="F16" s="251">
        <v>0</v>
      </c>
      <c r="G16" s="253">
        <v>3.5466000000000002</v>
      </c>
      <c r="H16" s="253">
        <f t="shared" si="0"/>
        <v>0.17733000000000002</v>
      </c>
      <c r="I16" s="254"/>
    </row>
    <row r="17" spans="1:9" ht="15.75">
      <c r="A17" s="214"/>
      <c r="B17" s="230"/>
      <c r="C17" s="276"/>
      <c r="D17" s="277"/>
      <c r="E17" s="248">
        <v>0</v>
      </c>
      <c r="F17" s="248">
        <v>1</v>
      </c>
      <c r="G17" s="255">
        <v>3.7349000000000001</v>
      </c>
      <c r="H17" s="228">
        <f t="shared" si="0"/>
        <v>0.18674499999999999</v>
      </c>
      <c r="I17" s="256"/>
    </row>
    <row r="18" spans="1:9" ht="15.75">
      <c r="A18" s="214"/>
      <c r="B18" s="230"/>
      <c r="C18" s="276"/>
      <c r="D18" s="277"/>
      <c r="E18" s="248">
        <v>1</v>
      </c>
      <c r="F18" s="248">
        <v>0</v>
      </c>
      <c r="G18" s="255">
        <v>2.8330000000000002</v>
      </c>
      <c r="H18" s="228">
        <f t="shared" si="0"/>
        <v>0.14165</v>
      </c>
      <c r="I18" s="256"/>
    </row>
    <row r="19" spans="1:9" ht="16.5" thickBot="1">
      <c r="A19" s="214"/>
      <c r="B19" s="235"/>
      <c r="C19" s="278"/>
      <c r="D19" s="279"/>
      <c r="E19" s="259">
        <v>1</v>
      </c>
      <c r="F19" s="260">
        <v>1</v>
      </c>
      <c r="G19" s="261">
        <v>3.1701999999999999</v>
      </c>
      <c r="H19" s="264">
        <f t="shared" si="0"/>
        <v>0.15850999999999998</v>
      </c>
      <c r="I19" s="262"/>
    </row>
    <row r="20" spans="1:9" ht="15.75">
      <c r="A20" s="214"/>
      <c r="B20" s="230">
        <v>5</v>
      </c>
      <c r="C20" s="290">
        <v>1</v>
      </c>
      <c r="D20" s="291">
        <v>1</v>
      </c>
      <c r="E20" s="292">
        <v>0</v>
      </c>
      <c r="F20" s="266">
        <v>0</v>
      </c>
      <c r="G20" s="268">
        <v>3.4409999999999998</v>
      </c>
      <c r="H20" s="268">
        <f t="shared" si="0"/>
        <v>0.17204999999999998</v>
      </c>
      <c r="I20" s="269"/>
    </row>
    <row r="21" spans="1:9" ht="15.75">
      <c r="A21" s="214"/>
      <c r="B21" s="230"/>
      <c r="C21" s="276"/>
      <c r="D21" s="277"/>
      <c r="E21" s="248">
        <v>0</v>
      </c>
      <c r="F21" s="248">
        <v>1</v>
      </c>
      <c r="G21" s="255">
        <v>3.7170999999999998</v>
      </c>
      <c r="H21" s="228">
        <f t="shared" si="0"/>
        <v>0.18585499999999999</v>
      </c>
      <c r="I21" s="256"/>
    </row>
    <row r="22" spans="1:9" ht="15.75">
      <c r="A22" s="214"/>
      <c r="B22" s="230"/>
      <c r="C22" s="276"/>
      <c r="D22" s="277"/>
      <c r="E22" s="248">
        <v>1</v>
      </c>
      <c r="F22" s="248">
        <v>0</v>
      </c>
      <c r="G22" s="255">
        <v>2.7359</v>
      </c>
      <c r="H22" s="228">
        <f t="shared" si="0"/>
        <v>0.136795</v>
      </c>
      <c r="I22" s="256"/>
    </row>
    <row r="23" spans="1:9" ht="16.5" thickBot="1">
      <c r="A23" s="214"/>
      <c r="B23" s="230"/>
      <c r="C23" s="295"/>
      <c r="D23" s="296"/>
      <c r="E23" s="287">
        <v>1</v>
      </c>
      <c r="F23" s="271">
        <v>1</v>
      </c>
      <c r="G23" s="288">
        <v>3.0739999999999998</v>
      </c>
      <c r="H23" s="274">
        <f t="shared" si="0"/>
        <v>0.1537</v>
      </c>
      <c r="I23" s="289"/>
    </row>
    <row r="24" spans="1:9" ht="15.75">
      <c r="A24" s="214"/>
      <c r="B24" s="226">
        <v>6</v>
      </c>
      <c r="C24" s="293">
        <v>1</v>
      </c>
      <c r="D24" s="294">
        <v>1</v>
      </c>
      <c r="E24" s="240">
        <v>0</v>
      </c>
      <c r="F24" s="251">
        <v>0</v>
      </c>
      <c r="G24" s="253">
        <v>3.4237000000000002</v>
      </c>
      <c r="H24" s="253">
        <f t="shared" si="0"/>
        <v>0.171185</v>
      </c>
      <c r="I24" s="254"/>
    </row>
    <row r="25" spans="1:9" ht="15.75">
      <c r="A25" s="214"/>
      <c r="B25" s="230"/>
      <c r="C25" s="276"/>
      <c r="D25" s="277"/>
      <c r="E25" s="248">
        <v>0</v>
      </c>
      <c r="F25" s="248">
        <v>1</v>
      </c>
      <c r="G25" s="255">
        <v>3.7410000000000001</v>
      </c>
      <c r="H25" s="228">
        <f t="shared" si="0"/>
        <v>0.18704999999999999</v>
      </c>
      <c r="I25" s="256"/>
    </row>
    <row r="26" spans="1:9" ht="15.75">
      <c r="A26" s="214"/>
      <c r="B26" s="230"/>
      <c r="C26" s="276"/>
      <c r="D26" s="277"/>
      <c r="E26" s="248">
        <v>1</v>
      </c>
      <c r="F26" s="248">
        <v>0</v>
      </c>
      <c r="G26" s="255">
        <v>2.7002000000000002</v>
      </c>
      <c r="H26" s="228">
        <f t="shared" si="0"/>
        <v>0.13501000000000002</v>
      </c>
      <c r="I26" s="256"/>
    </row>
    <row r="27" spans="1:9" ht="16.5" thickBot="1">
      <c r="A27" s="214"/>
      <c r="B27" s="235"/>
      <c r="C27" s="278"/>
      <c r="D27" s="279"/>
      <c r="E27" s="259">
        <v>1</v>
      </c>
      <c r="F27" s="260">
        <v>1</v>
      </c>
      <c r="G27" s="261">
        <v>3.0369999999999999</v>
      </c>
      <c r="H27" s="264">
        <f t="shared" si="0"/>
        <v>0.15184999999999998</v>
      </c>
      <c r="I27" s="262"/>
    </row>
    <row r="28" spans="1:9" ht="15.75">
      <c r="A28" s="214"/>
      <c r="B28" s="226">
        <v>7</v>
      </c>
      <c r="C28" s="293">
        <v>1</v>
      </c>
      <c r="D28" s="294">
        <v>1</v>
      </c>
      <c r="E28" s="240">
        <v>0</v>
      </c>
      <c r="F28" s="251">
        <v>0</v>
      </c>
      <c r="G28" s="253">
        <v>3.387</v>
      </c>
      <c r="H28" s="253">
        <f t="shared" si="0"/>
        <v>0.16935</v>
      </c>
      <c r="I28" s="254"/>
    </row>
    <row r="29" spans="1:9" ht="15.75">
      <c r="A29" s="214"/>
      <c r="B29" s="230"/>
      <c r="C29" s="276"/>
      <c r="D29" s="277"/>
      <c r="E29" s="248">
        <v>0</v>
      </c>
      <c r="F29" s="248">
        <v>1</v>
      </c>
      <c r="G29" s="255">
        <v>3.6827000000000001</v>
      </c>
      <c r="H29" s="228">
        <f t="shared" si="0"/>
        <v>0.18413499999999999</v>
      </c>
      <c r="I29" s="256"/>
    </row>
    <row r="30" spans="1:9" ht="15.75">
      <c r="A30" s="214"/>
      <c r="B30" s="230"/>
      <c r="C30" s="276"/>
      <c r="D30" s="277"/>
      <c r="E30" s="248">
        <v>1</v>
      </c>
      <c r="F30" s="248">
        <v>0</v>
      </c>
      <c r="G30" s="255">
        <v>2.6751999999999998</v>
      </c>
      <c r="H30" s="228">
        <f t="shared" si="0"/>
        <v>0.13375999999999999</v>
      </c>
      <c r="I30" s="256"/>
    </row>
    <row r="31" spans="1:9" ht="16.5" thickBot="1">
      <c r="A31" s="214"/>
      <c r="B31" s="235"/>
      <c r="C31" s="278"/>
      <c r="D31" s="279"/>
      <c r="E31" s="259">
        <v>1</v>
      </c>
      <c r="F31" s="260">
        <v>1</v>
      </c>
      <c r="G31" s="261">
        <v>3.0044</v>
      </c>
      <c r="H31" s="264">
        <f t="shared" si="0"/>
        <v>0.15021999999999999</v>
      </c>
      <c r="I31" s="262"/>
    </row>
    <row r="32" spans="1:9" ht="15.75">
      <c r="A32" s="214"/>
      <c r="B32" s="226">
        <v>8</v>
      </c>
      <c r="C32" s="293">
        <v>1</v>
      </c>
      <c r="D32" s="294">
        <v>1</v>
      </c>
      <c r="E32" s="240">
        <v>0</v>
      </c>
      <c r="F32" s="251">
        <v>0</v>
      </c>
      <c r="G32" s="253">
        <v>3.4653999999999998</v>
      </c>
      <c r="H32" s="253">
        <f t="shared" si="0"/>
        <v>0.17326999999999998</v>
      </c>
      <c r="I32" s="254"/>
    </row>
    <row r="33" spans="1:9" ht="15.75">
      <c r="A33" s="214"/>
      <c r="B33" s="230"/>
      <c r="C33" s="276"/>
      <c r="D33" s="277"/>
      <c r="E33" s="248">
        <v>0</v>
      </c>
      <c r="F33" s="248">
        <v>1</v>
      </c>
      <c r="G33" s="255">
        <v>3.7145999999999999</v>
      </c>
      <c r="H33" s="228">
        <f t="shared" si="0"/>
        <v>0.18573000000000001</v>
      </c>
      <c r="I33" s="256"/>
    </row>
    <row r="34" spans="1:9" ht="15.75">
      <c r="A34" s="214"/>
      <c r="B34" s="230"/>
      <c r="C34" s="276"/>
      <c r="D34" s="277"/>
      <c r="E34" s="248">
        <v>1</v>
      </c>
      <c r="F34" s="248">
        <v>0</v>
      </c>
      <c r="G34" s="255">
        <v>2.7286999999999999</v>
      </c>
      <c r="H34" s="228">
        <f t="shared" si="0"/>
        <v>0.136435</v>
      </c>
      <c r="I34" s="256"/>
    </row>
    <row r="35" spans="1:9" ht="16.5" thickBot="1">
      <c r="A35" s="214"/>
      <c r="B35" s="235"/>
      <c r="C35" s="278"/>
      <c r="D35" s="279"/>
      <c r="E35" s="259">
        <v>1</v>
      </c>
      <c r="F35" s="260">
        <v>1</v>
      </c>
      <c r="G35" s="261">
        <v>3.0790999999999999</v>
      </c>
      <c r="H35" s="264">
        <f t="shared" si="0"/>
        <v>0.15395500000000001</v>
      </c>
      <c r="I35" s="262"/>
    </row>
    <row r="36" spans="1:9" ht="15.75">
      <c r="A36" s="214"/>
      <c r="B36" s="226">
        <v>9</v>
      </c>
      <c r="C36" s="293">
        <v>1</v>
      </c>
      <c r="D36" s="294">
        <v>1</v>
      </c>
      <c r="E36" s="240">
        <v>0</v>
      </c>
      <c r="F36" s="251">
        <v>0</v>
      </c>
      <c r="G36" s="253">
        <v>3.4203999999999999</v>
      </c>
      <c r="H36" s="253">
        <f t="shared" si="0"/>
        <v>0.17102000000000001</v>
      </c>
      <c r="I36" s="254"/>
    </row>
    <row r="37" spans="1:9" ht="15.75">
      <c r="A37" s="214"/>
      <c r="B37" s="230"/>
      <c r="C37" s="276"/>
      <c r="D37" s="277"/>
      <c r="E37" s="248">
        <v>0</v>
      </c>
      <c r="F37" s="248">
        <v>1</v>
      </c>
      <c r="G37" s="255">
        <v>3.6964000000000001</v>
      </c>
      <c r="H37" s="228">
        <f t="shared" si="0"/>
        <v>0.18482000000000001</v>
      </c>
      <c r="I37" s="256"/>
    </row>
    <row r="38" spans="1:9" ht="15.75">
      <c r="A38" s="214"/>
      <c r="B38" s="230"/>
      <c r="C38" s="276"/>
      <c r="D38" s="277"/>
      <c r="E38" s="248">
        <v>1</v>
      </c>
      <c r="F38" s="248">
        <v>0</v>
      </c>
      <c r="G38" s="255">
        <v>2.6886999999999999</v>
      </c>
      <c r="H38" s="228">
        <f t="shared" si="0"/>
        <v>0.134435</v>
      </c>
      <c r="I38" s="256"/>
    </row>
    <row r="39" spans="1:9" ht="16.5" thickBot="1">
      <c r="A39" s="214"/>
      <c r="B39" s="235"/>
      <c r="C39" s="278"/>
      <c r="D39" s="279"/>
      <c r="E39" s="259">
        <v>1</v>
      </c>
      <c r="F39" s="260">
        <v>1</v>
      </c>
      <c r="G39" s="261">
        <v>3.0320999999999998</v>
      </c>
      <c r="H39" s="264">
        <f t="shared" si="0"/>
        <v>0.15160499999999999</v>
      </c>
      <c r="I39" s="262"/>
    </row>
    <row r="40" spans="1:9" ht="15.75">
      <c r="A40" s="214"/>
      <c r="B40" s="226">
        <v>10</v>
      </c>
      <c r="C40" s="293">
        <v>1</v>
      </c>
      <c r="D40" s="294">
        <v>1</v>
      </c>
      <c r="E40" s="240">
        <v>0</v>
      </c>
      <c r="F40" s="251">
        <v>0</v>
      </c>
      <c r="G40" s="253">
        <v>3.4215</v>
      </c>
      <c r="H40" s="253">
        <f t="shared" si="0"/>
        <v>0.171075</v>
      </c>
      <c r="I40" s="254"/>
    </row>
    <row r="41" spans="1:9" ht="15.75">
      <c r="A41" s="214"/>
      <c r="B41" s="230"/>
      <c r="C41" s="276"/>
      <c r="D41" s="277"/>
      <c r="E41" s="248">
        <v>0</v>
      </c>
      <c r="F41" s="248">
        <v>1</v>
      </c>
      <c r="G41" s="255">
        <v>3.7010999999999998</v>
      </c>
      <c r="H41" s="228">
        <f t="shared" si="0"/>
        <v>0.185055</v>
      </c>
      <c r="I41" s="256"/>
    </row>
    <row r="42" spans="1:9" ht="15.75">
      <c r="A42" s="214"/>
      <c r="B42" s="230"/>
      <c r="C42" s="276"/>
      <c r="D42" s="277"/>
      <c r="E42" s="248">
        <v>1</v>
      </c>
      <c r="F42" s="248">
        <v>0</v>
      </c>
      <c r="G42" s="255">
        <v>2.7187000000000001</v>
      </c>
      <c r="H42" s="228">
        <f t="shared" si="0"/>
        <v>0.135935</v>
      </c>
      <c r="I42" s="256"/>
    </row>
    <row r="43" spans="1:9" ht="16.5" thickBot="1">
      <c r="A43" s="214"/>
      <c r="B43" s="235"/>
      <c r="C43" s="278"/>
      <c r="D43" s="279"/>
      <c r="E43" s="259">
        <v>1</v>
      </c>
      <c r="F43" s="260">
        <v>1</v>
      </c>
      <c r="G43" s="261">
        <v>3.0484</v>
      </c>
      <c r="H43" s="264">
        <f t="shared" si="0"/>
        <v>0.15242</v>
      </c>
      <c r="I43" s="262"/>
    </row>
  </sheetData>
  <mergeCells count="4">
    <mergeCell ref="C4:C7"/>
    <mergeCell ref="D4:D7"/>
    <mergeCell ref="C8:C11"/>
    <mergeCell ref="D8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5" workbookViewId="0">
      <selection activeCell="I24" sqref="I24"/>
    </sheetView>
  </sheetViews>
  <sheetFormatPr defaultRowHeight="15"/>
  <cols>
    <col min="5" max="5" width="12.85546875" customWidth="1"/>
  </cols>
  <sheetData>
    <row r="1" spans="1:11" ht="15.75" thickBot="1">
      <c r="A1" s="214" t="s">
        <v>214</v>
      </c>
      <c r="B1" s="214"/>
      <c r="C1" s="214" t="s">
        <v>215</v>
      </c>
      <c r="D1" s="214">
        <v>82</v>
      </c>
      <c r="E1" s="214">
        <v>8</v>
      </c>
      <c r="F1" s="214"/>
      <c r="G1" s="214"/>
      <c r="H1" s="214"/>
      <c r="I1" s="214"/>
      <c r="J1" s="214"/>
      <c r="K1" s="214"/>
    </row>
    <row r="2" spans="1:11" ht="16.5" thickBot="1">
      <c r="A2" s="217" t="s">
        <v>201</v>
      </c>
      <c r="B2" s="218" t="s">
        <v>218</v>
      </c>
      <c r="C2" s="712" t="s">
        <v>219</v>
      </c>
      <c r="D2" s="712"/>
      <c r="E2" s="219" t="s">
        <v>213</v>
      </c>
      <c r="F2" s="219">
        <v>4.5</v>
      </c>
      <c r="G2" s="219">
        <v>4.75</v>
      </c>
      <c r="H2" s="219">
        <v>5</v>
      </c>
      <c r="I2" s="219">
        <v>5.25</v>
      </c>
      <c r="J2" s="219">
        <v>5.5</v>
      </c>
      <c r="K2" s="220"/>
    </row>
    <row r="3" spans="1:11" ht="15.75">
      <c r="A3" s="226"/>
      <c r="B3" s="704">
        <v>0</v>
      </c>
      <c r="C3" s="706">
        <v>1</v>
      </c>
      <c r="D3" s="706"/>
      <c r="E3" s="227" t="s">
        <v>221</v>
      </c>
      <c r="F3" s="228"/>
      <c r="G3" s="228"/>
      <c r="H3" s="228"/>
      <c r="I3" s="228"/>
      <c r="J3" s="228"/>
      <c r="K3" s="229"/>
    </row>
    <row r="4" spans="1:11" ht="15.75">
      <c r="A4" s="230">
        <v>1</v>
      </c>
      <c r="B4" s="704"/>
      <c r="C4" s="706"/>
      <c r="D4" s="706"/>
      <c r="E4" s="227" t="s">
        <v>223</v>
      </c>
      <c r="F4" s="228"/>
      <c r="G4" s="228"/>
      <c r="H4" s="228"/>
      <c r="I4" s="228"/>
      <c r="J4" s="228"/>
      <c r="K4" s="229"/>
    </row>
    <row r="5" spans="1:11" ht="15.75">
      <c r="A5" s="230"/>
      <c r="B5" s="704"/>
      <c r="C5" s="706"/>
      <c r="D5" s="706"/>
      <c r="E5" s="227" t="s">
        <v>225</v>
      </c>
      <c r="F5" s="228"/>
      <c r="G5" s="228"/>
      <c r="H5" s="228"/>
      <c r="I5" s="228"/>
      <c r="J5" s="228"/>
      <c r="K5" s="229"/>
    </row>
    <row r="6" spans="1:11" ht="16.5" thickBot="1">
      <c r="A6" s="235"/>
      <c r="B6" s="709"/>
      <c r="C6" s="711"/>
      <c r="D6" s="711"/>
      <c r="E6" s="236" t="s">
        <v>226</v>
      </c>
      <c r="F6" s="237">
        <f>((F5-F4)/5+(F5-F3)/10)/2</f>
        <v>0</v>
      </c>
      <c r="G6" s="237">
        <f>((G5-G4)/5+(G5-G3)/10)/2</f>
        <v>0</v>
      </c>
      <c r="H6" s="237">
        <f>((H5-H4)/5+(H5-H3)/10)/2</f>
        <v>0</v>
      </c>
      <c r="I6" s="237">
        <f>((I5-I4)/5+(I5-I3)/10)/2</f>
        <v>0</v>
      </c>
      <c r="J6" s="237">
        <f>((J5-J4)/5+(J5-J3)/10)/2</f>
        <v>0</v>
      </c>
      <c r="K6" s="238"/>
    </row>
    <row r="7" spans="1:11" ht="15.75">
      <c r="A7" s="226"/>
      <c r="B7" s="704">
        <v>0</v>
      </c>
      <c r="C7" s="706">
        <v>1</v>
      </c>
      <c r="D7" s="706"/>
      <c r="E7" s="227" t="s">
        <v>221</v>
      </c>
      <c r="F7" s="228"/>
      <c r="G7" s="228"/>
      <c r="H7" s="228"/>
      <c r="I7" s="228"/>
      <c r="J7" s="228"/>
      <c r="K7" s="229"/>
    </row>
    <row r="8" spans="1:11" ht="15.75">
      <c r="A8" s="230">
        <v>2</v>
      </c>
      <c r="B8" s="704"/>
      <c r="C8" s="706"/>
      <c r="D8" s="706"/>
      <c r="E8" s="227" t="s">
        <v>223</v>
      </c>
      <c r="F8" s="228"/>
      <c r="G8" s="228"/>
      <c r="H8" s="228"/>
      <c r="I8" s="228"/>
      <c r="J8" s="228"/>
      <c r="K8" s="229"/>
    </row>
    <row r="9" spans="1:11" ht="15.75">
      <c r="A9" s="230"/>
      <c r="B9" s="704"/>
      <c r="C9" s="706"/>
      <c r="D9" s="706"/>
      <c r="E9" s="227" t="s">
        <v>225</v>
      </c>
      <c r="F9" s="228"/>
      <c r="G9" s="228"/>
      <c r="H9" s="228"/>
      <c r="I9" s="228"/>
      <c r="J9" s="228"/>
      <c r="K9" s="229"/>
    </row>
    <row r="10" spans="1:11" ht="16.5" thickBot="1">
      <c r="A10" s="235"/>
      <c r="B10" s="709"/>
      <c r="C10" s="711"/>
      <c r="D10" s="711"/>
      <c r="E10" s="236" t="s">
        <v>226</v>
      </c>
      <c r="F10" s="237">
        <f>((F9-F8)/5+(F9-F7)/10)/2</f>
        <v>0</v>
      </c>
      <c r="G10" s="237">
        <f>((G9-G8)/5+(G9-G7)/10)/2</f>
        <v>0</v>
      </c>
      <c r="H10" s="237">
        <f>((H9-H8)/5+(H9-H7)/10)/2</f>
        <v>0</v>
      </c>
      <c r="I10" s="237">
        <f>((I9-I8)/5+(I9-I7)/10)/2</f>
        <v>0</v>
      </c>
      <c r="J10" s="237">
        <f>((J9-J8)/5+(J9-J7)/10)/2</f>
        <v>0</v>
      </c>
      <c r="K10" s="238"/>
    </row>
    <row r="11" spans="1:11" ht="15.75">
      <c r="A11" s="226"/>
      <c r="B11" s="704">
        <v>0</v>
      </c>
      <c r="C11" s="706">
        <v>1</v>
      </c>
      <c r="D11" s="706"/>
      <c r="E11" s="227" t="s">
        <v>221</v>
      </c>
      <c r="F11" s="228"/>
      <c r="G11" s="228"/>
      <c r="H11" s="228"/>
      <c r="I11" s="228"/>
      <c r="J11" s="228"/>
      <c r="K11" s="229"/>
    </row>
    <row r="12" spans="1:11" ht="15.75">
      <c r="A12" s="230">
        <v>3</v>
      </c>
      <c r="B12" s="704"/>
      <c r="C12" s="706"/>
      <c r="D12" s="706"/>
      <c r="E12" s="227" t="s">
        <v>223</v>
      </c>
      <c r="F12" s="228"/>
      <c r="G12" s="228"/>
      <c r="H12" s="228"/>
      <c r="I12" s="228"/>
      <c r="J12" s="228"/>
      <c r="K12" s="229"/>
    </row>
    <row r="13" spans="1:11" ht="15.75">
      <c r="A13" s="230"/>
      <c r="B13" s="704"/>
      <c r="C13" s="706"/>
      <c r="D13" s="706"/>
      <c r="E13" s="227" t="s">
        <v>225</v>
      </c>
      <c r="F13" s="228"/>
      <c r="G13" s="228"/>
      <c r="H13" s="228"/>
      <c r="I13" s="228"/>
      <c r="J13" s="228"/>
      <c r="K13" s="229"/>
    </row>
    <row r="14" spans="1:11" ht="16.5" thickBot="1">
      <c r="A14" s="235"/>
      <c r="B14" s="709"/>
      <c r="C14" s="711"/>
      <c r="D14" s="711"/>
      <c r="E14" s="236" t="s">
        <v>226</v>
      </c>
      <c r="F14" s="237">
        <f>((F13-F12)/5+(F13-F11)/10)/2</f>
        <v>0</v>
      </c>
      <c r="G14" s="237">
        <f>((G13-G12)/5+(G13-G11)/10)/2</f>
        <v>0</v>
      </c>
      <c r="H14" s="237">
        <f>((H13-H12)/5+(H13-H11)/10)/2</f>
        <v>0</v>
      </c>
      <c r="I14" s="237">
        <f>((I13-I12)/5+(I13-I11)/10)/2</f>
        <v>0</v>
      </c>
      <c r="J14" s="237">
        <f>((J13-J12)/5+(J13-J11)/10)/2</f>
        <v>0</v>
      </c>
      <c r="K14" s="238"/>
    </row>
    <row r="15" spans="1:11" ht="15.75">
      <c r="A15" s="226"/>
      <c r="B15" s="704">
        <v>0</v>
      </c>
      <c r="C15" s="706">
        <v>1</v>
      </c>
      <c r="D15" s="706"/>
      <c r="E15" s="227" t="s">
        <v>221</v>
      </c>
      <c r="F15" s="228"/>
      <c r="G15" s="228"/>
      <c r="H15" s="228"/>
      <c r="I15" s="228"/>
      <c r="J15" s="228"/>
      <c r="K15" s="229"/>
    </row>
    <row r="16" spans="1:11" ht="15.75">
      <c r="A16" s="230">
        <v>4</v>
      </c>
      <c r="B16" s="704"/>
      <c r="C16" s="706"/>
      <c r="D16" s="706"/>
      <c r="E16" s="227" t="s">
        <v>223</v>
      </c>
      <c r="F16" s="228"/>
      <c r="G16" s="228"/>
      <c r="H16" s="228"/>
      <c r="I16" s="228"/>
      <c r="J16" s="228"/>
      <c r="K16" s="229"/>
    </row>
    <row r="17" spans="1:11" ht="15.75">
      <c r="A17" s="230"/>
      <c r="B17" s="704"/>
      <c r="C17" s="706"/>
      <c r="D17" s="706"/>
      <c r="E17" s="227" t="s">
        <v>225</v>
      </c>
      <c r="F17" s="228"/>
      <c r="G17" s="228"/>
      <c r="H17" s="228"/>
      <c r="I17" s="228"/>
      <c r="J17" s="228"/>
      <c r="K17" s="229"/>
    </row>
    <row r="18" spans="1:11" ht="16.5" thickBot="1">
      <c r="A18" s="235"/>
      <c r="B18" s="709"/>
      <c r="C18" s="711"/>
      <c r="D18" s="711"/>
      <c r="E18" s="236" t="s">
        <v>226</v>
      </c>
      <c r="F18" s="237">
        <f>((F17-F16)/5+(F17-F15)/10)/2</f>
        <v>0</v>
      </c>
      <c r="G18" s="237">
        <f>((G17-G16)/5+(G17-G15)/10)/2</f>
        <v>0</v>
      </c>
      <c r="H18" s="237">
        <f>((H17-H16)/5+(H17-H15)/10)/2</f>
        <v>0</v>
      </c>
      <c r="I18" s="237">
        <f>((I17-I16)/5+(I17-I15)/10)/2</f>
        <v>0</v>
      </c>
      <c r="J18" s="237">
        <f>((J17-J16)/5+(J17-J15)/10)/2</f>
        <v>0</v>
      </c>
      <c r="K18" s="238"/>
    </row>
    <row r="19" spans="1:11" ht="15.75">
      <c r="A19" s="226"/>
      <c r="B19" s="704">
        <v>0</v>
      </c>
      <c r="C19" s="706">
        <v>1</v>
      </c>
      <c r="D19" s="706"/>
      <c r="E19" s="227" t="s">
        <v>221</v>
      </c>
      <c r="F19" s="228"/>
      <c r="G19" s="228"/>
      <c r="H19" s="228"/>
      <c r="I19" s="228"/>
      <c r="J19" s="228"/>
      <c r="K19" s="229"/>
    </row>
    <row r="20" spans="1:11" ht="15.75">
      <c r="A20" s="230">
        <v>5</v>
      </c>
      <c r="B20" s="704"/>
      <c r="C20" s="706"/>
      <c r="D20" s="706"/>
      <c r="E20" s="227" t="s">
        <v>223</v>
      </c>
      <c r="F20" s="228"/>
      <c r="G20" s="228"/>
      <c r="H20" s="228"/>
      <c r="I20" s="228"/>
      <c r="J20" s="228"/>
      <c r="K20" s="229"/>
    </row>
    <row r="21" spans="1:11" ht="15.75">
      <c r="A21" s="230"/>
      <c r="B21" s="704"/>
      <c r="C21" s="706"/>
      <c r="D21" s="706"/>
      <c r="E21" s="227" t="s">
        <v>225</v>
      </c>
      <c r="F21" s="228"/>
      <c r="G21" s="228"/>
      <c r="H21" s="228"/>
      <c r="I21" s="228"/>
      <c r="J21" s="228"/>
      <c r="K21" s="229"/>
    </row>
    <row r="22" spans="1:11" ht="16.5" thickBot="1">
      <c r="A22" s="235"/>
      <c r="B22" s="709"/>
      <c r="C22" s="711"/>
      <c r="D22" s="711"/>
      <c r="E22" s="236" t="s">
        <v>226</v>
      </c>
      <c r="F22" s="237">
        <f>((F21-F20)/5+(F21-F19)/10)/2</f>
        <v>0</v>
      </c>
      <c r="G22" s="237">
        <f>((G21-G20)/5+(G21-G19)/10)/2</f>
        <v>0</v>
      </c>
      <c r="H22" s="237">
        <f>((H21-H20)/5+(H21-H19)/10)/2</f>
        <v>0</v>
      </c>
      <c r="I22" s="237">
        <f>((I21-I20)/5+(I21-I19)/10)/2</f>
        <v>0</v>
      </c>
      <c r="J22" s="237">
        <f>((J21-J20)/5+(J21-J19)/10)/2</f>
        <v>0</v>
      </c>
      <c r="K22" s="238"/>
    </row>
    <row r="23" spans="1:11" ht="15.75">
      <c r="A23" s="226"/>
      <c r="B23" s="704">
        <v>0</v>
      </c>
      <c r="C23" s="706">
        <v>1</v>
      </c>
      <c r="D23" s="706"/>
      <c r="E23" s="227" t="s">
        <v>221</v>
      </c>
      <c r="F23" s="228">
        <v>2.7875999999999999</v>
      </c>
      <c r="G23" s="228">
        <v>2.9498000000000002</v>
      </c>
      <c r="H23" s="228">
        <v>3.1118999999999999</v>
      </c>
      <c r="I23" s="228">
        <v>3.2736000000000001</v>
      </c>
      <c r="J23" s="228">
        <v>3.4356</v>
      </c>
      <c r="K23" s="229"/>
    </row>
    <row r="24" spans="1:11" ht="15.75">
      <c r="A24" s="230">
        <v>6</v>
      </c>
      <c r="B24" s="704"/>
      <c r="C24" s="706"/>
      <c r="D24" s="706"/>
      <c r="E24" s="227" t="s">
        <v>223</v>
      </c>
      <c r="F24" s="228">
        <v>3.3201000000000001</v>
      </c>
      <c r="G24" s="228">
        <v>3.5194000000000001</v>
      </c>
      <c r="H24" s="228">
        <v>3.72</v>
      </c>
      <c r="I24" s="228">
        <v>3.9203000000000001</v>
      </c>
      <c r="J24" s="228">
        <v>4.1219999999999999</v>
      </c>
      <c r="K24" s="229"/>
    </row>
    <row r="25" spans="1:11" ht="15.75">
      <c r="A25" s="230"/>
      <c r="B25" s="704"/>
      <c r="C25" s="706"/>
      <c r="D25" s="706"/>
      <c r="E25" s="227" t="s">
        <v>225</v>
      </c>
      <c r="F25" s="228">
        <v>3.8492999999999999</v>
      </c>
      <c r="G25" s="228">
        <v>4.0856000000000003</v>
      </c>
      <c r="H25" s="228">
        <v>4.3246000000000002</v>
      </c>
      <c r="I25" s="228">
        <v>4.5636000000000001</v>
      </c>
      <c r="J25" s="228">
        <v>4.8051000000000004</v>
      </c>
      <c r="K25" s="229"/>
    </row>
    <row r="26" spans="1:11" ht="16.5" thickBot="1">
      <c r="A26" s="235"/>
      <c r="B26" s="709"/>
      <c r="C26" s="711"/>
      <c r="D26" s="711"/>
      <c r="E26" s="236" t="s">
        <v>226</v>
      </c>
      <c r="F26" s="237">
        <f>((F25-F24)/5+(F25-F23)/10)/2</f>
        <v>0.10600499999999999</v>
      </c>
      <c r="G26" s="237">
        <f>((G25-G24)/5+(G25-G23)/10)/2</f>
        <v>0.11341000000000004</v>
      </c>
      <c r="H26" s="237">
        <f>((H25-H24)/5+(H25-H23)/10)/2</f>
        <v>0.12109500000000001</v>
      </c>
      <c r="I26" s="237">
        <f>((I25-I24)/5+(I25-I23)/10)/2</f>
        <v>0.12883</v>
      </c>
      <c r="J26" s="237">
        <f>((J25-J24)/5+(J25-J23)/10)/2</f>
        <v>0.13678500000000007</v>
      </c>
      <c r="K26" s="238"/>
    </row>
    <row r="27" spans="1:11" ht="15.75">
      <c r="A27" s="226"/>
      <c r="B27" s="704">
        <v>0</v>
      </c>
      <c r="C27" s="706">
        <v>1</v>
      </c>
      <c r="D27" s="706"/>
      <c r="E27" s="227" t="s">
        <v>221</v>
      </c>
      <c r="F27" s="228">
        <v>2.7608000000000001</v>
      </c>
      <c r="G27" s="228">
        <v>2.9207000000000001</v>
      </c>
      <c r="H27" s="228">
        <v>3.0808</v>
      </c>
      <c r="I27" s="228">
        <v>3.2395999999999998</v>
      </c>
      <c r="J27" s="228">
        <v>3.4001999999999999</v>
      </c>
      <c r="K27" s="229"/>
    </row>
    <row r="28" spans="1:11" ht="15.75">
      <c r="A28" s="230">
        <v>7</v>
      </c>
      <c r="B28" s="704"/>
      <c r="C28" s="706"/>
      <c r="D28" s="706"/>
      <c r="E28" s="227" t="s">
        <v>223</v>
      </c>
      <c r="F28" s="228">
        <v>3.2654000000000001</v>
      </c>
      <c r="G28" s="228">
        <v>3.4594</v>
      </c>
      <c r="H28" s="228">
        <v>3.6541999999999999</v>
      </c>
      <c r="I28" s="228">
        <v>3.8516300000000001</v>
      </c>
      <c r="J28" s="228">
        <v>4.0503999999999998</v>
      </c>
      <c r="K28" s="229"/>
    </row>
    <row r="29" spans="1:11" ht="15.75">
      <c r="A29" s="230"/>
      <c r="B29" s="704"/>
      <c r="C29" s="706"/>
      <c r="D29" s="706"/>
      <c r="E29" s="227" t="s">
        <v>225</v>
      </c>
      <c r="F29" s="228">
        <v>3.7665000000000002</v>
      </c>
      <c r="G29" s="228">
        <v>3.9956</v>
      </c>
      <c r="H29" s="228">
        <v>4.2667000000000002</v>
      </c>
      <c r="I29" s="228">
        <v>4.4607999999999999</v>
      </c>
      <c r="J29" s="228">
        <v>4.6974</v>
      </c>
      <c r="K29" s="229"/>
    </row>
    <row r="30" spans="1:11" ht="16.5" thickBot="1">
      <c r="A30" s="235"/>
      <c r="B30" s="709"/>
      <c r="C30" s="711"/>
      <c r="D30" s="711"/>
      <c r="E30" s="236" t="s">
        <v>226</v>
      </c>
      <c r="F30" s="237">
        <f>((F29-F28)/5+(F29-F27)/10)/2</f>
        <v>0.10039500000000001</v>
      </c>
      <c r="G30" s="237">
        <f>((G29-G28)/5+(G29-G27)/10)/2</f>
        <v>0.107365</v>
      </c>
      <c r="H30" s="237">
        <f>((H29-H28)/5+(H29-H27)/10)/2</f>
        <v>0.12054500000000004</v>
      </c>
      <c r="I30" s="237">
        <f>((I29-I28)/5+(I29-I27)/10)/2</f>
        <v>0.12197699999999997</v>
      </c>
      <c r="J30" s="237">
        <f>((J29-J28)/5+(J29-J27)/10)/2</f>
        <v>0.12956000000000001</v>
      </c>
      <c r="K30" s="238"/>
    </row>
    <row r="31" spans="1:11" ht="15.75">
      <c r="A31" s="226"/>
      <c r="B31" s="704">
        <v>0</v>
      </c>
      <c r="C31" s="706">
        <v>1</v>
      </c>
      <c r="D31" s="706"/>
      <c r="E31" s="227" t="s">
        <v>221</v>
      </c>
      <c r="F31" s="228">
        <v>3.0242</v>
      </c>
      <c r="G31" s="228">
        <v>3.0276000000000001</v>
      </c>
      <c r="H31" s="228">
        <v>3.0312000000000001</v>
      </c>
      <c r="I31" s="228">
        <v>3.0341999999999998</v>
      </c>
      <c r="J31" s="228">
        <v>3.0377000000000001</v>
      </c>
      <c r="K31" s="229"/>
    </row>
    <row r="32" spans="1:11" ht="15.75">
      <c r="A32" s="230">
        <v>8</v>
      </c>
      <c r="B32" s="704"/>
      <c r="C32" s="706"/>
      <c r="D32" s="706"/>
      <c r="E32" s="227" t="s">
        <v>223</v>
      </c>
      <c r="F32" s="228">
        <v>3.6307</v>
      </c>
      <c r="G32" s="228">
        <v>3.6387</v>
      </c>
      <c r="H32" s="228">
        <v>3.6465000000000001</v>
      </c>
      <c r="I32" s="228">
        <v>3.6564999999999999</v>
      </c>
      <c r="J32" s="228">
        <v>3.6623999999999999</v>
      </c>
      <c r="K32" s="229"/>
    </row>
    <row r="33" spans="1:11" ht="15.75">
      <c r="A33" s="230"/>
      <c r="B33" s="704"/>
      <c r="C33" s="706"/>
      <c r="D33" s="706"/>
      <c r="E33" s="227" t="s">
        <v>225</v>
      </c>
      <c r="F33" s="228">
        <v>4.2328000000000001</v>
      </c>
      <c r="G33" s="228">
        <v>4.2460000000000004</v>
      </c>
      <c r="H33" s="228">
        <v>4.2579000000000002</v>
      </c>
      <c r="I33" s="228">
        <v>4.2732999999999999</v>
      </c>
      <c r="J33" s="228">
        <v>4.2832999999999997</v>
      </c>
      <c r="K33" s="229"/>
    </row>
    <row r="34" spans="1:11" ht="16.5" thickBot="1">
      <c r="A34" s="235"/>
      <c r="B34" s="709"/>
      <c r="C34" s="711"/>
      <c r="D34" s="711"/>
      <c r="E34" s="236" t="s">
        <v>226</v>
      </c>
      <c r="F34" s="237">
        <f>((F33-F32)/5+(F33-F31)/10)/2</f>
        <v>0.12064000000000001</v>
      </c>
      <c r="G34" s="237">
        <f>((G33-G32)/5+(G33-G31)/10)/2</f>
        <v>0.12165000000000006</v>
      </c>
      <c r="H34" s="237">
        <f>((H33-H32)/5+(H33-H31)/10)/2</f>
        <v>0.12247500000000003</v>
      </c>
      <c r="I34" s="237">
        <f>((I33-I32)/5+(I33-I31)/10)/2</f>
        <v>0.12363499999999999</v>
      </c>
      <c r="J34" s="237">
        <f>((J33-J32)/5+(J33-J31)/10)/2</f>
        <v>0.12436999999999995</v>
      </c>
      <c r="K34" s="238"/>
    </row>
    <row r="35" spans="1:11" ht="15.75">
      <c r="A35" s="226"/>
      <c r="B35" s="704">
        <v>0</v>
      </c>
      <c r="C35" s="706">
        <v>1</v>
      </c>
      <c r="D35" s="706"/>
      <c r="E35" s="227" t="s">
        <v>221</v>
      </c>
      <c r="F35" s="228">
        <v>2.8239999999999998</v>
      </c>
      <c r="G35" s="228">
        <v>2.9885000000000002</v>
      </c>
      <c r="H35" s="228">
        <v>3.1509</v>
      </c>
      <c r="I35" s="228">
        <v>3.3142</v>
      </c>
      <c r="J35" s="228">
        <v>3.4784999999999999</v>
      </c>
      <c r="K35" s="229"/>
    </row>
    <row r="36" spans="1:11" ht="15.75">
      <c r="A36" s="230">
        <v>9</v>
      </c>
      <c r="B36" s="704"/>
      <c r="C36" s="706"/>
      <c r="D36" s="706"/>
      <c r="E36" s="227" t="s">
        <v>223</v>
      </c>
      <c r="F36" s="228">
        <v>3.3466</v>
      </c>
      <c r="G36" s="228">
        <v>3.5468000000000002</v>
      </c>
      <c r="H36" s="228">
        <v>3.7473999999999998</v>
      </c>
      <c r="I36" s="228">
        <v>3.9491000000000001</v>
      </c>
      <c r="J36" s="228">
        <v>4.1527000000000003</v>
      </c>
      <c r="K36" s="229"/>
    </row>
    <row r="37" spans="1:11" ht="15.75">
      <c r="A37" s="230"/>
      <c r="B37" s="704"/>
      <c r="C37" s="706"/>
      <c r="D37" s="706"/>
      <c r="E37" s="227" t="s">
        <v>225</v>
      </c>
      <c r="F37" s="228">
        <v>3.8662999999999998</v>
      </c>
      <c r="G37" s="228">
        <v>4.1050000000000004</v>
      </c>
      <c r="H37" s="228">
        <v>4.3415999999999997</v>
      </c>
      <c r="I37" s="228">
        <v>4.5808999999999997</v>
      </c>
      <c r="J37" s="228">
        <v>4.8236999999999997</v>
      </c>
      <c r="K37" s="229"/>
    </row>
    <row r="38" spans="1:11" ht="16.5" thickBot="1">
      <c r="A38" s="235"/>
      <c r="B38" s="709"/>
      <c r="C38" s="711"/>
      <c r="D38" s="711"/>
      <c r="E38" s="236" t="s">
        <v>226</v>
      </c>
      <c r="F38" s="237">
        <f>((F37-F36)/5+(F37-F35)/10)/2</f>
        <v>0.10408499999999998</v>
      </c>
      <c r="G38" s="237">
        <f>((G37-G36)/5+(G37-G35)/10)/2</f>
        <v>0.11164500000000004</v>
      </c>
      <c r="H38" s="237">
        <f>((H37-H36)/5+(H37-H35)/10)/2</f>
        <v>0.11895499999999998</v>
      </c>
      <c r="I38" s="237">
        <f>((I37-I36)/5+(I37-I35)/10)/2</f>
        <v>0.12651499999999996</v>
      </c>
      <c r="J38" s="237">
        <f>((J37-J36)/5+(J37-J35)/10)/2</f>
        <v>0.13435999999999992</v>
      </c>
      <c r="K38" s="238"/>
    </row>
    <row r="39" spans="1:11" ht="15.75">
      <c r="A39" s="226"/>
      <c r="B39" s="704">
        <v>0</v>
      </c>
      <c r="C39" s="706">
        <v>1</v>
      </c>
      <c r="D39" s="706"/>
      <c r="E39" s="227" t="s">
        <v>221</v>
      </c>
      <c r="F39" s="228">
        <v>2.8008000000000002</v>
      </c>
      <c r="G39" s="228">
        <v>2.9607000000000001</v>
      </c>
      <c r="H39" s="228">
        <v>3.1257000000000001</v>
      </c>
      <c r="I39" s="228">
        <v>3.2879999999999998</v>
      </c>
      <c r="J39" s="228">
        <v>3.4506000000000001</v>
      </c>
      <c r="K39" s="229"/>
    </row>
    <row r="40" spans="1:11" ht="15.75">
      <c r="A40" s="230">
        <v>10</v>
      </c>
      <c r="B40" s="704"/>
      <c r="C40" s="706"/>
      <c r="D40" s="706"/>
      <c r="E40" s="227" t="s">
        <v>223</v>
      </c>
      <c r="F40" s="228">
        <v>3.3408000000000002</v>
      </c>
      <c r="G40" s="228">
        <v>3.5350000000000001</v>
      </c>
      <c r="H40" s="228">
        <v>3.7421000000000002</v>
      </c>
      <c r="I40" s="228">
        <v>3.9439000000000002</v>
      </c>
      <c r="J40" s="228">
        <v>4.1467000000000001</v>
      </c>
      <c r="K40" s="229"/>
    </row>
    <row r="41" spans="1:11" ht="15.75">
      <c r="A41" s="230"/>
      <c r="B41" s="704"/>
      <c r="C41" s="706"/>
      <c r="D41" s="706"/>
      <c r="E41" s="227" t="s">
        <v>225</v>
      </c>
      <c r="F41" s="228">
        <v>3.8776000000000002</v>
      </c>
      <c r="G41" s="228">
        <v>4.1130000000000004</v>
      </c>
      <c r="H41" s="228">
        <v>4.3548999999999998</v>
      </c>
      <c r="I41" s="228">
        <v>4.5961999999999996</v>
      </c>
      <c r="J41" s="228">
        <v>4.8388999999999998</v>
      </c>
      <c r="K41" s="229"/>
    </row>
    <row r="42" spans="1:11" ht="16.5" thickBot="1">
      <c r="A42" s="235"/>
      <c r="B42" s="709"/>
      <c r="C42" s="711"/>
      <c r="D42" s="711"/>
      <c r="E42" s="236" t="s">
        <v>226</v>
      </c>
      <c r="F42" s="237">
        <f>((F41-F40)/5+(F41-F39)/10)/2</f>
        <v>0.10751999999999999</v>
      </c>
      <c r="G42" s="237">
        <f>((G41-G40)/5+(G41-G39)/10)/2</f>
        <v>0.11541500000000005</v>
      </c>
      <c r="H42" s="237">
        <f>((H41-H40)/5+(H41-H39)/10)/2</f>
        <v>0.12273999999999993</v>
      </c>
      <c r="I42" s="237">
        <f>((I41-I40)/5+(I41-I39)/10)/2</f>
        <v>0.13063999999999992</v>
      </c>
      <c r="J42" s="237">
        <f>((J41-J40)/5+(J41-J39)/10)/2</f>
        <v>0.13863499999999995</v>
      </c>
      <c r="K42" s="238"/>
    </row>
    <row r="43" spans="1:11">
      <c r="A43" s="214"/>
      <c r="B43" s="214"/>
      <c r="C43" s="214"/>
      <c r="D43" s="214"/>
      <c r="E43" s="214"/>
      <c r="F43" s="214"/>
      <c r="G43" s="214"/>
      <c r="H43" s="214"/>
      <c r="I43" s="214"/>
      <c r="J43" s="214"/>
      <c r="K43" s="214"/>
    </row>
  </sheetData>
  <mergeCells count="21">
    <mergeCell ref="B23:B26"/>
    <mergeCell ref="C23:D26"/>
    <mergeCell ref="B39:B42"/>
    <mergeCell ref="C39:D42"/>
    <mergeCell ref="B27:B30"/>
    <mergeCell ref="C27:D30"/>
    <mergeCell ref="B31:B34"/>
    <mergeCell ref="C31:D34"/>
    <mergeCell ref="B35:B38"/>
    <mergeCell ref="C35:D38"/>
    <mergeCell ref="B11:B14"/>
    <mergeCell ref="C11:D14"/>
    <mergeCell ref="B15:B18"/>
    <mergeCell ref="C15:D18"/>
    <mergeCell ref="B19:B22"/>
    <mergeCell ref="C19:D22"/>
    <mergeCell ref="C2:D2"/>
    <mergeCell ref="B3:B6"/>
    <mergeCell ref="C3:D6"/>
    <mergeCell ref="B7:B10"/>
    <mergeCell ref="C7: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R18" sqref="R18"/>
    </sheetView>
  </sheetViews>
  <sheetFormatPr defaultRowHeight="15"/>
  <sheetData>
    <row r="1" spans="1:11">
      <c r="A1" s="214" t="s">
        <v>216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1" ht="15.75" thickBot="1">
      <c r="A2" s="214" t="s">
        <v>217</v>
      </c>
      <c r="B2" s="214">
        <v>83</v>
      </c>
      <c r="C2" t="s">
        <v>247</v>
      </c>
      <c r="D2" t="s">
        <v>248</v>
      </c>
      <c r="E2" t="s">
        <v>249</v>
      </c>
      <c r="F2" s="214">
        <v>3</v>
      </c>
      <c r="G2" s="214"/>
      <c r="H2" s="214"/>
      <c r="I2" s="214"/>
      <c r="J2" s="214"/>
      <c r="K2" s="214"/>
    </row>
    <row r="3" spans="1:11" ht="32.25" thickBot="1">
      <c r="A3" s="217" t="s">
        <v>201</v>
      </c>
      <c r="B3" s="243" t="s">
        <v>232</v>
      </c>
      <c r="C3" s="244" t="s">
        <v>233</v>
      </c>
      <c r="D3" s="213" t="s">
        <v>234</v>
      </c>
      <c r="E3" s="245" t="s">
        <v>225</v>
      </c>
      <c r="F3" s="245" t="s">
        <v>223</v>
      </c>
      <c r="G3" s="245" t="s">
        <v>221</v>
      </c>
      <c r="H3" s="246" t="s">
        <v>226</v>
      </c>
      <c r="I3" s="247"/>
      <c r="J3" s="247"/>
      <c r="K3" s="247"/>
    </row>
    <row r="4" spans="1:11" ht="15.75">
      <c r="A4" s="226">
        <v>1</v>
      </c>
      <c r="B4" s="250">
        <v>0</v>
      </c>
      <c r="C4" s="251">
        <v>0</v>
      </c>
      <c r="D4" s="252"/>
      <c r="E4" s="253"/>
      <c r="F4" s="253"/>
      <c r="G4" s="253"/>
      <c r="H4" s="253">
        <f t="shared" ref="H4:H43" si="0">((E4-F4)/5+(E4-G4)/10)/2</f>
        <v>0</v>
      </c>
      <c r="I4" s="253"/>
      <c r="J4" s="254"/>
      <c r="K4" s="713" t="s">
        <v>235</v>
      </c>
    </row>
    <row r="5" spans="1:11" ht="15.75">
      <c r="A5" s="230"/>
      <c r="B5" s="257">
        <v>0</v>
      </c>
      <c r="C5" s="248">
        <v>1</v>
      </c>
      <c r="D5" s="258"/>
      <c r="E5" s="228"/>
      <c r="F5" s="228"/>
      <c r="G5" s="228"/>
      <c r="H5" s="228">
        <f t="shared" si="0"/>
        <v>0</v>
      </c>
      <c r="I5" s="228"/>
      <c r="J5" s="229"/>
      <c r="K5" s="713"/>
    </row>
    <row r="6" spans="1:11" ht="15.75">
      <c r="A6" s="230"/>
      <c r="B6" s="257">
        <v>1</v>
      </c>
      <c r="C6" s="248">
        <v>0</v>
      </c>
      <c r="D6" s="258"/>
      <c r="E6" s="228"/>
      <c r="F6" s="228"/>
      <c r="G6" s="228"/>
      <c r="H6" s="228">
        <f t="shared" si="0"/>
        <v>0</v>
      </c>
      <c r="I6" s="228"/>
      <c r="J6" s="229"/>
      <c r="K6" s="713"/>
    </row>
    <row r="7" spans="1:11" ht="16.5" thickBot="1">
      <c r="A7" s="235"/>
      <c r="B7" s="263">
        <v>1</v>
      </c>
      <c r="C7" s="260">
        <v>1</v>
      </c>
      <c r="D7" s="236"/>
      <c r="E7" s="237"/>
      <c r="F7" s="237"/>
      <c r="G7" s="237"/>
      <c r="H7" s="264">
        <f t="shared" si="0"/>
        <v>0</v>
      </c>
      <c r="I7" s="237"/>
      <c r="J7" s="238"/>
      <c r="K7" s="713"/>
    </row>
    <row r="8" spans="1:11" ht="15.75">
      <c r="A8" s="230">
        <v>2</v>
      </c>
      <c r="B8" s="265">
        <v>0</v>
      </c>
      <c r="C8" s="266">
        <v>0</v>
      </c>
      <c r="D8" s="267"/>
      <c r="E8" s="268"/>
      <c r="F8" s="268"/>
      <c r="G8" s="268"/>
      <c r="H8" s="268">
        <f t="shared" si="0"/>
        <v>0</v>
      </c>
      <c r="I8" s="268"/>
      <c r="J8" s="269"/>
      <c r="K8" s="214"/>
    </row>
    <row r="9" spans="1:11" ht="15.75">
      <c r="A9" s="230"/>
      <c r="B9" s="257">
        <v>0</v>
      </c>
      <c r="C9" s="248">
        <v>1</v>
      </c>
      <c r="D9" s="258"/>
      <c r="E9" s="228"/>
      <c r="F9" s="228"/>
      <c r="G9" s="228"/>
      <c r="H9" s="228">
        <f t="shared" si="0"/>
        <v>0</v>
      </c>
      <c r="I9" s="228"/>
      <c r="J9" s="229"/>
      <c r="K9" s="214"/>
    </row>
    <row r="10" spans="1:11" ht="15.75">
      <c r="A10" s="230"/>
      <c r="B10" s="257">
        <v>1</v>
      </c>
      <c r="C10" s="248">
        <v>0</v>
      </c>
      <c r="D10" s="258"/>
      <c r="E10" s="228"/>
      <c r="F10" s="228"/>
      <c r="G10" s="228"/>
      <c r="H10" s="228">
        <f t="shared" si="0"/>
        <v>0</v>
      </c>
      <c r="I10" s="228"/>
      <c r="J10" s="229"/>
      <c r="K10" s="214"/>
    </row>
    <row r="11" spans="1:11" ht="16.5" thickBot="1">
      <c r="A11" s="230"/>
      <c r="B11" s="270">
        <v>1</v>
      </c>
      <c r="C11" s="271">
        <v>1</v>
      </c>
      <c r="D11" s="272"/>
      <c r="E11" s="273"/>
      <c r="F11" s="273"/>
      <c r="G11" s="273"/>
      <c r="H11" s="274">
        <f t="shared" si="0"/>
        <v>0</v>
      </c>
      <c r="I11" s="273"/>
      <c r="J11" s="275"/>
      <c r="K11" s="214"/>
    </row>
    <row r="12" spans="1:11" ht="15.75">
      <c r="A12" s="226">
        <v>3</v>
      </c>
      <c r="B12" s="250">
        <v>0</v>
      </c>
      <c r="C12" s="251">
        <v>0</v>
      </c>
      <c r="D12" s="252"/>
      <c r="E12" s="253"/>
      <c r="F12" s="253"/>
      <c r="G12" s="253"/>
      <c r="H12" s="253">
        <f t="shared" si="0"/>
        <v>0</v>
      </c>
      <c r="I12" s="253"/>
      <c r="J12" s="254"/>
      <c r="K12" s="214"/>
    </row>
    <row r="13" spans="1:11" ht="15.75">
      <c r="A13" s="230"/>
      <c r="B13" s="257">
        <v>0</v>
      </c>
      <c r="C13" s="248">
        <v>1</v>
      </c>
      <c r="D13" s="258"/>
      <c r="E13" s="228"/>
      <c r="F13" s="228"/>
      <c r="G13" s="228"/>
      <c r="H13" s="228">
        <f t="shared" si="0"/>
        <v>0</v>
      </c>
      <c r="I13" s="228"/>
      <c r="J13" s="229"/>
      <c r="K13" s="214"/>
    </row>
    <row r="14" spans="1:11" ht="15.75">
      <c r="A14" s="230"/>
      <c r="B14" s="257">
        <v>1</v>
      </c>
      <c r="C14" s="248">
        <v>0</v>
      </c>
      <c r="D14" s="258"/>
      <c r="E14" s="228"/>
      <c r="F14" s="228"/>
      <c r="G14" s="228"/>
      <c r="H14" s="228">
        <f t="shared" si="0"/>
        <v>0</v>
      </c>
      <c r="I14" s="228"/>
      <c r="J14" s="229"/>
      <c r="K14" s="214"/>
    </row>
    <row r="15" spans="1:11" ht="16.5" thickBot="1">
      <c r="A15" s="235"/>
      <c r="B15" s="263">
        <v>1</v>
      </c>
      <c r="C15" s="260">
        <v>1</v>
      </c>
      <c r="D15" s="236"/>
      <c r="E15" s="237"/>
      <c r="F15" s="237"/>
      <c r="G15" s="237"/>
      <c r="H15" s="264">
        <f t="shared" si="0"/>
        <v>0</v>
      </c>
      <c r="I15" s="237"/>
      <c r="J15" s="238"/>
      <c r="K15" s="214"/>
    </row>
    <row r="16" spans="1:11" ht="15.75">
      <c r="A16" s="230">
        <v>4</v>
      </c>
      <c r="B16" s="250">
        <v>0</v>
      </c>
      <c r="C16" s="251">
        <v>0</v>
      </c>
      <c r="D16" s="252"/>
      <c r="E16" s="253"/>
      <c r="F16" s="253"/>
      <c r="G16" s="253"/>
      <c r="H16" s="253">
        <f t="shared" si="0"/>
        <v>0</v>
      </c>
      <c r="I16" s="253"/>
      <c r="J16" s="254"/>
      <c r="K16" s="214"/>
    </row>
    <row r="17" spans="1:11" ht="15.75">
      <c r="A17" s="230"/>
      <c r="B17" s="257">
        <v>0</v>
      </c>
      <c r="C17" s="248">
        <v>1</v>
      </c>
      <c r="D17" s="258"/>
      <c r="E17" s="228"/>
      <c r="F17" s="228"/>
      <c r="G17" s="228"/>
      <c r="H17" s="228">
        <f t="shared" si="0"/>
        <v>0</v>
      </c>
      <c r="I17" s="228"/>
      <c r="J17" s="229"/>
      <c r="K17" s="214"/>
    </row>
    <row r="18" spans="1:11" ht="15.75">
      <c r="A18" s="230"/>
      <c r="B18" s="257">
        <v>1</v>
      </c>
      <c r="C18" s="248">
        <v>0</v>
      </c>
      <c r="D18" s="258"/>
      <c r="E18" s="228"/>
      <c r="F18" s="228"/>
      <c r="G18" s="228"/>
      <c r="H18" s="228">
        <f t="shared" si="0"/>
        <v>0</v>
      </c>
      <c r="I18" s="228"/>
      <c r="J18" s="229"/>
      <c r="K18" s="214"/>
    </row>
    <row r="19" spans="1:11" ht="16.5" thickBot="1">
      <c r="A19" s="235"/>
      <c r="B19" s="263">
        <v>1</v>
      </c>
      <c r="C19" s="260">
        <v>1</v>
      </c>
      <c r="D19" s="236"/>
      <c r="E19" s="237"/>
      <c r="F19" s="237"/>
      <c r="G19" s="237"/>
      <c r="H19" s="264">
        <f t="shared" si="0"/>
        <v>0</v>
      </c>
      <c r="I19" s="237"/>
      <c r="J19" s="238"/>
      <c r="K19" s="214"/>
    </row>
    <row r="20" spans="1:11" ht="15.75">
      <c r="A20" s="230">
        <v>5</v>
      </c>
      <c r="B20" s="250">
        <v>0</v>
      </c>
      <c r="C20" s="251">
        <v>0</v>
      </c>
      <c r="D20" s="252"/>
      <c r="E20" s="253"/>
      <c r="F20" s="253"/>
      <c r="G20" s="253"/>
      <c r="H20" s="253">
        <f t="shared" si="0"/>
        <v>0</v>
      </c>
      <c r="I20" s="253"/>
      <c r="J20" s="254"/>
      <c r="K20" s="214"/>
    </row>
    <row r="21" spans="1:11" ht="15.75">
      <c r="A21" s="230"/>
      <c r="B21" s="257">
        <v>0</v>
      </c>
      <c r="C21" s="248">
        <v>1</v>
      </c>
      <c r="D21" s="258"/>
      <c r="E21" s="228"/>
      <c r="F21" s="228"/>
      <c r="G21" s="228"/>
      <c r="H21" s="228">
        <f t="shared" si="0"/>
        <v>0</v>
      </c>
      <c r="I21" s="228"/>
      <c r="J21" s="229"/>
      <c r="K21" s="214"/>
    </row>
    <row r="22" spans="1:11" ht="15.75">
      <c r="A22" s="230"/>
      <c r="B22" s="257">
        <v>1</v>
      </c>
      <c r="C22" s="248">
        <v>0</v>
      </c>
      <c r="D22" s="258"/>
      <c r="E22" s="228"/>
      <c r="F22" s="228"/>
      <c r="G22" s="228"/>
      <c r="H22" s="228">
        <f t="shared" si="0"/>
        <v>0</v>
      </c>
      <c r="I22" s="228"/>
      <c r="J22" s="229"/>
      <c r="K22" s="214"/>
    </row>
    <row r="23" spans="1:11" ht="16.5" thickBot="1">
      <c r="A23" s="235"/>
      <c r="B23" s="263">
        <v>1</v>
      </c>
      <c r="C23" s="260">
        <v>1</v>
      </c>
      <c r="D23" s="236"/>
      <c r="E23" s="237"/>
      <c r="F23" s="237"/>
      <c r="G23" s="237"/>
      <c r="H23" s="264">
        <f t="shared" si="0"/>
        <v>0</v>
      </c>
      <c r="I23" s="237"/>
      <c r="J23" s="238"/>
      <c r="K23" s="214"/>
    </row>
    <row r="24" spans="1:11" ht="15.75">
      <c r="A24" s="230">
        <v>6</v>
      </c>
      <c r="B24" s="250">
        <v>0</v>
      </c>
      <c r="C24" s="251">
        <v>0</v>
      </c>
      <c r="D24" s="252">
        <v>2.4777</v>
      </c>
      <c r="E24" s="253">
        <v>4.2798999999999996</v>
      </c>
      <c r="F24" s="253">
        <v>3.6815000000000002</v>
      </c>
      <c r="G24" s="253">
        <v>3.0802</v>
      </c>
      <c r="H24" s="253">
        <f t="shared" si="0"/>
        <v>0.1198249999999999</v>
      </c>
      <c r="I24" s="253"/>
      <c r="J24" s="254"/>
      <c r="K24" s="214"/>
    </row>
    <row r="25" spans="1:11" ht="15.75">
      <c r="A25" s="230"/>
      <c r="B25" s="257">
        <v>0</v>
      </c>
      <c r="C25" s="248">
        <v>1</v>
      </c>
      <c r="D25" s="258">
        <v>2.4655999999999998</v>
      </c>
      <c r="E25" s="228">
        <v>4.5195999999999996</v>
      </c>
      <c r="F25" s="228">
        <v>3.8864000000000001</v>
      </c>
      <c r="G25" s="228">
        <v>3.1772</v>
      </c>
      <c r="H25" s="228">
        <f t="shared" si="0"/>
        <v>0.13043999999999994</v>
      </c>
      <c r="I25" s="228"/>
      <c r="J25" s="229"/>
      <c r="K25" s="214"/>
    </row>
    <row r="26" spans="1:11" ht="15.75">
      <c r="A26" s="230"/>
      <c r="B26" s="257">
        <v>1</v>
      </c>
      <c r="C26" s="248">
        <v>0</v>
      </c>
      <c r="D26" s="258">
        <v>2.4857</v>
      </c>
      <c r="E26" s="228">
        <v>3.8296000000000001</v>
      </c>
      <c r="F26" s="228">
        <v>3.3832</v>
      </c>
      <c r="G26" s="228">
        <v>2.9350999999999998</v>
      </c>
      <c r="H26" s="228">
        <f t="shared" si="0"/>
        <v>8.9365000000000028E-2</v>
      </c>
      <c r="I26" s="228"/>
      <c r="J26" s="229"/>
      <c r="K26" s="214"/>
    </row>
    <row r="27" spans="1:11" ht="16.5" thickBot="1">
      <c r="A27" s="235"/>
      <c r="B27" s="263">
        <v>1</v>
      </c>
      <c r="C27" s="260">
        <v>1</v>
      </c>
      <c r="D27" s="236">
        <v>2.4836</v>
      </c>
      <c r="E27" s="237">
        <v>4.0294999999999996</v>
      </c>
      <c r="F27" s="237">
        <v>3.516</v>
      </c>
      <c r="G27" s="237">
        <v>3.0005999999999999</v>
      </c>
      <c r="H27" s="264">
        <f t="shared" si="0"/>
        <v>0.10279499999999994</v>
      </c>
      <c r="I27" s="237"/>
      <c r="J27" s="238"/>
      <c r="K27" s="214"/>
    </row>
    <row r="28" spans="1:11" ht="15.75">
      <c r="A28" s="230">
        <v>7</v>
      </c>
      <c r="B28" s="250">
        <v>0</v>
      </c>
      <c r="C28" s="251">
        <v>0</v>
      </c>
      <c r="D28" s="252">
        <v>2.4735</v>
      </c>
      <c r="E28" s="253">
        <v>4.1757999999999997</v>
      </c>
      <c r="F28" s="253">
        <v>3.6105</v>
      </c>
      <c r="G28" s="253">
        <v>3.0428000000000002</v>
      </c>
      <c r="H28" s="253">
        <f t="shared" si="0"/>
        <v>0.11317999999999995</v>
      </c>
      <c r="I28" s="253"/>
      <c r="J28" s="254"/>
      <c r="K28" s="214"/>
    </row>
    <row r="29" spans="1:11" ht="15.75">
      <c r="A29" s="230"/>
      <c r="B29" s="257">
        <v>0</v>
      </c>
      <c r="C29" s="248">
        <v>1</v>
      </c>
      <c r="D29" s="258">
        <v>2.4634</v>
      </c>
      <c r="E29" s="228">
        <v>4.4631999999999996</v>
      </c>
      <c r="F29" s="228">
        <v>3.8035999999999999</v>
      </c>
      <c r="G29" s="228">
        <v>3.1351</v>
      </c>
      <c r="H29" s="228">
        <f t="shared" si="0"/>
        <v>0.13236499999999995</v>
      </c>
      <c r="I29" s="228"/>
      <c r="J29" s="229"/>
      <c r="K29" s="214"/>
    </row>
    <row r="30" spans="1:11" ht="15.75">
      <c r="A30" s="230"/>
      <c r="B30" s="257">
        <v>1</v>
      </c>
      <c r="C30" s="248">
        <v>0</v>
      </c>
      <c r="D30" s="258">
        <v>2.4811999999999999</v>
      </c>
      <c r="E30" s="228">
        <v>3.7450999999999999</v>
      </c>
      <c r="F30" s="228">
        <v>3.3235999999999999</v>
      </c>
      <c r="G30" s="228">
        <v>2.9024999999999999</v>
      </c>
      <c r="H30" s="228">
        <f t="shared" si="0"/>
        <v>8.4279999999999994E-2</v>
      </c>
      <c r="I30" s="228"/>
      <c r="J30" s="229"/>
      <c r="K30" s="214"/>
    </row>
    <row r="31" spans="1:11" ht="16.5" thickBot="1">
      <c r="A31" s="235"/>
      <c r="B31" s="263">
        <v>1</v>
      </c>
      <c r="C31" s="260">
        <v>1</v>
      </c>
      <c r="D31" s="236">
        <v>2.4773000000000001</v>
      </c>
      <c r="E31" s="237">
        <v>3.9363000000000001</v>
      </c>
      <c r="F31" s="237">
        <v>3.452</v>
      </c>
      <c r="G31" s="237">
        <v>2.9655</v>
      </c>
      <c r="H31" s="264">
        <f t="shared" si="0"/>
        <v>9.6970000000000028E-2</v>
      </c>
      <c r="I31" s="237"/>
      <c r="J31" s="238"/>
      <c r="K31" s="214"/>
    </row>
    <row r="32" spans="1:11" ht="15.75">
      <c r="A32" s="230">
        <v>8</v>
      </c>
      <c r="B32" s="250">
        <v>0</v>
      </c>
      <c r="C32" s="251">
        <v>0</v>
      </c>
      <c r="D32" s="252">
        <v>2.5246</v>
      </c>
      <c r="E32" s="253">
        <v>4.3757999999999999</v>
      </c>
      <c r="F32" s="253">
        <v>3.7612000000000001</v>
      </c>
      <c r="G32" s="253">
        <v>3.1438000000000001</v>
      </c>
      <c r="H32" s="253">
        <f t="shared" si="0"/>
        <v>0.12305999999999997</v>
      </c>
      <c r="I32" s="253"/>
      <c r="J32" s="254"/>
      <c r="K32" s="214"/>
    </row>
    <row r="33" spans="1:11" ht="15.75">
      <c r="A33" s="230"/>
      <c r="B33" s="257">
        <v>0</v>
      </c>
      <c r="C33" s="248">
        <v>1</v>
      </c>
      <c r="D33" s="258">
        <v>2.5137999999999998</v>
      </c>
      <c r="E33" s="228">
        <v>4.6942000000000004</v>
      </c>
      <c r="F33" s="228">
        <v>3.9714</v>
      </c>
      <c r="G33" s="228">
        <v>3.2425999999999999</v>
      </c>
      <c r="H33" s="228">
        <f t="shared" si="0"/>
        <v>0.14486000000000004</v>
      </c>
      <c r="I33" s="228"/>
      <c r="J33" s="229"/>
      <c r="K33" s="214"/>
    </row>
    <row r="34" spans="1:11" ht="15.75">
      <c r="A34" s="230"/>
      <c r="B34" s="257">
        <v>1</v>
      </c>
      <c r="C34" s="248">
        <v>0</v>
      </c>
      <c r="D34" s="258">
        <v>2.5333999999999999</v>
      </c>
      <c r="E34" s="228">
        <v>3.9117999999999999</v>
      </c>
      <c r="F34" s="228">
        <v>3.4542999999999999</v>
      </c>
      <c r="G34" s="228">
        <v>2.9944999999999999</v>
      </c>
      <c r="H34" s="228">
        <f t="shared" si="0"/>
        <v>9.1615000000000002E-2</v>
      </c>
      <c r="I34" s="228"/>
      <c r="J34" s="229"/>
      <c r="K34" s="214"/>
    </row>
    <row r="35" spans="1:11" ht="16.5" thickBot="1">
      <c r="A35" s="235"/>
      <c r="B35" s="263">
        <v>1</v>
      </c>
      <c r="C35" s="260">
        <v>1</v>
      </c>
      <c r="D35" s="236">
        <v>2.5308999999999999</v>
      </c>
      <c r="E35" s="237">
        <v>4.1219000000000001</v>
      </c>
      <c r="F35" s="237">
        <v>3.593</v>
      </c>
      <c r="G35" s="237">
        <v>3.0626000000000002</v>
      </c>
      <c r="H35" s="264">
        <f t="shared" si="0"/>
        <v>0.105855</v>
      </c>
      <c r="I35" s="237"/>
      <c r="J35" s="238"/>
      <c r="K35" s="214"/>
    </row>
    <row r="36" spans="1:11" ht="15.75">
      <c r="A36" s="230">
        <v>9</v>
      </c>
      <c r="B36" s="250">
        <v>0</v>
      </c>
      <c r="C36" s="251">
        <v>0</v>
      </c>
      <c r="D36" s="252">
        <v>2.5510999999999999</v>
      </c>
      <c r="E36" s="253">
        <v>4.3383000000000003</v>
      </c>
      <c r="F36" s="253">
        <v>3.7448000000000001</v>
      </c>
      <c r="G36" s="253">
        <v>3.1486000000000001</v>
      </c>
      <c r="H36" s="253">
        <f t="shared" si="0"/>
        <v>0.11883500000000002</v>
      </c>
      <c r="I36" s="253"/>
      <c r="J36" s="254"/>
      <c r="K36" s="214"/>
    </row>
    <row r="37" spans="1:11" ht="15.75">
      <c r="A37" s="230"/>
      <c r="B37" s="257">
        <v>0</v>
      </c>
      <c r="C37" s="248">
        <v>1</v>
      </c>
      <c r="D37" s="258">
        <v>2.5451999999999999</v>
      </c>
      <c r="E37" s="228">
        <v>4.6586999999999996</v>
      </c>
      <c r="F37" s="228">
        <v>3.9577</v>
      </c>
      <c r="G37" s="228">
        <v>3.2519999999999998</v>
      </c>
      <c r="H37" s="228">
        <f t="shared" si="0"/>
        <v>0.14043499999999998</v>
      </c>
      <c r="I37" s="228"/>
      <c r="J37" s="229"/>
      <c r="K37" s="214"/>
    </row>
    <row r="38" spans="1:11" ht="15.75">
      <c r="A38" s="230"/>
      <c r="B38" s="257">
        <v>1</v>
      </c>
      <c r="C38" s="248">
        <v>0</v>
      </c>
      <c r="D38" s="258">
        <v>2.5503999999999998</v>
      </c>
      <c r="E38" s="228">
        <v>3.8866000000000001</v>
      </c>
      <c r="F38" s="228">
        <v>3.4432</v>
      </c>
      <c r="G38" s="228">
        <v>2.9969999999999999</v>
      </c>
      <c r="H38" s="228">
        <f t="shared" si="0"/>
        <v>8.882000000000001E-2</v>
      </c>
      <c r="I38" s="228"/>
      <c r="J38" s="229"/>
      <c r="K38" s="214"/>
    </row>
    <row r="39" spans="1:11" ht="16.5" thickBot="1">
      <c r="A39" s="235"/>
      <c r="B39" s="263">
        <v>1</v>
      </c>
      <c r="C39" s="260">
        <v>1</v>
      </c>
      <c r="D39" s="236">
        <v>2.5506000000000002</v>
      </c>
      <c r="E39" s="237">
        <v>4.0898000000000003</v>
      </c>
      <c r="F39" s="237">
        <v>3.5787</v>
      </c>
      <c r="G39" s="237">
        <v>3.0655999999999999</v>
      </c>
      <c r="H39" s="264">
        <f t="shared" si="0"/>
        <v>0.10232000000000005</v>
      </c>
      <c r="I39" s="237"/>
      <c r="J39" s="238"/>
      <c r="K39" s="214"/>
    </row>
    <row r="40" spans="1:11" ht="15.75">
      <c r="A40" s="230">
        <v>10</v>
      </c>
      <c r="B40" s="250">
        <v>0</v>
      </c>
      <c r="C40" s="251">
        <v>0</v>
      </c>
      <c r="D40" s="252">
        <v>2.4479000000000002</v>
      </c>
      <c r="E40" s="253">
        <v>4.2451999999999996</v>
      </c>
      <c r="F40" s="253">
        <v>3.6488999999999998</v>
      </c>
      <c r="G40" s="253">
        <v>3.0488</v>
      </c>
      <c r="H40" s="253">
        <f t="shared" si="0"/>
        <v>0.11944999999999997</v>
      </c>
      <c r="I40" s="253"/>
      <c r="J40" s="254"/>
      <c r="K40" s="214"/>
    </row>
    <row r="41" spans="1:11" ht="15.75">
      <c r="A41" s="230"/>
      <c r="B41" s="257">
        <v>0</v>
      </c>
      <c r="C41" s="248">
        <v>1</v>
      </c>
      <c r="D41" s="258">
        <v>2.4369000000000001</v>
      </c>
      <c r="E41" s="228">
        <v>4.5468999999999999</v>
      </c>
      <c r="F41" s="228">
        <v>3.8472</v>
      </c>
      <c r="G41" s="228">
        <v>3.1429999999999998</v>
      </c>
      <c r="H41" s="228">
        <f t="shared" si="0"/>
        <v>0.14016500000000001</v>
      </c>
      <c r="I41" s="228"/>
      <c r="J41" s="229"/>
      <c r="K41" s="214"/>
    </row>
    <row r="42" spans="1:11" ht="15.75">
      <c r="A42" s="230"/>
      <c r="B42" s="257">
        <v>1</v>
      </c>
      <c r="C42" s="248">
        <v>0</v>
      </c>
      <c r="D42" s="258">
        <v>2.4533</v>
      </c>
      <c r="E42" s="228">
        <v>3.798</v>
      </c>
      <c r="F42" s="228">
        <v>3.3519999999999999</v>
      </c>
      <c r="G42" s="228">
        <v>2.903</v>
      </c>
      <c r="H42" s="228">
        <f t="shared" si="0"/>
        <v>8.9350000000000013E-2</v>
      </c>
      <c r="I42" s="228"/>
      <c r="J42" s="229"/>
      <c r="K42" s="214"/>
    </row>
    <row r="43" spans="1:11" ht="16.5" thickBot="1">
      <c r="A43" s="235"/>
      <c r="B43" s="263">
        <v>1</v>
      </c>
      <c r="C43" s="260">
        <v>1</v>
      </c>
      <c r="D43" s="236">
        <v>2.452</v>
      </c>
      <c r="E43" s="237">
        <v>3.9942000000000002</v>
      </c>
      <c r="F43" s="237">
        <v>3.4820000000000002</v>
      </c>
      <c r="G43" s="237">
        <v>2.968</v>
      </c>
      <c r="H43" s="264">
        <f t="shared" si="0"/>
        <v>0.10253000000000001</v>
      </c>
      <c r="I43" s="237"/>
      <c r="J43" s="238"/>
      <c r="K43" s="214"/>
    </row>
    <row r="44" spans="1:11">
      <c r="A44" s="214"/>
      <c r="B44" s="214"/>
      <c r="C44" s="214"/>
      <c r="D44" s="214"/>
      <c r="E44" s="214"/>
      <c r="F44" s="214"/>
      <c r="G44" s="214"/>
      <c r="H44" s="214"/>
      <c r="I44" s="214"/>
      <c r="J44" s="214"/>
      <c r="K44" s="214"/>
    </row>
    <row r="45" spans="1:11">
      <c r="A45" s="214"/>
      <c r="B45" s="214"/>
      <c r="C45" s="214"/>
      <c r="D45" s="214"/>
      <c r="E45" s="214"/>
      <c r="F45" s="214"/>
      <c r="G45" s="214"/>
      <c r="H45" s="214"/>
      <c r="I45" s="214"/>
      <c r="J45" s="214"/>
      <c r="K45" s="214"/>
    </row>
  </sheetData>
  <mergeCells count="1">
    <mergeCell ref="K4:K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activeCell="E24" sqref="E24"/>
    </sheetView>
  </sheetViews>
  <sheetFormatPr defaultRowHeight="15"/>
  <cols>
    <col min="5" max="5" width="10.42578125" bestFit="1" customWidth="1"/>
  </cols>
  <sheetData>
    <row r="1" spans="1:6" ht="15.75" thickBot="1">
      <c r="A1" s="214" t="s">
        <v>236</v>
      </c>
      <c r="B1" s="214" t="s">
        <v>237</v>
      </c>
      <c r="C1" s="214">
        <v>81</v>
      </c>
      <c r="D1" t="s">
        <v>246</v>
      </c>
      <c r="E1" s="214">
        <v>6</v>
      </c>
      <c r="F1" s="214"/>
    </row>
    <row r="2" spans="1:6" ht="16.5" thickBot="1">
      <c r="A2" s="280" t="s">
        <v>201</v>
      </c>
      <c r="B2" s="283" t="s">
        <v>238</v>
      </c>
      <c r="C2" s="284" t="s">
        <v>239</v>
      </c>
      <c r="D2" s="285" t="s">
        <v>234</v>
      </c>
      <c r="E2" s="286" t="s">
        <v>240</v>
      </c>
      <c r="F2" s="214"/>
    </row>
    <row r="3" spans="1:6" ht="15.75">
      <c r="A3" s="226">
        <v>1</v>
      </c>
      <c r="B3" s="714">
        <v>1</v>
      </c>
      <c r="C3" s="251">
        <v>0</v>
      </c>
      <c r="D3" s="281"/>
      <c r="E3" s="282"/>
      <c r="F3" s="214"/>
    </row>
    <row r="4" spans="1:6" ht="16.5" thickBot="1">
      <c r="A4" s="235"/>
      <c r="B4" s="715"/>
      <c r="C4" s="260">
        <v>1</v>
      </c>
      <c r="D4" s="236"/>
      <c r="E4" s="238"/>
      <c r="F4" s="214"/>
    </row>
    <row r="5" spans="1:6" ht="15.75">
      <c r="A5" s="226">
        <v>2</v>
      </c>
      <c r="B5" s="714">
        <v>1</v>
      </c>
      <c r="C5" s="251">
        <v>0</v>
      </c>
      <c r="D5" s="281"/>
      <c r="E5" s="282"/>
      <c r="F5" s="214"/>
    </row>
    <row r="6" spans="1:6" ht="16.5" thickBot="1">
      <c r="A6" s="235"/>
      <c r="B6" s="715"/>
      <c r="C6" s="260">
        <v>1</v>
      </c>
      <c r="D6" s="236"/>
      <c r="E6" s="238"/>
      <c r="F6" s="214"/>
    </row>
    <row r="7" spans="1:6" ht="15.75">
      <c r="A7" s="226">
        <v>3</v>
      </c>
      <c r="B7" s="714">
        <v>1</v>
      </c>
      <c r="C7" s="251">
        <v>0</v>
      </c>
      <c r="D7" s="281"/>
      <c r="E7" s="282"/>
      <c r="F7" s="214"/>
    </row>
    <row r="8" spans="1:6" ht="16.5" thickBot="1">
      <c r="A8" s="235"/>
      <c r="B8" s="715"/>
      <c r="C8" s="260">
        <v>1</v>
      </c>
      <c r="D8" s="236"/>
      <c r="E8" s="238"/>
      <c r="F8" s="214"/>
    </row>
    <row r="9" spans="1:6" ht="15.75">
      <c r="A9" s="226">
        <v>4</v>
      </c>
      <c r="B9" s="714">
        <v>1</v>
      </c>
      <c r="C9" s="251">
        <v>0</v>
      </c>
      <c r="D9" s="281"/>
      <c r="E9" s="282"/>
      <c r="F9" s="214"/>
    </row>
    <row r="10" spans="1:6" ht="16.5" thickBot="1">
      <c r="A10" s="235"/>
      <c r="B10" s="715"/>
      <c r="C10" s="260">
        <v>1</v>
      </c>
      <c r="D10" s="236"/>
      <c r="E10" s="238"/>
      <c r="F10" s="214"/>
    </row>
    <row r="11" spans="1:6" ht="15.75">
      <c r="A11" s="226">
        <v>5</v>
      </c>
      <c r="B11" s="714">
        <v>1</v>
      </c>
      <c r="C11" s="251">
        <v>0</v>
      </c>
      <c r="D11" s="281"/>
      <c r="E11" s="282"/>
      <c r="F11" s="214"/>
    </row>
    <row r="12" spans="1:6" ht="16.5" thickBot="1">
      <c r="A12" s="235"/>
      <c r="B12" s="715"/>
      <c r="C12" s="260">
        <v>1</v>
      </c>
      <c r="D12" s="236"/>
      <c r="E12" s="238"/>
      <c r="F12" s="214"/>
    </row>
    <row r="13" spans="1:6" ht="15.75">
      <c r="A13" s="226">
        <v>6</v>
      </c>
      <c r="B13" s="714">
        <v>1</v>
      </c>
      <c r="C13" s="251">
        <v>0</v>
      </c>
      <c r="D13" s="281"/>
      <c r="E13" s="282">
        <v>4.3507999999999996</v>
      </c>
      <c r="F13" s="214"/>
    </row>
    <row r="14" spans="1:6" ht="16.5" thickBot="1">
      <c r="A14" s="235"/>
      <c r="B14" s="715"/>
      <c r="C14" s="260">
        <v>1</v>
      </c>
      <c r="D14" s="236"/>
      <c r="E14" s="238">
        <v>0.60450000000000004</v>
      </c>
      <c r="F14" s="214"/>
    </row>
    <row r="15" spans="1:6" ht="15.75">
      <c r="A15" s="226">
        <v>7</v>
      </c>
      <c r="B15" s="714">
        <v>1</v>
      </c>
      <c r="C15" s="251">
        <v>0</v>
      </c>
      <c r="D15" s="281"/>
      <c r="E15" s="282">
        <v>4.2556000000000003</v>
      </c>
      <c r="F15" s="214"/>
    </row>
    <row r="16" spans="1:6" ht="16.5" thickBot="1">
      <c r="A16" s="235"/>
      <c r="B16" s="715"/>
      <c r="C16" s="260">
        <v>1</v>
      </c>
      <c r="D16" s="236"/>
      <c r="E16" s="238">
        <v>0.69030000000000002</v>
      </c>
      <c r="F16" s="214"/>
    </row>
    <row r="17" spans="1:6" ht="15.75">
      <c r="A17" s="226">
        <v>8</v>
      </c>
      <c r="B17" s="714">
        <v>1</v>
      </c>
      <c r="C17" s="251">
        <v>0</v>
      </c>
      <c r="D17" s="281"/>
      <c r="E17" s="282">
        <v>4.3764000000000003</v>
      </c>
      <c r="F17" s="214"/>
    </row>
    <row r="18" spans="1:6" ht="16.5" thickBot="1">
      <c r="A18" s="235"/>
      <c r="B18" s="715"/>
      <c r="C18" s="260">
        <v>1</v>
      </c>
      <c r="D18" s="236"/>
      <c r="E18" s="238">
        <v>0.67190000000000005</v>
      </c>
      <c r="F18" s="214"/>
    </row>
    <row r="19" spans="1:6" ht="15.75">
      <c r="A19" s="226">
        <v>9</v>
      </c>
      <c r="B19" s="714">
        <v>1</v>
      </c>
      <c r="C19" s="251">
        <v>0</v>
      </c>
      <c r="D19" s="281"/>
      <c r="E19" s="282">
        <v>4.3554000000000004</v>
      </c>
      <c r="F19" s="214"/>
    </row>
    <row r="20" spans="1:6" ht="16.5" thickBot="1">
      <c r="A20" s="235"/>
      <c r="B20" s="715"/>
      <c r="C20" s="260">
        <v>1</v>
      </c>
      <c r="D20" s="236"/>
      <c r="E20" s="238">
        <v>0.74399999999999999</v>
      </c>
      <c r="F20" s="214"/>
    </row>
    <row r="21" spans="1:6" ht="15.75">
      <c r="A21" s="226">
        <v>10</v>
      </c>
      <c r="B21" s="714">
        <v>1</v>
      </c>
      <c r="C21" s="251">
        <v>0</v>
      </c>
      <c r="D21" s="281"/>
      <c r="E21" s="282">
        <v>4.2214999999999998</v>
      </c>
      <c r="F21" s="214"/>
    </row>
    <row r="22" spans="1:6" ht="16.5" thickBot="1">
      <c r="A22" s="235"/>
      <c r="B22" s="715"/>
      <c r="C22" s="260">
        <v>1</v>
      </c>
      <c r="D22" s="236"/>
      <c r="E22" s="238">
        <v>0.67459999999999998</v>
      </c>
      <c r="F22" s="214"/>
    </row>
  </sheetData>
  <mergeCells count="10">
    <mergeCell ref="B19:B20"/>
    <mergeCell ref="B21:B22"/>
    <mergeCell ref="B3:B4"/>
    <mergeCell ref="B5:B6"/>
    <mergeCell ref="B7:B8"/>
    <mergeCell ref="B9:B10"/>
    <mergeCell ref="B11:B12"/>
    <mergeCell ref="B13:B14"/>
    <mergeCell ref="B15:B16"/>
    <mergeCell ref="B17:B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opLeftCell="B1" workbookViewId="0">
      <selection activeCell="F2" sqref="F2"/>
    </sheetView>
  </sheetViews>
  <sheetFormatPr defaultRowHeight="15"/>
  <sheetData>
    <row r="1" spans="2:6">
      <c r="D1">
        <v>24</v>
      </c>
    </row>
    <row r="2" spans="2:6">
      <c r="B2">
        <v>80</v>
      </c>
      <c r="C2">
        <v>12</v>
      </c>
      <c r="F2" t="e">
        <f t="array" aca="1" ref="F2" ca="1">raw(INDEX('Gain_offset step test'!AG4:AG19,MATCH(MIN(ABS('Gain_offset step test'!AG4:AG19-D1)),ABS('Gain_offset step test'!AG4:AG19-D1),0)))</f>
        <v>#NAME?</v>
      </c>
    </row>
    <row r="3" spans="2:6">
      <c r="C3">
        <v>23</v>
      </c>
    </row>
    <row r="4" spans="2:6">
      <c r="C4">
        <v>34</v>
      </c>
    </row>
    <row r="5" spans="2:6">
      <c r="C5">
        <v>45</v>
      </c>
    </row>
    <row r="6" spans="2:6">
      <c r="C6">
        <v>56</v>
      </c>
    </row>
    <row r="7" spans="2:6">
      <c r="C7">
        <v>67</v>
      </c>
    </row>
    <row r="8" spans="2:6">
      <c r="C8">
        <v>78</v>
      </c>
    </row>
    <row r="9" spans="2:6">
      <c r="C9">
        <v>89</v>
      </c>
    </row>
    <row r="10" spans="2:6">
      <c r="C10">
        <v>100</v>
      </c>
    </row>
    <row r="11" spans="2:6">
      <c r="C11">
        <v>111</v>
      </c>
    </row>
    <row r="12" spans="2:6">
      <c r="C12">
        <v>122</v>
      </c>
    </row>
    <row r="13" spans="2:6">
      <c r="C13">
        <v>133</v>
      </c>
    </row>
    <row r="14" spans="2:6">
      <c r="C14">
        <v>144</v>
      </c>
    </row>
    <row r="15" spans="2:6">
      <c r="C15">
        <v>155</v>
      </c>
    </row>
    <row r="16" spans="2:6">
      <c r="C16">
        <v>166</v>
      </c>
    </row>
    <row r="17" spans="3:3">
      <c r="C17">
        <v>177</v>
      </c>
    </row>
    <row r="18" spans="3:3">
      <c r="C18">
        <v>188</v>
      </c>
    </row>
    <row r="19" spans="3:3">
      <c r="C1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实验室测试项目</vt:lpstr>
      <vt:lpstr>地址对应码</vt:lpstr>
      <vt:lpstr>Sheet1</vt:lpstr>
      <vt:lpstr>Gain_offset step test</vt:lpstr>
      <vt:lpstr>Reload</vt:lpstr>
      <vt:lpstr>Sheet4</vt:lpstr>
      <vt:lpstr>Labtest_itme1</vt:lpstr>
      <vt:lpstr>Labtest_item2</vt:lpstr>
      <vt:lpstr>labtest_item3</vt:lpstr>
      <vt:lpstr>labtest_item4</vt:lpstr>
      <vt:lpstr>labtest_item5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2016-01-25T08:53:31Z</dcterms:modified>
</cp:coreProperties>
</file>